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Web_Page_w_Links" sheetId="1" r:id="rId1"/>
  </sheets>
  <calcPr calcId="145621"/>
</workbook>
</file>

<file path=xl/calcChain.xml><?xml version="1.0" encoding="utf-8"?>
<calcChain xmlns="http://schemas.openxmlformats.org/spreadsheetml/2006/main">
  <c r="C8558" i="1" l="1"/>
  <c r="A8558" i="1"/>
  <c r="C8557" i="1"/>
  <c r="A8557" i="1"/>
  <c r="C8556" i="1"/>
  <c r="A8556" i="1"/>
  <c r="C8555" i="1"/>
  <c r="A8555" i="1"/>
  <c r="C8554" i="1"/>
  <c r="A8554" i="1"/>
  <c r="C8553" i="1"/>
  <c r="A8553" i="1"/>
  <c r="C8552" i="1"/>
  <c r="A8552" i="1"/>
  <c r="C8551" i="1"/>
  <c r="A8551" i="1"/>
  <c r="C8550" i="1"/>
  <c r="A8550" i="1"/>
  <c r="C8549" i="1"/>
  <c r="A8549" i="1"/>
  <c r="C8548" i="1"/>
  <c r="A8548" i="1"/>
  <c r="C8547" i="1"/>
  <c r="A8547" i="1"/>
  <c r="C8546" i="1"/>
  <c r="A8546" i="1"/>
  <c r="C8545" i="1"/>
  <c r="A8545" i="1"/>
  <c r="C8544" i="1"/>
  <c r="A8544" i="1"/>
  <c r="C8543" i="1"/>
  <c r="A8543" i="1"/>
  <c r="C8542" i="1"/>
  <c r="A8542" i="1"/>
  <c r="C8541" i="1"/>
  <c r="A8541" i="1"/>
  <c r="C8540" i="1"/>
  <c r="A8540" i="1"/>
  <c r="C8539" i="1"/>
  <c r="A8539" i="1"/>
  <c r="C8538" i="1"/>
  <c r="A8538" i="1"/>
  <c r="C8537" i="1"/>
  <c r="A8537" i="1"/>
  <c r="C8536" i="1"/>
  <c r="A8536" i="1"/>
  <c r="C8535" i="1"/>
  <c r="A8535" i="1"/>
  <c r="C8534" i="1"/>
  <c r="A8534" i="1"/>
  <c r="C8533" i="1"/>
  <c r="A8533" i="1"/>
  <c r="C8532" i="1"/>
  <c r="A8532" i="1"/>
  <c r="C8531" i="1"/>
  <c r="A8531" i="1"/>
  <c r="C8530" i="1"/>
  <c r="A8530" i="1"/>
  <c r="C8529" i="1"/>
  <c r="A8529" i="1"/>
  <c r="C8528" i="1"/>
  <c r="A8528" i="1"/>
  <c r="C8527" i="1"/>
  <c r="A8527" i="1"/>
  <c r="C8526" i="1"/>
  <c r="A8526" i="1"/>
  <c r="C8525" i="1"/>
  <c r="A8525" i="1"/>
  <c r="C8524" i="1"/>
  <c r="A8524" i="1"/>
  <c r="C8523" i="1"/>
  <c r="A8523" i="1"/>
  <c r="C8522" i="1"/>
  <c r="A8522" i="1"/>
  <c r="C8521" i="1"/>
  <c r="A8521" i="1"/>
  <c r="C8520" i="1"/>
  <c r="A8520" i="1"/>
  <c r="C8519" i="1"/>
  <c r="A8519" i="1"/>
  <c r="C8518" i="1"/>
  <c r="A8518" i="1"/>
  <c r="C8517" i="1"/>
  <c r="A8517" i="1"/>
  <c r="C8516" i="1"/>
  <c r="A8516" i="1"/>
  <c r="C8515" i="1"/>
  <c r="A8515" i="1"/>
  <c r="C8514" i="1"/>
  <c r="A8514" i="1"/>
  <c r="C8513" i="1"/>
  <c r="A8513" i="1"/>
  <c r="C8512" i="1"/>
  <c r="A8512" i="1"/>
  <c r="C8511" i="1"/>
  <c r="A8511" i="1"/>
  <c r="C8510" i="1"/>
  <c r="A8510" i="1"/>
  <c r="C8509" i="1"/>
  <c r="A8509" i="1"/>
  <c r="C8508" i="1"/>
  <c r="A8508" i="1"/>
  <c r="C8507" i="1"/>
  <c r="A8507" i="1"/>
  <c r="C8506" i="1"/>
  <c r="A8506" i="1"/>
  <c r="C8505" i="1"/>
  <c r="A8505" i="1"/>
  <c r="C8504" i="1"/>
  <c r="A8504" i="1"/>
  <c r="C8503" i="1"/>
  <c r="A8503" i="1"/>
  <c r="C8502" i="1"/>
  <c r="A8502" i="1"/>
  <c r="C8501" i="1"/>
  <c r="A8501" i="1"/>
  <c r="C8500" i="1"/>
  <c r="A8500" i="1"/>
  <c r="C8499" i="1"/>
  <c r="A8499" i="1"/>
  <c r="C8498" i="1"/>
  <c r="A8498" i="1"/>
  <c r="C8497" i="1"/>
  <c r="A8497" i="1"/>
  <c r="C8496" i="1"/>
  <c r="A8496" i="1"/>
  <c r="C8495" i="1"/>
  <c r="A8495" i="1"/>
  <c r="C8494" i="1"/>
  <c r="A8494" i="1"/>
  <c r="C8493" i="1"/>
  <c r="A8493" i="1"/>
  <c r="C8492" i="1"/>
  <c r="A8492" i="1"/>
  <c r="C8491" i="1"/>
  <c r="A8491" i="1"/>
  <c r="C8490" i="1"/>
  <c r="A8490" i="1"/>
  <c r="C8489" i="1"/>
  <c r="A8489" i="1"/>
  <c r="C8488" i="1"/>
  <c r="A8488" i="1"/>
  <c r="C8487" i="1"/>
  <c r="A8487" i="1"/>
  <c r="C8486" i="1"/>
  <c r="A8486" i="1"/>
  <c r="C8485" i="1"/>
  <c r="A8485" i="1"/>
  <c r="C8484" i="1"/>
  <c r="A8484" i="1"/>
  <c r="C8483" i="1"/>
  <c r="A8483" i="1"/>
  <c r="C8482" i="1"/>
  <c r="A8482" i="1"/>
  <c r="C8481" i="1"/>
  <c r="A8481" i="1"/>
  <c r="C8480" i="1"/>
  <c r="A8480" i="1"/>
  <c r="C8479" i="1"/>
  <c r="A8479" i="1"/>
  <c r="C8478" i="1"/>
  <c r="A8478" i="1"/>
  <c r="C8477" i="1"/>
  <c r="A8477" i="1"/>
  <c r="C8476" i="1"/>
  <c r="A8476" i="1"/>
  <c r="C8475" i="1"/>
  <c r="A8475" i="1"/>
  <c r="C8474" i="1"/>
  <c r="A8474" i="1"/>
  <c r="C8473" i="1"/>
  <c r="A8473" i="1"/>
  <c r="C8472" i="1"/>
  <c r="A8472" i="1"/>
  <c r="C8471" i="1"/>
  <c r="A8471" i="1"/>
  <c r="C8470" i="1"/>
  <c r="A8470" i="1"/>
  <c r="C8469" i="1"/>
  <c r="A8469" i="1"/>
  <c r="C8468" i="1"/>
  <c r="A8468" i="1"/>
  <c r="C8467" i="1"/>
  <c r="A8467" i="1"/>
  <c r="C8466" i="1"/>
  <c r="A8466" i="1"/>
  <c r="C8465" i="1"/>
  <c r="A8465" i="1"/>
  <c r="C8464" i="1"/>
  <c r="A8464" i="1"/>
  <c r="C8463" i="1"/>
  <c r="A8463" i="1"/>
  <c r="C8462" i="1"/>
  <c r="A8462" i="1"/>
  <c r="C8461" i="1"/>
  <c r="A8461" i="1"/>
  <c r="C8460" i="1"/>
  <c r="A8460" i="1"/>
  <c r="C8459" i="1"/>
  <c r="A8459" i="1"/>
  <c r="C8458" i="1"/>
  <c r="A8458" i="1"/>
  <c r="C8457" i="1"/>
  <c r="A8457" i="1"/>
  <c r="C8456" i="1"/>
  <c r="A8456" i="1"/>
  <c r="C8455" i="1"/>
  <c r="A8455" i="1"/>
  <c r="C8454" i="1"/>
  <c r="A8454" i="1"/>
  <c r="C8453" i="1"/>
  <c r="A8453" i="1"/>
  <c r="C8452" i="1"/>
  <c r="A8452" i="1"/>
  <c r="C8451" i="1"/>
  <c r="A8451" i="1"/>
  <c r="C8450" i="1"/>
  <c r="A8450" i="1"/>
  <c r="C8449" i="1"/>
  <c r="A8449" i="1"/>
  <c r="C8448" i="1"/>
  <c r="A8448" i="1"/>
  <c r="C8447" i="1"/>
  <c r="A8447" i="1"/>
  <c r="C8446" i="1"/>
  <c r="A8446" i="1"/>
  <c r="C8445" i="1"/>
  <c r="A8445" i="1"/>
  <c r="C8444" i="1"/>
  <c r="A8444" i="1"/>
  <c r="C8443" i="1"/>
  <c r="A8443" i="1"/>
  <c r="C8442" i="1"/>
  <c r="A8442" i="1"/>
  <c r="C8441" i="1"/>
  <c r="A8441" i="1"/>
  <c r="C8440" i="1"/>
  <c r="A8440" i="1"/>
  <c r="C8439" i="1"/>
  <c r="A8439" i="1"/>
  <c r="C8438" i="1"/>
  <c r="A8438" i="1"/>
  <c r="C8437" i="1"/>
  <c r="A8437" i="1"/>
  <c r="C8436" i="1"/>
  <c r="A8436" i="1"/>
  <c r="C8435" i="1"/>
  <c r="A8435" i="1"/>
  <c r="C8434" i="1"/>
  <c r="A8434" i="1"/>
  <c r="C8433" i="1"/>
  <c r="A8433" i="1"/>
  <c r="C8432" i="1"/>
  <c r="A8432" i="1"/>
  <c r="C8431" i="1"/>
  <c r="A8431" i="1"/>
  <c r="C8430" i="1"/>
  <c r="A8430" i="1"/>
  <c r="C8429" i="1"/>
  <c r="A8429" i="1"/>
  <c r="C8428" i="1"/>
  <c r="A8428" i="1"/>
  <c r="C8427" i="1"/>
  <c r="A8427" i="1"/>
  <c r="C8426" i="1"/>
  <c r="A8426" i="1"/>
  <c r="C8425" i="1"/>
  <c r="A8425" i="1"/>
  <c r="C8424" i="1"/>
  <c r="A8424" i="1"/>
  <c r="C8423" i="1"/>
  <c r="A8423" i="1"/>
  <c r="C8422" i="1"/>
  <c r="A8422" i="1"/>
  <c r="C8421" i="1"/>
  <c r="A8421" i="1"/>
  <c r="C8420" i="1"/>
  <c r="A8420" i="1"/>
  <c r="C8419" i="1"/>
  <c r="A8419" i="1"/>
  <c r="C8418" i="1"/>
  <c r="A8418" i="1"/>
  <c r="C8417" i="1"/>
  <c r="A8417" i="1"/>
  <c r="C8416" i="1"/>
  <c r="A8416" i="1"/>
  <c r="C8415" i="1"/>
  <c r="A8415" i="1"/>
  <c r="C8414" i="1"/>
  <c r="A8414" i="1"/>
  <c r="C8413" i="1"/>
  <c r="A8413" i="1"/>
  <c r="C8412" i="1"/>
  <c r="A8412" i="1"/>
  <c r="C8411" i="1"/>
  <c r="A8411" i="1"/>
  <c r="C8410" i="1"/>
  <c r="A8410" i="1"/>
  <c r="C8409" i="1"/>
  <c r="A8409" i="1"/>
  <c r="C8408" i="1"/>
  <c r="A8408" i="1"/>
  <c r="C8407" i="1"/>
  <c r="A8407" i="1"/>
  <c r="C8406" i="1"/>
  <c r="A8406" i="1"/>
  <c r="C8405" i="1"/>
  <c r="A8405" i="1"/>
  <c r="C8404" i="1"/>
  <c r="A8404" i="1"/>
  <c r="C8403" i="1"/>
  <c r="A8403" i="1"/>
  <c r="C8402" i="1"/>
  <c r="A8402" i="1"/>
  <c r="C8401" i="1"/>
  <c r="A8401" i="1"/>
  <c r="C8400" i="1"/>
  <c r="A8400" i="1"/>
  <c r="C8399" i="1"/>
  <c r="A8399" i="1"/>
  <c r="C8398" i="1"/>
  <c r="A8398" i="1"/>
  <c r="C8397" i="1"/>
  <c r="A8397" i="1"/>
  <c r="C8396" i="1"/>
  <c r="A8396" i="1"/>
  <c r="C8395" i="1"/>
  <c r="A8395" i="1"/>
  <c r="C8394" i="1"/>
  <c r="A8394" i="1"/>
  <c r="C8393" i="1"/>
  <c r="A8393" i="1"/>
  <c r="C8392" i="1"/>
  <c r="A8392" i="1"/>
  <c r="C8391" i="1"/>
  <c r="A8391" i="1"/>
  <c r="C8390" i="1"/>
  <c r="A8390" i="1"/>
  <c r="C8389" i="1"/>
  <c r="A8389" i="1"/>
  <c r="C8388" i="1"/>
  <c r="A8388" i="1"/>
  <c r="C8387" i="1"/>
  <c r="A8387" i="1"/>
  <c r="C8386" i="1"/>
  <c r="A8386" i="1"/>
  <c r="C8385" i="1"/>
  <c r="A8385" i="1"/>
  <c r="C8384" i="1"/>
  <c r="A8384" i="1"/>
  <c r="C8383" i="1"/>
  <c r="A8383" i="1"/>
  <c r="C8382" i="1"/>
  <c r="A8382" i="1"/>
  <c r="C8381" i="1"/>
  <c r="A8381" i="1"/>
  <c r="C8380" i="1"/>
  <c r="A8380" i="1"/>
  <c r="C8379" i="1"/>
  <c r="A8379" i="1"/>
  <c r="C8378" i="1"/>
  <c r="A8378" i="1"/>
  <c r="C8377" i="1"/>
  <c r="A8377" i="1"/>
  <c r="C8376" i="1"/>
  <c r="A8376" i="1"/>
  <c r="C8375" i="1"/>
  <c r="A8375" i="1"/>
  <c r="C8374" i="1"/>
  <c r="A8374" i="1"/>
  <c r="C8373" i="1"/>
  <c r="A8373" i="1"/>
  <c r="C8372" i="1"/>
  <c r="A8372" i="1"/>
  <c r="C8371" i="1"/>
  <c r="A8371" i="1"/>
  <c r="C8370" i="1"/>
  <c r="A8370" i="1"/>
  <c r="C8369" i="1"/>
  <c r="A8369" i="1"/>
  <c r="C8368" i="1"/>
  <c r="A8368" i="1"/>
  <c r="C8367" i="1"/>
  <c r="A8367" i="1"/>
  <c r="C8366" i="1"/>
  <c r="A8366" i="1"/>
  <c r="C8365" i="1"/>
  <c r="A8365" i="1"/>
  <c r="C8364" i="1"/>
  <c r="A8364" i="1"/>
  <c r="C8363" i="1"/>
  <c r="A8363" i="1"/>
  <c r="C8362" i="1"/>
  <c r="A8362" i="1"/>
  <c r="C8361" i="1"/>
  <c r="A8361" i="1"/>
  <c r="C8360" i="1"/>
  <c r="A8360" i="1"/>
  <c r="C8359" i="1"/>
  <c r="A8359" i="1"/>
  <c r="C8358" i="1"/>
  <c r="A8358" i="1"/>
  <c r="C8357" i="1"/>
  <c r="A8357" i="1"/>
  <c r="C8356" i="1"/>
  <c r="A8356" i="1"/>
  <c r="C8355" i="1"/>
  <c r="A8355" i="1"/>
  <c r="C8354" i="1"/>
  <c r="A8354" i="1"/>
  <c r="C8353" i="1"/>
  <c r="A8353" i="1"/>
  <c r="C8352" i="1"/>
  <c r="A8352" i="1"/>
  <c r="C8351" i="1"/>
  <c r="A8351" i="1"/>
  <c r="C8350" i="1"/>
  <c r="A8350" i="1"/>
  <c r="C8349" i="1"/>
  <c r="A8349" i="1"/>
  <c r="C8348" i="1"/>
  <c r="A8348" i="1"/>
  <c r="C8347" i="1"/>
  <c r="A8347" i="1"/>
  <c r="C8346" i="1"/>
  <c r="A8346" i="1"/>
  <c r="C8345" i="1"/>
  <c r="A8345" i="1"/>
  <c r="C8344" i="1"/>
  <c r="A8344" i="1"/>
  <c r="C8343" i="1"/>
  <c r="A8343" i="1"/>
  <c r="C8342" i="1"/>
  <c r="A8342" i="1"/>
  <c r="C8341" i="1"/>
  <c r="A8341" i="1"/>
  <c r="C8340" i="1"/>
  <c r="A8340" i="1"/>
  <c r="C8339" i="1"/>
  <c r="A8339" i="1"/>
  <c r="C8338" i="1"/>
  <c r="A8338" i="1"/>
  <c r="C8337" i="1"/>
  <c r="A8337" i="1"/>
  <c r="C8336" i="1"/>
  <c r="A8336" i="1"/>
  <c r="C8335" i="1"/>
  <c r="A8335" i="1"/>
  <c r="C8334" i="1"/>
  <c r="A8334" i="1"/>
  <c r="C8333" i="1"/>
  <c r="A8333" i="1"/>
  <c r="C8332" i="1"/>
  <c r="A8332" i="1"/>
  <c r="C8331" i="1"/>
  <c r="A8331" i="1"/>
  <c r="C8330" i="1"/>
  <c r="A8330" i="1"/>
  <c r="C8329" i="1"/>
  <c r="A8329" i="1"/>
  <c r="C8328" i="1"/>
  <c r="A8328" i="1"/>
  <c r="C8327" i="1"/>
  <c r="A8327" i="1"/>
  <c r="C8326" i="1"/>
  <c r="A8326" i="1"/>
  <c r="C8325" i="1"/>
  <c r="A8325" i="1"/>
  <c r="C8324" i="1"/>
  <c r="A8324" i="1"/>
  <c r="C8323" i="1"/>
  <c r="A8323" i="1"/>
  <c r="C8322" i="1"/>
  <c r="A8322" i="1"/>
  <c r="C8321" i="1"/>
  <c r="A8321" i="1"/>
  <c r="C8320" i="1"/>
  <c r="A8320" i="1"/>
  <c r="C8319" i="1"/>
  <c r="A8319" i="1"/>
  <c r="C8318" i="1"/>
  <c r="A8318" i="1"/>
  <c r="C8317" i="1"/>
  <c r="A8317" i="1"/>
  <c r="C8316" i="1"/>
  <c r="A8316" i="1"/>
  <c r="C8315" i="1"/>
  <c r="A8315" i="1"/>
  <c r="C8314" i="1"/>
  <c r="A8314" i="1"/>
  <c r="C8313" i="1"/>
  <c r="A8313" i="1"/>
  <c r="C8312" i="1"/>
  <c r="A8312" i="1"/>
  <c r="C8311" i="1"/>
  <c r="A8311" i="1"/>
  <c r="C8310" i="1"/>
  <c r="A8310" i="1"/>
  <c r="C8309" i="1"/>
  <c r="A8309" i="1"/>
  <c r="C8308" i="1"/>
  <c r="A8308" i="1"/>
  <c r="C8307" i="1"/>
  <c r="A8307" i="1"/>
  <c r="C8306" i="1"/>
  <c r="A8306" i="1"/>
  <c r="C8305" i="1"/>
  <c r="A8305" i="1"/>
  <c r="C8304" i="1"/>
  <c r="A8304" i="1"/>
  <c r="C8303" i="1"/>
  <c r="A8303" i="1"/>
  <c r="C8302" i="1"/>
  <c r="A8302" i="1"/>
  <c r="C8301" i="1"/>
  <c r="A8301" i="1"/>
  <c r="C8300" i="1"/>
  <c r="A8300" i="1"/>
  <c r="C8299" i="1"/>
  <c r="A8299" i="1"/>
  <c r="C8298" i="1"/>
  <c r="A8298" i="1"/>
  <c r="C8297" i="1"/>
  <c r="A8297" i="1"/>
  <c r="C8296" i="1"/>
  <c r="A8296" i="1"/>
  <c r="C8295" i="1"/>
  <c r="A8295" i="1"/>
  <c r="C8294" i="1"/>
  <c r="A8294" i="1"/>
  <c r="C8293" i="1"/>
  <c r="A8293" i="1"/>
  <c r="C8292" i="1"/>
  <c r="A8292" i="1"/>
  <c r="C8291" i="1"/>
  <c r="A8291" i="1"/>
  <c r="C8290" i="1"/>
  <c r="A8290" i="1"/>
  <c r="C8289" i="1"/>
  <c r="A8289" i="1"/>
  <c r="C8288" i="1"/>
  <c r="A8288" i="1"/>
  <c r="C8287" i="1"/>
  <c r="A8287" i="1"/>
  <c r="C8286" i="1"/>
  <c r="A8286" i="1"/>
  <c r="C8285" i="1"/>
  <c r="A8285" i="1"/>
  <c r="C8284" i="1"/>
  <c r="A8284" i="1"/>
  <c r="C8283" i="1"/>
  <c r="A8283" i="1"/>
  <c r="C8282" i="1"/>
  <c r="A8282" i="1"/>
  <c r="C8281" i="1"/>
  <c r="A8281" i="1"/>
  <c r="C8280" i="1"/>
  <c r="A8280" i="1"/>
  <c r="C8279" i="1"/>
  <c r="A8279" i="1"/>
  <c r="C8278" i="1"/>
  <c r="A8278" i="1"/>
  <c r="C8277" i="1"/>
  <c r="A8277" i="1"/>
  <c r="C8276" i="1"/>
  <c r="A8276" i="1"/>
  <c r="C8275" i="1"/>
  <c r="A8275" i="1"/>
  <c r="C8274" i="1"/>
  <c r="A8274" i="1"/>
  <c r="C8273" i="1"/>
  <c r="A8273" i="1"/>
  <c r="C8272" i="1"/>
  <c r="A8272" i="1"/>
  <c r="C8271" i="1"/>
  <c r="A8271" i="1"/>
  <c r="C8270" i="1"/>
  <c r="A8270" i="1"/>
  <c r="C8269" i="1"/>
  <c r="A8269" i="1"/>
  <c r="C8268" i="1"/>
  <c r="A8268" i="1"/>
  <c r="C8267" i="1"/>
  <c r="A8267" i="1"/>
  <c r="C8266" i="1"/>
  <c r="A8266" i="1"/>
  <c r="C8265" i="1"/>
  <c r="A8265" i="1"/>
  <c r="C8264" i="1"/>
  <c r="A8264" i="1"/>
  <c r="C8263" i="1"/>
  <c r="A8263" i="1"/>
  <c r="C8262" i="1"/>
  <c r="A8262" i="1"/>
  <c r="C8261" i="1"/>
  <c r="A8261" i="1"/>
  <c r="C8260" i="1"/>
  <c r="A8260" i="1"/>
  <c r="C8259" i="1"/>
  <c r="A8259" i="1"/>
  <c r="C8258" i="1"/>
  <c r="A8258" i="1"/>
  <c r="C8257" i="1"/>
  <c r="A8257" i="1"/>
  <c r="C8256" i="1"/>
  <c r="A8256" i="1"/>
  <c r="C8255" i="1"/>
  <c r="A8255" i="1"/>
  <c r="C8254" i="1"/>
  <c r="A8254" i="1"/>
  <c r="C8253" i="1"/>
  <c r="A8253" i="1"/>
  <c r="C8252" i="1"/>
  <c r="A8252" i="1"/>
  <c r="C8251" i="1"/>
  <c r="A8251" i="1"/>
  <c r="C8250" i="1"/>
  <c r="A8250" i="1"/>
  <c r="C8249" i="1"/>
  <c r="A8249" i="1"/>
  <c r="C8248" i="1"/>
  <c r="A8248" i="1"/>
  <c r="C8247" i="1"/>
  <c r="A8247" i="1"/>
  <c r="C8246" i="1"/>
  <c r="A8246" i="1"/>
  <c r="C8245" i="1"/>
  <c r="A8245" i="1"/>
  <c r="C8244" i="1"/>
  <c r="A8244" i="1"/>
  <c r="C8243" i="1"/>
  <c r="A8243" i="1"/>
  <c r="C8242" i="1"/>
  <c r="A8242" i="1"/>
  <c r="C8241" i="1"/>
  <c r="A8241" i="1"/>
  <c r="C8240" i="1"/>
  <c r="A8240" i="1"/>
  <c r="C8239" i="1"/>
  <c r="A8239" i="1"/>
  <c r="C8238" i="1"/>
  <c r="A8238" i="1"/>
  <c r="C8237" i="1"/>
  <c r="A8237" i="1"/>
  <c r="C8236" i="1"/>
  <c r="A8236" i="1"/>
  <c r="C8235" i="1"/>
  <c r="A8235" i="1"/>
  <c r="C8234" i="1"/>
  <c r="A8234" i="1"/>
  <c r="C8233" i="1"/>
  <c r="A8233" i="1"/>
  <c r="C8232" i="1"/>
  <c r="A8232" i="1"/>
  <c r="C8231" i="1"/>
  <c r="A8231" i="1"/>
  <c r="C8230" i="1"/>
  <c r="A8230" i="1"/>
  <c r="C8229" i="1"/>
  <c r="A8229" i="1"/>
  <c r="C8228" i="1"/>
  <c r="A8228" i="1"/>
  <c r="C8227" i="1"/>
  <c r="A8227" i="1"/>
  <c r="C8226" i="1"/>
  <c r="A8226" i="1"/>
  <c r="C8225" i="1"/>
  <c r="A8225" i="1"/>
  <c r="C8224" i="1"/>
  <c r="A8224" i="1"/>
  <c r="C8223" i="1"/>
  <c r="A8223" i="1"/>
  <c r="C8222" i="1"/>
  <c r="A8222" i="1"/>
  <c r="C8221" i="1"/>
  <c r="A8221" i="1"/>
  <c r="C8220" i="1"/>
  <c r="A8220" i="1"/>
  <c r="C8219" i="1"/>
  <c r="A8219" i="1"/>
  <c r="C8218" i="1"/>
  <c r="A8218" i="1"/>
  <c r="C8217" i="1"/>
  <c r="A8217" i="1"/>
  <c r="C8216" i="1"/>
  <c r="A8216" i="1"/>
  <c r="C8215" i="1"/>
  <c r="A8215" i="1"/>
  <c r="C8214" i="1"/>
  <c r="A8214" i="1"/>
  <c r="C8213" i="1"/>
  <c r="A8213" i="1"/>
  <c r="C8212" i="1"/>
  <c r="A8212" i="1"/>
  <c r="C8211" i="1"/>
  <c r="A8211" i="1"/>
  <c r="C8210" i="1"/>
  <c r="A8210" i="1"/>
  <c r="C8209" i="1"/>
  <c r="A8209" i="1"/>
  <c r="C8208" i="1"/>
  <c r="A8208" i="1"/>
  <c r="C8207" i="1"/>
  <c r="A8207" i="1"/>
  <c r="C8206" i="1"/>
  <c r="A8206" i="1"/>
  <c r="C8205" i="1"/>
  <c r="A8205" i="1"/>
  <c r="C8204" i="1"/>
  <c r="A8204" i="1"/>
  <c r="C8203" i="1"/>
  <c r="A8203" i="1"/>
  <c r="C8202" i="1"/>
  <c r="A8202" i="1"/>
  <c r="C8201" i="1"/>
  <c r="A8201" i="1"/>
  <c r="C8200" i="1"/>
  <c r="A8200" i="1"/>
  <c r="C8199" i="1"/>
  <c r="A8199" i="1"/>
  <c r="C8198" i="1"/>
  <c r="A8198" i="1"/>
  <c r="C8197" i="1"/>
  <c r="A8197" i="1"/>
  <c r="C8196" i="1"/>
  <c r="A8196" i="1"/>
  <c r="C8195" i="1"/>
  <c r="A8195" i="1"/>
  <c r="C8194" i="1"/>
  <c r="A8194" i="1"/>
  <c r="C8193" i="1"/>
  <c r="A8193" i="1"/>
  <c r="C8192" i="1"/>
  <c r="A8192" i="1"/>
  <c r="C8191" i="1"/>
  <c r="A8191" i="1"/>
  <c r="C8190" i="1"/>
  <c r="A8190" i="1"/>
  <c r="C8189" i="1"/>
  <c r="A8189" i="1"/>
  <c r="C8188" i="1"/>
  <c r="A8188" i="1"/>
  <c r="C8187" i="1"/>
  <c r="A8187" i="1"/>
  <c r="C8186" i="1"/>
  <c r="A8186" i="1"/>
  <c r="C8185" i="1"/>
  <c r="A8185" i="1"/>
  <c r="C8184" i="1"/>
  <c r="A8184" i="1"/>
  <c r="C8183" i="1"/>
  <c r="A8183" i="1"/>
  <c r="C8182" i="1"/>
  <c r="A8182" i="1"/>
  <c r="C8181" i="1"/>
  <c r="A8181" i="1"/>
  <c r="C8180" i="1"/>
  <c r="A8180" i="1"/>
  <c r="C8179" i="1"/>
  <c r="A8179" i="1"/>
  <c r="C8178" i="1"/>
  <c r="A8178" i="1"/>
  <c r="C8177" i="1"/>
  <c r="A8177" i="1"/>
  <c r="C8176" i="1"/>
  <c r="A8176" i="1"/>
  <c r="C8175" i="1"/>
  <c r="A8175" i="1"/>
  <c r="C8174" i="1"/>
  <c r="A8174" i="1"/>
  <c r="C8173" i="1"/>
  <c r="A8173" i="1"/>
  <c r="C8172" i="1"/>
  <c r="A8172" i="1"/>
  <c r="C8171" i="1"/>
  <c r="A8171" i="1"/>
  <c r="C8170" i="1"/>
  <c r="A8170" i="1"/>
  <c r="C8169" i="1"/>
  <c r="A8169" i="1"/>
  <c r="C8168" i="1"/>
  <c r="A8168" i="1"/>
  <c r="C8167" i="1"/>
  <c r="A8167" i="1"/>
  <c r="C8166" i="1"/>
  <c r="A8166" i="1"/>
  <c r="C8165" i="1"/>
  <c r="A8165" i="1"/>
  <c r="C8164" i="1"/>
  <c r="A8164" i="1"/>
  <c r="C8163" i="1"/>
  <c r="A8163" i="1"/>
  <c r="C8162" i="1"/>
  <c r="A8162" i="1"/>
  <c r="C8161" i="1"/>
  <c r="A8161" i="1"/>
  <c r="C8160" i="1"/>
  <c r="A8160" i="1"/>
  <c r="C8159" i="1"/>
  <c r="A8159" i="1"/>
  <c r="C8158" i="1"/>
  <c r="A8158" i="1"/>
  <c r="C8157" i="1"/>
  <c r="A8157" i="1"/>
  <c r="C8156" i="1"/>
  <c r="A8156" i="1"/>
  <c r="C8155" i="1"/>
  <c r="A8155" i="1"/>
  <c r="C8154" i="1"/>
  <c r="A8154" i="1"/>
  <c r="C8153" i="1"/>
  <c r="A8153" i="1"/>
  <c r="C8152" i="1"/>
  <c r="A8152" i="1"/>
  <c r="C8151" i="1"/>
  <c r="A8151" i="1"/>
  <c r="C8150" i="1"/>
  <c r="A8150" i="1"/>
  <c r="C8149" i="1"/>
  <c r="A8149" i="1"/>
  <c r="C8148" i="1"/>
  <c r="A8148" i="1"/>
  <c r="C8147" i="1"/>
  <c r="A8147" i="1"/>
  <c r="C8146" i="1"/>
  <c r="A8146" i="1"/>
  <c r="C8145" i="1"/>
  <c r="A8145" i="1"/>
  <c r="C8144" i="1"/>
  <c r="A8144" i="1"/>
  <c r="C8143" i="1"/>
  <c r="A8143" i="1"/>
  <c r="C8142" i="1"/>
  <c r="A8142" i="1"/>
  <c r="C8141" i="1"/>
  <c r="A8141" i="1"/>
  <c r="C8140" i="1"/>
  <c r="A8140" i="1"/>
  <c r="C8139" i="1"/>
  <c r="A8139" i="1"/>
  <c r="C8138" i="1"/>
  <c r="A8138" i="1"/>
  <c r="C8137" i="1"/>
  <c r="A8137" i="1"/>
  <c r="C8136" i="1"/>
  <c r="A8136" i="1"/>
  <c r="C8135" i="1"/>
  <c r="A8135" i="1"/>
  <c r="C8134" i="1"/>
  <c r="A8134" i="1"/>
  <c r="C8133" i="1"/>
  <c r="A8133" i="1"/>
  <c r="C8132" i="1"/>
  <c r="A8132" i="1"/>
  <c r="C8131" i="1"/>
  <c r="A8131" i="1"/>
  <c r="C8130" i="1"/>
  <c r="A8130" i="1"/>
  <c r="C8129" i="1"/>
  <c r="A8129" i="1"/>
  <c r="C8128" i="1"/>
  <c r="A8128" i="1"/>
  <c r="C8127" i="1"/>
  <c r="A8127" i="1"/>
  <c r="C8126" i="1"/>
  <c r="A8126" i="1"/>
  <c r="C8125" i="1"/>
  <c r="A8125" i="1"/>
  <c r="C8124" i="1"/>
  <c r="A8124" i="1"/>
  <c r="C8123" i="1"/>
  <c r="A8123" i="1"/>
  <c r="C8122" i="1"/>
  <c r="A8122" i="1"/>
  <c r="C8121" i="1"/>
  <c r="A8121" i="1"/>
  <c r="C8120" i="1"/>
  <c r="A8120" i="1"/>
  <c r="C8119" i="1"/>
  <c r="A8119" i="1"/>
  <c r="C8118" i="1"/>
  <c r="A8118" i="1"/>
  <c r="C8117" i="1"/>
  <c r="A8117" i="1"/>
  <c r="C8116" i="1"/>
  <c r="A8116" i="1"/>
  <c r="C8115" i="1"/>
  <c r="A8115" i="1"/>
  <c r="C8114" i="1"/>
  <c r="A8114" i="1"/>
  <c r="C8113" i="1"/>
  <c r="A8113" i="1"/>
  <c r="C8112" i="1"/>
  <c r="A8112" i="1"/>
  <c r="C8111" i="1"/>
  <c r="A8111" i="1"/>
  <c r="C8110" i="1"/>
  <c r="A8110" i="1"/>
  <c r="C8109" i="1"/>
  <c r="A8109" i="1"/>
  <c r="C8108" i="1"/>
  <c r="A8108" i="1"/>
  <c r="C8107" i="1"/>
  <c r="A8107" i="1"/>
  <c r="C8106" i="1"/>
  <c r="A8106" i="1"/>
  <c r="C8105" i="1"/>
  <c r="A8105" i="1"/>
  <c r="C8104" i="1"/>
  <c r="A8104" i="1"/>
  <c r="C8103" i="1"/>
  <c r="A8103" i="1"/>
  <c r="C8102" i="1"/>
  <c r="A8102" i="1"/>
  <c r="C8101" i="1"/>
  <c r="A8101" i="1"/>
  <c r="C8100" i="1"/>
  <c r="A8100" i="1"/>
  <c r="C8099" i="1"/>
  <c r="A8099" i="1"/>
  <c r="C8098" i="1"/>
  <c r="A8098" i="1"/>
  <c r="C8097" i="1"/>
  <c r="A8097" i="1"/>
  <c r="C8096" i="1"/>
  <c r="A8096" i="1"/>
  <c r="C8095" i="1"/>
  <c r="A8095" i="1"/>
  <c r="C8094" i="1"/>
  <c r="A8094" i="1"/>
  <c r="C8093" i="1"/>
  <c r="A8093" i="1"/>
  <c r="C8092" i="1"/>
  <c r="A8092" i="1"/>
  <c r="C8091" i="1"/>
  <c r="A8091" i="1"/>
  <c r="C8090" i="1"/>
  <c r="A8090" i="1"/>
  <c r="C8089" i="1"/>
  <c r="A8089" i="1"/>
  <c r="C8088" i="1"/>
  <c r="A8088" i="1"/>
  <c r="C8087" i="1"/>
  <c r="A8087" i="1"/>
  <c r="C8086" i="1"/>
  <c r="A8086" i="1"/>
  <c r="C8085" i="1"/>
  <c r="A8085" i="1"/>
  <c r="C8084" i="1"/>
  <c r="A8084" i="1"/>
  <c r="C8083" i="1"/>
  <c r="A8083" i="1"/>
  <c r="C8082" i="1"/>
  <c r="A8082" i="1"/>
  <c r="C8081" i="1"/>
  <c r="A8081" i="1"/>
  <c r="C8080" i="1"/>
  <c r="A8080" i="1"/>
  <c r="C8079" i="1"/>
  <c r="A8079" i="1"/>
  <c r="C8078" i="1"/>
  <c r="A8078" i="1"/>
  <c r="C8077" i="1"/>
  <c r="A8077" i="1"/>
  <c r="C8076" i="1"/>
  <c r="A8076" i="1"/>
  <c r="C8075" i="1"/>
  <c r="A8075" i="1"/>
  <c r="C8074" i="1"/>
  <c r="A8074" i="1"/>
  <c r="C8073" i="1"/>
  <c r="A8073" i="1"/>
  <c r="C8072" i="1"/>
  <c r="A8072" i="1"/>
  <c r="C8071" i="1"/>
  <c r="A8071" i="1"/>
  <c r="C8070" i="1"/>
  <c r="A8070" i="1"/>
  <c r="C8069" i="1"/>
  <c r="A8069" i="1"/>
  <c r="C8068" i="1"/>
  <c r="A8068" i="1"/>
  <c r="C8067" i="1"/>
  <c r="A8067" i="1"/>
  <c r="C8066" i="1"/>
  <c r="A8066" i="1"/>
  <c r="C8065" i="1"/>
  <c r="A8065" i="1"/>
  <c r="C8064" i="1"/>
  <c r="A8064" i="1"/>
  <c r="C8063" i="1"/>
  <c r="A8063" i="1"/>
  <c r="C8062" i="1"/>
  <c r="A8062" i="1"/>
  <c r="C8061" i="1"/>
  <c r="A8061" i="1"/>
  <c r="C8060" i="1"/>
  <c r="A8060" i="1"/>
  <c r="C8059" i="1"/>
  <c r="A8059" i="1"/>
  <c r="C8058" i="1"/>
  <c r="A8058" i="1"/>
  <c r="C8057" i="1"/>
  <c r="A8057" i="1"/>
  <c r="C8056" i="1"/>
  <c r="A8056" i="1"/>
  <c r="C8055" i="1"/>
  <c r="A8055" i="1"/>
  <c r="C8054" i="1"/>
  <c r="A8054" i="1"/>
  <c r="C8053" i="1"/>
  <c r="A8053" i="1"/>
  <c r="C8052" i="1"/>
  <c r="A8052" i="1"/>
  <c r="C8051" i="1"/>
  <c r="A8051" i="1"/>
  <c r="C8050" i="1"/>
  <c r="A8050" i="1"/>
  <c r="C8049" i="1"/>
  <c r="A8049" i="1"/>
  <c r="C8048" i="1"/>
  <c r="A8048" i="1"/>
  <c r="C8047" i="1"/>
  <c r="A8047" i="1"/>
  <c r="C8046" i="1"/>
  <c r="A8046" i="1"/>
  <c r="C8045" i="1"/>
  <c r="A8045" i="1"/>
  <c r="C8044" i="1"/>
  <c r="A8044" i="1"/>
  <c r="C8043" i="1"/>
  <c r="A8043" i="1"/>
  <c r="C8042" i="1"/>
  <c r="A8042" i="1"/>
  <c r="C8041" i="1"/>
  <c r="A8041" i="1"/>
  <c r="C8040" i="1"/>
  <c r="A8040" i="1"/>
  <c r="C8039" i="1"/>
  <c r="A8039" i="1"/>
  <c r="C8038" i="1"/>
  <c r="A8038" i="1"/>
  <c r="C8037" i="1"/>
  <c r="A8037" i="1"/>
  <c r="C8036" i="1"/>
  <c r="A8036" i="1"/>
  <c r="C8035" i="1"/>
  <c r="A8035" i="1"/>
  <c r="C8034" i="1"/>
  <c r="A8034" i="1"/>
  <c r="C8033" i="1"/>
  <c r="A8033" i="1"/>
  <c r="C8032" i="1"/>
  <c r="A8032" i="1"/>
  <c r="C8031" i="1"/>
  <c r="A8031" i="1"/>
  <c r="C8030" i="1"/>
  <c r="A8030" i="1"/>
  <c r="C8029" i="1"/>
  <c r="A8029" i="1"/>
  <c r="C8028" i="1"/>
  <c r="A8028" i="1"/>
  <c r="C8027" i="1"/>
  <c r="A8027" i="1"/>
  <c r="C8026" i="1"/>
  <c r="A8026" i="1"/>
  <c r="C8025" i="1"/>
  <c r="A8025" i="1"/>
  <c r="C8024" i="1"/>
  <c r="A8024" i="1"/>
  <c r="C8023" i="1"/>
  <c r="A8023" i="1"/>
  <c r="C8022" i="1"/>
  <c r="A8022" i="1"/>
  <c r="C8021" i="1"/>
  <c r="A8021" i="1"/>
  <c r="C8020" i="1"/>
  <c r="A8020" i="1"/>
  <c r="C8019" i="1"/>
  <c r="A8019" i="1"/>
  <c r="C8018" i="1"/>
  <c r="A8018" i="1"/>
  <c r="C8017" i="1"/>
  <c r="A8017" i="1"/>
  <c r="C8016" i="1"/>
  <c r="A8016" i="1"/>
  <c r="C8015" i="1"/>
  <c r="A8015" i="1"/>
  <c r="C8014" i="1"/>
  <c r="A8014" i="1"/>
  <c r="C8013" i="1"/>
  <c r="A8013" i="1"/>
  <c r="C8012" i="1"/>
  <c r="A8012" i="1"/>
  <c r="C8011" i="1"/>
  <c r="A8011" i="1"/>
  <c r="C8010" i="1"/>
  <c r="A8010" i="1"/>
  <c r="C8009" i="1"/>
  <c r="A8009" i="1"/>
  <c r="C8008" i="1"/>
  <c r="A8008" i="1"/>
  <c r="C8007" i="1"/>
  <c r="A8007" i="1"/>
  <c r="C8006" i="1"/>
  <c r="A8006" i="1"/>
  <c r="C8005" i="1"/>
  <c r="A8005" i="1"/>
  <c r="C8004" i="1"/>
  <c r="A8004" i="1"/>
  <c r="C8003" i="1"/>
  <c r="A8003" i="1"/>
  <c r="C8002" i="1"/>
  <c r="A8002" i="1"/>
  <c r="C8001" i="1"/>
  <c r="A8001" i="1"/>
  <c r="C8000" i="1"/>
  <c r="A8000" i="1"/>
  <c r="C7999" i="1"/>
  <c r="A7999" i="1"/>
  <c r="C7998" i="1"/>
  <c r="A7998" i="1"/>
  <c r="C7997" i="1"/>
  <c r="A7997" i="1"/>
  <c r="C7996" i="1"/>
  <c r="A7996" i="1"/>
  <c r="C7995" i="1"/>
  <c r="A7995" i="1"/>
  <c r="C7994" i="1"/>
  <c r="A7994" i="1"/>
  <c r="C7993" i="1"/>
  <c r="A7993" i="1"/>
  <c r="C7992" i="1"/>
  <c r="A7992" i="1"/>
  <c r="C7991" i="1"/>
  <c r="A7991" i="1"/>
  <c r="C7990" i="1"/>
  <c r="A7990" i="1"/>
  <c r="C7989" i="1"/>
  <c r="A7989" i="1"/>
  <c r="C7988" i="1"/>
  <c r="A7988" i="1"/>
  <c r="C7987" i="1"/>
  <c r="A7987" i="1"/>
  <c r="C7986" i="1"/>
  <c r="A7986" i="1"/>
  <c r="C7985" i="1"/>
  <c r="A7985" i="1"/>
  <c r="C7984" i="1"/>
  <c r="A7984" i="1"/>
  <c r="C7983" i="1"/>
  <c r="A7983" i="1"/>
  <c r="C7982" i="1"/>
  <c r="A7982" i="1"/>
  <c r="C7981" i="1"/>
  <c r="A7981" i="1"/>
  <c r="C7980" i="1"/>
  <c r="A7980" i="1"/>
  <c r="C7979" i="1"/>
  <c r="A7979" i="1"/>
  <c r="C7978" i="1"/>
  <c r="A7978" i="1"/>
  <c r="C7977" i="1"/>
  <c r="A7977" i="1"/>
  <c r="C7976" i="1"/>
  <c r="A7976" i="1"/>
  <c r="C7975" i="1"/>
  <c r="A7975" i="1"/>
  <c r="C7974" i="1"/>
  <c r="A7974" i="1"/>
  <c r="C7973" i="1"/>
  <c r="A7973" i="1"/>
  <c r="C7972" i="1"/>
  <c r="A7972" i="1"/>
  <c r="C7971" i="1"/>
  <c r="A7971" i="1"/>
  <c r="C7970" i="1"/>
  <c r="A7970" i="1"/>
  <c r="C7969" i="1"/>
  <c r="A7969" i="1"/>
  <c r="C7968" i="1"/>
  <c r="A7968" i="1"/>
  <c r="C7967" i="1"/>
  <c r="A7967" i="1"/>
  <c r="C7966" i="1"/>
  <c r="A7966" i="1"/>
  <c r="C7965" i="1"/>
  <c r="A7965" i="1"/>
  <c r="C7964" i="1"/>
  <c r="A7964" i="1"/>
  <c r="C7963" i="1"/>
  <c r="A7963" i="1"/>
  <c r="C7962" i="1"/>
  <c r="A7962" i="1"/>
  <c r="C7961" i="1"/>
  <c r="A7961" i="1"/>
  <c r="C7960" i="1"/>
  <c r="A7960" i="1"/>
  <c r="C7959" i="1"/>
  <c r="A7959" i="1"/>
  <c r="C7958" i="1"/>
  <c r="A7958" i="1"/>
  <c r="C7957" i="1"/>
  <c r="A7957" i="1"/>
  <c r="C7956" i="1"/>
  <c r="A7956" i="1"/>
  <c r="C7955" i="1"/>
  <c r="A7955" i="1"/>
  <c r="C7954" i="1"/>
  <c r="A7954" i="1"/>
  <c r="C7953" i="1"/>
  <c r="A7953" i="1"/>
  <c r="C7952" i="1"/>
  <c r="A7952" i="1"/>
  <c r="C7951" i="1"/>
  <c r="A7951" i="1"/>
  <c r="C7950" i="1"/>
  <c r="A7950" i="1"/>
  <c r="C7949" i="1"/>
  <c r="A7949" i="1"/>
  <c r="C7948" i="1"/>
  <c r="A7948" i="1"/>
  <c r="C7947" i="1"/>
  <c r="A7947" i="1"/>
  <c r="C7946" i="1"/>
  <c r="A7946" i="1"/>
  <c r="C7945" i="1"/>
  <c r="A7945" i="1"/>
  <c r="C7944" i="1"/>
  <c r="A7944" i="1"/>
  <c r="C7943" i="1"/>
  <c r="A7943" i="1"/>
  <c r="C7942" i="1"/>
  <c r="A7942" i="1"/>
  <c r="C7941" i="1"/>
  <c r="A7941" i="1"/>
  <c r="C7940" i="1"/>
  <c r="A7940" i="1"/>
  <c r="C7939" i="1"/>
  <c r="A7939" i="1"/>
  <c r="C7938" i="1"/>
  <c r="A7938" i="1"/>
  <c r="C7937" i="1"/>
  <c r="A7937" i="1"/>
  <c r="C7936" i="1"/>
  <c r="A7936" i="1"/>
  <c r="C7935" i="1"/>
  <c r="A7935" i="1"/>
  <c r="C7934" i="1"/>
  <c r="A7934" i="1"/>
  <c r="C7933" i="1"/>
  <c r="A7933" i="1"/>
  <c r="C7932" i="1"/>
  <c r="A7932" i="1"/>
  <c r="C7931" i="1"/>
  <c r="A7931" i="1"/>
  <c r="C7930" i="1"/>
  <c r="A7930" i="1"/>
  <c r="C7929" i="1"/>
  <c r="A7929" i="1"/>
  <c r="C7928" i="1"/>
  <c r="A7928" i="1"/>
  <c r="C7927" i="1"/>
  <c r="A7927" i="1"/>
  <c r="C7926" i="1"/>
  <c r="A7926" i="1"/>
  <c r="C7925" i="1"/>
  <c r="A7925" i="1"/>
  <c r="C7924" i="1"/>
  <c r="A7924" i="1"/>
  <c r="C7923" i="1"/>
  <c r="A7923" i="1"/>
  <c r="C7922" i="1"/>
  <c r="A7922" i="1"/>
  <c r="C7921" i="1"/>
  <c r="A7921" i="1"/>
  <c r="C7920" i="1"/>
  <c r="A7920" i="1"/>
  <c r="C7919" i="1"/>
  <c r="A7919" i="1"/>
  <c r="C7918" i="1"/>
  <c r="A7918" i="1"/>
  <c r="C7917" i="1"/>
  <c r="A7917" i="1"/>
  <c r="C7916" i="1"/>
  <c r="A7916" i="1"/>
  <c r="C7915" i="1"/>
  <c r="A7915" i="1"/>
  <c r="C7914" i="1"/>
  <c r="A7914" i="1"/>
  <c r="C7913" i="1"/>
  <c r="A7913" i="1"/>
  <c r="C7912" i="1"/>
  <c r="A7912" i="1"/>
  <c r="C7911" i="1"/>
  <c r="A7911" i="1"/>
  <c r="C7910" i="1"/>
  <c r="A7910" i="1"/>
  <c r="C7909" i="1"/>
  <c r="A7909" i="1"/>
  <c r="C7908" i="1"/>
  <c r="A7908" i="1"/>
  <c r="C7907" i="1"/>
  <c r="A7907" i="1"/>
  <c r="C7906" i="1"/>
  <c r="A7906" i="1"/>
  <c r="C7905" i="1"/>
  <c r="A7905" i="1"/>
  <c r="C7904" i="1"/>
  <c r="A7904" i="1"/>
  <c r="C7903" i="1"/>
  <c r="A7903" i="1"/>
  <c r="C7902" i="1"/>
  <c r="A7902" i="1"/>
  <c r="C7901" i="1"/>
  <c r="A7901" i="1"/>
  <c r="C7900" i="1"/>
  <c r="A7900" i="1"/>
  <c r="C7899" i="1"/>
  <c r="A7899" i="1"/>
  <c r="C7898" i="1"/>
  <c r="A7898" i="1"/>
  <c r="C7897" i="1"/>
  <c r="A7897" i="1"/>
  <c r="C7896" i="1"/>
  <c r="A7896" i="1"/>
  <c r="C7895" i="1"/>
  <c r="A7895" i="1"/>
  <c r="C7894" i="1"/>
  <c r="A7894" i="1"/>
  <c r="C7893" i="1"/>
  <c r="A7893" i="1"/>
  <c r="C7892" i="1"/>
  <c r="A7892" i="1"/>
  <c r="C7891" i="1"/>
  <c r="A7891" i="1"/>
  <c r="C7890" i="1"/>
  <c r="A7890" i="1"/>
  <c r="C7889" i="1"/>
  <c r="A7889" i="1"/>
  <c r="C7888" i="1"/>
  <c r="A7888" i="1"/>
  <c r="C7887" i="1"/>
  <c r="A7887" i="1"/>
  <c r="C7886" i="1"/>
  <c r="A7886" i="1"/>
  <c r="C7885" i="1"/>
  <c r="A7885" i="1"/>
  <c r="C7884" i="1"/>
  <c r="A7884" i="1"/>
  <c r="C7883" i="1"/>
  <c r="A7883" i="1"/>
  <c r="C7882" i="1"/>
  <c r="A7882" i="1"/>
  <c r="C7881" i="1"/>
  <c r="A7881" i="1"/>
  <c r="C7880" i="1"/>
  <c r="A7880" i="1"/>
  <c r="C7879" i="1"/>
  <c r="A7879" i="1"/>
  <c r="C7878" i="1"/>
  <c r="A7878" i="1"/>
  <c r="C7877" i="1"/>
  <c r="A7877" i="1"/>
  <c r="C7876" i="1"/>
  <c r="A7876" i="1"/>
  <c r="C7875" i="1"/>
  <c r="A7875" i="1"/>
  <c r="C7874" i="1"/>
  <c r="A7874" i="1"/>
  <c r="C7873" i="1"/>
  <c r="A7873" i="1"/>
  <c r="C7872" i="1"/>
  <c r="A7872" i="1"/>
  <c r="C7871" i="1"/>
  <c r="A7871" i="1"/>
  <c r="C7870" i="1"/>
  <c r="A7870" i="1"/>
  <c r="C7869" i="1"/>
  <c r="A7869" i="1"/>
  <c r="C7868" i="1"/>
  <c r="A7868" i="1"/>
  <c r="C7867" i="1"/>
  <c r="A7867" i="1"/>
  <c r="C7866" i="1"/>
  <c r="A7866" i="1"/>
  <c r="C7865" i="1"/>
  <c r="A7865" i="1"/>
  <c r="C7864" i="1"/>
  <c r="A7864" i="1"/>
  <c r="C7863" i="1"/>
  <c r="A7863" i="1"/>
  <c r="C7862" i="1"/>
  <c r="A7862" i="1"/>
  <c r="C7861" i="1"/>
  <c r="A7861" i="1"/>
  <c r="C7860" i="1"/>
  <c r="A7860" i="1"/>
  <c r="C7859" i="1"/>
  <c r="A7859" i="1"/>
  <c r="C7858" i="1"/>
  <c r="A7858" i="1"/>
  <c r="C7857" i="1"/>
  <c r="A7857" i="1"/>
  <c r="C7856" i="1"/>
  <c r="A7856" i="1"/>
  <c r="C7855" i="1"/>
  <c r="A7855" i="1"/>
  <c r="C7854" i="1"/>
  <c r="A7854" i="1"/>
  <c r="C7853" i="1"/>
  <c r="A7853" i="1"/>
  <c r="C7852" i="1"/>
  <c r="A7852" i="1"/>
  <c r="C7851" i="1"/>
  <c r="A7851" i="1"/>
  <c r="C7850" i="1"/>
  <c r="A7850" i="1"/>
  <c r="C7849" i="1"/>
  <c r="A7849" i="1"/>
  <c r="C7848" i="1"/>
  <c r="A7848" i="1"/>
  <c r="C7847" i="1"/>
  <c r="A7847" i="1"/>
  <c r="C7846" i="1"/>
  <c r="A7846" i="1"/>
  <c r="C7845" i="1"/>
  <c r="A7845" i="1"/>
  <c r="C7844" i="1"/>
  <c r="A7844" i="1"/>
  <c r="C7843" i="1"/>
  <c r="A7843" i="1"/>
  <c r="C7842" i="1"/>
  <c r="A7842" i="1"/>
  <c r="C7841" i="1"/>
  <c r="A7841" i="1"/>
  <c r="C7840" i="1"/>
  <c r="A7840" i="1"/>
  <c r="C7839" i="1"/>
  <c r="A7839" i="1"/>
  <c r="C7838" i="1"/>
  <c r="A7838" i="1"/>
  <c r="C7837" i="1"/>
  <c r="A7837" i="1"/>
  <c r="C7836" i="1"/>
  <c r="A7836" i="1"/>
  <c r="C7835" i="1"/>
  <c r="A7835" i="1"/>
  <c r="C7834" i="1"/>
  <c r="A7834" i="1"/>
  <c r="C7833" i="1"/>
  <c r="A7833" i="1"/>
  <c r="C7832" i="1"/>
  <c r="A7832" i="1"/>
  <c r="C7831" i="1"/>
  <c r="A7831" i="1"/>
  <c r="C7830" i="1"/>
  <c r="A7830" i="1"/>
  <c r="C7829" i="1"/>
  <c r="A7829" i="1"/>
  <c r="C7828" i="1"/>
  <c r="A7828" i="1"/>
  <c r="C7827" i="1"/>
  <c r="A7827" i="1"/>
  <c r="C7826" i="1"/>
  <c r="A7826" i="1"/>
  <c r="C7825" i="1"/>
  <c r="A7825" i="1"/>
  <c r="C7824" i="1"/>
  <c r="A7824" i="1"/>
  <c r="C7823" i="1"/>
  <c r="A7823" i="1"/>
  <c r="C7822" i="1"/>
  <c r="A7822" i="1"/>
  <c r="C7821" i="1"/>
  <c r="A7821" i="1"/>
  <c r="C7820" i="1"/>
  <c r="A7820" i="1"/>
  <c r="C7819" i="1"/>
  <c r="A7819" i="1"/>
  <c r="C7818" i="1"/>
  <c r="A7818" i="1"/>
  <c r="C7817" i="1"/>
  <c r="A7817" i="1"/>
  <c r="C7816" i="1"/>
  <c r="A7816" i="1"/>
  <c r="C7815" i="1"/>
  <c r="A7815" i="1"/>
  <c r="C7814" i="1"/>
  <c r="A7814" i="1"/>
  <c r="C7813" i="1"/>
  <c r="A7813" i="1"/>
  <c r="C7812" i="1"/>
  <c r="A7812" i="1"/>
  <c r="C7811" i="1"/>
  <c r="A7811" i="1"/>
  <c r="C7810" i="1"/>
  <c r="A7810" i="1"/>
  <c r="C7809" i="1"/>
  <c r="A7809" i="1"/>
  <c r="C7808" i="1"/>
  <c r="A7808" i="1"/>
  <c r="C7807" i="1"/>
  <c r="A7807" i="1"/>
  <c r="C7806" i="1"/>
  <c r="A7806" i="1"/>
  <c r="C7805" i="1"/>
  <c r="A7805" i="1"/>
  <c r="C7804" i="1"/>
  <c r="A7804" i="1"/>
  <c r="C7803" i="1"/>
  <c r="A7803" i="1"/>
  <c r="C7802" i="1"/>
  <c r="A7802" i="1"/>
  <c r="C7801" i="1"/>
  <c r="A7801" i="1"/>
  <c r="C7800" i="1"/>
  <c r="A7800" i="1"/>
  <c r="C7799" i="1"/>
  <c r="A7799" i="1"/>
  <c r="C7798" i="1"/>
  <c r="A7798" i="1"/>
  <c r="C7797" i="1"/>
  <c r="A7797" i="1"/>
  <c r="C7796" i="1"/>
  <c r="A7796" i="1"/>
  <c r="C7795" i="1"/>
  <c r="A7795" i="1"/>
  <c r="C7794" i="1"/>
  <c r="A7794" i="1"/>
  <c r="C7793" i="1"/>
  <c r="A7793" i="1"/>
  <c r="C7792" i="1"/>
  <c r="A7792" i="1"/>
  <c r="C7791" i="1"/>
  <c r="A7791" i="1"/>
  <c r="C7790" i="1"/>
  <c r="A7790" i="1"/>
  <c r="C7789" i="1"/>
  <c r="A7789" i="1"/>
  <c r="C7788" i="1"/>
  <c r="A7788" i="1"/>
  <c r="C7787" i="1"/>
  <c r="A7787" i="1"/>
  <c r="C7786" i="1"/>
  <c r="A7786" i="1"/>
  <c r="C7785" i="1"/>
  <c r="A7785" i="1"/>
  <c r="C7784" i="1"/>
  <c r="A7784" i="1"/>
  <c r="C7783" i="1"/>
  <c r="A7783" i="1"/>
  <c r="C7782" i="1"/>
  <c r="A7782" i="1"/>
  <c r="C7781" i="1"/>
  <c r="A7781" i="1"/>
  <c r="C7780" i="1"/>
  <c r="A7780" i="1"/>
  <c r="C7779" i="1"/>
  <c r="A7779" i="1"/>
  <c r="C7778" i="1"/>
  <c r="A7778" i="1"/>
  <c r="C7777" i="1"/>
  <c r="A7777" i="1"/>
  <c r="C7776" i="1"/>
  <c r="A7776" i="1"/>
  <c r="C7775" i="1"/>
  <c r="A7775" i="1"/>
  <c r="C7774" i="1"/>
  <c r="A7774" i="1"/>
  <c r="C7773" i="1"/>
  <c r="A7773" i="1"/>
  <c r="C7772" i="1"/>
  <c r="A7772" i="1"/>
  <c r="C7771" i="1"/>
  <c r="A7771" i="1"/>
  <c r="C7770" i="1"/>
  <c r="A7770" i="1"/>
  <c r="C7769" i="1"/>
  <c r="A7769" i="1"/>
  <c r="C7768" i="1"/>
  <c r="A7768" i="1"/>
  <c r="C7767" i="1"/>
  <c r="A7767" i="1"/>
  <c r="C7766" i="1"/>
  <c r="A7766" i="1"/>
  <c r="C7765" i="1"/>
  <c r="A7765" i="1"/>
  <c r="C7764" i="1"/>
  <c r="A7764" i="1"/>
  <c r="C7763" i="1"/>
  <c r="A7763" i="1"/>
  <c r="C7762" i="1"/>
  <c r="A7762" i="1"/>
  <c r="C7761" i="1"/>
  <c r="A7761" i="1"/>
  <c r="C7760" i="1"/>
  <c r="A7760" i="1"/>
  <c r="C7759" i="1"/>
  <c r="A7759" i="1"/>
  <c r="C7758" i="1"/>
  <c r="A7758" i="1"/>
  <c r="C7757" i="1"/>
  <c r="A7757" i="1"/>
  <c r="C7756" i="1"/>
  <c r="A7756" i="1"/>
  <c r="C7755" i="1"/>
  <c r="A7755" i="1"/>
  <c r="C7754" i="1"/>
  <c r="A7754" i="1"/>
  <c r="C7753" i="1"/>
  <c r="A7753" i="1"/>
  <c r="C7752" i="1"/>
  <c r="A7752" i="1"/>
  <c r="C7751" i="1"/>
  <c r="A7751" i="1"/>
  <c r="C7750" i="1"/>
  <c r="A7750" i="1"/>
  <c r="C7749" i="1"/>
  <c r="A7749" i="1"/>
  <c r="C7748" i="1"/>
  <c r="A7748" i="1"/>
  <c r="C7747" i="1"/>
  <c r="A7747" i="1"/>
  <c r="C7746" i="1"/>
  <c r="A7746" i="1"/>
  <c r="C7745" i="1"/>
  <c r="A7745" i="1"/>
  <c r="C7744" i="1"/>
  <c r="A7744" i="1"/>
  <c r="C7743" i="1"/>
  <c r="A7743" i="1"/>
  <c r="C7742" i="1"/>
  <c r="A7742" i="1"/>
  <c r="C7741" i="1"/>
  <c r="A7741" i="1"/>
  <c r="C7740" i="1"/>
  <c r="A7740" i="1"/>
  <c r="C7739" i="1"/>
  <c r="A7739" i="1"/>
  <c r="C7738" i="1"/>
  <c r="A7738" i="1"/>
  <c r="C7737" i="1"/>
  <c r="A7737" i="1"/>
  <c r="C7736" i="1"/>
  <c r="A7736" i="1"/>
  <c r="C7735" i="1"/>
  <c r="A7735" i="1"/>
  <c r="C7734" i="1"/>
  <c r="A7734" i="1"/>
  <c r="C7733" i="1"/>
  <c r="A7733" i="1"/>
  <c r="C7732" i="1"/>
  <c r="A7732" i="1"/>
  <c r="C7731" i="1"/>
  <c r="A7731" i="1"/>
  <c r="C7730" i="1"/>
  <c r="A7730" i="1"/>
  <c r="C7729" i="1"/>
  <c r="A7729" i="1"/>
  <c r="C7728" i="1"/>
  <c r="A7728" i="1"/>
  <c r="C7727" i="1"/>
  <c r="A7727" i="1"/>
  <c r="C7726" i="1"/>
  <c r="A7726" i="1"/>
  <c r="C7725" i="1"/>
  <c r="A7725" i="1"/>
  <c r="C7724" i="1"/>
  <c r="A7724" i="1"/>
  <c r="C7723" i="1"/>
  <c r="A7723" i="1"/>
  <c r="C7722" i="1"/>
  <c r="A7722" i="1"/>
  <c r="C7721" i="1"/>
  <c r="A7721" i="1"/>
  <c r="C7720" i="1"/>
  <c r="A7720" i="1"/>
  <c r="C7719" i="1"/>
  <c r="A7719" i="1"/>
  <c r="C7718" i="1"/>
  <c r="A7718" i="1"/>
  <c r="C7717" i="1"/>
  <c r="A7717" i="1"/>
  <c r="C7716" i="1"/>
  <c r="A7716" i="1"/>
  <c r="C7715" i="1"/>
  <c r="A7715" i="1"/>
  <c r="C7714" i="1"/>
  <c r="A7714" i="1"/>
  <c r="C7713" i="1"/>
  <c r="A7713" i="1"/>
  <c r="C7712" i="1"/>
  <c r="A7712" i="1"/>
  <c r="C7711" i="1"/>
  <c r="A7711" i="1"/>
  <c r="C7710" i="1"/>
  <c r="A7710" i="1"/>
  <c r="C7709" i="1"/>
  <c r="A7709" i="1"/>
  <c r="C7708" i="1"/>
  <c r="A7708" i="1"/>
  <c r="C7707" i="1"/>
  <c r="A7707" i="1"/>
  <c r="C7706" i="1"/>
  <c r="A7706" i="1"/>
  <c r="C7705" i="1"/>
  <c r="A7705" i="1"/>
  <c r="C7704" i="1"/>
  <c r="A7704" i="1"/>
  <c r="C7703" i="1"/>
  <c r="A7703" i="1"/>
  <c r="C7702" i="1"/>
  <c r="A7702" i="1"/>
  <c r="C7701" i="1"/>
  <c r="A7701" i="1"/>
  <c r="C7700" i="1"/>
  <c r="A7700" i="1"/>
  <c r="C7699" i="1"/>
  <c r="A7699" i="1"/>
  <c r="C7698" i="1"/>
  <c r="A7698" i="1"/>
  <c r="C7697" i="1"/>
  <c r="A7697" i="1"/>
  <c r="C7696" i="1"/>
  <c r="A7696" i="1"/>
  <c r="C7695" i="1"/>
  <c r="A7695" i="1"/>
  <c r="C7694" i="1"/>
  <c r="A7694" i="1"/>
  <c r="C7693" i="1"/>
  <c r="A7693" i="1"/>
  <c r="C7692" i="1"/>
  <c r="A7692" i="1"/>
  <c r="C7691" i="1"/>
  <c r="A7691" i="1"/>
  <c r="C7690" i="1"/>
  <c r="A7690" i="1"/>
  <c r="C7689" i="1"/>
  <c r="A7689" i="1"/>
  <c r="C7688" i="1"/>
  <c r="A7688" i="1"/>
  <c r="C7687" i="1"/>
  <c r="A7687" i="1"/>
  <c r="C7686" i="1"/>
  <c r="A7686" i="1"/>
  <c r="C7685" i="1"/>
  <c r="A7685" i="1"/>
  <c r="C7684" i="1"/>
  <c r="A7684" i="1"/>
  <c r="C7683" i="1"/>
  <c r="A7683" i="1"/>
  <c r="C7682" i="1"/>
  <c r="A7682" i="1"/>
  <c r="C7681" i="1"/>
  <c r="A7681" i="1"/>
  <c r="C7680" i="1"/>
  <c r="A7680" i="1"/>
  <c r="C7679" i="1"/>
  <c r="A7679" i="1"/>
  <c r="C7678" i="1"/>
  <c r="A7678" i="1"/>
  <c r="C7677" i="1"/>
  <c r="A7677" i="1"/>
  <c r="C7676" i="1"/>
  <c r="A7676" i="1"/>
  <c r="C7675" i="1"/>
  <c r="A7675" i="1"/>
  <c r="C7674" i="1"/>
  <c r="A7674" i="1"/>
  <c r="C7673" i="1"/>
  <c r="A7673" i="1"/>
  <c r="C7672" i="1"/>
  <c r="A7672" i="1"/>
  <c r="C7671" i="1"/>
  <c r="A7671" i="1"/>
  <c r="C7670" i="1"/>
  <c r="A7670" i="1"/>
  <c r="C7669" i="1"/>
  <c r="A7669" i="1"/>
  <c r="C7668" i="1"/>
  <c r="A7668" i="1"/>
  <c r="C7667" i="1"/>
  <c r="A7667" i="1"/>
  <c r="C7666" i="1"/>
  <c r="A7666" i="1"/>
  <c r="C7665" i="1"/>
  <c r="A7665" i="1"/>
  <c r="C7664" i="1"/>
  <c r="A7664" i="1"/>
  <c r="C7663" i="1"/>
  <c r="A7663" i="1"/>
  <c r="C7662" i="1"/>
  <c r="A7662" i="1"/>
  <c r="C7661" i="1"/>
  <c r="A7661" i="1"/>
  <c r="C7660" i="1"/>
  <c r="A7660" i="1"/>
  <c r="C7659" i="1"/>
  <c r="A7659" i="1"/>
  <c r="C7658" i="1"/>
  <c r="A7658" i="1"/>
  <c r="C7657" i="1"/>
  <c r="A7657" i="1"/>
  <c r="C7656" i="1"/>
  <c r="A7656" i="1"/>
  <c r="C7655" i="1"/>
  <c r="A7655" i="1"/>
  <c r="C7654" i="1"/>
  <c r="A7654" i="1"/>
  <c r="C7653" i="1"/>
  <c r="A7653" i="1"/>
  <c r="C7652" i="1"/>
  <c r="A7652" i="1"/>
  <c r="C7651" i="1"/>
  <c r="A7651" i="1"/>
  <c r="C7650" i="1"/>
  <c r="A7650" i="1"/>
  <c r="C7649" i="1"/>
  <c r="A7649" i="1"/>
  <c r="C7648" i="1"/>
  <c r="A7648" i="1"/>
  <c r="C7647" i="1"/>
  <c r="A7647" i="1"/>
  <c r="C7646" i="1"/>
  <c r="A7646" i="1"/>
  <c r="C7645" i="1"/>
  <c r="A7645" i="1"/>
  <c r="C7644" i="1"/>
  <c r="A7644" i="1"/>
  <c r="C7643" i="1"/>
  <c r="A7643" i="1"/>
  <c r="C7642" i="1"/>
  <c r="A7642" i="1"/>
  <c r="C7641" i="1"/>
  <c r="A7641" i="1"/>
  <c r="C7640" i="1"/>
  <c r="A7640" i="1"/>
  <c r="C7639" i="1"/>
  <c r="A7639" i="1"/>
  <c r="C7638" i="1"/>
  <c r="A7638" i="1"/>
  <c r="C7637" i="1"/>
  <c r="A7637" i="1"/>
  <c r="C7636" i="1"/>
  <c r="A7636" i="1"/>
  <c r="C7635" i="1"/>
  <c r="A7635" i="1"/>
  <c r="C7634" i="1"/>
  <c r="A7634" i="1"/>
  <c r="C7633" i="1"/>
  <c r="A7633" i="1"/>
  <c r="C7632" i="1"/>
  <c r="A7632" i="1"/>
  <c r="C7631" i="1"/>
  <c r="A7631" i="1"/>
  <c r="C7630" i="1"/>
  <c r="A7630" i="1"/>
  <c r="C7629" i="1"/>
  <c r="A7629" i="1"/>
  <c r="C7628" i="1"/>
  <c r="A7628" i="1"/>
  <c r="C7627" i="1"/>
  <c r="A7627" i="1"/>
  <c r="C7626" i="1"/>
  <c r="A7626" i="1"/>
  <c r="C7625" i="1"/>
  <c r="A7625" i="1"/>
  <c r="C7624" i="1"/>
  <c r="A7624" i="1"/>
  <c r="C7623" i="1"/>
  <c r="A7623" i="1"/>
  <c r="C7622" i="1"/>
  <c r="A7622" i="1"/>
  <c r="C7621" i="1"/>
  <c r="A7621" i="1"/>
  <c r="C7620" i="1"/>
  <c r="A7620" i="1"/>
  <c r="C7619" i="1"/>
  <c r="A7619" i="1"/>
  <c r="C7618" i="1"/>
  <c r="A7618" i="1"/>
  <c r="C7617" i="1"/>
  <c r="A7617" i="1"/>
  <c r="C7616" i="1"/>
  <c r="A7616" i="1"/>
  <c r="C7615" i="1"/>
  <c r="A7615" i="1"/>
  <c r="C7614" i="1"/>
  <c r="A7614" i="1"/>
  <c r="C7613" i="1"/>
  <c r="A7613" i="1"/>
  <c r="C7612" i="1"/>
  <c r="A7612" i="1"/>
  <c r="C7611" i="1"/>
  <c r="A7611" i="1"/>
  <c r="C7610" i="1"/>
  <c r="A7610" i="1"/>
  <c r="C7609" i="1"/>
  <c r="A7609" i="1"/>
  <c r="C7608" i="1"/>
  <c r="A7608" i="1"/>
  <c r="C7607" i="1"/>
  <c r="A7607" i="1"/>
  <c r="C7606" i="1"/>
  <c r="A7606" i="1"/>
  <c r="C7605" i="1"/>
  <c r="A7605" i="1"/>
  <c r="C7604" i="1"/>
  <c r="A7604" i="1"/>
  <c r="C7603" i="1"/>
  <c r="A7603" i="1"/>
  <c r="C7602" i="1"/>
  <c r="A7602" i="1"/>
  <c r="C7601" i="1"/>
  <c r="A7601" i="1"/>
  <c r="C7600" i="1"/>
  <c r="A7600" i="1"/>
  <c r="C7599" i="1"/>
  <c r="A7599" i="1"/>
  <c r="C7598" i="1"/>
  <c r="A7598" i="1"/>
  <c r="C7597" i="1"/>
  <c r="A7597" i="1"/>
  <c r="C7596" i="1"/>
  <c r="A7596" i="1"/>
  <c r="C7595" i="1"/>
  <c r="A7595" i="1"/>
  <c r="C7594" i="1"/>
  <c r="A7594" i="1"/>
  <c r="C7593" i="1"/>
  <c r="A7593" i="1"/>
  <c r="C7592" i="1"/>
  <c r="A7592" i="1"/>
  <c r="C7591" i="1"/>
  <c r="A7591" i="1"/>
  <c r="C7590" i="1"/>
  <c r="A7590" i="1"/>
  <c r="C7589" i="1"/>
  <c r="A7589" i="1"/>
  <c r="C7588" i="1"/>
  <c r="A7588" i="1"/>
  <c r="C7587" i="1"/>
  <c r="A7587" i="1"/>
  <c r="C7586" i="1"/>
  <c r="A7586" i="1"/>
  <c r="C7585" i="1"/>
  <c r="A7585" i="1"/>
  <c r="C7584" i="1"/>
  <c r="A7584" i="1"/>
  <c r="C7583" i="1"/>
  <c r="A7583" i="1"/>
  <c r="C7582" i="1"/>
  <c r="A7582" i="1"/>
  <c r="C7581" i="1"/>
  <c r="A7581" i="1"/>
  <c r="C7580" i="1"/>
  <c r="A7580" i="1"/>
  <c r="C7579" i="1"/>
  <c r="A7579" i="1"/>
  <c r="C7578" i="1"/>
  <c r="A7578" i="1"/>
  <c r="C7577" i="1"/>
  <c r="A7577" i="1"/>
  <c r="C7576" i="1"/>
  <c r="A7576" i="1"/>
  <c r="C7575" i="1"/>
  <c r="A7575" i="1"/>
  <c r="C7574" i="1"/>
  <c r="A7574" i="1"/>
  <c r="C7573" i="1"/>
  <c r="A7573" i="1"/>
  <c r="C7572" i="1"/>
  <c r="A7572" i="1"/>
  <c r="C7571" i="1"/>
  <c r="A7571" i="1"/>
  <c r="C7570" i="1"/>
  <c r="A7570" i="1"/>
  <c r="C7569" i="1"/>
  <c r="A7569" i="1"/>
  <c r="C7568" i="1"/>
  <c r="A7568" i="1"/>
  <c r="C7567" i="1"/>
  <c r="A7567" i="1"/>
  <c r="C7566" i="1"/>
  <c r="A7566" i="1"/>
  <c r="C7565" i="1"/>
  <c r="A7565" i="1"/>
  <c r="C7564" i="1"/>
  <c r="A7564" i="1"/>
  <c r="C7563" i="1"/>
  <c r="A7563" i="1"/>
  <c r="C7562" i="1"/>
  <c r="A7562" i="1"/>
  <c r="C7561" i="1"/>
  <c r="A7561" i="1"/>
  <c r="C7560" i="1"/>
  <c r="A7560" i="1"/>
  <c r="C7559" i="1"/>
  <c r="A7559" i="1"/>
  <c r="C7558" i="1"/>
  <c r="A7558" i="1"/>
  <c r="C7557" i="1"/>
  <c r="A7557" i="1"/>
  <c r="C7556" i="1"/>
  <c r="A7556" i="1"/>
  <c r="C7555" i="1"/>
  <c r="A7555" i="1"/>
  <c r="C7554" i="1"/>
  <c r="A7554" i="1"/>
  <c r="C7553" i="1"/>
  <c r="A7553" i="1"/>
  <c r="C7552" i="1"/>
  <c r="A7552" i="1"/>
  <c r="C7551" i="1"/>
  <c r="A7551" i="1"/>
  <c r="C7550" i="1"/>
  <c r="A7550" i="1"/>
  <c r="C7549" i="1"/>
  <c r="A7549" i="1"/>
  <c r="C7548" i="1"/>
  <c r="A7548" i="1"/>
  <c r="C7547" i="1"/>
  <c r="A7547" i="1"/>
  <c r="C7546" i="1"/>
  <c r="A7546" i="1"/>
  <c r="C7545" i="1"/>
  <c r="A7545" i="1"/>
  <c r="C7544" i="1"/>
  <c r="A7544" i="1"/>
  <c r="C7543" i="1"/>
  <c r="A7543" i="1"/>
  <c r="C7542" i="1"/>
  <c r="A7542" i="1"/>
  <c r="C7541" i="1"/>
  <c r="A7541" i="1"/>
  <c r="C7540" i="1"/>
  <c r="A7540" i="1"/>
  <c r="C7539" i="1"/>
  <c r="A7539" i="1"/>
  <c r="C7538" i="1"/>
  <c r="A7538" i="1"/>
  <c r="C7537" i="1"/>
  <c r="A7537" i="1"/>
  <c r="C7536" i="1"/>
  <c r="A7536" i="1"/>
  <c r="C7535" i="1"/>
  <c r="A7535" i="1"/>
  <c r="C7534" i="1"/>
  <c r="A7534" i="1"/>
  <c r="C7533" i="1"/>
  <c r="A7533" i="1"/>
  <c r="C7532" i="1"/>
  <c r="A7532" i="1"/>
  <c r="C7531" i="1"/>
  <c r="A7531" i="1"/>
  <c r="C7530" i="1"/>
  <c r="A7530" i="1"/>
  <c r="C7529" i="1"/>
  <c r="A7529" i="1"/>
  <c r="C7528" i="1"/>
  <c r="A7528" i="1"/>
  <c r="C7527" i="1"/>
  <c r="A7527" i="1"/>
  <c r="C7526" i="1"/>
  <c r="A7526" i="1"/>
  <c r="C7525" i="1"/>
  <c r="A7525" i="1"/>
  <c r="C7524" i="1"/>
  <c r="A7524" i="1"/>
  <c r="C7523" i="1"/>
  <c r="A7523" i="1"/>
  <c r="C7522" i="1"/>
  <c r="A7522" i="1"/>
  <c r="C7521" i="1"/>
  <c r="A7521" i="1"/>
  <c r="C7520" i="1"/>
  <c r="A7520" i="1"/>
  <c r="C7519" i="1"/>
  <c r="A7519" i="1"/>
  <c r="C7518" i="1"/>
  <c r="A7518" i="1"/>
  <c r="C7517" i="1"/>
  <c r="A7517" i="1"/>
  <c r="C7516" i="1"/>
  <c r="A7516" i="1"/>
  <c r="C7515" i="1"/>
  <c r="A7515" i="1"/>
  <c r="C7514" i="1"/>
  <c r="A7514" i="1"/>
  <c r="C7513" i="1"/>
  <c r="A7513" i="1"/>
  <c r="C7512" i="1"/>
  <c r="A7512" i="1"/>
  <c r="C7511" i="1"/>
  <c r="A7511" i="1"/>
  <c r="C7510" i="1"/>
  <c r="A7510" i="1"/>
  <c r="C7509" i="1"/>
  <c r="A7509" i="1"/>
  <c r="C7508" i="1"/>
  <c r="A7508" i="1"/>
  <c r="C7507" i="1"/>
  <c r="A7507" i="1"/>
  <c r="C7506" i="1"/>
  <c r="A7506" i="1"/>
  <c r="C7505" i="1"/>
  <c r="A7505" i="1"/>
  <c r="C7504" i="1"/>
  <c r="A7504" i="1"/>
  <c r="C7503" i="1"/>
  <c r="A7503" i="1"/>
  <c r="C7502" i="1"/>
  <c r="A7502" i="1"/>
  <c r="C7501" i="1"/>
  <c r="A7501" i="1"/>
  <c r="C7500" i="1"/>
  <c r="A7500" i="1"/>
  <c r="C7499" i="1"/>
  <c r="A7499" i="1"/>
  <c r="C7498" i="1"/>
  <c r="A7498" i="1"/>
  <c r="C7497" i="1"/>
  <c r="A7497" i="1"/>
  <c r="C7496" i="1"/>
  <c r="A7496" i="1"/>
  <c r="C7495" i="1"/>
  <c r="A7495" i="1"/>
  <c r="C7494" i="1"/>
  <c r="A7494" i="1"/>
  <c r="C7493" i="1"/>
  <c r="A7493" i="1"/>
  <c r="C7492" i="1"/>
  <c r="A7492" i="1"/>
  <c r="C7491" i="1"/>
  <c r="A7491" i="1"/>
  <c r="C7490" i="1"/>
  <c r="A7490" i="1"/>
  <c r="C7489" i="1"/>
  <c r="A7489" i="1"/>
  <c r="C7488" i="1"/>
  <c r="A7488" i="1"/>
  <c r="C7487" i="1"/>
  <c r="A7487" i="1"/>
  <c r="C7486" i="1"/>
  <c r="A7486" i="1"/>
  <c r="C7485" i="1"/>
  <c r="A7485" i="1"/>
  <c r="C7484" i="1"/>
  <c r="A7484" i="1"/>
  <c r="C7483" i="1"/>
  <c r="A7483" i="1"/>
  <c r="C7482" i="1"/>
  <c r="A7482" i="1"/>
  <c r="C7481" i="1"/>
  <c r="A7481" i="1"/>
  <c r="C7480" i="1"/>
  <c r="A7480" i="1"/>
  <c r="C7479" i="1"/>
  <c r="A7479" i="1"/>
  <c r="C7478" i="1"/>
  <c r="A7478" i="1"/>
  <c r="C7477" i="1"/>
  <c r="A7477" i="1"/>
  <c r="C7476" i="1"/>
  <c r="A7476" i="1"/>
  <c r="C7475" i="1"/>
  <c r="A7475" i="1"/>
  <c r="C7474" i="1"/>
  <c r="A7474" i="1"/>
  <c r="C7473" i="1"/>
  <c r="A7473" i="1"/>
  <c r="C7472" i="1"/>
  <c r="A7472" i="1"/>
  <c r="C7471" i="1"/>
  <c r="A7471" i="1"/>
  <c r="C7470" i="1"/>
  <c r="A7470" i="1"/>
  <c r="C7469" i="1"/>
  <c r="A7469" i="1"/>
  <c r="C7468" i="1"/>
  <c r="A7468" i="1"/>
  <c r="C7467" i="1"/>
  <c r="A7467" i="1"/>
  <c r="C7466" i="1"/>
  <c r="A7466" i="1"/>
  <c r="C7465" i="1"/>
  <c r="A7465" i="1"/>
  <c r="C7464" i="1"/>
  <c r="A7464" i="1"/>
  <c r="C7463" i="1"/>
  <c r="A7463" i="1"/>
  <c r="C7462" i="1"/>
  <c r="A7462" i="1"/>
  <c r="C7461" i="1"/>
  <c r="A7461" i="1"/>
  <c r="C7460" i="1"/>
  <c r="A7460" i="1"/>
  <c r="C7459" i="1"/>
  <c r="A7459" i="1"/>
  <c r="C7458" i="1"/>
  <c r="A7458" i="1"/>
  <c r="C7457" i="1"/>
  <c r="A7457" i="1"/>
  <c r="C7456" i="1"/>
  <c r="A7456" i="1"/>
  <c r="C7455" i="1"/>
  <c r="A7455" i="1"/>
  <c r="C7454" i="1"/>
  <c r="A7454" i="1"/>
  <c r="C7453" i="1"/>
  <c r="A7453" i="1"/>
  <c r="C7452" i="1"/>
  <c r="A7452" i="1"/>
  <c r="C7451" i="1"/>
  <c r="A7451" i="1"/>
  <c r="C7450" i="1"/>
  <c r="A7450" i="1"/>
  <c r="C7449" i="1"/>
  <c r="A7449" i="1"/>
  <c r="C7448" i="1"/>
  <c r="A7448" i="1"/>
  <c r="C7447" i="1"/>
  <c r="A7447" i="1"/>
  <c r="C7446" i="1"/>
  <c r="A7446" i="1"/>
  <c r="C7445" i="1"/>
  <c r="A7445" i="1"/>
  <c r="C7444" i="1"/>
  <c r="A7444" i="1"/>
  <c r="C7443" i="1"/>
  <c r="A7443" i="1"/>
  <c r="C7442" i="1"/>
  <c r="A7442" i="1"/>
  <c r="C7441" i="1"/>
  <c r="A7441" i="1"/>
  <c r="C7440" i="1"/>
  <c r="A7440" i="1"/>
  <c r="C7439" i="1"/>
  <c r="A7439" i="1"/>
  <c r="C7438" i="1"/>
  <c r="A7438" i="1"/>
  <c r="C7437" i="1"/>
  <c r="A7437" i="1"/>
  <c r="C7436" i="1"/>
  <c r="A7436" i="1"/>
  <c r="C7435" i="1"/>
  <c r="A7435" i="1"/>
  <c r="C7434" i="1"/>
  <c r="A7434" i="1"/>
  <c r="C7433" i="1"/>
  <c r="A7433" i="1"/>
  <c r="C7432" i="1"/>
  <c r="A7432" i="1"/>
  <c r="C7431" i="1"/>
  <c r="A7431" i="1"/>
  <c r="C7430" i="1"/>
  <c r="A7430" i="1"/>
  <c r="C7429" i="1"/>
  <c r="A7429" i="1"/>
  <c r="C7428" i="1"/>
  <c r="A7428" i="1"/>
  <c r="C7427" i="1"/>
  <c r="A7427" i="1"/>
  <c r="C7426" i="1"/>
  <c r="A7426" i="1"/>
  <c r="C7425" i="1"/>
  <c r="A7425" i="1"/>
  <c r="C7424" i="1"/>
  <c r="A7424" i="1"/>
  <c r="C7423" i="1"/>
  <c r="A7423" i="1"/>
  <c r="C7422" i="1"/>
  <c r="A7422" i="1"/>
  <c r="C7421" i="1"/>
  <c r="A7421" i="1"/>
  <c r="C7420" i="1"/>
  <c r="A7420" i="1"/>
  <c r="C7419" i="1"/>
  <c r="A7419" i="1"/>
  <c r="C7418" i="1"/>
  <c r="A7418" i="1"/>
  <c r="C7417" i="1"/>
  <c r="A7417" i="1"/>
  <c r="C7416" i="1"/>
  <c r="A7416" i="1"/>
  <c r="C7415" i="1"/>
  <c r="A7415" i="1"/>
  <c r="C7414" i="1"/>
  <c r="A7414" i="1"/>
  <c r="C7413" i="1"/>
  <c r="A7413" i="1"/>
  <c r="C7412" i="1"/>
  <c r="A7412" i="1"/>
  <c r="C7411" i="1"/>
  <c r="A7411" i="1"/>
  <c r="C7410" i="1"/>
  <c r="A7410" i="1"/>
  <c r="C7409" i="1"/>
  <c r="A7409" i="1"/>
  <c r="C7408" i="1"/>
  <c r="A7408" i="1"/>
  <c r="C7407" i="1"/>
  <c r="A7407" i="1"/>
  <c r="C7406" i="1"/>
  <c r="A7406" i="1"/>
  <c r="C7405" i="1"/>
  <c r="A7405" i="1"/>
  <c r="C7404" i="1"/>
  <c r="A7404" i="1"/>
  <c r="C7403" i="1"/>
  <c r="A7403" i="1"/>
  <c r="C7402" i="1"/>
  <c r="A7402" i="1"/>
  <c r="C7401" i="1"/>
  <c r="A7401" i="1"/>
  <c r="C7400" i="1"/>
  <c r="A7400" i="1"/>
  <c r="C7399" i="1"/>
  <c r="A7399" i="1"/>
  <c r="C7398" i="1"/>
  <c r="A7398" i="1"/>
  <c r="C7397" i="1"/>
  <c r="A7397" i="1"/>
  <c r="C7396" i="1"/>
  <c r="A7396" i="1"/>
  <c r="C7395" i="1"/>
  <c r="A7395" i="1"/>
  <c r="C7394" i="1"/>
  <c r="A7394" i="1"/>
  <c r="C7393" i="1"/>
  <c r="A7393" i="1"/>
  <c r="C7392" i="1"/>
  <c r="A7392" i="1"/>
  <c r="C7391" i="1"/>
  <c r="A7391" i="1"/>
  <c r="C7390" i="1"/>
  <c r="A7390" i="1"/>
  <c r="C7389" i="1"/>
  <c r="A7389" i="1"/>
  <c r="C7388" i="1"/>
  <c r="A7388" i="1"/>
  <c r="C7387" i="1"/>
  <c r="A7387" i="1"/>
  <c r="C7386" i="1"/>
  <c r="A7386" i="1"/>
  <c r="C7385" i="1"/>
  <c r="A7385" i="1"/>
  <c r="C7384" i="1"/>
  <c r="A7384" i="1"/>
  <c r="C7383" i="1"/>
  <c r="A7383" i="1"/>
  <c r="C7382" i="1"/>
  <c r="A7382" i="1"/>
  <c r="C7381" i="1"/>
  <c r="A7381" i="1"/>
  <c r="C7380" i="1"/>
  <c r="A7380" i="1"/>
  <c r="C7379" i="1"/>
  <c r="A7379" i="1"/>
  <c r="C7378" i="1"/>
  <c r="A7378" i="1"/>
  <c r="C7377" i="1"/>
  <c r="A7377" i="1"/>
  <c r="C7376" i="1"/>
  <c r="A7376" i="1"/>
  <c r="C7375" i="1"/>
  <c r="A7375" i="1"/>
  <c r="C7374" i="1"/>
  <c r="A7374" i="1"/>
  <c r="C7373" i="1"/>
  <c r="A7373" i="1"/>
  <c r="C7372" i="1"/>
  <c r="A7372" i="1"/>
  <c r="C7371" i="1"/>
  <c r="A7371" i="1"/>
  <c r="C7370" i="1"/>
  <c r="A7370" i="1"/>
  <c r="C7369" i="1"/>
  <c r="A7369" i="1"/>
  <c r="C7368" i="1"/>
  <c r="A7368" i="1"/>
  <c r="C7367" i="1"/>
  <c r="A7367" i="1"/>
  <c r="C7366" i="1"/>
  <c r="A7366" i="1"/>
  <c r="C7365" i="1"/>
  <c r="A7365" i="1"/>
  <c r="C7364" i="1"/>
  <c r="A7364" i="1"/>
  <c r="C7363" i="1"/>
  <c r="A7363" i="1"/>
  <c r="C7362" i="1"/>
  <c r="A7362" i="1"/>
  <c r="C7361" i="1"/>
  <c r="A7361" i="1"/>
  <c r="C7360" i="1"/>
  <c r="A7360" i="1"/>
  <c r="C7359" i="1"/>
  <c r="A7359" i="1"/>
  <c r="C7358" i="1"/>
  <c r="A7358" i="1"/>
  <c r="C7357" i="1"/>
  <c r="A7357" i="1"/>
  <c r="C7356" i="1"/>
  <c r="A7356" i="1"/>
  <c r="C7355" i="1"/>
  <c r="A7355" i="1"/>
  <c r="C7354" i="1"/>
  <c r="A7354" i="1"/>
  <c r="C7353" i="1"/>
  <c r="A7353" i="1"/>
  <c r="C7352" i="1"/>
  <c r="A7352" i="1"/>
  <c r="C7351" i="1"/>
  <c r="A7351" i="1"/>
  <c r="C7350" i="1"/>
  <c r="A7350" i="1"/>
  <c r="C7349" i="1"/>
  <c r="A7349" i="1"/>
  <c r="C7348" i="1"/>
  <c r="A7348" i="1"/>
  <c r="C7347" i="1"/>
  <c r="A7347" i="1"/>
  <c r="C7346" i="1"/>
  <c r="A7346" i="1"/>
  <c r="C7345" i="1"/>
  <c r="A7345" i="1"/>
  <c r="C7344" i="1"/>
  <c r="A7344" i="1"/>
  <c r="C7343" i="1"/>
  <c r="A7343" i="1"/>
  <c r="C7342" i="1"/>
  <c r="A7342" i="1"/>
  <c r="C7341" i="1"/>
  <c r="A7341" i="1"/>
  <c r="C7340" i="1"/>
  <c r="A7340" i="1"/>
  <c r="C7339" i="1"/>
  <c r="A7339" i="1"/>
  <c r="C7338" i="1"/>
  <c r="A7338" i="1"/>
  <c r="C7337" i="1"/>
  <c r="A7337" i="1"/>
  <c r="C7336" i="1"/>
  <c r="A7336" i="1"/>
  <c r="C7335" i="1"/>
  <c r="A7335" i="1"/>
  <c r="C7334" i="1"/>
  <c r="A7334" i="1"/>
  <c r="C7333" i="1"/>
  <c r="A7333" i="1"/>
  <c r="C7332" i="1"/>
  <c r="A7332" i="1"/>
  <c r="C7331" i="1"/>
  <c r="A7331" i="1"/>
  <c r="C7330" i="1"/>
  <c r="A7330" i="1"/>
  <c r="C7329" i="1"/>
  <c r="A7329" i="1"/>
  <c r="C7328" i="1"/>
  <c r="A7328" i="1"/>
  <c r="C7327" i="1"/>
  <c r="A7327" i="1"/>
  <c r="C7326" i="1"/>
  <c r="A7326" i="1"/>
  <c r="C7325" i="1"/>
  <c r="A7325" i="1"/>
  <c r="C7324" i="1"/>
  <c r="A7324" i="1"/>
  <c r="C7323" i="1"/>
  <c r="A7323" i="1"/>
  <c r="C7322" i="1"/>
  <c r="A7322" i="1"/>
  <c r="C7321" i="1"/>
  <c r="A7321" i="1"/>
  <c r="C7320" i="1"/>
  <c r="A7320" i="1"/>
  <c r="C7319" i="1"/>
  <c r="A7319" i="1"/>
  <c r="C7318" i="1"/>
  <c r="A7318" i="1"/>
  <c r="C7317" i="1"/>
  <c r="A7317" i="1"/>
  <c r="C7316" i="1"/>
  <c r="A7316" i="1"/>
  <c r="C7315" i="1"/>
  <c r="A7315" i="1"/>
  <c r="C7314" i="1"/>
  <c r="A7314" i="1"/>
  <c r="C7313" i="1"/>
  <c r="A7313" i="1"/>
  <c r="C7312" i="1"/>
  <c r="A7312" i="1"/>
  <c r="C7311" i="1"/>
  <c r="A7311" i="1"/>
  <c r="C7310" i="1"/>
  <c r="A7310" i="1"/>
  <c r="C7309" i="1"/>
  <c r="A7309" i="1"/>
  <c r="C7308" i="1"/>
  <c r="A7308" i="1"/>
  <c r="C7307" i="1"/>
  <c r="A7307" i="1"/>
  <c r="C7306" i="1"/>
  <c r="A7306" i="1"/>
  <c r="C7305" i="1"/>
  <c r="A7305" i="1"/>
  <c r="C7304" i="1"/>
  <c r="A7304" i="1"/>
  <c r="C7303" i="1"/>
  <c r="A7303" i="1"/>
  <c r="C7302" i="1"/>
  <c r="A7302" i="1"/>
  <c r="C7301" i="1"/>
  <c r="A7301" i="1"/>
  <c r="C7300" i="1"/>
  <c r="A7300" i="1"/>
  <c r="C7299" i="1"/>
  <c r="A7299" i="1"/>
  <c r="C7298" i="1"/>
  <c r="A7298" i="1"/>
  <c r="C7297" i="1"/>
  <c r="A7297" i="1"/>
  <c r="C7296" i="1"/>
  <c r="A7296" i="1"/>
  <c r="C7295" i="1"/>
  <c r="A7295" i="1"/>
  <c r="C7294" i="1"/>
  <c r="A7294" i="1"/>
  <c r="C7293" i="1"/>
  <c r="A7293" i="1"/>
  <c r="C7292" i="1"/>
  <c r="A7292" i="1"/>
  <c r="C7291" i="1"/>
  <c r="A7291" i="1"/>
  <c r="C7290" i="1"/>
  <c r="A7290" i="1"/>
  <c r="C7289" i="1"/>
  <c r="A7289" i="1"/>
  <c r="C7288" i="1"/>
  <c r="A7288" i="1"/>
  <c r="C7287" i="1"/>
  <c r="A7287" i="1"/>
  <c r="C7286" i="1"/>
  <c r="A7286" i="1"/>
  <c r="C7285" i="1"/>
  <c r="A7285" i="1"/>
  <c r="C7284" i="1"/>
  <c r="A7284" i="1"/>
  <c r="C7283" i="1"/>
  <c r="A7283" i="1"/>
  <c r="C7282" i="1"/>
  <c r="A7282" i="1"/>
  <c r="C7281" i="1"/>
  <c r="A7281" i="1"/>
  <c r="C7280" i="1"/>
  <c r="A7280" i="1"/>
  <c r="C7279" i="1"/>
  <c r="A7279" i="1"/>
  <c r="C7278" i="1"/>
  <c r="A7278" i="1"/>
  <c r="C7277" i="1"/>
  <c r="A7277" i="1"/>
  <c r="C7276" i="1"/>
  <c r="A7276" i="1"/>
  <c r="C7275" i="1"/>
  <c r="A7275" i="1"/>
  <c r="C7274" i="1"/>
  <c r="A7274" i="1"/>
  <c r="C7273" i="1"/>
  <c r="A7273" i="1"/>
  <c r="C7272" i="1"/>
  <c r="A7272" i="1"/>
  <c r="C7271" i="1"/>
  <c r="A7271" i="1"/>
  <c r="C7270" i="1"/>
  <c r="A7270" i="1"/>
  <c r="C7269" i="1"/>
  <c r="A7269" i="1"/>
  <c r="C7268" i="1"/>
  <c r="A7268" i="1"/>
  <c r="C7267" i="1"/>
  <c r="A7267" i="1"/>
  <c r="C7266" i="1"/>
  <c r="A7266" i="1"/>
  <c r="C7265" i="1"/>
  <c r="A7265" i="1"/>
  <c r="C7264" i="1"/>
  <c r="A7264" i="1"/>
  <c r="C7263" i="1"/>
  <c r="A7263" i="1"/>
  <c r="C7262" i="1"/>
  <c r="A7262" i="1"/>
  <c r="C7261" i="1"/>
  <c r="A7261" i="1"/>
  <c r="C7260" i="1"/>
  <c r="A7260" i="1"/>
  <c r="C7259" i="1"/>
  <c r="A7259" i="1"/>
  <c r="C7258" i="1"/>
  <c r="A7258" i="1"/>
  <c r="C7257" i="1"/>
  <c r="A7257" i="1"/>
  <c r="C7256" i="1"/>
  <c r="A7256" i="1"/>
  <c r="C7255" i="1"/>
  <c r="A7255" i="1"/>
  <c r="C7254" i="1"/>
  <c r="A7254" i="1"/>
  <c r="C7253" i="1"/>
  <c r="A7253" i="1"/>
  <c r="C7252" i="1"/>
  <c r="A7252" i="1"/>
  <c r="C7251" i="1"/>
  <c r="A7251" i="1"/>
  <c r="C7250" i="1"/>
  <c r="A7250" i="1"/>
  <c r="C7249" i="1"/>
  <c r="A7249" i="1"/>
  <c r="C7248" i="1"/>
  <c r="A7248" i="1"/>
  <c r="C7247" i="1"/>
  <c r="A7247" i="1"/>
  <c r="C7246" i="1"/>
  <c r="A7246" i="1"/>
  <c r="C7245" i="1"/>
  <c r="A7245" i="1"/>
  <c r="C7244" i="1"/>
  <c r="A7244" i="1"/>
  <c r="C7243" i="1"/>
  <c r="A7243" i="1"/>
  <c r="C7242" i="1"/>
  <c r="A7242" i="1"/>
  <c r="C7241" i="1"/>
  <c r="A7241" i="1"/>
  <c r="C7240" i="1"/>
  <c r="A7240" i="1"/>
  <c r="C7239" i="1"/>
  <c r="A7239" i="1"/>
  <c r="C7238" i="1"/>
  <c r="A7238" i="1"/>
  <c r="C7237" i="1"/>
  <c r="A7237" i="1"/>
  <c r="C7236" i="1"/>
  <c r="A7236" i="1"/>
  <c r="C7235" i="1"/>
  <c r="A7235" i="1"/>
  <c r="C7234" i="1"/>
  <c r="A7234" i="1"/>
  <c r="C7233" i="1"/>
  <c r="A7233" i="1"/>
  <c r="C7232" i="1"/>
  <c r="A7232" i="1"/>
  <c r="C7231" i="1"/>
  <c r="A7231" i="1"/>
  <c r="C7230" i="1"/>
  <c r="A7230" i="1"/>
  <c r="C7229" i="1"/>
  <c r="A7229" i="1"/>
  <c r="C7228" i="1"/>
  <c r="A7228" i="1"/>
  <c r="C7227" i="1"/>
  <c r="A7227" i="1"/>
  <c r="C7226" i="1"/>
  <c r="A7226" i="1"/>
  <c r="C7225" i="1"/>
  <c r="A7225" i="1"/>
  <c r="C7224" i="1"/>
  <c r="A7224" i="1"/>
  <c r="C7223" i="1"/>
  <c r="A7223" i="1"/>
  <c r="C7222" i="1"/>
  <c r="A7222" i="1"/>
  <c r="C7221" i="1"/>
  <c r="A7221" i="1"/>
  <c r="C7220" i="1"/>
  <c r="A7220" i="1"/>
  <c r="C7219" i="1"/>
  <c r="A7219" i="1"/>
  <c r="C7218" i="1"/>
  <c r="A7218" i="1"/>
  <c r="C7217" i="1"/>
  <c r="A7217" i="1"/>
  <c r="C7216" i="1"/>
  <c r="A7216" i="1"/>
  <c r="C7215" i="1"/>
  <c r="A7215" i="1"/>
  <c r="C7214" i="1"/>
  <c r="A7214" i="1"/>
  <c r="C7213" i="1"/>
  <c r="A7213" i="1"/>
  <c r="C7212" i="1"/>
  <c r="A7212" i="1"/>
  <c r="C7211" i="1"/>
  <c r="A7211" i="1"/>
  <c r="C7210" i="1"/>
  <c r="A7210" i="1"/>
  <c r="C7209" i="1"/>
  <c r="A7209" i="1"/>
  <c r="C7208" i="1"/>
  <c r="A7208" i="1"/>
  <c r="C7207" i="1"/>
  <c r="A7207" i="1"/>
  <c r="C7206" i="1"/>
  <c r="A7206" i="1"/>
  <c r="C7205" i="1"/>
  <c r="A7205" i="1"/>
  <c r="C7204" i="1"/>
  <c r="A7204" i="1"/>
  <c r="C7203" i="1"/>
  <c r="A7203" i="1"/>
  <c r="C7202" i="1"/>
  <c r="A7202" i="1"/>
  <c r="C7201" i="1"/>
  <c r="A7201" i="1"/>
  <c r="C7200" i="1"/>
  <c r="A7200" i="1"/>
  <c r="C7199" i="1"/>
  <c r="A7199" i="1"/>
  <c r="C7198" i="1"/>
  <c r="A7198" i="1"/>
  <c r="C7197" i="1"/>
  <c r="A7197" i="1"/>
  <c r="C7196" i="1"/>
  <c r="A7196" i="1"/>
  <c r="C7195" i="1"/>
  <c r="A7195" i="1"/>
  <c r="C7194" i="1"/>
  <c r="A7194" i="1"/>
  <c r="C7193" i="1"/>
  <c r="A7193" i="1"/>
  <c r="C7192" i="1"/>
  <c r="A7192" i="1"/>
  <c r="C7191" i="1"/>
  <c r="A7191" i="1"/>
  <c r="C7190" i="1"/>
  <c r="A7190" i="1"/>
  <c r="C7189" i="1"/>
  <c r="A7189" i="1"/>
  <c r="C7188" i="1"/>
  <c r="A7188" i="1"/>
  <c r="C7187" i="1"/>
  <c r="A7187" i="1"/>
  <c r="C7186" i="1"/>
  <c r="A7186" i="1"/>
  <c r="C7185" i="1"/>
  <c r="A7185" i="1"/>
  <c r="C7184" i="1"/>
  <c r="A7184" i="1"/>
  <c r="C7183" i="1"/>
  <c r="A7183" i="1"/>
  <c r="C7182" i="1"/>
  <c r="A7182" i="1"/>
  <c r="C7181" i="1"/>
  <c r="A7181" i="1"/>
  <c r="C7180" i="1"/>
  <c r="A7180" i="1"/>
  <c r="C7179" i="1"/>
  <c r="A7179" i="1"/>
  <c r="C7178" i="1"/>
  <c r="A7178" i="1"/>
  <c r="C7177" i="1"/>
  <c r="A7177" i="1"/>
  <c r="C7176" i="1"/>
  <c r="A7176" i="1"/>
  <c r="C7175" i="1"/>
  <c r="A7175" i="1"/>
  <c r="C7174" i="1"/>
  <c r="A7174" i="1"/>
  <c r="C7173" i="1"/>
  <c r="A7173" i="1"/>
  <c r="C7172" i="1"/>
  <c r="A7172" i="1"/>
  <c r="C7171" i="1"/>
  <c r="A7171" i="1"/>
  <c r="C7170" i="1"/>
  <c r="A7170" i="1"/>
  <c r="C7169" i="1"/>
  <c r="A7169" i="1"/>
  <c r="C7168" i="1"/>
  <c r="A7168" i="1"/>
  <c r="C7167" i="1"/>
  <c r="A7167" i="1"/>
  <c r="C7166" i="1"/>
  <c r="A7166" i="1"/>
  <c r="C7165" i="1"/>
  <c r="A7165" i="1"/>
  <c r="C7164" i="1"/>
  <c r="A7164" i="1"/>
  <c r="C7163" i="1"/>
  <c r="A7163" i="1"/>
  <c r="C7162" i="1"/>
  <c r="A7162" i="1"/>
  <c r="C7161" i="1"/>
  <c r="A7161" i="1"/>
  <c r="C7160" i="1"/>
  <c r="A7160" i="1"/>
  <c r="C7159" i="1"/>
  <c r="A7159" i="1"/>
  <c r="C7158" i="1"/>
  <c r="A7158" i="1"/>
  <c r="C7157" i="1"/>
  <c r="A7157" i="1"/>
  <c r="C7156" i="1"/>
  <c r="A7156" i="1"/>
  <c r="C7155" i="1"/>
  <c r="A7155" i="1"/>
  <c r="C7154" i="1"/>
  <c r="A7154" i="1"/>
  <c r="C7153" i="1"/>
  <c r="A7153" i="1"/>
  <c r="C7152" i="1"/>
  <c r="A7152" i="1"/>
  <c r="C7151" i="1"/>
  <c r="A7151" i="1"/>
  <c r="C7150" i="1"/>
  <c r="A7150" i="1"/>
  <c r="C7149" i="1"/>
  <c r="A7149" i="1"/>
  <c r="C7148" i="1"/>
  <c r="A7148" i="1"/>
  <c r="C7147" i="1"/>
  <c r="A7147" i="1"/>
  <c r="C7146" i="1"/>
  <c r="A7146" i="1"/>
  <c r="C7145" i="1"/>
  <c r="A7145" i="1"/>
  <c r="C7144" i="1"/>
  <c r="A7144" i="1"/>
  <c r="C7143" i="1"/>
  <c r="A7143" i="1"/>
  <c r="C7142" i="1"/>
  <c r="A7142" i="1"/>
  <c r="C7141" i="1"/>
  <c r="A7141" i="1"/>
  <c r="C7140" i="1"/>
  <c r="A7140" i="1"/>
  <c r="C7139" i="1"/>
  <c r="A7139" i="1"/>
  <c r="C7138" i="1"/>
  <c r="A7138" i="1"/>
  <c r="C7137" i="1"/>
  <c r="A7137" i="1"/>
  <c r="C7136" i="1"/>
  <c r="A7136" i="1"/>
  <c r="C7135" i="1"/>
  <c r="A7135" i="1"/>
  <c r="C7134" i="1"/>
  <c r="A7134" i="1"/>
  <c r="C7133" i="1"/>
  <c r="A7133" i="1"/>
  <c r="C7132" i="1"/>
  <c r="A7132" i="1"/>
  <c r="C7131" i="1"/>
  <c r="A7131" i="1"/>
  <c r="C7130" i="1"/>
  <c r="A7130" i="1"/>
  <c r="C7129" i="1"/>
  <c r="A7129" i="1"/>
  <c r="C7128" i="1"/>
  <c r="A7128" i="1"/>
  <c r="C7127" i="1"/>
  <c r="A7127" i="1"/>
  <c r="C7126" i="1"/>
  <c r="A7126" i="1"/>
  <c r="C7125" i="1"/>
  <c r="A7125" i="1"/>
  <c r="C7124" i="1"/>
  <c r="A7124" i="1"/>
  <c r="C7123" i="1"/>
  <c r="A7123" i="1"/>
  <c r="C7122" i="1"/>
  <c r="A7122" i="1"/>
  <c r="C7121" i="1"/>
  <c r="A7121" i="1"/>
  <c r="C7120" i="1"/>
  <c r="A7120" i="1"/>
  <c r="C7119" i="1"/>
  <c r="A7119" i="1"/>
  <c r="C7118" i="1"/>
  <c r="A7118" i="1"/>
  <c r="C7117" i="1"/>
  <c r="A7117" i="1"/>
  <c r="C7116" i="1"/>
  <c r="A7116" i="1"/>
  <c r="C7115" i="1"/>
  <c r="A7115" i="1"/>
  <c r="C7114" i="1"/>
  <c r="A7114" i="1"/>
  <c r="C7113" i="1"/>
  <c r="A7113" i="1"/>
  <c r="C7112" i="1"/>
  <c r="A7112" i="1"/>
  <c r="C7111" i="1"/>
  <c r="A7111" i="1"/>
  <c r="C7110" i="1"/>
  <c r="A7110" i="1"/>
  <c r="C7109" i="1"/>
  <c r="A7109" i="1"/>
  <c r="C7108" i="1"/>
  <c r="A7108" i="1"/>
  <c r="C7107" i="1"/>
  <c r="A7107" i="1"/>
  <c r="C7106" i="1"/>
  <c r="A7106" i="1"/>
  <c r="C7105" i="1"/>
  <c r="A7105" i="1"/>
  <c r="C7104" i="1"/>
  <c r="A7104" i="1"/>
  <c r="C7103" i="1"/>
  <c r="A7103" i="1"/>
  <c r="C7102" i="1"/>
  <c r="A7102" i="1"/>
  <c r="C7101" i="1"/>
  <c r="A7101" i="1"/>
  <c r="C7100" i="1"/>
  <c r="A7100" i="1"/>
  <c r="C7099" i="1"/>
  <c r="A7099" i="1"/>
  <c r="C7098" i="1"/>
  <c r="A7098" i="1"/>
  <c r="C7097" i="1"/>
  <c r="A7097" i="1"/>
  <c r="C7096" i="1"/>
  <c r="A7096" i="1"/>
  <c r="C7095" i="1"/>
  <c r="A7095" i="1"/>
  <c r="C7094" i="1"/>
  <c r="A7094" i="1"/>
  <c r="C7093" i="1"/>
  <c r="A7093" i="1"/>
  <c r="C7092" i="1"/>
  <c r="A7092" i="1"/>
  <c r="C7091" i="1"/>
  <c r="A7091" i="1"/>
  <c r="C7090" i="1"/>
  <c r="A7090" i="1"/>
  <c r="C7089" i="1"/>
  <c r="A7089" i="1"/>
  <c r="C7088" i="1"/>
  <c r="A7088" i="1"/>
  <c r="C7087" i="1"/>
  <c r="A7087" i="1"/>
  <c r="C7086" i="1"/>
  <c r="A7086" i="1"/>
  <c r="C7085" i="1"/>
  <c r="A7085" i="1"/>
  <c r="C7084" i="1"/>
  <c r="A7084" i="1"/>
  <c r="C7083" i="1"/>
  <c r="A7083" i="1"/>
  <c r="C7082" i="1"/>
  <c r="A7082" i="1"/>
  <c r="C7081" i="1"/>
  <c r="A7081" i="1"/>
  <c r="C7080" i="1"/>
  <c r="A7080" i="1"/>
  <c r="C7079" i="1"/>
  <c r="A7079" i="1"/>
  <c r="C7078" i="1"/>
  <c r="A7078" i="1"/>
  <c r="C7077" i="1"/>
  <c r="A7077" i="1"/>
  <c r="C7076" i="1"/>
  <c r="A7076" i="1"/>
  <c r="C7075" i="1"/>
  <c r="A7075" i="1"/>
  <c r="C7074" i="1"/>
  <c r="A7074" i="1"/>
  <c r="C7073" i="1"/>
  <c r="A7073" i="1"/>
  <c r="C7072" i="1"/>
  <c r="A7072" i="1"/>
  <c r="C7071" i="1"/>
  <c r="A7071" i="1"/>
  <c r="C7070" i="1"/>
  <c r="A7070" i="1"/>
  <c r="C7069" i="1"/>
  <c r="A7069" i="1"/>
  <c r="C7068" i="1"/>
  <c r="A7068" i="1"/>
  <c r="C7067" i="1"/>
  <c r="A7067" i="1"/>
  <c r="C7066" i="1"/>
  <c r="A7066" i="1"/>
  <c r="C7065" i="1"/>
  <c r="A7065" i="1"/>
  <c r="C7064" i="1"/>
  <c r="A7064" i="1"/>
  <c r="C7063" i="1"/>
  <c r="A7063" i="1"/>
  <c r="C7062" i="1"/>
  <c r="A7062" i="1"/>
  <c r="C7061" i="1"/>
  <c r="A7061" i="1"/>
  <c r="C7060" i="1"/>
  <c r="A7060" i="1"/>
  <c r="C7059" i="1"/>
  <c r="A7059" i="1"/>
  <c r="C7058" i="1"/>
  <c r="A7058" i="1"/>
  <c r="C7057" i="1"/>
  <c r="A7057" i="1"/>
  <c r="C7056" i="1"/>
  <c r="A7056" i="1"/>
  <c r="C7055" i="1"/>
  <c r="A7055" i="1"/>
  <c r="C7054" i="1"/>
  <c r="A7054" i="1"/>
  <c r="C7053" i="1"/>
  <c r="A7053" i="1"/>
  <c r="C7052" i="1"/>
  <c r="A7052" i="1"/>
  <c r="C7051" i="1"/>
  <c r="A7051" i="1"/>
  <c r="C7050" i="1"/>
  <c r="A7050" i="1"/>
  <c r="C7049" i="1"/>
  <c r="A7049" i="1"/>
  <c r="C7048" i="1"/>
  <c r="A7048" i="1"/>
  <c r="C7047" i="1"/>
  <c r="A7047" i="1"/>
  <c r="C7046" i="1"/>
  <c r="A7046" i="1"/>
  <c r="C7045" i="1"/>
  <c r="A7045" i="1"/>
  <c r="C7044" i="1"/>
  <c r="A7044" i="1"/>
  <c r="C7043" i="1"/>
  <c r="A7043" i="1"/>
  <c r="C7042" i="1"/>
  <c r="A7042" i="1"/>
  <c r="C7041" i="1"/>
  <c r="A7041" i="1"/>
  <c r="C7040" i="1"/>
  <c r="A7040" i="1"/>
  <c r="C7039" i="1"/>
  <c r="A7039" i="1"/>
  <c r="C7038" i="1"/>
  <c r="A7038" i="1"/>
  <c r="C7037" i="1"/>
  <c r="A7037" i="1"/>
  <c r="C7036" i="1"/>
  <c r="A7036" i="1"/>
  <c r="C7035" i="1"/>
  <c r="A7035" i="1"/>
  <c r="C7034" i="1"/>
  <c r="A7034" i="1"/>
  <c r="C7033" i="1"/>
  <c r="A7033" i="1"/>
  <c r="C7032" i="1"/>
  <c r="A7032" i="1"/>
  <c r="C7031" i="1"/>
  <c r="A7031" i="1"/>
  <c r="C7030" i="1"/>
  <c r="A7030" i="1"/>
  <c r="C7029" i="1"/>
  <c r="A7029" i="1"/>
  <c r="C7028" i="1"/>
  <c r="A7028" i="1"/>
  <c r="C7027" i="1"/>
  <c r="A7027" i="1"/>
  <c r="C7026" i="1"/>
  <c r="A7026" i="1"/>
  <c r="C7025" i="1"/>
  <c r="A7025" i="1"/>
  <c r="C7024" i="1"/>
  <c r="A7024" i="1"/>
  <c r="C7023" i="1"/>
  <c r="A7023" i="1"/>
  <c r="C7022" i="1"/>
  <c r="A7022" i="1"/>
  <c r="C7021" i="1"/>
  <c r="A7021" i="1"/>
  <c r="C7020" i="1"/>
  <c r="A7020" i="1"/>
  <c r="C7019" i="1"/>
  <c r="A7019" i="1"/>
  <c r="C7018" i="1"/>
  <c r="A7018" i="1"/>
  <c r="C7017" i="1"/>
  <c r="A7017" i="1"/>
  <c r="C7016" i="1"/>
  <c r="A7016" i="1"/>
  <c r="C7015" i="1"/>
  <c r="A7015" i="1"/>
  <c r="C7014" i="1"/>
  <c r="A7014" i="1"/>
  <c r="C7013" i="1"/>
  <c r="A7013" i="1"/>
  <c r="C7012" i="1"/>
  <c r="A7012" i="1"/>
  <c r="C7011" i="1"/>
  <c r="A7011" i="1"/>
  <c r="C7010" i="1"/>
  <c r="A7010" i="1"/>
  <c r="C7009" i="1"/>
  <c r="A7009" i="1"/>
  <c r="C7008" i="1"/>
  <c r="A7008" i="1"/>
  <c r="C7007" i="1"/>
  <c r="A7007" i="1"/>
  <c r="C7006" i="1"/>
  <c r="A7006" i="1"/>
  <c r="C7005" i="1"/>
  <c r="A7005" i="1"/>
  <c r="C7004" i="1"/>
  <c r="A7004" i="1"/>
  <c r="C7003" i="1"/>
  <c r="A7003" i="1"/>
  <c r="C7002" i="1"/>
  <c r="A7002" i="1"/>
  <c r="C7001" i="1"/>
  <c r="A7001" i="1"/>
  <c r="C7000" i="1"/>
  <c r="A7000" i="1"/>
  <c r="C6999" i="1"/>
  <c r="A6999" i="1"/>
  <c r="C6998" i="1"/>
  <c r="A6998" i="1"/>
  <c r="C6997" i="1"/>
  <c r="A6997" i="1"/>
  <c r="C6996" i="1"/>
  <c r="A6996" i="1"/>
  <c r="C6995" i="1"/>
  <c r="A6995" i="1"/>
  <c r="C6994" i="1"/>
  <c r="A6994" i="1"/>
  <c r="C6993" i="1"/>
  <c r="A6993" i="1"/>
  <c r="C6992" i="1"/>
  <c r="A6992" i="1"/>
  <c r="C6991" i="1"/>
  <c r="A6991" i="1"/>
  <c r="C6990" i="1"/>
  <c r="A6990" i="1"/>
  <c r="C6989" i="1"/>
  <c r="A6989" i="1"/>
  <c r="C6988" i="1"/>
  <c r="A6988" i="1"/>
  <c r="C6987" i="1"/>
  <c r="A6987" i="1"/>
  <c r="C6986" i="1"/>
  <c r="A6986" i="1"/>
  <c r="C6985" i="1"/>
  <c r="A6985" i="1"/>
  <c r="C6984" i="1"/>
  <c r="A6984" i="1"/>
  <c r="C6983" i="1"/>
  <c r="A6983" i="1"/>
  <c r="C6982" i="1"/>
  <c r="A6982" i="1"/>
  <c r="C6981" i="1"/>
  <c r="A6981" i="1"/>
  <c r="C6980" i="1"/>
  <c r="A6980" i="1"/>
  <c r="C6979" i="1"/>
  <c r="A6979" i="1"/>
  <c r="C6978" i="1"/>
  <c r="A6978" i="1"/>
  <c r="C6977" i="1"/>
  <c r="A6977" i="1"/>
  <c r="C6976" i="1"/>
  <c r="A6976" i="1"/>
  <c r="C6975" i="1"/>
  <c r="A6975" i="1"/>
  <c r="C6974" i="1"/>
  <c r="A6974" i="1"/>
  <c r="C6973" i="1"/>
  <c r="A6973" i="1"/>
  <c r="C6972" i="1"/>
  <c r="A6972" i="1"/>
  <c r="C6971" i="1"/>
  <c r="A6971" i="1"/>
  <c r="C6970" i="1"/>
  <c r="A6970" i="1"/>
  <c r="C6969" i="1"/>
  <c r="A6969" i="1"/>
  <c r="C6968" i="1"/>
  <c r="A6968" i="1"/>
  <c r="C6967" i="1"/>
  <c r="A6967" i="1"/>
  <c r="C6966" i="1"/>
  <c r="A6966" i="1"/>
  <c r="C6965" i="1"/>
  <c r="A6965" i="1"/>
  <c r="C6964" i="1"/>
  <c r="A6964" i="1"/>
  <c r="C6963" i="1"/>
  <c r="A6963" i="1"/>
  <c r="C6962" i="1"/>
  <c r="A6962" i="1"/>
  <c r="C6961" i="1"/>
  <c r="A6961" i="1"/>
  <c r="C6960" i="1"/>
  <c r="A6960" i="1"/>
  <c r="C6959" i="1"/>
  <c r="A6959" i="1"/>
  <c r="C6958" i="1"/>
  <c r="A6958" i="1"/>
  <c r="C6957" i="1"/>
  <c r="A6957" i="1"/>
  <c r="C6956" i="1"/>
  <c r="A6956" i="1"/>
  <c r="C6955" i="1"/>
  <c r="A6955" i="1"/>
  <c r="C6954" i="1"/>
  <c r="A6954" i="1"/>
  <c r="C6953" i="1"/>
  <c r="A6953" i="1"/>
  <c r="C6952" i="1"/>
  <c r="A6952" i="1"/>
  <c r="C6951" i="1"/>
  <c r="A6951" i="1"/>
  <c r="C6950" i="1"/>
  <c r="A6950" i="1"/>
  <c r="C6949" i="1"/>
  <c r="A6949" i="1"/>
  <c r="C6948" i="1"/>
  <c r="A6948" i="1"/>
  <c r="C6947" i="1"/>
  <c r="A6947" i="1"/>
  <c r="C6946" i="1"/>
  <c r="A6946" i="1"/>
  <c r="C6945" i="1"/>
  <c r="A6945" i="1"/>
  <c r="C6944" i="1"/>
  <c r="A6944" i="1"/>
  <c r="C6943" i="1"/>
  <c r="A6943" i="1"/>
  <c r="C6942" i="1"/>
  <c r="A6942" i="1"/>
  <c r="C6941" i="1"/>
  <c r="A6941" i="1"/>
  <c r="C6940" i="1"/>
  <c r="A6940" i="1"/>
  <c r="C6939" i="1"/>
  <c r="A6939" i="1"/>
  <c r="C6938" i="1"/>
  <c r="A6938" i="1"/>
  <c r="C6937" i="1"/>
  <c r="A6937" i="1"/>
  <c r="C6936" i="1"/>
  <c r="A6936" i="1"/>
  <c r="C6935" i="1"/>
  <c r="A6935" i="1"/>
  <c r="C6934" i="1"/>
  <c r="A6934" i="1"/>
  <c r="C6933" i="1"/>
  <c r="A6933" i="1"/>
  <c r="C6932" i="1"/>
  <c r="A6932" i="1"/>
  <c r="C6931" i="1"/>
  <c r="A6931" i="1"/>
  <c r="C6930" i="1"/>
  <c r="A6930" i="1"/>
  <c r="C6929" i="1"/>
  <c r="A6929" i="1"/>
  <c r="C6928" i="1"/>
  <c r="A6928" i="1"/>
  <c r="C6927" i="1"/>
  <c r="A6927" i="1"/>
  <c r="C6926" i="1"/>
  <c r="A6926" i="1"/>
  <c r="C6925" i="1"/>
  <c r="A6925" i="1"/>
  <c r="C6924" i="1"/>
  <c r="A6924" i="1"/>
  <c r="C6923" i="1"/>
  <c r="A6923" i="1"/>
  <c r="C6922" i="1"/>
  <c r="A6922" i="1"/>
  <c r="C6921" i="1"/>
  <c r="A6921" i="1"/>
  <c r="C6920" i="1"/>
  <c r="A6920" i="1"/>
  <c r="C6919" i="1"/>
  <c r="A6919" i="1"/>
  <c r="C6918" i="1"/>
  <c r="A6918" i="1"/>
  <c r="C6917" i="1"/>
  <c r="A6917" i="1"/>
  <c r="C6916" i="1"/>
  <c r="A6916" i="1"/>
  <c r="C6915" i="1"/>
  <c r="A6915" i="1"/>
  <c r="C6914" i="1"/>
  <c r="A6914" i="1"/>
  <c r="C6913" i="1"/>
  <c r="A6913" i="1"/>
  <c r="C6912" i="1"/>
  <c r="A6912" i="1"/>
  <c r="C6911" i="1"/>
  <c r="A6911" i="1"/>
  <c r="C6910" i="1"/>
  <c r="A6910" i="1"/>
  <c r="C6909" i="1"/>
  <c r="A6909" i="1"/>
  <c r="C6908" i="1"/>
  <c r="A6908" i="1"/>
  <c r="C6907" i="1"/>
  <c r="A6907" i="1"/>
  <c r="C6906" i="1"/>
  <c r="A6906" i="1"/>
  <c r="C6905" i="1"/>
  <c r="A6905" i="1"/>
  <c r="C6904" i="1"/>
  <c r="A6904" i="1"/>
  <c r="C6903" i="1"/>
  <c r="A6903" i="1"/>
  <c r="C6902" i="1"/>
  <c r="A6902" i="1"/>
  <c r="C6901" i="1"/>
  <c r="A6901" i="1"/>
  <c r="C6900" i="1"/>
  <c r="A6900" i="1"/>
  <c r="C6899" i="1"/>
  <c r="A6899" i="1"/>
  <c r="C6898" i="1"/>
  <c r="A6898" i="1"/>
  <c r="C6897" i="1"/>
  <c r="A6897" i="1"/>
  <c r="C6896" i="1"/>
  <c r="A6896" i="1"/>
  <c r="C6895" i="1"/>
  <c r="A6895" i="1"/>
  <c r="C6894" i="1"/>
  <c r="A6894" i="1"/>
  <c r="C6893" i="1"/>
  <c r="A6893" i="1"/>
  <c r="C6892" i="1"/>
  <c r="A6892" i="1"/>
  <c r="C6891" i="1"/>
  <c r="A6891" i="1"/>
  <c r="C6890" i="1"/>
  <c r="A6890" i="1"/>
  <c r="C6889" i="1"/>
  <c r="A6889" i="1"/>
  <c r="C6888" i="1"/>
  <c r="A6888" i="1"/>
  <c r="C6887" i="1"/>
  <c r="A6887" i="1"/>
  <c r="C6886" i="1"/>
  <c r="A6886" i="1"/>
  <c r="C6885" i="1"/>
  <c r="A6885" i="1"/>
  <c r="C6884" i="1"/>
  <c r="A6884" i="1"/>
  <c r="C6883" i="1"/>
  <c r="A6883" i="1"/>
  <c r="C6882" i="1"/>
  <c r="A6882" i="1"/>
  <c r="C6881" i="1"/>
  <c r="A6881" i="1"/>
  <c r="C6880" i="1"/>
  <c r="A6880" i="1"/>
  <c r="C6879" i="1"/>
  <c r="A6879" i="1"/>
  <c r="C6878" i="1"/>
  <c r="A6878" i="1"/>
  <c r="C6877" i="1"/>
  <c r="A6877" i="1"/>
  <c r="C6876" i="1"/>
  <c r="A6876" i="1"/>
  <c r="C6875" i="1"/>
  <c r="A6875" i="1"/>
  <c r="C6874" i="1"/>
  <c r="A6874" i="1"/>
  <c r="C6873" i="1"/>
  <c r="A6873" i="1"/>
  <c r="C6872" i="1"/>
  <c r="A6872" i="1"/>
  <c r="C6871" i="1"/>
  <c r="A6871" i="1"/>
  <c r="C6870" i="1"/>
  <c r="A6870" i="1"/>
  <c r="C6869" i="1"/>
  <c r="A6869" i="1"/>
  <c r="C6868" i="1"/>
  <c r="A6868" i="1"/>
  <c r="C6867" i="1"/>
  <c r="A6867" i="1"/>
  <c r="C6866" i="1"/>
  <c r="A6866" i="1"/>
  <c r="C6865" i="1"/>
  <c r="A6865" i="1"/>
  <c r="C6864" i="1"/>
  <c r="A6864" i="1"/>
  <c r="C6863" i="1"/>
  <c r="A6863" i="1"/>
  <c r="C6862" i="1"/>
  <c r="A6862" i="1"/>
  <c r="C6861" i="1"/>
  <c r="A6861" i="1"/>
  <c r="C6860" i="1"/>
  <c r="A6860" i="1"/>
  <c r="C6859" i="1"/>
  <c r="A6859" i="1"/>
  <c r="C6858" i="1"/>
  <c r="A6858" i="1"/>
  <c r="C6857" i="1"/>
  <c r="A6857" i="1"/>
  <c r="C6856" i="1"/>
  <c r="A6856" i="1"/>
  <c r="C6855" i="1"/>
  <c r="A6855" i="1"/>
  <c r="C6854" i="1"/>
  <c r="A6854" i="1"/>
  <c r="C6853" i="1"/>
  <c r="A6853" i="1"/>
  <c r="C6852" i="1"/>
  <c r="A6852" i="1"/>
  <c r="C6851" i="1"/>
  <c r="A6851" i="1"/>
  <c r="C6850" i="1"/>
  <c r="A6850" i="1"/>
  <c r="C6849" i="1"/>
  <c r="A6849" i="1"/>
  <c r="C6848" i="1"/>
  <c r="A6848" i="1"/>
  <c r="C6847" i="1"/>
  <c r="A6847" i="1"/>
  <c r="C6846" i="1"/>
  <c r="A6846" i="1"/>
  <c r="C6845" i="1"/>
  <c r="A6845" i="1"/>
  <c r="C6844" i="1"/>
  <c r="A6844" i="1"/>
  <c r="C6843" i="1"/>
  <c r="A6843" i="1"/>
  <c r="C6842" i="1"/>
  <c r="A6842" i="1"/>
  <c r="C6841" i="1"/>
  <c r="A6841" i="1"/>
  <c r="C6840" i="1"/>
  <c r="A6840" i="1"/>
  <c r="C6839" i="1"/>
  <c r="A6839" i="1"/>
  <c r="C6838" i="1"/>
  <c r="A6838" i="1"/>
  <c r="C6837" i="1"/>
  <c r="A6837" i="1"/>
  <c r="C6836" i="1"/>
  <c r="A6836" i="1"/>
  <c r="C6835" i="1"/>
  <c r="A6835" i="1"/>
  <c r="C6834" i="1"/>
  <c r="A6834" i="1"/>
  <c r="C6833" i="1"/>
  <c r="A6833" i="1"/>
  <c r="C6832" i="1"/>
  <c r="A6832" i="1"/>
  <c r="C6831" i="1"/>
  <c r="A6831" i="1"/>
  <c r="C6830" i="1"/>
  <c r="A6830" i="1"/>
  <c r="C6829" i="1"/>
  <c r="A6829" i="1"/>
  <c r="C6828" i="1"/>
  <c r="A6828" i="1"/>
  <c r="C6827" i="1"/>
  <c r="A6827" i="1"/>
  <c r="C6826" i="1"/>
  <c r="A6826" i="1"/>
  <c r="C6825" i="1"/>
  <c r="A6825" i="1"/>
  <c r="C6824" i="1"/>
  <c r="A6824" i="1"/>
  <c r="C6823" i="1"/>
  <c r="A6823" i="1"/>
  <c r="C6822" i="1"/>
  <c r="A6822" i="1"/>
  <c r="C6821" i="1"/>
  <c r="A6821" i="1"/>
  <c r="C6820" i="1"/>
  <c r="A6820" i="1"/>
  <c r="C6819" i="1"/>
  <c r="A6819" i="1"/>
  <c r="C6818" i="1"/>
  <c r="A6818" i="1"/>
  <c r="C6817" i="1"/>
  <c r="A6817" i="1"/>
  <c r="C6816" i="1"/>
  <c r="A6816" i="1"/>
  <c r="C6815" i="1"/>
  <c r="A6815" i="1"/>
  <c r="C6814" i="1"/>
  <c r="A6814" i="1"/>
  <c r="C6813" i="1"/>
  <c r="A6813" i="1"/>
  <c r="C6812" i="1"/>
  <c r="A6812" i="1"/>
  <c r="C6811" i="1"/>
  <c r="A6811" i="1"/>
  <c r="C6810" i="1"/>
  <c r="A6810" i="1"/>
  <c r="C6809" i="1"/>
  <c r="A6809" i="1"/>
  <c r="C6808" i="1"/>
  <c r="A6808" i="1"/>
  <c r="C6807" i="1"/>
  <c r="A6807" i="1"/>
  <c r="C6806" i="1"/>
  <c r="A6806" i="1"/>
  <c r="C6805" i="1"/>
  <c r="A6805" i="1"/>
  <c r="C6804" i="1"/>
  <c r="A6804" i="1"/>
  <c r="C6803" i="1"/>
  <c r="A6803" i="1"/>
  <c r="C6802" i="1"/>
  <c r="A6802" i="1"/>
  <c r="C6801" i="1"/>
  <c r="A6801" i="1"/>
  <c r="C6800" i="1"/>
  <c r="A6800" i="1"/>
  <c r="C6799" i="1"/>
  <c r="A6799" i="1"/>
  <c r="C6798" i="1"/>
  <c r="A6798" i="1"/>
  <c r="C6797" i="1"/>
  <c r="A6797" i="1"/>
  <c r="C6796" i="1"/>
  <c r="A6796" i="1"/>
  <c r="C6795" i="1"/>
  <c r="A6795" i="1"/>
  <c r="C6794" i="1"/>
  <c r="A6794" i="1"/>
  <c r="C6793" i="1"/>
  <c r="A6793" i="1"/>
  <c r="C6792" i="1"/>
  <c r="A6792" i="1"/>
  <c r="C6791" i="1"/>
  <c r="A6791" i="1"/>
  <c r="C6790" i="1"/>
  <c r="A6790" i="1"/>
  <c r="C6789" i="1"/>
  <c r="A6789" i="1"/>
  <c r="C6788" i="1"/>
  <c r="A6788" i="1"/>
  <c r="C6787" i="1"/>
  <c r="A6787" i="1"/>
  <c r="C6786" i="1"/>
  <c r="A6786" i="1"/>
  <c r="C6785" i="1"/>
  <c r="A6785" i="1"/>
  <c r="C6784" i="1"/>
  <c r="A6784" i="1"/>
  <c r="C6783" i="1"/>
  <c r="A6783" i="1"/>
  <c r="C6782" i="1"/>
  <c r="A6782" i="1"/>
  <c r="C6781" i="1"/>
  <c r="A6781" i="1"/>
  <c r="C6780" i="1"/>
  <c r="A6780" i="1"/>
  <c r="C6779" i="1"/>
  <c r="A6779" i="1"/>
  <c r="C6778" i="1"/>
  <c r="A6778" i="1"/>
  <c r="C6777" i="1"/>
  <c r="A6777" i="1"/>
  <c r="C6776" i="1"/>
  <c r="A6776" i="1"/>
  <c r="C6775" i="1"/>
  <c r="A6775" i="1"/>
  <c r="C6774" i="1"/>
  <c r="A6774" i="1"/>
  <c r="C6773" i="1"/>
  <c r="A6773" i="1"/>
  <c r="C6772" i="1"/>
  <c r="A6772" i="1"/>
  <c r="C6771" i="1"/>
  <c r="A6771" i="1"/>
  <c r="C6770" i="1"/>
  <c r="A6770" i="1"/>
  <c r="C6769" i="1"/>
  <c r="A6769" i="1"/>
  <c r="C6768" i="1"/>
  <c r="A6768" i="1"/>
  <c r="C6767" i="1"/>
  <c r="A6767" i="1"/>
  <c r="C6766" i="1"/>
  <c r="A6766" i="1"/>
  <c r="C6765" i="1"/>
  <c r="A6765" i="1"/>
  <c r="C6764" i="1"/>
  <c r="A6764" i="1"/>
  <c r="C6763" i="1"/>
  <c r="A6763" i="1"/>
  <c r="C6762" i="1"/>
  <c r="A6762" i="1"/>
  <c r="C6761" i="1"/>
  <c r="A6761" i="1"/>
  <c r="C6760" i="1"/>
  <c r="A6760" i="1"/>
  <c r="C6759" i="1"/>
  <c r="A6759" i="1"/>
  <c r="C6758" i="1"/>
  <c r="A6758" i="1"/>
  <c r="C6757" i="1"/>
  <c r="A6757" i="1"/>
  <c r="C6756" i="1"/>
  <c r="A6756" i="1"/>
  <c r="C6755" i="1"/>
  <c r="A6755" i="1"/>
  <c r="C6754" i="1"/>
  <c r="A6754" i="1"/>
  <c r="C6753" i="1"/>
  <c r="A6753" i="1"/>
  <c r="C6752" i="1"/>
  <c r="A6752" i="1"/>
  <c r="C6751" i="1"/>
  <c r="A6751" i="1"/>
  <c r="C6750" i="1"/>
  <c r="A6750" i="1"/>
  <c r="C6749" i="1"/>
  <c r="A6749" i="1"/>
  <c r="C6748" i="1"/>
  <c r="A6748" i="1"/>
  <c r="C6747" i="1"/>
  <c r="A6747" i="1"/>
  <c r="C6746" i="1"/>
  <c r="A6746" i="1"/>
  <c r="C6745" i="1"/>
  <c r="A6745" i="1"/>
  <c r="C6744" i="1"/>
  <c r="A6744" i="1"/>
  <c r="C6743" i="1"/>
  <c r="A6743" i="1"/>
  <c r="C6742" i="1"/>
  <c r="A6742" i="1"/>
  <c r="C6741" i="1"/>
  <c r="A6741" i="1"/>
  <c r="C6740" i="1"/>
  <c r="A6740" i="1"/>
  <c r="C6739" i="1"/>
  <c r="A6739" i="1"/>
  <c r="C6738" i="1"/>
  <c r="A6738" i="1"/>
  <c r="C6737" i="1"/>
  <c r="A6737" i="1"/>
  <c r="C6736" i="1"/>
  <c r="A6736" i="1"/>
  <c r="C6735" i="1"/>
  <c r="A6735" i="1"/>
  <c r="C6734" i="1"/>
  <c r="A6734" i="1"/>
  <c r="C6733" i="1"/>
  <c r="A6733" i="1"/>
  <c r="C6732" i="1"/>
  <c r="A6732" i="1"/>
  <c r="C6731" i="1"/>
  <c r="A6731" i="1"/>
  <c r="C6730" i="1"/>
  <c r="A6730" i="1"/>
  <c r="C6729" i="1"/>
  <c r="A6729" i="1"/>
  <c r="C6728" i="1"/>
  <c r="A6728" i="1"/>
  <c r="C6727" i="1"/>
  <c r="A6727" i="1"/>
  <c r="C6726" i="1"/>
  <c r="A6726" i="1"/>
  <c r="C6725" i="1"/>
  <c r="A6725" i="1"/>
  <c r="C6724" i="1"/>
  <c r="A6724" i="1"/>
  <c r="C6723" i="1"/>
  <c r="A6723" i="1"/>
  <c r="C6722" i="1"/>
  <c r="A6722" i="1"/>
  <c r="C6721" i="1"/>
  <c r="A6721" i="1"/>
  <c r="C6720" i="1"/>
  <c r="A6720" i="1"/>
  <c r="C6719" i="1"/>
  <c r="A6719" i="1"/>
  <c r="C6718" i="1"/>
  <c r="A6718" i="1"/>
  <c r="C6717" i="1"/>
  <c r="A6717" i="1"/>
  <c r="C6716" i="1"/>
  <c r="A6716" i="1"/>
  <c r="C6715" i="1"/>
  <c r="A6715" i="1"/>
  <c r="C6714" i="1"/>
  <c r="A6714" i="1"/>
  <c r="C6713" i="1"/>
  <c r="A6713" i="1"/>
  <c r="C6712" i="1"/>
  <c r="A6712" i="1"/>
  <c r="C6711" i="1"/>
  <c r="A6711" i="1"/>
  <c r="C6710" i="1"/>
  <c r="A6710" i="1"/>
  <c r="C6709" i="1"/>
  <c r="A6709" i="1"/>
  <c r="C6708" i="1"/>
  <c r="A6708" i="1"/>
  <c r="C6707" i="1"/>
  <c r="A6707" i="1"/>
  <c r="C6706" i="1"/>
  <c r="A6706" i="1"/>
  <c r="C6705" i="1"/>
  <c r="A6705" i="1"/>
  <c r="C6704" i="1"/>
  <c r="A6704" i="1"/>
  <c r="C6703" i="1"/>
  <c r="A6703" i="1"/>
  <c r="C6702" i="1"/>
  <c r="A6702" i="1"/>
  <c r="C6701" i="1"/>
  <c r="A6701" i="1"/>
  <c r="C6700" i="1"/>
  <c r="A6700" i="1"/>
  <c r="C6699" i="1"/>
  <c r="A6699" i="1"/>
  <c r="C6698" i="1"/>
  <c r="A6698" i="1"/>
  <c r="C6697" i="1"/>
  <c r="A6697" i="1"/>
  <c r="C6696" i="1"/>
  <c r="A6696" i="1"/>
  <c r="C6695" i="1"/>
  <c r="A6695" i="1"/>
  <c r="C6694" i="1"/>
  <c r="A6694" i="1"/>
  <c r="C6693" i="1"/>
  <c r="A6693" i="1"/>
  <c r="C6692" i="1"/>
  <c r="A6692" i="1"/>
  <c r="C6691" i="1"/>
  <c r="A6691" i="1"/>
  <c r="C6690" i="1"/>
  <c r="A6690" i="1"/>
  <c r="C6689" i="1"/>
  <c r="A6689" i="1"/>
  <c r="C6688" i="1"/>
  <c r="A6688" i="1"/>
  <c r="C6687" i="1"/>
  <c r="A6687" i="1"/>
  <c r="C6686" i="1"/>
  <c r="A6686" i="1"/>
  <c r="C6685" i="1"/>
  <c r="A6685" i="1"/>
  <c r="C6684" i="1"/>
  <c r="A6684" i="1"/>
  <c r="C6683" i="1"/>
  <c r="A6683" i="1"/>
  <c r="C6682" i="1"/>
  <c r="A6682" i="1"/>
  <c r="C6681" i="1"/>
  <c r="A6681" i="1"/>
  <c r="C6680" i="1"/>
  <c r="A6680" i="1"/>
  <c r="C6679" i="1"/>
  <c r="A6679" i="1"/>
  <c r="C6678" i="1"/>
  <c r="A6678" i="1"/>
  <c r="C6677" i="1"/>
  <c r="A6677" i="1"/>
  <c r="C6676" i="1"/>
  <c r="A6676" i="1"/>
  <c r="C6675" i="1"/>
  <c r="A6675" i="1"/>
  <c r="C6674" i="1"/>
  <c r="A6674" i="1"/>
  <c r="C6673" i="1"/>
  <c r="A6673" i="1"/>
  <c r="C6672" i="1"/>
  <c r="A6672" i="1"/>
  <c r="C6671" i="1"/>
  <c r="A6671" i="1"/>
  <c r="C6670" i="1"/>
  <c r="A6670" i="1"/>
  <c r="C6669" i="1"/>
  <c r="A6669" i="1"/>
  <c r="C6668" i="1"/>
  <c r="A6668" i="1"/>
  <c r="C6667" i="1"/>
  <c r="A6667" i="1"/>
  <c r="C6666" i="1"/>
  <c r="A6666" i="1"/>
  <c r="C6665" i="1"/>
  <c r="A6665" i="1"/>
  <c r="C6664" i="1"/>
  <c r="A6664" i="1"/>
  <c r="C6663" i="1"/>
  <c r="A6663" i="1"/>
  <c r="C6662" i="1"/>
  <c r="A6662" i="1"/>
  <c r="C6661" i="1"/>
  <c r="A6661" i="1"/>
  <c r="C6660" i="1"/>
  <c r="A6660" i="1"/>
  <c r="C6659" i="1"/>
  <c r="A6659" i="1"/>
  <c r="C6658" i="1"/>
  <c r="A6658" i="1"/>
  <c r="C6657" i="1"/>
  <c r="A6657" i="1"/>
  <c r="C6656" i="1"/>
  <c r="A6656" i="1"/>
  <c r="C6655" i="1"/>
  <c r="A6655" i="1"/>
  <c r="C6654" i="1"/>
  <c r="A6654" i="1"/>
  <c r="C6653" i="1"/>
  <c r="A6653" i="1"/>
  <c r="C6652" i="1"/>
  <c r="A6652" i="1"/>
  <c r="C6651" i="1"/>
  <c r="A6651" i="1"/>
  <c r="C6650" i="1"/>
  <c r="A6650" i="1"/>
  <c r="C6649" i="1"/>
  <c r="A6649" i="1"/>
  <c r="C6648" i="1"/>
  <c r="A6648" i="1"/>
  <c r="C6647" i="1"/>
  <c r="A6647" i="1"/>
  <c r="C6646" i="1"/>
  <c r="A6646" i="1"/>
  <c r="C6645" i="1"/>
  <c r="A6645" i="1"/>
  <c r="C6644" i="1"/>
  <c r="A6644" i="1"/>
  <c r="C6643" i="1"/>
  <c r="A6643" i="1"/>
  <c r="C6642" i="1"/>
  <c r="A6642" i="1"/>
  <c r="C6641" i="1"/>
  <c r="A6641" i="1"/>
  <c r="C6640" i="1"/>
  <c r="A6640" i="1"/>
  <c r="C6639" i="1"/>
  <c r="A6639" i="1"/>
  <c r="C6638" i="1"/>
  <c r="A6638" i="1"/>
  <c r="C6637" i="1"/>
  <c r="A6637" i="1"/>
  <c r="C6636" i="1"/>
  <c r="A6636" i="1"/>
  <c r="C6635" i="1"/>
  <c r="A6635" i="1"/>
  <c r="C6634" i="1"/>
  <c r="A6634" i="1"/>
  <c r="C6633" i="1"/>
  <c r="A6633" i="1"/>
  <c r="C6632" i="1"/>
  <c r="A6632" i="1"/>
  <c r="C6631" i="1"/>
  <c r="A6631" i="1"/>
  <c r="C6630" i="1"/>
  <c r="A6630" i="1"/>
  <c r="C6629" i="1"/>
  <c r="A6629" i="1"/>
  <c r="C6628" i="1"/>
  <c r="A6628" i="1"/>
  <c r="C6627" i="1"/>
  <c r="A6627" i="1"/>
  <c r="C6626" i="1"/>
  <c r="A6626" i="1"/>
  <c r="C6625" i="1"/>
  <c r="A6625" i="1"/>
  <c r="C6624" i="1"/>
  <c r="A6624" i="1"/>
  <c r="C6623" i="1"/>
  <c r="A6623" i="1"/>
  <c r="C6622" i="1"/>
  <c r="A6622" i="1"/>
  <c r="C6621" i="1"/>
  <c r="A6621" i="1"/>
  <c r="C6620" i="1"/>
  <c r="A6620" i="1"/>
  <c r="C6619" i="1"/>
  <c r="A6619" i="1"/>
  <c r="C6618" i="1"/>
  <c r="A6618" i="1"/>
  <c r="C6617" i="1"/>
  <c r="A6617" i="1"/>
  <c r="C6616" i="1"/>
  <c r="A6616" i="1"/>
  <c r="C6615" i="1"/>
  <c r="A6615" i="1"/>
  <c r="C6614" i="1"/>
  <c r="A6614" i="1"/>
  <c r="C6613" i="1"/>
  <c r="A6613" i="1"/>
  <c r="C6612" i="1"/>
  <c r="A6612" i="1"/>
  <c r="C6611" i="1"/>
  <c r="A6611" i="1"/>
  <c r="C6610" i="1"/>
  <c r="A6610" i="1"/>
  <c r="C6609" i="1"/>
  <c r="A6609" i="1"/>
  <c r="C6608" i="1"/>
  <c r="A6608" i="1"/>
  <c r="C6607" i="1"/>
  <c r="A6607" i="1"/>
  <c r="C6606" i="1"/>
  <c r="A6606" i="1"/>
  <c r="C6605" i="1"/>
  <c r="A6605" i="1"/>
  <c r="C6604" i="1"/>
  <c r="A6604" i="1"/>
  <c r="C6603" i="1"/>
  <c r="A6603" i="1"/>
  <c r="C6602" i="1"/>
  <c r="A6602" i="1"/>
  <c r="C6601" i="1"/>
  <c r="A6601" i="1"/>
  <c r="C6600" i="1"/>
  <c r="A6600" i="1"/>
  <c r="C6599" i="1"/>
  <c r="A6599" i="1"/>
  <c r="C6598" i="1"/>
  <c r="A6598" i="1"/>
  <c r="C6597" i="1"/>
  <c r="A6597" i="1"/>
  <c r="C6596" i="1"/>
  <c r="A6596" i="1"/>
  <c r="C6595" i="1"/>
  <c r="A6595" i="1"/>
  <c r="C6594" i="1"/>
  <c r="A6594" i="1"/>
  <c r="C6593" i="1"/>
  <c r="A6593" i="1"/>
  <c r="C6592" i="1"/>
  <c r="A6592" i="1"/>
  <c r="C6591" i="1"/>
  <c r="A6591" i="1"/>
  <c r="C6590" i="1"/>
  <c r="A6590" i="1"/>
  <c r="C6589" i="1"/>
  <c r="A6589" i="1"/>
  <c r="C6588" i="1"/>
  <c r="A6588" i="1"/>
  <c r="C6587" i="1"/>
  <c r="A6587" i="1"/>
  <c r="C6586" i="1"/>
  <c r="A6586" i="1"/>
  <c r="C6585" i="1"/>
  <c r="A6585" i="1"/>
  <c r="C6584" i="1"/>
  <c r="A6584" i="1"/>
  <c r="C6583" i="1"/>
  <c r="A6583" i="1"/>
  <c r="C6582" i="1"/>
  <c r="A6582" i="1"/>
  <c r="C6581" i="1"/>
  <c r="A6581" i="1"/>
  <c r="C6580" i="1"/>
  <c r="A6580" i="1"/>
  <c r="C6579" i="1"/>
  <c r="A6579" i="1"/>
  <c r="C6578" i="1"/>
  <c r="A6578" i="1"/>
  <c r="C6577" i="1"/>
  <c r="A6577" i="1"/>
  <c r="C6576" i="1"/>
  <c r="A6576" i="1"/>
  <c r="C6575" i="1"/>
  <c r="A6575" i="1"/>
  <c r="C6574" i="1"/>
  <c r="A6574" i="1"/>
  <c r="C6573" i="1"/>
  <c r="A6573" i="1"/>
  <c r="C6572" i="1"/>
  <c r="A6572" i="1"/>
  <c r="C6571" i="1"/>
  <c r="A6571" i="1"/>
  <c r="C6570" i="1"/>
  <c r="A6570" i="1"/>
  <c r="C6569" i="1"/>
  <c r="A6569" i="1"/>
  <c r="C6568" i="1"/>
  <c r="A6568" i="1"/>
  <c r="C6567" i="1"/>
  <c r="A6567" i="1"/>
  <c r="C6566" i="1"/>
  <c r="A6566" i="1"/>
  <c r="C6565" i="1"/>
  <c r="A6565" i="1"/>
  <c r="C6564" i="1"/>
  <c r="A6564" i="1"/>
  <c r="C6563" i="1"/>
  <c r="A6563" i="1"/>
  <c r="C6562" i="1"/>
  <c r="A6562" i="1"/>
  <c r="C6561" i="1"/>
  <c r="A6561" i="1"/>
  <c r="C6560" i="1"/>
  <c r="A6560" i="1"/>
  <c r="C6559" i="1"/>
  <c r="A6559" i="1"/>
  <c r="C6558" i="1"/>
  <c r="A6558" i="1"/>
  <c r="C6557" i="1"/>
  <c r="A6557" i="1"/>
  <c r="C6556" i="1"/>
  <c r="A6556" i="1"/>
  <c r="C6555" i="1"/>
  <c r="A6555" i="1"/>
  <c r="C6554" i="1"/>
  <c r="A6554" i="1"/>
  <c r="C6553" i="1"/>
  <c r="A6553" i="1"/>
  <c r="C6552" i="1"/>
  <c r="A6552" i="1"/>
  <c r="C6551" i="1"/>
  <c r="A6551" i="1"/>
  <c r="C6550" i="1"/>
  <c r="A6550" i="1"/>
  <c r="C6549" i="1"/>
  <c r="A6549" i="1"/>
  <c r="C6548" i="1"/>
  <c r="A6548" i="1"/>
  <c r="C6547" i="1"/>
  <c r="A6547" i="1"/>
  <c r="C6546" i="1"/>
  <c r="A6546" i="1"/>
  <c r="C6545" i="1"/>
  <c r="A6545" i="1"/>
  <c r="C6544" i="1"/>
  <c r="A6544" i="1"/>
  <c r="C6543" i="1"/>
  <c r="A6543" i="1"/>
  <c r="C6542" i="1"/>
  <c r="A6542" i="1"/>
  <c r="C6541" i="1"/>
  <c r="A6541" i="1"/>
  <c r="C6540" i="1"/>
  <c r="A6540" i="1"/>
  <c r="C6539" i="1"/>
  <c r="A6539" i="1"/>
  <c r="C6538" i="1"/>
  <c r="A6538" i="1"/>
  <c r="C6537" i="1"/>
  <c r="A6537" i="1"/>
  <c r="C6536" i="1"/>
  <c r="A6536" i="1"/>
  <c r="C6535" i="1"/>
  <c r="A6535" i="1"/>
  <c r="C6534" i="1"/>
  <c r="A6534" i="1"/>
  <c r="C6533" i="1"/>
  <c r="A6533" i="1"/>
  <c r="C6532" i="1"/>
  <c r="A6532" i="1"/>
  <c r="C6531" i="1"/>
  <c r="A6531" i="1"/>
  <c r="C6530" i="1"/>
  <c r="A6530" i="1"/>
  <c r="C6529" i="1"/>
  <c r="A6529" i="1"/>
  <c r="C6528" i="1"/>
  <c r="A6528" i="1"/>
  <c r="C6527" i="1"/>
  <c r="A6527" i="1"/>
  <c r="C6526" i="1"/>
  <c r="A6526" i="1"/>
  <c r="C6525" i="1"/>
  <c r="A6525" i="1"/>
  <c r="C6524" i="1"/>
  <c r="A6524" i="1"/>
  <c r="C6523" i="1"/>
  <c r="A6523" i="1"/>
  <c r="C6522" i="1"/>
  <c r="A6522" i="1"/>
  <c r="C6521" i="1"/>
  <c r="A6521" i="1"/>
  <c r="C6520" i="1"/>
  <c r="A6520" i="1"/>
  <c r="C6519" i="1"/>
  <c r="A6519" i="1"/>
  <c r="C6518" i="1"/>
  <c r="A6518" i="1"/>
  <c r="C6517" i="1"/>
  <c r="A6517" i="1"/>
  <c r="C6516" i="1"/>
  <c r="A6516" i="1"/>
  <c r="C6515" i="1"/>
  <c r="A6515" i="1"/>
  <c r="C6514" i="1"/>
  <c r="A6514" i="1"/>
  <c r="C6513" i="1"/>
  <c r="A6513" i="1"/>
  <c r="C6512" i="1"/>
  <c r="A6512" i="1"/>
  <c r="C6511" i="1"/>
  <c r="A6511" i="1"/>
  <c r="C6510" i="1"/>
  <c r="A6510" i="1"/>
  <c r="C6509" i="1"/>
  <c r="A6509" i="1"/>
  <c r="C6508" i="1"/>
  <c r="A6508" i="1"/>
  <c r="C6507" i="1"/>
  <c r="A6507" i="1"/>
  <c r="C6506" i="1"/>
  <c r="A6506" i="1"/>
  <c r="C6505" i="1"/>
  <c r="A6505" i="1"/>
  <c r="C6504" i="1"/>
  <c r="A6504" i="1"/>
  <c r="C6503" i="1"/>
  <c r="A6503" i="1"/>
  <c r="C6502" i="1"/>
  <c r="A6502" i="1"/>
  <c r="C6501" i="1"/>
  <c r="A6501" i="1"/>
  <c r="C6500" i="1"/>
  <c r="A6500" i="1"/>
  <c r="C6499" i="1"/>
  <c r="A6499" i="1"/>
  <c r="C6498" i="1"/>
  <c r="A6498" i="1"/>
  <c r="C6497" i="1"/>
  <c r="A6497" i="1"/>
  <c r="C6496" i="1"/>
  <c r="A6496" i="1"/>
  <c r="C6495" i="1"/>
  <c r="A6495" i="1"/>
  <c r="C6494" i="1"/>
  <c r="A6494" i="1"/>
  <c r="C6493" i="1"/>
  <c r="A6493" i="1"/>
  <c r="C6492" i="1"/>
  <c r="A6492" i="1"/>
  <c r="C6491" i="1"/>
  <c r="A6491" i="1"/>
  <c r="C6490" i="1"/>
  <c r="A6490" i="1"/>
  <c r="C6489" i="1"/>
  <c r="A6489" i="1"/>
  <c r="C6488" i="1"/>
  <c r="A6488" i="1"/>
  <c r="C6487" i="1"/>
  <c r="A6487" i="1"/>
  <c r="C6486" i="1"/>
  <c r="A6486" i="1"/>
  <c r="C6485" i="1"/>
  <c r="A6485" i="1"/>
  <c r="C6484" i="1"/>
  <c r="A6484" i="1"/>
  <c r="C6483" i="1"/>
  <c r="A6483" i="1"/>
  <c r="C6482" i="1"/>
  <c r="A6482" i="1"/>
  <c r="C6481" i="1"/>
  <c r="A6481" i="1"/>
  <c r="C6480" i="1"/>
  <c r="A6480" i="1"/>
  <c r="C6479" i="1"/>
  <c r="A6479" i="1"/>
  <c r="C6478" i="1"/>
  <c r="A6478" i="1"/>
  <c r="C6477" i="1"/>
  <c r="A6477" i="1"/>
  <c r="C6476" i="1"/>
  <c r="A6476" i="1"/>
  <c r="C6475" i="1"/>
  <c r="A6475" i="1"/>
  <c r="C6474" i="1"/>
  <c r="A6474" i="1"/>
  <c r="C6473" i="1"/>
  <c r="A6473" i="1"/>
  <c r="C6472" i="1"/>
  <c r="A6472" i="1"/>
  <c r="C6471" i="1"/>
  <c r="A6471" i="1"/>
  <c r="C6470" i="1"/>
  <c r="A6470" i="1"/>
  <c r="C6469" i="1"/>
  <c r="A6469" i="1"/>
  <c r="C6468" i="1"/>
  <c r="A6468" i="1"/>
  <c r="C6467" i="1"/>
  <c r="A6467" i="1"/>
  <c r="C6466" i="1"/>
  <c r="A6466" i="1"/>
  <c r="C6465" i="1"/>
  <c r="A6465" i="1"/>
  <c r="C6464" i="1"/>
  <c r="A6464" i="1"/>
  <c r="C6463" i="1"/>
  <c r="A6463" i="1"/>
  <c r="C6462" i="1"/>
  <c r="A6462" i="1"/>
  <c r="C6461" i="1"/>
  <c r="A6461" i="1"/>
  <c r="C6460" i="1"/>
  <c r="A6460" i="1"/>
  <c r="C6459" i="1"/>
  <c r="A6459" i="1"/>
  <c r="C6458" i="1"/>
  <c r="A6458" i="1"/>
  <c r="C6457" i="1"/>
  <c r="A6457" i="1"/>
  <c r="C6456" i="1"/>
  <c r="A6456" i="1"/>
  <c r="C6455" i="1"/>
  <c r="A6455" i="1"/>
  <c r="C6454" i="1"/>
  <c r="A6454" i="1"/>
  <c r="C6453" i="1"/>
  <c r="A6453" i="1"/>
  <c r="C6452" i="1"/>
  <c r="A6452" i="1"/>
  <c r="C6451" i="1"/>
  <c r="A6451" i="1"/>
  <c r="C6450" i="1"/>
  <c r="A6450" i="1"/>
  <c r="C6449" i="1"/>
  <c r="A6449" i="1"/>
  <c r="C6448" i="1"/>
  <c r="A6448" i="1"/>
  <c r="C6447" i="1"/>
  <c r="A6447" i="1"/>
  <c r="C6446" i="1"/>
  <c r="A6446" i="1"/>
  <c r="C6445" i="1"/>
  <c r="A6445" i="1"/>
  <c r="C6444" i="1"/>
  <c r="A6444" i="1"/>
  <c r="C6443" i="1"/>
  <c r="A6443" i="1"/>
  <c r="C6442" i="1"/>
  <c r="A6442" i="1"/>
  <c r="C6441" i="1"/>
  <c r="A6441" i="1"/>
  <c r="C6440" i="1"/>
  <c r="A6440" i="1"/>
  <c r="C6439" i="1"/>
  <c r="A6439" i="1"/>
  <c r="C6438" i="1"/>
  <c r="A6438" i="1"/>
  <c r="C6437" i="1"/>
  <c r="A6437" i="1"/>
  <c r="C6436" i="1"/>
  <c r="A6436" i="1"/>
  <c r="C6435" i="1"/>
  <c r="A6435" i="1"/>
  <c r="C6434" i="1"/>
  <c r="A6434" i="1"/>
  <c r="C6433" i="1"/>
  <c r="A6433" i="1"/>
  <c r="C6432" i="1"/>
  <c r="A6432" i="1"/>
  <c r="C6431" i="1"/>
  <c r="A6431" i="1"/>
  <c r="C6430" i="1"/>
  <c r="A6430" i="1"/>
  <c r="C6429" i="1"/>
  <c r="A6429" i="1"/>
  <c r="C6428" i="1"/>
  <c r="A6428" i="1"/>
  <c r="C6427" i="1"/>
  <c r="A6427" i="1"/>
  <c r="C6426" i="1"/>
  <c r="A6426" i="1"/>
  <c r="C6425" i="1"/>
  <c r="A6425" i="1"/>
  <c r="C6424" i="1"/>
  <c r="A6424" i="1"/>
  <c r="C6423" i="1"/>
  <c r="A6423" i="1"/>
  <c r="C6422" i="1"/>
  <c r="A6422" i="1"/>
  <c r="C6421" i="1"/>
  <c r="A6421" i="1"/>
  <c r="C6420" i="1"/>
  <c r="A6420" i="1"/>
  <c r="C6419" i="1"/>
  <c r="A6419" i="1"/>
  <c r="C6418" i="1"/>
  <c r="A6418" i="1"/>
  <c r="C6417" i="1"/>
  <c r="A6417" i="1"/>
  <c r="C6416" i="1"/>
  <c r="A6416" i="1"/>
  <c r="C6415" i="1"/>
  <c r="A6415" i="1"/>
  <c r="C6414" i="1"/>
  <c r="A6414" i="1"/>
  <c r="C6413" i="1"/>
  <c r="A6413" i="1"/>
  <c r="C6412" i="1"/>
  <c r="A6412" i="1"/>
  <c r="C6411" i="1"/>
  <c r="A6411" i="1"/>
  <c r="C6410" i="1"/>
  <c r="A6410" i="1"/>
  <c r="C6409" i="1"/>
  <c r="A6409" i="1"/>
  <c r="C6408" i="1"/>
  <c r="A6408" i="1"/>
  <c r="C6407" i="1"/>
  <c r="A6407" i="1"/>
  <c r="C6406" i="1"/>
  <c r="A6406" i="1"/>
  <c r="C6405" i="1"/>
  <c r="A6405" i="1"/>
  <c r="C6404" i="1"/>
  <c r="A6404" i="1"/>
  <c r="C6403" i="1"/>
  <c r="A6403" i="1"/>
  <c r="C6402" i="1"/>
  <c r="A6402" i="1"/>
  <c r="C6401" i="1"/>
  <c r="A6401" i="1"/>
  <c r="C6400" i="1"/>
  <c r="A6400" i="1"/>
  <c r="C6399" i="1"/>
  <c r="A6399" i="1"/>
  <c r="C6398" i="1"/>
  <c r="A6398" i="1"/>
  <c r="C6397" i="1"/>
  <c r="A6397" i="1"/>
  <c r="C6396" i="1"/>
  <c r="A6396" i="1"/>
  <c r="C6395" i="1"/>
  <c r="A6395" i="1"/>
  <c r="C6394" i="1"/>
  <c r="A6394" i="1"/>
  <c r="C6393" i="1"/>
  <c r="A6393" i="1"/>
  <c r="C6392" i="1"/>
  <c r="A6392" i="1"/>
  <c r="C6391" i="1"/>
  <c r="A6391" i="1"/>
  <c r="C6390" i="1"/>
  <c r="A6390" i="1"/>
  <c r="C6389" i="1"/>
  <c r="A6389" i="1"/>
  <c r="C6388" i="1"/>
  <c r="A6388" i="1"/>
  <c r="C6387" i="1"/>
  <c r="A6387" i="1"/>
  <c r="C6386" i="1"/>
  <c r="A6386" i="1"/>
  <c r="C6385" i="1"/>
  <c r="A6385" i="1"/>
  <c r="C6384" i="1"/>
  <c r="A6384" i="1"/>
  <c r="C6383" i="1"/>
  <c r="A6383" i="1"/>
  <c r="C6382" i="1"/>
  <c r="A6382" i="1"/>
  <c r="C6381" i="1"/>
  <c r="A6381" i="1"/>
  <c r="C6380" i="1"/>
  <c r="A6380" i="1"/>
  <c r="C6379" i="1"/>
  <c r="A6379" i="1"/>
  <c r="C6378" i="1"/>
  <c r="A6378" i="1"/>
  <c r="C6377" i="1"/>
  <c r="A6377" i="1"/>
  <c r="C6376" i="1"/>
  <c r="A6376" i="1"/>
  <c r="C6375" i="1"/>
  <c r="A6375" i="1"/>
  <c r="C6374" i="1"/>
  <c r="A6374" i="1"/>
  <c r="C6373" i="1"/>
  <c r="A6373" i="1"/>
  <c r="C6372" i="1"/>
  <c r="A6372" i="1"/>
  <c r="C6371" i="1"/>
  <c r="A6371" i="1"/>
  <c r="C6370" i="1"/>
  <c r="A6370" i="1"/>
  <c r="C6369" i="1"/>
  <c r="A6369" i="1"/>
  <c r="C6368" i="1"/>
  <c r="A6368" i="1"/>
  <c r="C6367" i="1"/>
  <c r="A6367" i="1"/>
  <c r="C6366" i="1"/>
  <c r="A6366" i="1"/>
  <c r="C6365" i="1"/>
  <c r="A6365" i="1"/>
  <c r="C6364" i="1"/>
  <c r="A6364" i="1"/>
  <c r="C6363" i="1"/>
  <c r="A6363" i="1"/>
  <c r="C6362" i="1"/>
  <c r="A6362" i="1"/>
  <c r="C6361" i="1"/>
  <c r="A6361" i="1"/>
  <c r="C6360" i="1"/>
  <c r="A6360" i="1"/>
  <c r="C6359" i="1"/>
  <c r="A6359" i="1"/>
  <c r="C6358" i="1"/>
  <c r="A6358" i="1"/>
  <c r="C6357" i="1"/>
  <c r="A6357" i="1"/>
  <c r="C6356" i="1"/>
  <c r="A6356" i="1"/>
  <c r="C6355" i="1"/>
  <c r="A6355" i="1"/>
  <c r="C6354" i="1"/>
  <c r="A6354" i="1"/>
  <c r="C6353" i="1"/>
  <c r="A6353" i="1"/>
  <c r="C6352" i="1"/>
  <c r="A6352" i="1"/>
  <c r="C6351" i="1"/>
  <c r="A6351" i="1"/>
  <c r="C6350" i="1"/>
  <c r="A6350" i="1"/>
  <c r="C6349" i="1"/>
  <c r="A6349" i="1"/>
  <c r="C6348" i="1"/>
  <c r="A6348" i="1"/>
  <c r="C6347" i="1"/>
  <c r="A6347" i="1"/>
  <c r="C6346" i="1"/>
  <c r="A6346" i="1"/>
  <c r="C6345" i="1"/>
  <c r="A6345" i="1"/>
  <c r="C6344" i="1"/>
  <c r="A6344" i="1"/>
  <c r="C6343" i="1"/>
  <c r="A6343" i="1"/>
  <c r="C6342" i="1"/>
  <c r="A6342" i="1"/>
  <c r="C6341" i="1"/>
  <c r="A6341" i="1"/>
  <c r="C6340" i="1"/>
  <c r="A6340" i="1"/>
  <c r="C6339" i="1"/>
  <c r="A6339" i="1"/>
  <c r="C6338" i="1"/>
  <c r="A6338" i="1"/>
  <c r="C6337" i="1"/>
  <c r="A6337" i="1"/>
  <c r="C6336" i="1"/>
  <c r="A6336" i="1"/>
  <c r="C6335" i="1"/>
  <c r="A6335" i="1"/>
  <c r="C6334" i="1"/>
  <c r="A6334" i="1"/>
  <c r="C6333" i="1"/>
  <c r="A6333" i="1"/>
  <c r="C6332" i="1"/>
  <c r="A6332" i="1"/>
  <c r="C6331" i="1"/>
  <c r="A6331" i="1"/>
  <c r="C6330" i="1"/>
  <c r="A6330" i="1"/>
  <c r="C6329" i="1"/>
  <c r="A6329" i="1"/>
  <c r="C6328" i="1"/>
  <c r="A6328" i="1"/>
  <c r="C6327" i="1"/>
  <c r="A6327" i="1"/>
  <c r="C6326" i="1"/>
  <c r="A6326" i="1"/>
  <c r="C6325" i="1"/>
  <c r="A6325" i="1"/>
  <c r="C6324" i="1"/>
  <c r="A6324" i="1"/>
  <c r="C6323" i="1"/>
  <c r="A6323" i="1"/>
  <c r="C6322" i="1"/>
  <c r="A6322" i="1"/>
  <c r="C6321" i="1"/>
  <c r="A6321" i="1"/>
  <c r="C6320" i="1"/>
  <c r="A6320" i="1"/>
  <c r="C6319" i="1"/>
  <c r="A6319" i="1"/>
  <c r="C6318" i="1"/>
  <c r="A6318" i="1"/>
  <c r="C6317" i="1"/>
  <c r="A6317" i="1"/>
  <c r="C6316" i="1"/>
  <c r="A6316" i="1"/>
  <c r="C6315" i="1"/>
  <c r="A6315" i="1"/>
  <c r="C6314" i="1"/>
  <c r="A6314" i="1"/>
  <c r="C6313" i="1"/>
  <c r="A6313" i="1"/>
  <c r="C6312" i="1"/>
  <c r="A6312" i="1"/>
  <c r="C6311" i="1"/>
  <c r="A6311" i="1"/>
  <c r="C6310" i="1"/>
  <c r="A6310" i="1"/>
  <c r="C6309" i="1"/>
  <c r="A6309" i="1"/>
  <c r="C6308" i="1"/>
  <c r="A6308" i="1"/>
  <c r="C6307" i="1"/>
  <c r="A6307" i="1"/>
  <c r="C6306" i="1"/>
  <c r="A6306" i="1"/>
  <c r="C6305" i="1"/>
  <c r="A6305" i="1"/>
  <c r="C6304" i="1"/>
  <c r="A6304" i="1"/>
  <c r="C6303" i="1"/>
  <c r="A6303" i="1"/>
  <c r="C6302" i="1"/>
  <c r="A6302" i="1"/>
  <c r="C6301" i="1"/>
  <c r="A6301" i="1"/>
  <c r="C6300" i="1"/>
  <c r="A6300" i="1"/>
  <c r="C6299" i="1"/>
  <c r="A6299" i="1"/>
  <c r="C6298" i="1"/>
  <c r="A6298" i="1"/>
  <c r="C6297" i="1"/>
  <c r="A6297" i="1"/>
  <c r="C6296" i="1"/>
  <c r="A6296" i="1"/>
  <c r="C6295" i="1"/>
  <c r="A6295" i="1"/>
  <c r="C6294" i="1"/>
  <c r="A6294" i="1"/>
  <c r="C6293" i="1"/>
  <c r="A6293" i="1"/>
  <c r="C6292" i="1"/>
  <c r="A6292" i="1"/>
  <c r="C6291" i="1"/>
  <c r="A6291" i="1"/>
  <c r="C6290" i="1"/>
  <c r="A6290" i="1"/>
  <c r="C6289" i="1"/>
  <c r="A6289" i="1"/>
  <c r="C6288" i="1"/>
  <c r="A6288" i="1"/>
  <c r="C6287" i="1"/>
  <c r="A6287" i="1"/>
  <c r="C6286" i="1"/>
  <c r="A6286" i="1"/>
  <c r="C6285" i="1"/>
  <c r="A6285" i="1"/>
  <c r="C6284" i="1"/>
  <c r="A6284" i="1"/>
  <c r="C6283" i="1"/>
  <c r="A6283" i="1"/>
  <c r="C6282" i="1"/>
  <c r="A6282" i="1"/>
  <c r="C6281" i="1"/>
  <c r="A6281" i="1"/>
  <c r="C6280" i="1"/>
  <c r="A6280" i="1"/>
  <c r="C6279" i="1"/>
  <c r="A6279" i="1"/>
  <c r="C6278" i="1"/>
  <c r="A6278" i="1"/>
  <c r="C6277" i="1"/>
  <c r="A6277" i="1"/>
  <c r="C6276" i="1"/>
  <c r="A6276" i="1"/>
  <c r="C6275" i="1"/>
  <c r="A6275" i="1"/>
  <c r="C6274" i="1"/>
  <c r="A6274" i="1"/>
  <c r="C6273" i="1"/>
  <c r="A6273" i="1"/>
  <c r="C6272" i="1"/>
  <c r="A6272" i="1"/>
  <c r="C6271" i="1"/>
  <c r="A6271" i="1"/>
  <c r="C6270" i="1"/>
  <c r="A6270" i="1"/>
  <c r="C6269" i="1"/>
  <c r="A6269" i="1"/>
  <c r="C6268" i="1"/>
  <c r="A6268" i="1"/>
  <c r="C6267" i="1"/>
  <c r="A6267" i="1"/>
  <c r="C6266" i="1"/>
  <c r="A6266" i="1"/>
  <c r="C6265" i="1"/>
  <c r="A6265" i="1"/>
  <c r="C6264" i="1"/>
  <c r="A6264" i="1"/>
  <c r="C6263" i="1"/>
  <c r="A6263" i="1"/>
  <c r="C6262" i="1"/>
  <c r="A6262" i="1"/>
  <c r="C6261" i="1"/>
  <c r="A6261" i="1"/>
  <c r="C6260" i="1"/>
  <c r="A6260" i="1"/>
  <c r="C6259" i="1"/>
  <c r="A6259" i="1"/>
  <c r="C6258" i="1"/>
  <c r="A6258" i="1"/>
  <c r="C6257" i="1"/>
  <c r="A6257" i="1"/>
  <c r="C6256" i="1"/>
  <c r="A6256" i="1"/>
  <c r="C6255" i="1"/>
  <c r="A6255" i="1"/>
  <c r="C6254" i="1"/>
  <c r="A6254" i="1"/>
  <c r="C6253" i="1"/>
  <c r="A6253" i="1"/>
  <c r="C6252" i="1"/>
  <c r="A6252" i="1"/>
  <c r="C6251" i="1"/>
  <c r="A6251" i="1"/>
  <c r="C6250" i="1"/>
  <c r="A6250" i="1"/>
  <c r="C6249" i="1"/>
  <c r="A6249" i="1"/>
  <c r="C6248" i="1"/>
  <c r="A6248" i="1"/>
  <c r="C6247" i="1"/>
  <c r="A6247" i="1"/>
  <c r="C6246" i="1"/>
  <c r="A6246" i="1"/>
  <c r="C6245" i="1"/>
  <c r="A6245" i="1"/>
  <c r="C6244" i="1"/>
  <c r="A6244" i="1"/>
  <c r="C6243" i="1"/>
  <c r="A6243" i="1"/>
  <c r="C6242" i="1"/>
  <c r="A6242" i="1"/>
  <c r="C6241" i="1"/>
  <c r="A6241" i="1"/>
  <c r="C6240" i="1"/>
  <c r="A6240" i="1"/>
  <c r="C6239" i="1"/>
  <c r="A6239" i="1"/>
  <c r="C6238" i="1"/>
  <c r="A6238" i="1"/>
  <c r="C6237" i="1"/>
  <c r="A6237" i="1"/>
  <c r="C6236" i="1"/>
  <c r="A6236" i="1"/>
  <c r="C6235" i="1"/>
  <c r="A6235" i="1"/>
  <c r="C6234" i="1"/>
  <c r="A6234" i="1"/>
  <c r="C6233" i="1"/>
  <c r="A6233" i="1"/>
  <c r="C6232" i="1"/>
  <c r="A6232" i="1"/>
  <c r="C6231" i="1"/>
  <c r="A6231" i="1"/>
  <c r="C6230" i="1"/>
  <c r="A6230" i="1"/>
  <c r="C6229" i="1"/>
  <c r="A6229" i="1"/>
  <c r="C6228" i="1"/>
  <c r="A6228" i="1"/>
  <c r="C6227" i="1"/>
  <c r="A6227" i="1"/>
  <c r="C6226" i="1"/>
  <c r="A6226" i="1"/>
  <c r="C6225" i="1"/>
  <c r="A6225" i="1"/>
  <c r="C6224" i="1"/>
  <c r="A6224" i="1"/>
  <c r="C6223" i="1"/>
  <c r="A6223" i="1"/>
  <c r="C6222" i="1"/>
  <c r="A6222" i="1"/>
  <c r="C6221" i="1"/>
  <c r="A6221" i="1"/>
  <c r="C6220" i="1"/>
  <c r="A6220" i="1"/>
  <c r="C6219" i="1"/>
  <c r="A6219" i="1"/>
  <c r="C6218" i="1"/>
  <c r="A6218" i="1"/>
  <c r="C6217" i="1"/>
  <c r="A6217" i="1"/>
  <c r="C6216" i="1"/>
  <c r="A6216" i="1"/>
  <c r="C6215" i="1"/>
  <c r="A6215" i="1"/>
  <c r="C6214" i="1"/>
  <c r="A6214" i="1"/>
  <c r="C6213" i="1"/>
  <c r="A6213" i="1"/>
  <c r="C6212" i="1"/>
  <c r="A6212" i="1"/>
  <c r="C6211" i="1"/>
  <c r="A6211" i="1"/>
  <c r="C6210" i="1"/>
  <c r="A6210" i="1"/>
  <c r="C6209" i="1"/>
  <c r="A6209" i="1"/>
  <c r="C6208" i="1"/>
  <c r="A6208" i="1"/>
  <c r="C6207" i="1"/>
  <c r="A6207" i="1"/>
  <c r="C6206" i="1"/>
  <c r="A6206" i="1"/>
  <c r="C6205" i="1"/>
  <c r="A6205" i="1"/>
  <c r="C6204" i="1"/>
  <c r="A6204" i="1"/>
  <c r="C6203" i="1"/>
  <c r="A6203" i="1"/>
  <c r="C6202" i="1"/>
  <c r="A6202" i="1"/>
  <c r="C6201" i="1"/>
  <c r="A6201" i="1"/>
  <c r="C6200" i="1"/>
  <c r="A6200" i="1"/>
  <c r="C6199" i="1"/>
  <c r="A6199" i="1"/>
  <c r="C6198" i="1"/>
  <c r="A6198" i="1"/>
  <c r="C6197" i="1"/>
  <c r="A6197" i="1"/>
  <c r="C6196" i="1"/>
  <c r="A6196" i="1"/>
  <c r="C6195" i="1"/>
  <c r="A6195" i="1"/>
  <c r="C6194" i="1"/>
  <c r="A6194" i="1"/>
  <c r="C6193" i="1"/>
  <c r="A6193" i="1"/>
  <c r="C6192" i="1"/>
  <c r="A6192" i="1"/>
  <c r="C6191" i="1"/>
  <c r="A6191" i="1"/>
  <c r="C6190" i="1"/>
  <c r="A6190" i="1"/>
  <c r="C6189" i="1"/>
  <c r="A6189" i="1"/>
  <c r="C6188" i="1"/>
  <c r="A6188" i="1"/>
  <c r="C6187" i="1"/>
  <c r="A6187" i="1"/>
  <c r="C6186" i="1"/>
  <c r="A6186" i="1"/>
  <c r="C6185" i="1"/>
  <c r="A6185" i="1"/>
  <c r="C6184" i="1"/>
  <c r="A6184" i="1"/>
  <c r="C6183" i="1"/>
  <c r="A6183" i="1"/>
  <c r="C6182" i="1"/>
  <c r="A6182" i="1"/>
  <c r="C6181" i="1"/>
  <c r="A6181" i="1"/>
  <c r="C6180" i="1"/>
  <c r="A6180" i="1"/>
  <c r="C6179" i="1"/>
  <c r="A6179" i="1"/>
  <c r="C6178" i="1"/>
  <c r="A6178" i="1"/>
  <c r="C6177" i="1"/>
  <c r="A6177" i="1"/>
  <c r="C6176" i="1"/>
  <c r="A6176" i="1"/>
  <c r="C6175" i="1"/>
  <c r="A6175" i="1"/>
  <c r="C6174" i="1"/>
  <c r="A6174" i="1"/>
  <c r="C6173" i="1"/>
  <c r="A6173" i="1"/>
  <c r="C6172" i="1"/>
  <c r="A6172" i="1"/>
  <c r="C6171" i="1"/>
  <c r="A6171" i="1"/>
  <c r="C6170" i="1"/>
  <c r="A6170" i="1"/>
  <c r="C6169" i="1"/>
  <c r="A6169" i="1"/>
  <c r="C6168" i="1"/>
  <c r="A6168" i="1"/>
  <c r="C6167" i="1"/>
  <c r="A6167" i="1"/>
  <c r="C6166" i="1"/>
  <c r="A6166" i="1"/>
  <c r="C6165" i="1"/>
  <c r="A6165" i="1"/>
  <c r="C6164" i="1"/>
  <c r="A6164" i="1"/>
  <c r="C6163" i="1"/>
  <c r="A6163" i="1"/>
  <c r="C6162" i="1"/>
  <c r="A6162" i="1"/>
  <c r="C6161" i="1"/>
  <c r="A6161" i="1"/>
  <c r="C6160" i="1"/>
  <c r="A6160" i="1"/>
  <c r="C6159" i="1"/>
  <c r="A6159" i="1"/>
  <c r="C6158" i="1"/>
  <c r="A6158" i="1"/>
  <c r="C6157" i="1"/>
  <c r="A6157" i="1"/>
  <c r="C6156" i="1"/>
  <c r="A6156" i="1"/>
  <c r="C6155" i="1"/>
  <c r="A6155" i="1"/>
  <c r="C6154" i="1"/>
  <c r="A6154" i="1"/>
  <c r="C6153" i="1"/>
  <c r="A6153" i="1"/>
  <c r="C6152" i="1"/>
  <c r="A6152" i="1"/>
  <c r="C6151" i="1"/>
  <c r="A6151" i="1"/>
  <c r="C6150" i="1"/>
  <c r="A6150" i="1"/>
  <c r="C6149" i="1"/>
  <c r="A6149" i="1"/>
  <c r="C6148" i="1"/>
  <c r="A6148" i="1"/>
  <c r="C6147" i="1"/>
  <c r="A6147" i="1"/>
  <c r="C6146" i="1"/>
  <c r="A6146" i="1"/>
  <c r="C6145" i="1"/>
  <c r="A6145" i="1"/>
  <c r="C6144" i="1"/>
  <c r="A6144" i="1"/>
  <c r="C6143" i="1"/>
  <c r="A6143" i="1"/>
  <c r="C6142" i="1"/>
  <c r="A6142" i="1"/>
  <c r="C6141" i="1"/>
  <c r="A6141" i="1"/>
  <c r="C6140" i="1"/>
  <c r="A6140" i="1"/>
  <c r="C6139" i="1"/>
  <c r="A6139" i="1"/>
  <c r="C6138" i="1"/>
  <c r="A6138" i="1"/>
  <c r="C6137" i="1"/>
  <c r="A6137" i="1"/>
  <c r="C6136" i="1"/>
  <c r="A6136" i="1"/>
  <c r="C6135" i="1"/>
  <c r="A6135" i="1"/>
  <c r="C6134" i="1"/>
  <c r="A6134" i="1"/>
  <c r="C6133" i="1"/>
  <c r="A6133" i="1"/>
  <c r="C6132" i="1"/>
  <c r="A6132" i="1"/>
  <c r="C6131" i="1"/>
  <c r="A6131" i="1"/>
  <c r="C6130" i="1"/>
  <c r="A6130" i="1"/>
  <c r="C6129" i="1"/>
  <c r="A6129" i="1"/>
  <c r="C6128" i="1"/>
  <c r="A6128" i="1"/>
  <c r="C6127" i="1"/>
  <c r="A6127" i="1"/>
  <c r="C6126" i="1"/>
  <c r="A6126" i="1"/>
  <c r="C6125" i="1"/>
  <c r="A6125" i="1"/>
  <c r="C6124" i="1"/>
  <c r="A6124" i="1"/>
  <c r="C6123" i="1"/>
  <c r="A6123" i="1"/>
  <c r="C6122" i="1"/>
  <c r="A6122" i="1"/>
  <c r="C6121" i="1"/>
  <c r="A6121" i="1"/>
  <c r="C6120" i="1"/>
  <c r="A6120" i="1"/>
  <c r="C6119" i="1"/>
  <c r="A6119" i="1"/>
  <c r="C6118" i="1"/>
  <c r="A6118" i="1"/>
  <c r="C6117" i="1"/>
  <c r="A6117" i="1"/>
  <c r="C6116" i="1"/>
  <c r="A6116" i="1"/>
  <c r="C6115" i="1"/>
  <c r="A6115" i="1"/>
  <c r="C6114" i="1"/>
  <c r="A6114" i="1"/>
  <c r="C6113" i="1"/>
  <c r="A6113" i="1"/>
  <c r="C6112" i="1"/>
  <c r="A6112" i="1"/>
  <c r="C6111" i="1"/>
  <c r="A6111" i="1"/>
  <c r="C6110" i="1"/>
  <c r="A6110" i="1"/>
  <c r="C6109" i="1"/>
  <c r="A6109" i="1"/>
  <c r="C6108" i="1"/>
  <c r="A6108" i="1"/>
  <c r="C6107" i="1"/>
  <c r="A6107" i="1"/>
  <c r="C6106" i="1"/>
  <c r="A6106" i="1"/>
  <c r="C6105" i="1"/>
  <c r="A6105" i="1"/>
  <c r="C6104" i="1"/>
  <c r="A6104" i="1"/>
  <c r="C6103" i="1"/>
  <c r="A6103" i="1"/>
  <c r="C6102" i="1"/>
  <c r="A6102" i="1"/>
  <c r="C6101" i="1"/>
  <c r="A6101" i="1"/>
  <c r="C6100" i="1"/>
  <c r="A6100" i="1"/>
  <c r="C6099" i="1"/>
  <c r="A6099" i="1"/>
  <c r="C6098" i="1"/>
  <c r="A6098" i="1"/>
  <c r="C6097" i="1"/>
  <c r="A6097" i="1"/>
  <c r="C6096" i="1"/>
  <c r="A6096" i="1"/>
  <c r="C6095" i="1"/>
  <c r="A6095" i="1"/>
  <c r="C6094" i="1"/>
  <c r="A6094" i="1"/>
  <c r="C6093" i="1"/>
  <c r="A6093" i="1"/>
  <c r="C6092" i="1"/>
  <c r="A6092" i="1"/>
  <c r="C6091" i="1"/>
  <c r="A6091" i="1"/>
  <c r="C6090" i="1"/>
  <c r="A6090" i="1"/>
  <c r="C6089" i="1"/>
  <c r="A6089" i="1"/>
  <c r="C6088" i="1"/>
  <c r="A6088" i="1"/>
  <c r="C6087" i="1"/>
  <c r="A6087" i="1"/>
  <c r="C6086" i="1"/>
  <c r="A6086" i="1"/>
  <c r="C6085" i="1"/>
  <c r="A6085" i="1"/>
  <c r="C6084" i="1"/>
  <c r="A6084" i="1"/>
  <c r="C6083" i="1"/>
  <c r="A6083" i="1"/>
  <c r="C6082" i="1"/>
  <c r="A6082" i="1"/>
  <c r="C6081" i="1"/>
  <c r="A6081" i="1"/>
  <c r="C6080" i="1"/>
  <c r="A6080" i="1"/>
  <c r="C6079" i="1"/>
  <c r="A6079" i="1"/>
  <c r="C6078" i="1"/>
  <c r="A6078" i="1"/>
  <c r="C6077" i="1"/>
  <c r="A6077" i="1"/>
  <c r="C6076" i="1"/>
  <c r="A6076" i="1"/>
  <c r="C6075" i="1"/>
  <c r="A6075" i="1"/>
  <c r="C6074" i="1"/>
  <c r="A6074" i="1"/>
  <c r="C6073" i="1"/>
  <c r="A6073" i="1"/>
  <c r="C6072" i="1"/>
  <c r="A6072" i="1"/>
  <c r="C6071" i="1"/>
  <c r="A6071" i="1"/>
  <c r="C6070" i="1"/>
  <c r="A6070" i="1"/>
  <c r="C6069" i="1"/>
  <c r="A6069" i="1"/>
  <c r="C6068" i="1"/>
  <c r="A6068" i="1"/>
  <c r="C6067" i="1"/>
  <c r="A6067" i="1"/>
  <c r="C6066" i="1"/>
  <c r="A6066" i="1"/>
  <c r="C6065" i="1"/>
  <c r="A6065" i="1"/>
  <c r="C6064" i="1"/>
  <c r="A6064" i="1"/>
  <c r="C6063" i="1"/>
  <c r="A6063" i="1"/>
  <c r="C6062" i="1"/>
  <c r="A6062" i="1"/>
  <c r="C6061" i="1"/>
  <c r="A6061" i="1"/>
  <c r="C6060" i="1"/>
  <c r="A6060" i="1"/>
  <c r="C6059" i="1"/>
  <c r="A6059" i="1"/>
  <c r="C6058" i="1"/>
  <c r="A6058" i="1"/>
  <c r="C6057" i="1"/>
  <c r="A6057" i="1"/>
  <c r="C6056" i="1"/>
  <c r="A6056" i="1"/>
  <c r="C6055" i="1"/>
  <c r="A6055" i="1"/>
  <c r="C6054" i="1"/>
  <c r="A6054" i="1"/>
  <c r="C6053" i="1"/>
  <c r="A6053" i="1"/>
  <c r="C6052" i="1"/>
  <c r="A6052" i="1"/>
  <c r="C6051" i="1"/>
  <c r="A6051" i="1"/>
  <c r="C6050" i="1"/>
  <c r="A6050" i="1"/>
  <c r="C6049" i="1"/>
  <c r="A6049" i="1"/>
  <c r="C6048" i="1"/>
  <c r="A6048" i="1"/>
  <c r="C6047" i="1"/>
  <c r="A6047" i="1"/>
  <c r="C6046" i="1"/>
  <c r="A6046" i="1"/>
  <c r="C6045" i="1"/>
  <c r="A6045" i="1"/>
  <c r="C6044" i="1"/>
  <c r="A6044" i="1"/>
  <c r="C6043" i="1"/>
  <c r="A6043" i="1"/>
  <c r="C6042" i="1"/>
  <c r="A6042" i="1"/>
  <c r="C6041" i="1"/>
  <c r="A6041" i="1"/>
  <c r="C6040" i="1"/>
  <c r="A6040" i="1"/>
  <c r="C6039" i="1"/>
  <c r="A6039" i="1"/>
  <c r="C6038" i="1"/>
  <c r="A6038" i="1"/>
  <c r="C6037" i="1"/>
  <c r="A6037" i="1"/>
  <c r="C6036" i="1"/>
  <c r="A6036" i="1"/>
  <c r="C6035" i="1"/>
  <c r="A6035" i="1"/>
  <c r="C6034" i="1"/>
  <c r="A6034" i="1"/>
  <c r="C6033" i="1"/>
  <c r="A6033" i="1"/>
  <c r="C6032" i="1"/>
  <c r="A6032" i="1"/>
  <c r="C6031" i="1"/>
  <c r="A6031" i="1"/>
  <c r="C6030" i="1"/>
  <c r="A6030" i="1"/>
  <c r="C6029" i="1"/>
  <c r="A6029" i="1"/>
  <c r="C6028" i="1"/>
  <c r="A6028" i="1"/>
  <c r="C6027" i="1"/>
  <c r="A6027" i="1"/>
  <c r="C6026" i="1"/>
  <c r="A6026" i="1"/>
  <c r="C6025" i="1"/>
  <c r="A6025" i="1"/>
  <c r="C6024" i="1"/>
  <c r="A6024" i="1"/>
  <c r="C6023" i="1"/>
  <c r="A6023" i="1"/>
  <c r="C6022" i="1"/>
  <c r="A6022" i="1"/>
  <c r="C6021" i="1"/>
  <c r="A6021" i="1"/>
  <c r="C6020" i="1"/>
  <c r="A6020" i="1"/>
  <c r="C6019" i="1"/>
  <c r="A6019" i="1"/>
  <c r="C6018" i="1"/>
  <c r="A6018" i="1"/>
  <c r="C6017" i="1"/>
  <c r="A6017" i="1"/>
  <c r="C6016" i="1"/>
  <c r="A6016" i="1"/>
  <c r="C6015" i="1"/>
  <c r="A6015" i="1"/>
  <c r="C6014" i="1"/>
  <c r="A6014" i="1"/>
  <c r="C6013" i="1"/>
  <c r="A6013" i="1"/>
  <c r="C6012" i="1"/>
  <c r="A6012" i="1"/>
  <c r="C6011" i="1"/>
  <c r="A6011" i="1"/>
  <c r="C6010" i="1"/>
  <c r="A6010" i="1"/>
  <c r="C6009" i="1"/>
  <c r="A6009" i="1"/>
  <c r="C6008" i="1"/>
  <c r="A6008" i="1"/>
  <c r="C6007" i="1"/>
  <c r="A6007" i="1"/>
  <c r="C6006" i="1"/>
  <c r="A6006" i="1"/>
  <c r="C6005" i="1"/>
  <c r="A6005" i="1"/>
  <c r="C6004" i="1"/>
  <c r="A6004" i="1"/>
  <c r="C6003" i="1"/>
  <c r="A6003" i="1"/>
  <c r="C6002" i="1"/>
  <c r="A6002" i="1"/>
  <c r="C6001" i="1"/>
  <c r="A6001" i="1"/>
  <c r="C6000" i="1"/>
  <c r="A6000" i="1"/>
  <c r="C5999" i="1"/>
  <c r="A5999" i="1"/>
  <c r="C5998" i="1"/>
  <c r="A5998" i="1"/>
  <c r="C5997" i="1"/>
  <c r="A5997" i="1"/>
  <c r="C5996" i="1"/>
  <c r="A5996" i="1"/>
  <c r="C5995" i="1"/>
  <c r="A5995" i="1"/>
  <c r="C5994" i="1"/>
  <c r="A5994" i="1"/>
  <c r="C5993" i="1"/>
  <c r="A5993" i="1"/>
  <c r="C5992" i="1"/>
  <c r="A5992" i="1"/>
  <c r="C5991" i="1"/>
  <c r="A5991" i="1"/>
  <c r="C5990" i="1"/>
  <c r="A5990" i="1"/>
  <c r="C5989" i="1"/>
  <c r="A5989" i="1"/>
  <c r="C5988" i="1"/>
  <c r="A5988" i="1"/>
  <c r="C5987" i="1"/>
  <c r="A5987" i="1"/>
  <c r="C5986" i="1"/>
  <c r="A5986" i="1"/>
  <c r="C5985" i="1"/>
  <c r="A5985" i="1"/>
  <c r="C5984" i="1"/>
  <c r="A5984" i="1"/>
  <c r="C5983" i="1"/>
  <c r="A5983" i="1"/>
  <c r="C5982" i="1"/>
  <c r="A5982" i="1"/>
  <c r="C5981" i="1"/>
  <c r="A5981" i="1"/>
  <c r="C5980" i="1"/>
  <c r="A5980" i="1"/>
  <c r="C5979" i="1"/>
  <c r="A5979" i="1"/>
  <c r="C5978" i="1"/>
  <c r="A5978" i="1"/>
  <c r="C5977" i="1"/>
  <c r="A5977" i="1"/>
  <c r="C5976" i="1"/>
  <c r="A5976" i="1"/>
  <c r="C5975" i="1"/>
  <c r="A5975" i="1"/>
  <c r="C5974" i="1"/>
  <c r="A5974" i="1"/>
  <c r="C5973" i="1"/>
  <c r="A5973" i="1"/>
  <c r="C5972" i="1"/>
  <c r="A5972" i="1"/>
  <c r="C5971" i="1"/>
  <c r="A5971" i="1"/>
  <c r="C5970" i="1"/>
  <c r="A5970" i="1"/>
  <c r="C5969" i="1"/>
  <c r="A5969" i="1"/>
  <c r="C5968" i="1"/>
  <c r="A5968" i="1"/>
  <c r="C5967" i="1"/>
  <c r="A5967" i="1"/>
  <c r="C5966" i="1"/>
  <c r="A5966" i="1"/>
  <c r="C5965" i="1"/>
  <c r="A5965" i="1"/>
  <c r="C5964" i="1"/>
  <c r="A5964" i="1"/>
  <c r="C5963" i="1"/>
  <c r="A5963" i="1"/>
  <c r="C5962" i="1"/>
  <c r="A5962" i="1"/>
  <c r="C5961" i="1"/>
  <c r="A5961" i="1"/>
  <c r="C5960" i="1"/>
  <c r="A5960" i="1"/>
  <c r="C5959" i="1"/>
  <c r="A5959" i="1"/>
  <c r="C5958" i="1"/>
  <c r="A5958" i="1"/>
  <c r="C5957" i="1"/>
  <c r="A5957" i="1"/>
  <c r="C5956" i="1"/>
  <c r="A5956" i="1"/>
  <c r="C5955" i="1"/>
  <c r="A5955" i="1"/>
  <c r="C5954" i="1"/>
  <c r="A5954" i="1"/>
  <c r="C5953" i="1"/>
  <c r="A5953" i="1"/>
  <c r="C5952" i="1"/>
  <c r="A5952" i="1"/>
  <c r="C5951" i="1"/>
  <c r="A5951" i="1"/>
  <c r="C5950" i="1"/>
  <c r="A5950" i="1"/>
  <c r="C5949" i="1"/>
  <c r="A5949" i="1"/>
  <c r="C5948" i="1"/>
  <c r="A5948" i="1"/>
  <c r="C5947" i="1"/>
  <c r="A5947" i="1"/>
  <c r="C5946" i="1"/>
  <c r="A5946" i="1"/>
  <c r="C5945" i="1"/>
  <c r="A5945" i="1"/>
  <c r="C5944" i="1"/>
  <c r="A5944" i="1"/>
  <c r="C5943" i="1"/>
  <c r="A5943" i="1"/>
  <c r="C5942" i="1"/>
  <c r="A5942" i="1"/>
  <c r="C5941" i="1"/>
  <c r="A5941" i="1"/>
  <c r="C5940" i="1"/>
  <c r="A5940" i="1"/>
  <c r="C5939" i="1"/>
  <c r="A5939" i="1"/>
  <c r="C5938" i="1"/>
  <c r="A5938" i="1"/>
  <c r="C5937" i="1"/>
  <c r="A5937" i="1"/>
  <c r="C5936" i="1"/>
  <c r="A5936" i="1"/>
  <c r="C5935" i="1"/>
  <c r="A5935" i="1"/>
  <c r="C5934" i="1"/>
  <c r="A5934" i="1"/>
  <c r="C5933" i="1"/>
  <c r="A5933" i="1"/>
  <c r="C5932" i="1"/>
  <c r="A5932" i="1"/>
  <c r="C5931" i="1"/>
  <c r="A5931" i="1"/>
  <c r="C5930" i="1"/>
  <c r="A5930" i="1"/>
  <c r="C5929" i="1"/>
  <c r="A5929" i="1"/>
  <c r="C5928" i="1"/>
  <c r="A5928" i="1"/>
  <c r="C5927" i="1"/>
  <c r="A5927" i="1"/>
  <c r="C5926" i="1"/>
  <c r="A5926" i="1"/>
  <c r="C5925" i="1"/>
  <c r="A5925" i="1"/>
  <c r="C5924" i="1"/>
  <c r="A5924" i="1"/>
  <c r="C5923" i="1"/>
  <c r="A5923" i="1"/>
  <c r="C5922" i="1"/>
  <c r="A5922" i="1"/>
  <c r="C5921" i="1"/>
  <c r="A5921" i="1"/>
  <c r="C5920" i="1"/>
  <c r="A5920" i="1"/>
  <c r="C5919" i="1"/>
  <c r="A5919" i="1"/>
  <c r="C5918" i="1"/>
  <c r="A5918" i="1"/>
  <c r="C5917" i="1"/>
  <c r="A5917" i="1"/>
  <c r="C5916" i="1"/>
  <c r="A5916" i="1"/>
  <c r="C5915" i="1"/>
  <c r="A5915" i="1"/>
  <c r="C5914" i="1"/>
  <c r="A5914" i="1"/>
  <c r="C5913" i="1"/>
  <c r="A5913" i="1"/>
  <c r="C5912" i="1"/>
  <c r="A5912" i="1"/>
  <c r="C5911" i="1"/>
  <c r="A5911" i="1"/>
  <c r="C5910" i="1"/>
  <c r="A5910" i="1"/>
  <c r="C5909" i="1"/>
  <c r="A5909" i="1"/>
  <c r="C5908" i="1"/>
  <c r="A5908" i="1"/>
  <c r="C5907" i="1"/>
  <c r="A5907" i="1"/>
  <c r="C5906" i="1"/>
  <c r="A5906" i="1"/>
  <c r="C5905" i="1"/>
  <c r="A5905" i="1"/>
  <c r="C5904" i="1"/>
  <c r="A5904" i="1"/>
  <c r="C5903" i="1"/>
  <c r="A5903" i="1"/>
  <c r="C5902" i="1"/>
  <c r="A5902" i="1"/>
  <c r="C5901" i="1"/>
  <c r="A5901" i="1"/>
  <c r="C5900" i="1"/>
  <c r="A5900" i="1"/>
  <c r="C5899" i="1"/>
  <c r="A5899" i="1"/>
  <c r="C5898" i="1"/>
  <c r="A5898" i="1"/>
  <c r="C5897" i="1"/>
  <c r="A5897" i="1"/>
  <c r="C5896" i="1"/>
  <c r="A5896" i="1"/>
  <c r="C5895" i="1"/>
  <c r="A5895" i="1"/>
  <c r="C5894" i="1"/>
  <c r="A5894" i="1"/>
  <c r="C5893" i="1"/>
  <c r="A5893" i="1"/>
  <c r="C5892" i="1"/>
  <c r="A5892" i="1"/>
  <c r="C5891" i="1"/>
  <c r="A5891" i="1"/>
  <c r="C5890" i="1"/>
  <c r="A5890" i="1"/>
  <c r="C5889" i="1"/>
  <c r="A5889" i="1"/>
  <c r="C5888" i="1"/>
  <c r="A5888" i="1"/>
  <c r="C5887" i="1"/>
  <c r="A5887" i="1"/>
  <c r="C5886" i="1"/>
  <c r="A5886" i="1"/>
  <c r="C5885" i="1"/>
  <c r="A5885" i="1"/>
  <c r="C5884" i="1"/>
  <c r="A5884" i="1"/>
  <c r="C5883" i="1"/>
  <c r="A5883" i="1"/>
  <c r="C5882" i="1"/>
  <c r="A5882" i="1"/>
  <c r="C5881" i="1"/>
  <c r="A5881" i="1"/>
  <c r="C5880" i="1"/>
  <c r="A5880" i="1"/>
  <c r="C5879" i="1"/>
  <c r="A5879" i="1"/>
  <c r="C5878" i="1"/>
  <c r="A5878" i="1"/>
  <c r="C5877" i="1"/>
  <c r="A5877" i="1"/>
  <c r="C5876" i="1"/>
  <c r="A5876" i="1"/>
  <c r="C5875" i="1"/>
  <c r="A5875" i="1"/>
  <c r="C5874" i="1"/>
  <c r="A5874" i="1"/>
  <c r="C5873" i="1"/>
  <c r="A5873" i="1"/>
  <c r="C5872" i="1"/>
  <c r="A5872" i="1"/>
  <c r="C5871" i="1"/>
  <c r="A5871" i="1"/>
  <c r="C5870" i="1"/>
  <c r="A5870" i="1"/>
  <c r="C5869" i="1"/>
  <c r="A5869" i="1"/>
  <c r="C5868" i="1"/>
  <c r="A5868" i="1"/>
  <c r="C5867" i="1"/>
  <c r="A5867" i="1"/>
  <c r="C5866" i="1"/>
  <c r="A5866" i="1"/>
  <c r="C5865" i="1"/>
  <c r="A5865" i="1"/>
  <c r="C5864" i="1"/>
  <c r="A5864" i="1"/>
  <c r="C5863" i="1"/>
  <c r="A5863" i="1"/>
  <c r="C5862" i="1"/>
  <c r="A5862" i="1"/>
  <c r="C5861" i="1"/>
  <c r="A5861" i="1"/>
  <c r="C5860" i="1"/>
  <c r="A5860" i="1"/>
  <c r="C5859" i="1"/>
  <c r="A5859" i="1"/>
  <c r="C5858" i="1"/>
  <c r="A5858" i="1"/>
  <c r="C5857" i="1"/>
  <c r="A5857" i="1"/>
  <c r="C5856" i="1"/>
  <c r="A5856" i="1"/>
  <c r="C5855" i="1"/>
  <c r="A5855" i="1"/>
  <c r="C5854" i="1"/>
  <c r="A5854" i="1"/>
  <c r="C5853" i="1"/>
  <c r="A5853" i="1"/>
  <c r="C5852" i="1"/>
  <c r="A5852" i="1"/>
  <c r="C5851" i="1"/>
  <c r="A5851" i="1"/>
  <c r="C5850" i="1"/>
  <c r="A5850" i="1"/>
  <c r="C5849" i="1"/>
  <c r="A5849" i="1"/>
  <c r="C5848" i="1"/>
  <c r="A5848" i="1"/>
  <c r="C5847" i="1"/>
  <c r="A5847" i="1"/>
  <c r="C5846" i="1"/>
  <c r="A5846" i="1"/>
  <c r="C5845" i="1"/>
  <c r="A5845" i="1"/>
  <c r="C5844" i="1"/>
  <c r="A5844" i="1"/>
  <c r="C5843" i="1"/>
  <c r="A5843" i="1"/>
  <c r="C5842" i="1"/>
  <c r="A5842" i="1"/>
  <c r="C5841" i="1"/>
  <c r="A5841" i="1"/>
  <c r="C5840" i="1"/>
  <c r="A5840" i="1"/>
  <c r="C5839" i="1"/>
  <c r="A5839" i="1"/>
  <c r="C5838" i="1"/>
  <c r="A5838" i="1"/>
  <c r="C5837" i="1"/>
  <c r="A5837" i="1"/>
  <c r="C5836" i="1"/>
  <c r="A5836" i="1"/>
  <c r="C5835" i="1"/>
  <c r="A5835" i="1"/>
  <c r="C5834" i="1"/>
  <c r="A5834" i="1"/>
  <c r="C5833" i="1"/>
  <c r="A5833" i="1"/>
  <c r="C5832" i="1"/>
  <c r="A5832" i="1"/>
  <c r="C5831" i="1"/>
  <c r="A5831" i="1"/>
  <c r="C5830" i="1"/>
  <c r="A5830" i="1"/>
  <c r="C5829" i="1"/>
  <c r="A5829" i="1"/>
  <c r="C5828" i="1"/>
  <c r="A5828" i="1"/>
  <c r="C5827" i="1"/>
  <c r="A5827" i="1"/>
  <c r="C5826" i="1"/>
  <c r="A5826" i="1"/>
  <c r="C5825" i="1"/>
  <c r="A5825" i="1"/>
  <c r="C5824" i="1"/>
  <c r="A5824" i="1"/>
  <c r="C5823" i="1"/>
  <c r="A5823" i="1"/>
  <c r="C5822" i="1"/>
  <c r="A5822" i="1"/>
  <c r="C5821" i="1"/>
  <c r="A5821" i="1"/>
  <c r="C5820" i="1"/>
  <c r="A5820" i="1"/>
  <c r="C5819" i="1"/>
  <c r="A5819" i="1"/>
  <c r="C5818" i="1"/>
  <c r="A5818" i="1"/>
  <c r="C5817" i="1"/>
  <c r="A5817" i="1"/>
  <c r="C5816" i="1"/>
  <c r="A5816" i="1"/>
  <c r="C5815" i="1"/>
  <c r="A5815" i="1"/>
  <c r="C5814" i="1"/>
  <c r="A5814" i="1"/>
  <c r="C5813" i="1"/>
  <c r="A5813" i="1"/>
  <c r="C5812" i="1"/>
  <c r="A5812" i="1"/>
  <c r="C5811" i="1"/>
  <c r="A5811" i="1"/>
  <c r="C5810" i="1"/>
  <c r="A5810" i="1"/>
  <c r="C5809" i="1"/>
  <c r="A5809" i="1"/>
  <c r="C5808" i="1"/>
  <c r="A5808" i="1"/>
  <c r="C5807" i="1"/>
  <c r="A5807" i="1"/>
  <c r="C5806" i="1"/>
  <c r="A5806" i="1"/>
  <c r="C5805" i="1"/>
  <c r="A5805" i="1"/>
  <c r="C5804" i="1"/>
  <c r="A5804" i="1"/>
  <c r="C5803" i="1"/>
  <c r="A5803" i="1"/>
  <c r="C5802" i="1"/>
  <c r="A5802" i="1"/>
  <c r="C5801" i="1"/>
  <c r="A5801" i="1"/>
  <c r="C5800" i="1"/>
  <c r="A5800" i="1"/>
  <c r="C5799" i="1"/>
  <c r="A5799" i="1"/>
  <c r="C5798" i="1"/>
  <c r="A5798" i="1"/>
  <c r="C5797" i="1"/>
  <c r="A5797" i="1"/>
  <c r="C5796" i="1"/>
  <c r="A5796" i="1"/>
  <c r="C5795" i="1"/>
  <c r="A5795" i="1"/>
  <c r="C5794" i="1"/>
  <c r="A5794" i="1"/>
  <c r="C5793" i="1"/>
  <c r="A5793" i="1"/>
  <c r="C5792" i="1"/>
  <c r="A5792" i="1"/>
  <c r="C5791" i="1"/>
  <c r="A5791" i="1"/>
  <c r="C5790" i="1"/>
  <c r="A5790" i="1"/>
  <c r="C5789" i="1"/>
  <c r="A5789" i="1"/>
  <c r="C5788" i="1"/>
  <c r="A5788" i="1"/>
  <c r="C5787" i="1"/>
  <c r="A5787" i="1"/>
  <c r="C5786" i="1"/>
  <c r="A5786" i="1"/>
  <c r="C5785" i="1"/>
  <c r="A5785" i="1"/>
  <c r="C5784" i="1"/>
  <c r="A5784" i="1"/>
  <c r="C5783" i="1"/>
  <c r="A5783" i="1"/>
  <c r="C5782" i="1"/>
  <c r="A5782" i="1"/>
  <c r="C5781" i="1"/>
  <c r="A5781" i="1"/>
  <c r="C5780" i="1"/>
  <c r="A5780" i="1"/>
  <c r="C5779" i="1"/>
  <c r="A5779" i="1"/>
  <c r="C5778" i="1"/>
  <c r="A5778" i="1"/>
  <c r="C5777" i="1"/>
  <c r="A5777" i="1"/>
  <c r="C5776" i="1"/>
  <c r="A5776" i="1"/>
  <c r="C5775" i="1"/>
  <c r="A5775" i="1"/>
  <c r="C5774" i="1"/>
  <c r="A5774" i="1"/>
  <c r="C5773" i="1"/>
  <c r="A5773" i="1"/>
  <c r="C5772" i="1"/>
  <c r="A5772" i="1"/>
  <c r="C5771" i="1"/>
  <c r="A5771" i="1"/>
  <c r="C5770" i="1"/>
  <c r="A5770" i="1"/>
  <c r="C5769" i="1"/>
  <c r="A5769" i="1"/>
  <c r="C5768" i="1"/>
  <c r="A5768" i="1"/>
  <c r="C5767" i="1"/>
  <c r="A5767" i="1"/>
  <c r="C5766" i="1"/>
  <c r="A5766" i="1"/>
  <c r="C5765" i="1"/>
  <c r="A5765" i="1"/>
  <c r="C5764" i="1"/>
  <c r="A5764" i="1"/>
  <c r="C5763" i="1"/>
  <c r="A5763" i="1"/>
  <c r="C5762" i="1"/>
  <c r="A5762" i="1"/>
  <c r="C5761" i="1"/>
  <c r="A5761" i="1"/>
  <c r="C5760" i="1"/>
  <c r="A5760" i="1"/>
  <c r="C5759" i="1"/>
  <c r="A5759" i="1"/>
  <c r="C5758" i="1"/>
  <c r="A5758" i="1"/>
  <c r="C5757" i="1"/>
  <c r="A5757" i="1"/>
  <c r="C5756" i="1"/>
  <c r="A5756" i="1"/>
  <c r="C5755" i="1"/>
  <c r="A5755" i="1"/>
  <c r="C5754" i="1"/>
  <c r="A5754" i="1"/>
  <c r="C5753" i="1"/>
  <c r="A5753" i="1"/>
  <c r="C5752" i="1"/>
  <c r="A5752" i="1"/>
  <c r="C5751" i="1"/>
  <c r="A5751" i="1"/>
  <c r="C5750" i="1"/>
  <c r="A5750" i="1"/>
  <c r="C5749" i="1"/>
  <c r="A5749" i="1"/>
  <c r="C5748" i="1"/>
  <c r="A5748" i="1"/>
  <c r="C5747" i="1"/>
  <c r="A5747" i="1"/>
  <c r="C5746" i="1"/>
  <c r="A5746" i="1"/>
  <c r="C5745" i="1"/>
  <c r="A5745" i="1"/>
  <c r="C5744" i="1"/>
  <c r="A5744" i="1"/>
  <c r="C5743" i="1"/>
  <c r="A5743" i="1"/>
  <c r="C5742" i="1"/>
  <c r="A5742" i="1"/>
  <c r="C5741" i="1"/>
  <c r="A5741" i="1"/>
  <c r="C5740" i="1"/>
  <c r="A5740" i="1"/>
  <c r="C5739" i="1"/>
  <c r="A5739" i="1"/>
  <c r="C5738" i="1"/>
  <c r="A5738" i="1"/>
  <c r="C5737" i="1"/>
  <c r="A5737" i="1"/>
  <c r="C5736" i="1"/>
  <c r="A5736" i="1"/>
  <c r="C5735" i="1"/>
  <c r="A5735" i="1"/>
  <c r="C5734" i="1"/>
  <c r="A5734" i="1"/>
  <c r="C5733" i="1"/>
  <c r="A5733" i="1"/>
  <c r="C5732" i="1"/>
  <c r="A5732" i="1"/>
  <c r="C5731" i="1"/>
  <c r="A5731" i="1"/>
  <c r="C5730" i="1"/>
  <c r="A5730" i="1"/>
  <c r="C5729" i="1"/>
  <c r="A5729" i="1"/>
  <c r="C5728" i="1"/>
  <c r="A5728" i="1"/>
  <c r="C5727" i="1"/>
  <c r="A5727" i="1"/>
  <c r="C5726" i="1"/>
  <c r="A5726" i="1"/>
  <c r="C5725" i="1"/>
  <c r="A5725" i="1"/>
  <c r="C5724" i="1"/>
  <c r="A5724" i="1"/>
  <c r="C5723" i="1"/>
  <c r="A5723" i="1"/>
  <c r="C5722" i="1"/>
  <c r="A5722" i="1"/>
  <c r="C5721" i="1"/>
  <c r="A5721" i="1"/>
  <c r="C5720" i="1"/>
  <c r="A5720" i="1"/>
  <c r="C5719" i="1"/>
  <c r="A5719" i="1"/>
  <c r="C5718" i="1"/>
  <c r="A5718" i="1"/>
  <c r="C5717" i="1"/>
  <c r="A5717" i="1"/>
  <c r="C5716" i="1"/>
  <c r="A5716" i="1"/>
  <c r="C5715" i="1"/>
  <c r="A5715" i="1"/>
  <c r="C5714" i="1"/>
  <c r="A5714" i="1"/>
  <c r="C5713" i="1"/>
  <c r="A5713" i="1"/>
  <c r="C5712" i="1"/>
  <c r="A5712" i="1"/>
  <c r="C5711" i="1"/>
  <c r="A5711" i="1"/>
  <c r="C5710" i="1"/>
  <c r="A5710" i="1"/>
  <c r="C5709" i="1"/>
  <c r="A5709" i="1"/>
  <c r="C5708" i="1"/>
  <c r="A5708" i="1"/>
  <c r="C5707" i="1"/>
  <c r="A5707" i="1"/>
  <c r="C5706" i="1"/>
  <c r="A5706" i="1"/>
  <c r="C5705" i="1"/>
  <c r="A5705" i="1"/>
  <c r="C5704" i="1"/>
  <c r="A5704" i="1"/>
  <c r="C5703" i="1"/>
  <c r="A5703" i="1"/>
  <c r="C5702" i="1"/>
  <c r="A5702" i="1"/>
  <c r="C5701" i="1"/>
  <c r="A5701" i="1"/>
  <c r="C5700" i="1"/>
  <c r="A5700" i="1"/>
  <c r="C5699" i="1"/>
  <c r="A5699" i="1"/>
  <c r="C5698" i="1"/>
  <c r="A5698" i="1"/>
  <c r="C5697" i="1"/>
  <c r="A5697" i="1"/>
  <c r="C5696" i="1"/>
  <c r="A5696" i="1"/>
  <c r="C5695" i="1"/>
  <c r="A5695" i="1"/>
  <c r="C5694" i="1"/>
  <c r="A5694" i="1"/>
  <c r="C5693" i="1"/>
  <c r="A5693" i="1"/>
  <c r="C5692" i="1"/>
  <c r="A5692" i="1"/>
  <c r="C5691" i="1"/>
  <c r="A5691" i="1"/>
  <c r="C5690" i="1"/>
  <c r="A5690" i="1"/>
  <c r="C5689" i="1"/>
  <c r="A5689" i="1"/>
  <c r="C5688" i="1"/>
  <c r="A5688" i="1"/>
  <c r="C5687" i="1"/>
  <c r="A5687" i="1"/>
  <c r="C5686" i="1"/>
  <c r="A5686" i="1"/>
  <c r="C5685" i="1"/>
  <c r="A5685" i="1"/>
  <c r="C5684" i="1"/>
  <c r="A5684" i="1"/>
  <c r="C5683" i="1"/>
  <c r="A5683" i="1"/>
  <c r="C5682" i="1"/>
  <c r="A5682" i="1"/>
  <c r="C5681" i="1"/>
  <c r="A5681" i="1"/>
  <c r="C5680" i="1"/>
  <c r="A5680" i="1"/>
  <c r="C5679" i="1"/>
  <c r="A5679" i="1"/>
  <c r="C5678" i="1"/>
  <c r="A5678" i="1"/>
  <c r="C5677" i="1"/>
  <c r="A5677" i="1"/>
  <c r="C5676" i="1"/>
  <c r="A5676" i="1"/>
  <c r="C5675" i="1"/>
  <c r="A5675" i="1"/>
  <c r="C5674" i="1"/>
  <c r="A5674" i="1"/>
  <c r="C5673" i="1"/>
  <c r="A5673" i="1"/>
  <c r="C5672" i="1"/>
  <c r="A5672" i="1"/>
  <c r="C5671" i="1"/>
  <c r="A5671" i="1"/>
  <c r="C5670" i="1"/>
  <c r="A5670" i="1"/>
  <c r="C5669" i="1"/>
  <c r="A5669" i="1"/>
  <c r="C5668" i="1"/>
  <c r="A5668" i="1"/>
  <c r="C5667" i="1"/>
  <c r="A5667" i="1"/>
  <c r="C5666" i="1"/>
  <c r="A5666" i="1"/>
  <c r="C5665" i="1"/>
  <c r="A5665" i="1"/>
  <c r="C5664" i="1"/>
  <c r="A5664" i="1"/>
  <c r="C5663" i="1"/>
  <c r="A5663" i="1"/>
  <c r="C5662" i="1"/>
  <c r="A5662" i="1"/>
  <c r="C5661" i="1"/>
  <c r="A5661" i="1"/>
  <c r="C5660" i="1"/>
  <c r="A5660" i="1"/>
  <c r="C5659" i="1"/>
  <c r="A5659" i="1"/>
  <c r="C5658" i="1"/>
  <c r="A5658" i="1"/>
  <c r="C5657" i="1"/>
  <c r="A5657" i="1"/>
  <c r="C5656" i="1"/>
  <c r="A5656" i="1"/>
  <c r="C5655" i="1"/>
  <c r="A5655" i="1"/>
  <c r="C5654" i="1"/>
  <c r="A5654" i="1"/>
  <c r="C5653" i="1"/>
  <c r="A5653" i="1"/>
  <c r="C5652" i="1"/>
  <c r="A5652" i="1"/>
  <c r="C5651" i="1"/>
  <c r="A5651" i="1"/>
  <c r="C5650" i="1"/>
  <c r="A5650" i="1"/>
  <c r="C5649" i="1"/>
  <c r="A5649" i="1"/>
  <c r="C5648" i="1"/>
  <c r="A5648" i="1"/>
  <c r="C5647" i="1"/>
  <c r="A5647" i="1"/>
  <c r="C5646" i="1"/>
  <c r="A5646" i="1"/>
  <c r="C5645" i="1"/>
  <c r="A5645" i="1"/>
  <c r="C5644" i="1"/>
  <c r="A5644" i="1"/>
  <c r="C5643" i="1"/>
  <c r="A5643" i="1"/>
  <c r="C5642" i="1"/>
  <c r="A5642" i="1"/>
  <c r="C5641" i="1"/>
  <c r="A5641" i="1"/>
  <c r="C5640" i="1"/>
  <c r="A5640" i="1"/>
  <c r="C5639" i="1"/>
  <c r="A5639" i="1"/>
  <c r="C5638" i="1"/>
  <c r="A5638" i="1"/>
  <c r="C5637" i="1"/>
  <c r="A5637" i="1"/>
  <c r="C5636" i="1"/>
  <c r="A5636" i="1"/>
  <c r="C5635" i="1"/>
  <c r="A5635" i="1"/>
  <c r="C5634" i="1"/>
  <c r="A5634" i="1"/>
  <c r="C5633" i="1"/>
  <c r="A5633" i="1"/>
  <c r="C5632" i="1"/>
  <c r="A5632" i="1"/>
  <c r="C5631" i="1"/>
  <c r="A5631" i="1"/>
  <c r="C5630" i="1"/>
  <c r="A5630" i="1"/>
  <c r="C5629" i="1"/>
  <c r="A5629" i="1"/>
  <c r="C5628" i="1"/>
  <c r="A5628" i="1"/>
  <c r="C5627" i="1"/>
  <c r="A5627" i="1"/>
  <c r="C5626" i="1"/>
  <c r="A5626" i="1"/>
  <c r="C5625" i="1"/>
  <c r="A5625" i="1"/>
  <c r="C5624" i="1"/>
  <c r="A5624" i="1"/>
  <c r="C5623" i="1"/>
  <c r="A5623" i="1"/>
  <c r="C5622" i="1"/>
  <c r="A5622" i="1"/>
  <c r="C5621" i="1"/>
  <c r="A5621" i="1"/>
  <c r="C5620" i="1"/>
  <c r="A5620" i="1"/>
  <c r="C5619" i="1"/>
  <c r="A5619" i="1"/>
  <c r="C5618" i="1"/>
  <c r="A5618" i="1"/>
  <c r="C5617" i="1"/>
  <c r="A5617" i="1"/>
  <c r="C5616" i="1"/>
  <c r="A5616" i="1"/>
  <c r="C5615" i="1"/>
  <c r="A5615" i="1"/>
  <c r="C5614" i="1"/>
  <c r="A5614" i="1"/>
  <c r="C5613" i="1"/>
  <c r="A5613" i="1"/>
  <c r="C5612" i="1"/>
  <c r="A5612" i="1"/>
  <c r="C5611" i="1"/>
  <c r="A5611" i="1"/>
  <c r="C5610" i="1"/>
  <c r="A5610" i="1"/>
  <c r="C5609" i="1"/>
  <c r="A5609" i="1"/>
  <c r="C5608" i="1"/>
  <c r="A5608" i="1"/>
  <c r="C5607" i="1"/>
  <c r="A5607" i="1"/>
  <c r="C5606" i="1"/>
  <c r="A5606" i="1"/>
  <c r="C5605" i="1"/>
  <c r="A5605" i="1"/>
  <c r="C5604" i="1"/>
  <c r="A5604" i="1"/>
  <c r="C5603" i="1"/>
  <c r="A5603" i="1"/>
  <c r="C5602" i="1"/>
  <c r="A5602" i="1"/>
  <c r="C5601" i="1"/>
  <c r="A5601" i="1"/>
  <c r="C5600" i="1"/>
  <c r="A5600" i="1"/>
  <c r="C5599" i="1"/>
  <c r="A5599" i="1"/>
  <c r="C5598" i="1"/>
  <c r="A5598" i="1"/>
  <c r="C5597" i="1"/>
  <c r="A5597" i="1"/>
  <c r="C5596" i="1"/>
  <c r="A5596" i="1"/>
  <c r="C5595" i="1"/>
  <c r="A5595" i="1"/>
  <c r="C5594" i="1"/>
  <c r="A5594" i="1"/>
  <c r="C5593" i="1"/>
  <c r="A5593" i="1"/>
  <c r="C5592" i="1"/>
  <c r="A5592" i="1"/>
  <c r="C5591" i="1"/>
  <c r="A5591" i="1"/>
  <c r="C5590" i="1"/>
  <c r="A5590" i="1"/>
  <c r="C5589" i="1"/>
  <c r="A5589" i="1"/>
  <c r="C5588" i="1"/>
  <c r="A5588" i="1"/>
  <c r="C5587" i="1"/>
  <c r="A5587" i="1"/>
  <c r="C5586" i="1"/>
  <c r="A5586" i="1"/>
  <c r="C5585" i="1"/>
  <c r="A5585" i="1"/>
  <c r="C5584" i="1"/>
  <c r="A5584" i="1"/>
  <c r="C5583" i="1"/>
  <c r="A5583" i="1"/>
  <c r="C5582" i="1"/>
  <c r="A5582" i="1"/>
  <c r="C5581" i="1"/>
  <c r="A5581" i="1"/>
  <c r="C5580" i="1"/>
  <c r="A5580" i="1"/>
  <c r="C5579" i="1"/>
  <c r="A5579" i="1"/>
  <c r="C5578" i="1"/>
  <c r="A5578" i="1"/>
  <c r="C5577" i="1"/>
  <c r="A5577" i="1"/>
  <c r="C5576" i="1"/>
  <c r="A5576" i="1"/>
  <c r="C5575" i="1"/>
  <c r="A5575" i="1"/>
  <c r="C5574" i="1"/>
  <c r="A5574" i="1"/>
  <c r="C5573" i="1"/>
  <c r="A5573" i="1"/>
  <c r="C5572" i="1"/>
  <c r="A5572" i="1"/>
  <c r="C5571" i="1"/>
  <c r="A5571" i="1"/>
  <c r="C5570" i="1"/>
  <c r="A5570" i="1"/>
  <c r="C5569" i="1"/>
  <c r="A5569" i="1"/>
  <c r="C5568" i="1"/>
  <c r="A5568" i="1"/>
  <c r="C5567" i="1"/>
  <c r="A5567" i="1"/>
  <c r="C5566" i="1"/>
  <c r="A5566" i="1"/>
  <c r="C5565" i="1"/>
  <c r="A5565" i="1"/>
  <c r="C5564" i="1"/>
  <c r="A5564" i="1"/>
  <c r="C5563" i="1"/>
  <c r="A5563" i="1"/>
  <c r="C5562" i="1"/>
  <c r="A5562" i="1"/>
  <c r="C5561" i="1"/>
  <c r="A5561" i="1"/>
  <c r="C5560" i="1"/>
  <c r="A5560" i="1"/>
  <c r="C5559" i="1"/>
  <c r="A5559" i="1"/>
  <c r="C5558" i="1"/>
  <c r="A5558" i="1"/>
  <c r="C5557" i="1"/>
  <c r="A5557" i="1"/>
  <c r="C5556" i="1"/>
  <c r="A5556" i="1"/>
  <c r="C5555" i="1"/>
  <c r="A5555" i="1"/>
  <c r="C5554" i="1"/>
  <c r="A5554" i="1"/>
  <c r="C5553" i="1"/>
  <c r="A5553" i="1"/>
  <c r="C5552" i="1"/>
  <c r="A5552" i="1"/>
  <c r="C5551" i="1"/>
  <c r="A5551" i="1"/>
  <c r="C5550" i="1"/>
  <c r="A5550" i="1"/>
  <c r="C5549" i="1"/>
  <c r="A5549" i="1"/>
  <c r="C5548" i="1"/>
  <c r="A5548" i="1"/>
  <c r="C5547" i="1"/>
  <c r="A5547" i="1"/>
  <c r="C5546" i="1"/>
  <c r="A5546" i="1"/>
  <c r="C5545" i="1"/>
  <c r="A5545" i="1"/>
  <c r="C5544" i="1"/>
  <c r="A5544" i="1"/>
  <c r="C5543" i="1"/>
  <c r="A5543" i="1"/>
  <c r="C5542" i="1"/>
  <c r="A5542" i="1"/>
  <c r="C5541" i="1"/>
  <c r="A5541" i="1"/>
  <c r="C5540" i="1"/>
  <c r="A5540" i="1"/>
  <c r="C5539" i="1"/>
  <c r="A5539" i="1"/>
  <c r="C5538" i="1"/>
  <c r="A5538" i="1"/>
  <c r="C5537" i="1"/>
  <c r="A5537" i="1"/>
  <c r="C5536" i="1"/>
  <c r="A5536" i="1"/>
  <c r="C5535" i="1"/>
  <c r="A5535" i="1"/>
  <c r="C5534" i="1"/>
  <c r="A5534" i="1"/>
  <c r="C5533" i="1"/>
  <c r="A5533" i="1"/>
  <c r="C5532" i="1"/>
  <c r="A5532" i="1"/>
  <c r="C5531" i="1"/>
  <c r="A5531" i="1"/>
  <c r="C5530" i="1"/>
  <c r="A5530" i="1"/>
  <c r="C5529" i="1"/>
  <c r="A5529" i="1"/>
  <c r="C5528" i="1"/>
  <c r="A5528" i="1"/>
  <c r="C5527" i="1"/>
  <c r="A5527" i="1"/>
  <c r="C5526" i="1"/>
  <c r="A5526" i="1"/>
  <c r="C5525" i="1"/>
  <c r="A5525" i="1"/>
  <c r="C5524" i="1"/>
  <c r="A5524" i="1"/>
  <c r="C5523" i="1"/>
  <c r="A5523" i="1"/>
  <c r="C5522" i="1"/>
  <c r="A5522" i="1"/>
  <c r="C5521" i="1"/>
  <c r="A5521" i="1"/>
  <c r="C5520" i="1"/>
  <c r="A5520" i="1"/>
  <c r="C5519" i="1"/>
  <c r="A5519" i="1"/>
  <c r="C5518" i="1"/>
  <c r="A5518" i="1"/>
  <c r="C5517" i="1"/>
  <c r="A5517" i="1"/>
  <c r="C5516" i="1"/>
  <c r="A5516" i="1"/>
  <c r="C5515" i="1"/>
  <c r="A5515" i="1"/>
  <c r="C5514" i="1"/>
  <c r="A5514" i="1"/>
  <c r="C5513" i="1"/>
  <c r="A5513" i="1"/>
  <c r="C5512" i="1"/>
  <c r="A5512" i="1"/>
  <c r="C5511" i="1"/>
  <c r="A5511" i="1"/>
  <c r="C5510" i="1"/>
  <c r="A5510" i="1"/>
  <c r="C5509" i="1"/>
  <c r="A5509" i="1"/>
  <c r="C5508" i="1"/>
  <c r="A5508" i="1"/>
  <c r="C5507" i="1"/>
  <c r="A5507" i="1"/>
  <c r="C5506" i="1"/>
  <c r="A5506" i="1"/>
  <c r="C5505" i="1"/>
  <c r="A5505" i="1"/>
  <c r="C5504" i="1"/>
  <c r="A5504" i="1"/>
  <c r="C5503" i="1"/>
  <c r="A5503" i="1"/>
  <c r="C5502" i="1"/>
  <c r="A5502" i="1"/>
  <c r="C5501" i="1"/>
  <c r="A5501" i="1"/>
  <c r="C5500" i="1"/>
  <c r="A5500" i="1"/>
  <c r="C5499" i="1"/>
  <c r="A5499" i="1"/>
  <c r="C5498" i="1"/>
  <c r="A5498" i="1"/>
  <c r="C5497" i="1"/>
  <c r="A5497" i="1"/>
  <c r="C5496" i="1"/>
  <c r="A5496" i="1"/>
  <c r="C5495" i="1"/>
  <c r="A5495" i="1"/>
  <c r="C5494" i="1"/>
  <c r="A5494" i="1"/>
  <c r="C5493" i="1"/>
  <c r="A5493" i="1"/>
  <c r="C5492" i="1"/>
  <c r="A5492" i="1"/>
  <c r="C5491" i="1"/>
  <c r="A5491" i="1"/>
  <c r="C5490" i="1"/>
  <c r="A5490" i="1"/>
  <c r="C5489" i="1"/>
  <c r="A5489" i="1"/>
  <c r="C5488" i="1"/>
  <c r="A5488" i="1"/>
  <c r="C5487" i="1"/>
  <c r="A5487" i="1"/>
  <c r="C5486" i="1"/>
  <c r="A5486" i="1"/>
  <c r="C5485" i="1"/>
  <c r="A5485" i="1"/>
  <c r="C5484" i="1"/>
  <c r="A5484" i="1"/>
  <c r="C5483" i="1"/>
  <c r="A5483" i="1"/>
  <c r="C5482" i="1"/>
  <c r="A5482" i="1"/>
  <c r="C5481" i="1"/>
  <c r="A5481" i="1"/>
  <c r="C5480" i="1"/>
  <c r="A5480" i="1"/>
  <c r="C5479" i="1"/>
  <c r="A5479" i="1"/>
  <c r="C5478" i="1"/>
  <c r="A5478" i="1"/>
  <c r="C5477" i="1"/>
  <c r="A5477" i="1"/>
  <c r="C5476" i="1"/>
  <c r="A5476" i="1"/>
  <c r="C5475" i="1"/>
  <c r="A5475" i="1"/>
  <c r="C5474" i="1"/>
  <c r="A5474" i="1"/>
  <c r="C5473" i="1"/>
  <c r="A5473" i="1"/>
  <c r="C5472" i="1"/>
  <c r="A5472" i="1"/>
  <c r="C5471" i="1"/>
  <c r="A5471" i="1"/>
  <c r="C5470" i="1"/>
  <c r="A5470" i="1"/>
  <c r="C5469" i="1"/>
  <c r="A5469" i="1"/>
  <c r="C5468" i="1"/>
  <c r="A5468" i="1"/>
  <c r="C5467" i="1"/>
  <c r="A5467" i="1"/>
  <c r="C5466" i="1"/>
  <c r="A5466" i="1"/>
  <c r="C5465" i="1"/>
  <c r="A5465" i="1"/>
  <c r="C5464" i="1"/>
  <c r="A5464" i="1"/>
  <c r="C5463" i="1"/>
  <c r="A5463" i="1"/>
  <c r="C5462" i="1"/>
  <c r="A5462" i="1"/>
  <c r="C5461" i="1"/>
  <c r="A5461" i="1"/>
  <c r="C5460" i="1"/>
  <c r="A5460" i="1"/>
  <c r="C5459" i="1"/>
  <c r="A5459" i="1"/>
  <c r="C5458" i="1"/>
  <c r="A5458" i="1"/>
  <c r="C5457" i="1"/>
  <c r="A5457" i="1"/>
  <c r="C5456" i="1"/>
  <c r="A5456" i="1"/>
  <c r="C5455" i="1"/>
  <c r="A5455" i="1"/>
  <c r="C5454" i="1"/>
  <c r="A5454" i="1"/>
  <c r="C5453" i="1"/>
  <c r="A5453" i="1"/>
  <c r="C5452" i="1"/>
  <c r="A5452" i="1"/>
  <c r="C5451" i="1"/>
  <c r="A5451" i="1"/>
  <c r="C5450" i="1"/>
  <c r="A5450" i="1"/>
  <c r="C5449" i="1"/>
  <c r="A5449" i="1"/>
  <c r="C5448" i="1"/>
  <c r="A5448" i="1"/>
  <c r="C5447" i="1"/>
  <c r="A5447" i="1"/>
  <c r="C5446" i="1"/>
  <c r="A5446" i="1"/>
  <c r="C5445" i="1"/>
  <c r="A5445" i="1"/>
  <c r="C5444" i="1"/>
  <c r="A5444" i="1"/>
  <c r="C5443" i="1"/>
  <c r="A5443" i="1"/>
  <c r="C5442" i="1"/>
  <c r="A5442" i="1"/>
  <c r="C5441" i="1"/>
  <c r="A5441" i="1"/>
  <c r="C5440" i="1"/>
  <c r="A5440" i="1"/>
  <c r="C5439" i="1"/>
  <c r="A5439" i="1"/>
  <c r="C5438" i="1"/>
  <c r="A5438" i="1"/>
  <c r="C5437" i="1"/>
  <c r="A5437" i="1"/>
  <c r="C5436" i="1"/>
  <c r="A5436" i="1"/>
  <c r="C5435" i="1"/>
  <c r="A5435" i="1"/>
  <c r="C5434" i="1"/>
  <c r="A5434" i="1"/>
  <c r="C5433" i="1"/>
  <c r="A5433" i="1"/>
  <c r="C5432" i="1"/>
  <c r="A5432" i="1"/>
  <c r="C5431" i="1"/>
  <c r="A5431" i="1"/>
  <c r="C5430" i="1"/>
  <c r="A5430" i="1"/>
  <c r="C5429" i="1"/>
  <c r="A5429" i="1"/>
  <c r="C5428" i="1"/>
  <c r="A5428" i="1"/>
  <c r="C5427" i="1"/>
  <c r="A5427" i="1"/>
  <c r="C5426" i="1"/>
  <c r="A5426" i="1"/>
  <c r="C5425" i="1"/>
  <c r="A5425" i="1"/>
  <c r="C5424" i="1"/>
  <c r="A5424" i="1"/>
  <c r="C5423" i="1"/>
  <c r="A5423" i="1"/>
  <c r="C5422" i="1"/>
  <c r="A5422" i="1"/>
  <c r="C5421" i="1"/>
  <c r="A5421" i="1"/>
  <c r="C5420" i="1"/>
  <c r="A5420" i="1"/>
  <c r="C5419" i="1"/>
  <c r="A5419" i="1"/>
  <c r="C5418" i="1"/>
  <c r="A5418" i="1"/>
  <c r="C5417" i="1"/>
  <c r="A5417" i="1"/>
  <c r="C5416" i="1"/>
  <c r="A5416" i="1"/>
  <c r="C5415" i="1"/>
  <c r="A5415" i="1"/>
  <c r="C5414" i="1"/>
  <c r="A5414" i="1"/>
  <c r="C5413" i="1"/>
  <c r="A5413" i="1"/>
  <c r="C5412" i="1"/>
  <c r="A5412" i="1"/>
  <c r="C5411" i="1"/>
  <c r="A5411" i="1"/>
  <c r="C5410" i="1"/>
  <c r="A5410" i="1"/>
  <c r="C5409" i="1"/>
  <c r="A5409" i="1"/>
  <c r="C5408" i="1"/>
  <c r="A5408" i="1"/>
  <c r="C5407" i="1"/>
  <c r="A5407" i="1"/>
  <c r="C5406" i="1"/>
  <c r="A5406" i="1"/>
  <c r="C5405" i="1"/>
  <c r="A5405" i="1"/>
  <c r="C5404" i="1"/>
  <c r="A5404" i="1"/>
  <c r="C5403" i="1"/>
  <c r="A5403" i="1"/>
  <c r="C5402" i="1"/>
  <c r="A5402" i="1"/>
  <c r="C5401" i="1"/>
  <c r="A5401" i="1"/>
  <c r="C5400" i="1"/>
  <c r="A5400" i="1"/>
  <c r="C5399" i="1"/>
  <c r="A5399" i="1"/>
  <c r="C5398" i="1"/>
  <c r="A5398" i="1"/>
  <c r="C5397" i="1"/>
  <c r="A5397" i="1"/>
  <c r="C5396" i="1"/>
  <c r="A5396" i="1"/>
  <c r="C5395" i="1"/>
  <c r="A5395" i="1"/>
  <c r="C5394" i="1"/>
  <c r="A5394" i="1"/>
  <c r="C5393" i="1"/>
  <c r="A5393" i="1"/>
  <c r="C5392" i="1"/>
  <c r="A5392" i="1"/>
  <c r="C5391" i="1"/>
  <c r="A5391" i="1"/>
  <c r="C5390" i="1"/>
  <c r="A5390" i="1"/>
  <c r="C5389" i="1"/>
  <c r="A5389" i="1"/>
  <c r="C5388" i="1"/>
  <c r="A5388" i="1"/>
  <c r="C5387" i="1"/>
  <c r="A5387" i="1"/>
  <c r="C5386" i="1"/>
  <c r="A5386" i="1"/>
  <c r="C5385" i="1"/>
  <c r="A5385" i="1"/>
  <c r="C5384" i="1"/>
  <c r="A5384" i="1"/>
  <c r="C5383" i="1"/>
  <c r="A5383" i="1"/>
  <c r="C5382" i="1"/>
  <c r="A5382" i="1"/>
  <c r="C5381" i="1"/>
  <c r="A5381" i="1"/>
  <c r="C5380" i="1"/>
  <c r="A5380" i="1"/>
  <c r="C5379" i="1"/>
  <c r="A5379" i="1"/>
  <c r="C5378" i="1"/>
  <c r="A5378" i="1"/>
  <c r="C5377" i="1"/>
  <c r="A5377" i="1"/>
  <c r="C5376" i="1"/>
  <c r="A5376" i="1"/>
  <c r="C5375" i="1"/>
  <c r="A5375" i="1"/>
  <c r="C5374" i="1"/>
  <c r="A5374" i="1"/>
  <c r="C5373" i="1"/>
  <c r="A5373" i="1"/>
  <c r="C5372" i="1"/>
  <c r="A5372" i="1"/>
  <c r="C5371" i="1"/>
  <c r="A5371" i="1"/>
  <c r="C5370" i="1"/>
  <c r="A5370" i="1"/>
  <c r="C5369" i="1"/>
  <c r="A5369" i="1"/>
  <c r="C5368" i="1"/>
  <c r="A5368" i="1"/>
  <c r="C5367" i="1"/>
  <c r="A5367" i="1"/>
  <c r="C5366" i="1"/>
  <c r="A5366" i="1"/>
  <c r="C5365" i="1"/>
  <c r="A5365" i="1"/>
  <c r="C5364" i="1"/>
  <c r="A5364" i="1"/>
  <c r="C5363" i="1"/>
  <c r="A5363" i="1"/>
  <c r="C5362" i="1"/>
  <c r="A5362" i="1"/>
  <c r="C5361" i="1"/>
  <c r="A5361" i="1"/>
  <c r="C5360" i="1"/>
  <c r="A5360" i="1"/>
  <c r="C5359" i="1"/>
  <c r="A5359" i="1"/>
  <c r="C5358" i="1"/>
  <c r="A5358" i="1"/>
  <c r="C5357" i="1"/>
  <c r="A5357" i="1"/>
  <c r="C5356" i="1"/>
  <c r="A5356" i="1"/>
  <c r="C5355" i="1"/>
  <c r="A5355" i="1"/>
  <c r="C5354" i="1"/>
  <c r="A5354" i="1"/>
  <c r="C5353" i="1"/>
  <c r="A5353" i="1"/>
  <c r="C5352" i="1"/>
  <c r="A5352" i="1"/>
  <c r="C5351" i="1"/>
  <c r="A5351" i="1"/>
  <c r="C5350" i="1"/>
  <c r="A5350" i="1"/>
  <c r="C5349" i="1"/>
  <c r="A5349" i="1"/>
  <c r="C5348" i="1"/>
  <c r="A5348" i="1"/>
  <c r="C5347" i="1"/>
  <c r="A5347" i="1"/>
  <c r="C5346" i="1"/>
  <c r="A5346" i="1"/>
  <c r="C5345" i="1"/>
  <c r="A5345" i="1"/>
  <c r="C5344" i="1"/>
  <c r="A5344" i="1"/>
  <c r="C5343" i="1"/>
  <c r="A5343" i="1"/>
  <c r="C5342" i="1"/>
  <c r="A5342" i="1"/>
  <c r="C5341" i="1"/>
  <c r="A5341" i="1"/>
  <c r="C5340" i="1"/>
  <c r="A5340" i="1"/>
  <c r="C5339" i="1"/>
  <c r="A5339" i="1"/>
  <c r="C5338" i="1"/>
  <c r="A5338" i="1"/>
  <c r="C5337" i="1"/>
  <c r="A5337" i="1"/>
  <c r="C5336" i="1"/>
  <c r="A5336" i="1"/>
  <c r="C5335" i="1"/>
  <c r="A5335" i="1"/>
  <c r="C5334" i="1"/>
  <c r="A5334" i="1"/>
  <c r="C5333" i="1"/>
  <c r="A5333" i="1"/>
  <c r="C5332" i="1"/>
  <c r="A5332" i="1"/>
  <c r="C5331" i="1"/>
  <c r="A5331" i="1"/>
  <c r="C5330" i="1"/>
  <c r="A5330" i="1"/>
  <c r="C5329" i="1"/>
  <c r="A5329" i="1"/>
  <c r="C5328" i="1"/>
  <c r="A5328" i="1"/>
  <c r="C5327" i="1"/>
  <c r="A5327" i="1"/>
  <c r="C5326" i="1"/>
  <c r="A5326" i="1"/>
  <c r="C5325" i="1"/>
  <c r="A5325" i="1"/>
  <c r="C5324" i="1"/>
  <c r="A5324" i="1"/>
  <c r="C5323" i="1"/>
  <c r="A5323" i="1"/>
  <c r="C5322" i="1"/>
  <c r="A5322" i="1"/>
  <c r="C5321" i="1"/>
  <c r="A5321" i="1"/>
  <c r="C5320" i="1"/>
  <c r="A5320" i="1"/>
  <c r="C5319" i="1"/>
  <c r="A5319" i="1"/>
  <c r="C5318" i="1"/>
  <c r="A5318" i="1"/>
  <c r="C5317" i="1"/>
  <c r="A5317" i="1"/>
  <c r="C5316" i="1"/>
  <c r="A5316" i="1"/>
  <c r="C5315" i="1"/>
  <c r="A5315" i="1"/>
  <c r="C5314" i="1"/>
  <c r="A5314" i="1"/>
  <c r="C5313" i="1"/>
  <c r="A5313" i="1"/>
  <c r="C5312" i="1"/>
  <c r="A5312" i="1"/>
  <c r="C5311" i="1"/>
  <c r="A5311" i="1"/>
  <c r="C5310" i="1"/>
  <c r="A5310" i="1"/>
  <c r="C5309" i="1"/>
  <c r="A5309" i="1"/>
  <c r="C5308" i="1"/>
  <c r="A5308" i="1"/>
  <c r="C5307" i="1"/>
  <c r="A5307" i="1"/>
  <c r="C5306" i="1"/>
  <c r="A5306" i="1"/>
  <c r="C5305" i="1"/>
  <c r="A5305" i="1"/>
  <c r="C5304" i="1"/>
  <c r="A5304" i="1"/>
  <c r="C5303" i="1"/>
  <c r="A5303" i="1"/>
  <c r="C5302" i="1"/>
  <c r="A5302" i="1"/>
  <c r="C5301" i="1"/>
  <c r="A5301" i="1"/>
  <c r="C5300" i="1"/>
  <c r="A5300" i="1"/>
  <c r="C5299" i="1"/>
  <c r="A5299" i="1"/>
  <c r="C5298" i="1"/>
  <c r="A5298" i="1"/>
  <c r="C5297" i="1"/>
  <c r="A5297" i="1"/>
  <c r="C5296" i="1"/>
  <c r="A5296" i="1"/>
  <c r="C5295" i="1"/>
  <c r="A5295" i="1"/>
  <c r="C5294" i="1"/>
  <c r="A5294" i="1"/>
  <c r="C5293" i="1"/>
  <c r="A5293" i="1"/>
  <c r="C5292" i="1"/>
  <c r="A5292" i="1"/>
  <c r="C5291" i="1"/>
  <c r="A5291" i="1"/>
  <c r="C5290" i="1"/>
  <c r="A5290" i="1"/>
  <c r="C5289" i="1"/>
  <c r="A5289" i="1"/>
  <c r="C5288" i="1"/>
  <c r="A5288" i="1"/>
  <c r="C5287" i="1"/>
  <c r="A5287" i="1"/>
  <c r="C5286" i="1"/>
  <c r="A5286" i="1"/>
  <c r="C5285" i="1"/>
  <c r="A5285" i="1"/>
  <c r="C5284" i="1"/>
  <c r="A5284" i="1"/>
  <c r="C5283" i="1"/>
  <c r="A5283" i="1"/>
  <c r="C5282" i="1"/>
  <c r="A5282" i="1"/>
  <c r="C5281" i="1"/>
  <c r="A5281" i="1"/>
  <c r="C5280" i="1"/>
  <c r="A5280" i="1"/>
  <c r="C5279" i="1"/>
  <c r="A5279" i="1"/>
  <c r="C5278" i="1"/>
  <c r="A5278" i="1"/>
  <c r="C5277" i="1"/>
  <c r="A5277" i="1"/>
  <c r="C5276" i="1"/>
  <c r="A5276" i="1"/>
  <c r="C5275" i="1"/>
  <c r="A5275" i="1"/>
  <c r="C5274" i="1"/>
  <c r="A5274" i="1"/>
  <c r="C5273" i="1"/>
  <c r="A5273" i="1"/>
  <c r="C5272" i="1"/>
  <c r="A5272" i="1"/>
  <c r="C5271" i="1"/>
  <c r="A5271" i="1"/>
  <c r="C5270" i="1"/>
  <c r="A5270" i="1"/>
  <c r="C5269" i="1"/>
  <c r="A5269" i="1"/>
  <c r="C5268" i="1"/>
  <c r="A5268" i="1"/>
  <c r="C5267" i="1"/>
  <c r="A5267" i="1"/>
  <c r="C5266" i="1"/>
  <c r="A5266" i="1"/>
  <c r="C5265" i="1"/>
  <c r="A5265" i="1"/>
  <c r="C5264" i="1"/>
  <c r="A5264" i="1"/>
  <c r="C5263" i="1"/>
  <c r="A5263" i="1"/>
  <c r="C5262" i="1"/>
  <c r="A5262" i="1"/>
  <c r="C5261" i="1"/>
  <c r="A5261" i="1"/>
  <c r="C5260" i="1"/>
  <c r="A5260" i="1"/>
  <c r="C5259" i="1"/>
  <c r="A5259" i="1"/>
  <c r="C5258" i="1"/>
  <c r="A5258" i="1"/>
  <c r="C5257" i="1"/>
  <c r="A5257" i="1"/>
  <c r="C5256" i="1"/>
  <c r="A5256" i="1"/>
  <c r="C5255" i="1"/>
  <c r="A5255" i="1"/>
  <c r="C5254" i="1"/>
  <c r="A5254" i="1"/>
  <c r="C5253" i="1"/>
  <c r="A5253" i="1"/>
  <c r="C5252" i="1"/>
  <c r="A5252" i="1"/>
  <c r="C5251" i="1"/>
  <c r="A5251" i="1"/>
  <c r="C5250" i="1"/>
  <c r="A5250" i="1"/>
  <c r="C5249" i="1"/>
  <c r="A5249" i="1"/>
  <c r="C5248" i="1"/>
  <c r="A5248" i="1"/>
  <c r="C5247" i="1"/>
  <c r="A5247" i="1"/>
  <c r="C5246" i="1"/>
  <c r="A5246" i="1"/>
  <c r="C5245" i="1"/>
  <c r="A5245" i="1"/>
  <c r="C5244" i="1"/>
  <c r="A5244" i="1"/>
  <c r="C5243" i="1"/>
  <c r="A5243" i="1"/>
  <c r="C5242" i="1"/>
  <c r="A5242" i="1"/>
  <c r="C5241" i="1"/>
  <c r="A5241" i="1"/>
  <c r="C5240" i="1"/>
  <c r="A5240" i="1"/>
  <c r="C5239" i="1"/>
  <c r="A5239" i="1"/>
  <c r="C5238" i="1"/>
  <c r="A5238" i="1"/>
  <c r="C5237" i="1"/>
  <c r="A5237" i="1"/>
  <c r="C5236" i="1"/>
  <c r="A5236" i="1"/>
  <c r="C5235" i="1"/>
  <c r="A5235" i="1"/>
  <c r="C5234" i="1"/>
  <c r="A5234" i="1"/>
  <c r="C5233" i="1"/>
  <c r="A5233" i="1"/>
  <c r="C5232" i="1"/>
  <c r="A5232" i="1"/>
  <c r="C5231" i="1"/>
  <c r="A5231" i="1"/>
  <c r="C5230" i="1"/>
  <c r="A5230" i="1"/>
  <c r="C5229" i="1"/>
  <c r="A5229" i="1"/>
  <c r="C5228" i="1"/>
  <c r="A5228" i="1"/>
  <c r="C5227" i="1"/>
  <c r="A5227" i="1"/>
  <c r="C5226" i="1"/>
  <c r="A5226" i="1"/>
  <c r="C5225" i="1"/>
  <c r="A5225" i="1"/>
  <c r="C5224" i="1"/>
  <c r="A5224" i="1"/>
  <c r="C5223" i="1"/>
  <c r="A5223" i="1"/>
  <c r="C5222" i="1"/>
  <c r="A5222" i="1"/>
  <c r="C5221" i="1"/>
  <c r="A5221" i="1"/>
  <c r="C5220" i="1"/>
  <c r="A5220" i="1"/>
  <c r="C5219" i="1"/>
  <c r="A5219" i="1"/>
  <c r="C5218" i="1"/>
  <c r="A5218" i="1"/>
  <c r="C5217" i="1"/>
  <c r="A5217" i="1"/>
  <c r="C5216" i="1"/>
  <c r="A5216" i="1"/>
  <c r="C5215" i="1"/>
  <c r="A5215" i="1"/>
  <c r="C5214" i="1"/>
  <c r="A5214" i="1"/>
  <c r="C5213" i="1"/>
  <c r="A5213" i="1"/>
  <c r="C5212" i="1"/>
  <c r="A5212" i="1"/>
  <c r="C5211" i="1"/>
  <c r="A5211" i="1"/>
  <c r="C5210" i="1"/>
  <c r="A5210" i="1"/>
  <c r="C5209" i="1"/>
  <c r="A5209" i="1"/>
  <c r="C5208" i="1"/>
  <c r="A5208" i="1"/>
  <c r="C5207" i="1"/>
  <c r="A5207" i="1"/>
  <c r="C5206" i="1"/>
  <c r="A5206" i="1"/>
  <c r="C5205" i="1"/>
  <c r="A5205" i="1"/>
  <c r="C5204" i="1"/>
  <c r="A5204" i="1"/>
  <c r="C5203" i="1"/>
  <c r="A5203" i="1"/>
  <c r="C5202" i="1"/>
  <c r="A5202" i="1"/>
  <c r="C5201" i="1"/>
  <c r="A5201" i="1"/>
  <c r="C5200" i="1"/>
  <c r="A5200" i="1"/>
  <c r="C5199" i="1"/>
  <c r="A5199" i="1"/>
  <c r="C5198" i="1"/>
  <c r="A5198" i="1"/>
  <c r="C5197" i="1"/>
  <c r="A5197" i="1"/>
  <c r="C5196" i="1"/>
  <c r="A5196" i="1"/>
  <c r="C5195" i="1"/>
  <c r="A5195" i="1"/>
  <c r="C5194" i="1"/>
  <c r="A5194" i="1"/>
  <c r="C5193" i="1"/>
  <c r="A5193" i="1"/>
  <c r="C5192" i="1"/>
  <c r="A5192" i="1"/>
  <c r="C5191" i="1"/>
  <c r="A5191" i="1"/>
  <c r="C5190" i="1"/>
  <c r="A5190" i="1"/>
  <c r="C5189" i="1"/>
  <c r="A5189" i="1"/>
  <c r="C5188" i="1"/>
  <c r="A5188" i="1"/>
  <c r="C5187" i="1"/>
  <c r="A5187" i="1"/>
  <c r="C5186" i="1"/>
  <c r="A5186" i="1"/>
  <c r="C5185" i="1"/>
  <c r="A5185" i="1"/>
  <c r="C5184" i="1"/>
  <c r="A5184" i="1"/>
  <c r="C5183" i="1"/>
  <c r="A5183" i="1"/>
  <c r="C5182" i="1"/>
  <c r="A5182" i="1"/>
  <c r="C5181" i="1"/>
  <c r="A5181" i="1"/>
  <c r="C5180" i="1"/>
  <c r="A5180" i="1"/>
  <c r="C5179" i="1"/>
  <c r="A5179" i="1"/>
  <c r="C5178" i="1"/>
  <c r="A5178" i="1"/>
  <c r="C5177" i="1"/>
  <c r="A5177" i="1"/>
  <c r="C5176" i="1"/>
  <c r="A5176" i="1"/>
  <c r="C5175" i="1"/>
  <c r="A5175" i="1"/>
  <c r="C5174" i="1"/>
  <c r="A5174" i="1"/>
  <c r="C5173" i="1"/>
  <c r="A5173" i="1"/>
  <c r="C5172" i="1"/>
  <c r="A5172" i="1"/>
  <c r="C5171" i="1"/>
  <c r="A5171" i="1"/>
  <c r="C5170" i="1"/>
  <c r="A5170" i="1"/>
  <c r="C5169" i="1"/>
  <c r="A5169" i="1"/>
  <c r="C5168" i="1"/>
  <c r="A5168" i="1"/>
  <c r="C5167" i="1"/>
  <c r="A5167" i="1"/>
  <c r="C5166" i="1"/>
  <c r="A5166" i="1"/>
  <c r="C5165" i="1"/>
  <c r="A5165" i="1"/>
  <c r="C5164" i="1"/>
  <c r="A5164" i="1"/>
  <c r="C5163" i="1"/>
  <c r="A5163" i="1"/>
  <c r="C5162" i="1"/>
  <c r="A5162" i="1"/>
  <c r="C5161" i="1"/>
  <c r="A5161" i="1"/>
  <c r="C5160" i="1"/>
  <c r="A5160" i="1"/>
  <c r="C5159" i="1"/>
  <c r="A5159" i="1"/>
  <c r="C5158" i="1"/>
  <c r="A5158" i="1"/>
  <c r="C5157" i="1"/>
  <c r="A5157" i="1"/>
  <c r="C5156" i="1"/>
  <c r="A5156" i="1"/>
  <c r="C5155" i="1"/>
  <c r="A5155" i="1"/>
  <c r="C5154" i="1"/>
  <c r="A5154" i="1"/>
  <c r="C5153" i="1"/>
  <c r="A5153" i="1"/>
  <c r="C5152" i="1"/>
  <c r="A5152" i="1"/>
  <c r="C5151" i="1"/>
  <c r="A5151" i="1"/>
  <c r="C5150" i="1"/>
  <c r="A5150" i="1"/>
  <c r="C5149" i="1"/>
  <c r="A5149" i="1"/>
  <c r="C5148" i="1"/>
  <c r="A5148" i="1"/>
  <c r="C5147" i="1"/>
  <c r="A5147" i="1"/>
  <c r="C5146" i="1"/>
  <c r="A5146" i="1"/>
  <c r="C5145" i="1"/>
  <c r="A5145" i="1"/>
  <c r="C5144" i="1"/>
  <c r="A5144" i="1"/>
  <c r="C5143" i="1"/>
  <c r="A5143" i="1"/>
  <c r="C5142" i="1"/>
  <c r="A5142" i="1"/>
  <c r="C5141" i="1"/>
  <c r="A5141" i="1"/>
  <c r="C5140" i="1"/>
  <c r="A5140" i="1"/>
  <c r="C5139" i="1"/>
  <c r="A5139" i="1"/>
  <c r="C5138" i="1"/>
  <c r="A5138" i="1"/>
  <c r="C5137" i="1"/>
  <c r="A5137" i="1"/>
  <c r="C5136" i="1"/>
  <c r="A5136" i="1"/>
  <c r="C5135" i="1"/>
  <c r="A5135" i="1"/>
  <c r="C5134" i="1"/>
  <c r="A5134" i="1"/>
  <c r="C5133" i="1"/>
  <c r="A5133" i="1"/>
  <c r="C5132" i="1"/>
  <c r="A5132" i="1"/>
  <c r="C5131" i="1"/>
  <c r="A5131" i="1"/>
  <c r="C5130" i="1"/>
  <c r="A5130" i="1"/>
  <c r="C5129" i="1"/>
  <c r="A5129" i="1"/>
  <c r="C5128" i="1"/>
  <c r="A5128" i="1"/>
  <c r="C5127" i="1"/>
  <c r="A5127" i="1"/>
  <c r="C5126" i="1"/>
  <c r="A5126" i="1"/>
  <c r="C5125" i="1"/>
  <c r="A5125" i="1"/>
  <c r="C5124" i="1"/>
  <c r="A5124" i="1"/>
  <c r="C5123" i="1"/>
  <c r="A5123" i="1"/>
  <c r="C5122" i="1"/>
  <c r="A5122" i="1"/>
  <c r="C5121" i="1"/>
  <c r="A5121" i="1"/>
  <c r="C5120" i="1"/>
  <c r="A5120" i="1"/>
  <c r="C5119" i="1"/>
  <c r="A5119" i="1"/>
  <c r="C5118" i="1"/>
  <c r="A5118" i="1"/>
  <c r="C5117" i="1"/>
  <c r="A5117" i="1"/>
  <c r="C5116" i="1"/>
  <c r="A5116" i="1"/>
  <c r="C5115" i="1"/>
  <c r="A5115" i="1"/>
  <c r="C5114" i="1"/>
  <c r="A5114" i="1"/>
  <c r="C5113" i="1"/>
  <c r="A5113" i="1"/>
  <c r="C5112" i="1"/>
  <c r="A5112" i="1"/>
  <c r="C5111" i="1"/>
  <c r="A5111" i="1"/>
  <c r="C5110" i="1"/>
  <c r="A5110" i="1"/>
  <c r="C5109" i="1"/>
  <c r="A5109" i="1"/>
  <c r="C5108" i="1"/>
  <c r="A5108" i="1"/>
  <c r="C5107" i="1"/>
  <c r="A5107" i="1"/>
  <c r="C5106" i="1"/>
  <c r="A5106" i="1"/>
  <c r="C5105" i="1"/>
  <c r="A5105" i="1"/>
  <c r="C5104" i="1"/>
  <c r="A5104" i="1"/>
  <c r="C5103" i="1"/>
  <c r="A5103" i="1"/>
  <c r="C5102" i="1"/>
  <c r="A5102" i="1"/>
  <c r="C5101" i="1"/>
  <c r="A5101" i="1"/>
  <c r="C5100" i="1"/>
  <c r="A5100" i="1"/>
  <c r="C5099" i="1"/>
  <c r="A5099" i="1"/>
  <c r="C5098" i="1"/>
  <c r="A5098" i="1"/>
  <c r="C5097" i="1"/>
  <c r="A5097" i="1"/>
  <c r="C5096" i="1"/>
  <c r="A5096" i="1"/>
  <c r="C5095" i="1"/>
  <c r="A5095" i="1"/>
  <c r="C5094" i="1"/>
  <c r="A5094" i="1"/>
  <c r="C5093" i="1"/>
  <c r="A5093" i="1"/>
  <c r="C5092" i="1"/>
  <c r="A5092" i="1"/>
  <c r="C5091" i="1"/>
  <c r="A5091" i="1"/>
  <c r="C5090" i="1"/>
  <c r="A5090" i="1"/>
  <c r="C5089" i="1"/>
  <c r="A5089" i="1"/>
  <c r="C5088" i="1"/>
  <c r="A5088" i="1"/>
  <c r="C5087" i="1"/>
  <c r="A5087" i="1"/>
  <c r="C5086" i="1"/>
  <c r="A5086" i="1"/>
  <c r="C5085" i="1"/>
  <c r="A5085" i="1"/>
  <c r="C5084" i="1"/>
  <c r="A5084" i="1"/>
  <c r="C5083" i="1"/>
  <c r="A5083" i="1"/>
  <c r="C5082" i="1"/>
  <c r="A5082" i="1"/>
  <c r="C5081" i="1"/>
  <c r="A5081" i="1"/>
  <c r="C5080" i="1"/>
  <c r="A5080" i="1"/>
  <c r="C5079" i="1"/>
  <c r="A5079" i="1"/>
  <c r="C5078" i="1"/>
  <c r="A5078" i="1"/>
  <c r="C5077" i="1"/>
  <c r="A5077" i="1"/>
  <c r="C5076" i="1"/>
  <c r="A5076" i="1"/>
  <c r="C5075" i="1"/>
  <c r="A5075" i="1"/>
  <c r="C5074" i="1"/>
  <c r="A5074" i="1"/>
  <c r="C5073" i="1"/>
  <c r="A5073" i="1"/>
  <c r="C5072" i="1"/>
  <c r="A5072" i="1"/>
  <c r="C5071" i="1"/>
  <c r="A5071" i="1"/>
  <c r="C5070" i="1"/>
  <c r="A5070" i="1"/>
  <c r="C5069" i="1"/>
  <c r="A5069" i="1"/>
  <c r="C5068" i="1"/>
  <c r="A5068" i="1"/>
  <c r="C5067" i="1"/>
  <c r="A5067" i="1"/>
  <c r="C5066" i="1"/>
  <c r="A5066" i="1"/>
  <c r="C5065" i="1"/>
  <c r="A5065" i="1"/>
  <c r="C5064" i="1"/>
  <c r="A5064" i="1"/>
  <c r="C5063" i="1"/>
  <c r="A5063" i="1"/>
  <c r="C5062" i="1"/>
  <c r="A5062" i="1"/>
  <c r="C5061" i="1"/>
  <c r="A5061" i="1"/>
  <c r="C5060" i="1"/>
  <c r="A5060" i="1"/>
  <c r="C5059" i="1"/>
  <c r="A5059" i="1"/>
  <c r="C5058" i="1"/>
  <c r="A5058" i="1"/>
  <c r="C5057" i="1"/>
  <c r="A5057" i="1"/>
  <c r="C5056" i="1"/>
  <c r="A5056" i="1"/>
  <c r="C5055" i="1"/>
  <c r="A5055" i="1"/>
  <c r="C5054" i="1"/>
  <c r="A5054" i="1"/>
  <c r="C5053" i="1"/>
  <c r="A5053" i="1"/>
  <c r="C5052" i="1"/>
  <c r="A5052" i="1"/>
  <c r="C5051" i="1"/>
  <c r="A5051" i="1"/>
  <c r="C5050" i="1"/>
  <c r="A5050" i="1"/>
  <c r="C5049" i="1"/>
  <c r="A5049" i="1"/>
  <c r="C5048" i="1"/>
  <c r="A5048" i="1"/>
  <c r="C5047" i="1"/>
  <c r="A5047" i="1"/>
  <c r="C5046" i="1"/>
  <c r="A5046" i="1"/>
  <c r="C5045" i="1"/>
  <c r="A5045" i="1"/>
  <c r="C5044" i="1"/>
  <c r="A5044" i="1"/>
  <c r="C5043" i="1"/>
  <c r="A5043" i="1"/>
  <c r="C5042" i="1"/>
  <c r="A5042" i="1"/>
  <c r="C5041" i="1"/>
  <c r="A5041" i="1"/>
  <c r="C5040" i="1"/>
  <c r="A5040" i="1"/>
  <c r="C5039" i="1"/>
  <c r="A5039" i="1"/>
  <c r="C5038" i="1"/>
  <c r="A5038" i="1"/>
  <c r="C5037" i="1"/>
  <c r="A5037" i="1"/>
  <c r="C5036" i="1"/>
  <c r="A5036" i="1"/>
  <c r="C5035" i="1"/>
  <c r="A5035" i="1"/>
  <c r="C5034" i="1"/>
  <c r="A5034" i="1"/>
  <c r="C5033" i="1"/>
  <c r="A5033" i="1"/>
  <c r="C5032" i="1"/>
  <c r="A5032" i="1"/>
  <c r="C5031" i="1"/>
  <c r="A5031" i="1"/>
  <c r="C5030" i="1"/>
  <c r="A5030" i="1"/>
  <c r="C5029" i="1"/>
  <c r="A5029" i="1"/>
  <c r="C5028" i="1"/>
  <c r="A5028" i="1"/>
  <c r="C5027" i="1"/>
  <c r="A5027" i="1"/>
  <c r="C5026" i="1"/>
  <c r="A5026" i="1"/>
  <c r="C5025" i="1"/>
  <c r="A5025" i="1"/>
  <c r="C5024" i="1"/>
  <c r="A5024" i="1"/>
  <c r="C5023" i="1"/>
  <c r="A5023" i="1"/>
  <c r="C5022" i="1"/>
  <c r="A5022" i="1"/>
  <c r="C5021" i="1"/>
  <c r="A5021" i="1"/>
  <c r="C5020" i="1"/>
  <c r="A5020" i="1"/>
  <c r="C5019" i="1"/>
  <c r="A5019" i="1"/>
  <c r="C5018" i="1"/>
  <c r="A5018" i="1"/>
  <c r="C5017" i="1"/>
  <c r="A5017" i="1"/>
  <c r="C5016" i="1"/>
  <c r="A5016" i="1"/>
  <c r="C5015" i="1"/>
  <c r="A5015" i="1"/>
  <c r="C5014" i="1"/>
  <c r="A5014" i="1"/>
  <c r="C5013" i="1"/>
  <c r="A5013" i="1"/>
  <c r="C5012" i="1"/>
  <c r="A5012" i="1"/>
  <c r="C5011" i="1"/>
  <c r="A5011" i="1"/>
  <c r="C5010" i="1"/>
  <c r="A5010" i="1"/>
  <c r="C5009" i="1"/>
  <c r="A5009" i="1"/>
  <c r="C5008" i="1"/>
  <c r="A5008" i="1"/>
  <c r="C5007" i="1"/>
  <c r="A5007" i="1"/>
  <c r="C5006" i="1"/>
  <c r="A5006" i="1"/>
  <c r="C5005" i="1"/>
  <c r="A5005" i="1"/>
  <c r="C5004" i="1"/>
  <c r="A5004" i="1"/>
  <c r="C5003" i="1"/>
  <c r="A5003" i="1"/>
  <c r="C5002" i="1"/>
  <c r="A5002" i="1"/>
  <c r="C5001" i="1"/>
  <c r="A5001" i="1"/>
  <c r="C5000" i="1"/>
  <c r="A5000" i="1"/>
  <c r="C4999" i="1"/>
  <c r="A4999" i="1"/>
  <c r="C4998" i="1"/>
  <c r="A4998" i="1"/>
  <c r="C4997" i="1"/>
  <c r="A4997" i="1"/>
  <c r="C4996" i="1"/>
  <c r="A4996" i="1"/>
  <c r="C4995" i="1"/>
  <c r="A4995" i="1"/>
  <c r="C4994" i="1"/>
  <c r="A4994" i="1"/>
  <c r="C4993" i="1"/>
  <c r="A4993" i="1"/>
  <c r="C4992" i="1"/>
  <c r="A4992" i="1"/>
  <c r="C4991" i="1"/>
  <c r="A4991" i="1"/>
  <c r="C4990" i="1"/>
  <c r="A4990" i="1"/>
  <c r="C4989" i="1"/>
  <c r="A4989" i="1"/>
  <c r="C4988" i="1"/>
  <c r="A4988" i="1"/>
  <c r="C4987" i="1"/>
  <c r="A4987" i="1"/>
  <c r="C4986" i="1"/>
  <c r="A4986" i="1"/>
  <c r="C4985" i="1"/>
  <c r="A4985" i="1"/>
  <c r="C4984" i="1"/>
  <c r="A4984" i="1"/>
  <c r="C4983" i="1"/>
  <c r="A4983" i="1"/>
  <c r="C4982" i="1"/>
  <c r="A4982" i="1"/>
  <c r="C4981" i="1"/>
  <c r="A4981" i="1"/>
  <c r="C4980" i="1"/>
  <c r="A4980" i="1"/>
  <c r="C4979" i="1"/>
  <c r="A4979" i="1"/>
  <c r="C4978" i="1"/>
  <c r="A4978" i="1"/>
  <c r="C4977" i="1"/>
  <c r="A4977" i="1"/>
  <c r="C4976" i="1"/>
  <c r="A4976" i="1"/>
  <c r="C4975" i="1"/>
  <c r="A4975" i="1"/>
  <c r="C4974" i="1"/>
  <c r="A4974" i="1"/>
  <c r="C4973" i="1"/>
  <c r="A4973" i="1"/>
  <c r="C4972" i="1"/>
  <c r="A4972" i="1"/>
  <c r="C4971" i="1"/>
  <c r="A4971" i="1"/>
  <c r="C4970" i="1"/>
  <c r="A4970" i="1"/>
  <c r="C4969" i="1"/>
  <c r="A4969" i="1"/>
  <c r="C4968" i="1"/>
  <c r="A4968" i="1"/>
  <c r="C4967" i="1"/>
  <c r="A4967" i="1"/>
  <c r="C4966" i="1"/>
  <c r="A4966" i="1"/>
  <c r="C4965" i="1"/>
  <c r="A4965" i="1"/>
  <c r="C4964" i="1"/>
  <c r="A4964" i="1"/>
  <c r="C4963" i="1"/>
  <c r="A4963" i="1"/>
  <c r="C4962" i="1"/>
  <c r="A4962" i="1"/>
  <c r="C4961" i="1"/>
  <c r="A4961" i="1"/>
  <c r="C4960" i="1"/>
  <c r="A4960" i="1"/>
  <c r="C4959" i="1"/>
  <c r="A4959" i="1"/>
  <c r="C4958" i="1"/>
  <c r="A4958" i="1"/>
  <c r="C4957" i="1"/>
  <c r="A4957" i="1"/>
  <c r="C4956" i="1"/>
  <c r="A4956" i="1"/>
  <c r="C4955" i="1"/>
  <c r="A4955" i="1"/>
  <c r="C4954" i="1"/>
  <c r="A4954" i="1"/>
  <c r="C4953" i="1"/>
  <c r="A4953" i="1"/>
  <c r="C4952" i="1"/>
  <c r="A4952" i="1"/>
  <c r="C4951" i="1"/>
  <c r="A4951" i="1"/>
  <c r="C4950" i="1"/>
  <c r="A4950" i="1"/>
  <c r="C4949" i="1"/>
  <c r="A4949" i="1"/>
  <c r="C4948" i="1"/>
  <c r="A4948" i="1"/>
  <c r="C4947" i="1"/>
  <c r="A4947" i="1"/>
  <c r="C4946" i="1"/>
  <c r="A4946" i="1"/>
  <c r="C4945" i="1"/>
  <c r="A4945" i="1"/>
  <c r="C4944" i="1"/>
  <c r="A4944" i="1"/>
  <c r="C4943" i="1"/>
  <c r="A4943" i="1"/>
  <c r="C4942" i="1"/>
  <c r="A4942" i="1"/>
  <c r="C4941" i="1"/>
  <c r="A4941" i="1"/>
  <c r="C4940" i="1"/>
  <c r="A4940" i="1"/>
  <c r="C4939" i="1"/>
  <c r="A4939" i="1"/>
  <c r="C4938" i="1"/>
  <c r="A4938" i="1"/>
  <c r="C4937" i="1"/>
  <c r="A4937" i="1"/>
  <c r="C4936" i="1"/>
  <c r="A4936" i="1"/>
  <c r="C4935" i="1"/>
  <c r="A4935" i="1"/>
  <c r="C4934" i="1"/>
  <c r="A4934" i="1"/>
  <c r="C4933" i="1"/>
  <c r="A4933" i="1"/>
  <c r="C4932" i="1"/>
  <c r="A4932" i="1"/>
  <c r="C4931" i="1"/>
  <c r="A4931" i="1"/>
  <c r="C4930" i="1"/>
  <c r="A4930" i="1"/>
  <c r="C4929" i="1"/>
  <c r="A4929" i="1"/>
  <c r="C4928" i="1"/>
  <c r="A4928" i="1"/>
  <c r="C4927" i="1"/>
  <c r="A4927" i="1"/>
  <c r="C4926" i="1"/>
  <c r="A4926" i="1"/>
  <c r="C4925" i="1"/>
  <c r="A4925" i="1"/>
  <c r="C4924" i="1"/>
  <c r="A4924" i="1"/>
  <c r="C4923" i="1"/>
  <c r="A4923" i="1"/>
  <c r="C4922" i="1"/>
  <c r="A4922" i="1"/>
  <c r="C4921" i="1"/>
  <c r="A4921" i="1"/>
  <c r="C4920" i="1"/>
  <c r="A4920" i="1"/>
  <c r="C4919" i="1"/>
  <c r="A4919" i="1"/>
  <c r="C4918" i="1"/>
  <c r="A4918" i="1"/>
  <c r="C4917" i="1"/>
  <c r="A4917" i="1"/>
  <c r="C4916" i="1"/>
  <c r="A4916" i="1"/>
  <c r="C4915" i="1"/>
  <c r="A4915" i="1"/>
  <c r="C4914" i="1"/>
  <c r="A4914" i="1"/>
  <c r="C4913" i="1"/>
  <c r="A4913" i="1"/>
  <c r="C4912" i="1"/>
  <c r="A4912" i="1"/>
  <c r="C4911" i="1"/>
  <c r="A4911" i="1"/>
  <c r="C4910" i="1"/>
  <c r="A4910" i="1"/>
  <c r="C4909" i="1"/>
  <c r="A4909" i="1"/>
  <c r="C4908" i="1"/>
  <c r="A4908" i="1"/>
  <c r="C4907" i="1"/>
  <c r="A4907" i="1"/>
  <c r="C4906" i="1"/>
  <c r="A4906" i="1"/>
  <c r="C4905" i="1"/>
  <c r="A4905" i="1"/>
  <c r="C4904" i="1"/>
  <c r="A4904" i="1"/>
  <c r="C4903" i="1"/>
  <c r="A4903" i="1"/>
  <c r="C4902" i="1"/>
  <c r="A4902" i="1"/>
  <c r="C4901" i="1"/>
  <c r="A4901" i="1"/>
  <c r="C4900" i="1"/>
  <c r="A4900" i="1"/>
  <c r="C4899" i="1"/>
  <c r="A4899" i="1"/>
  <c r="C4898" i="1"/>
  <c r="A4898" i="1"/>
  <c r="C4897" i="1"/>
  <c r="A4897" i="1"/>
  <c r="C4896" i="1"/>
  <c r="A4896" i="1"/>
  <c r="C4895" i="1"/>
  <c r="A4895" i="1"/>
  <c r="C4894" i="1"/>
  <c r="A4894" i="1"/>
  <c r="C4893" i="1"/>
  <c r="A4893" i="1"/>
  <c r="C4892" i="1"/>
  <c r="A4892" i="1"/>
  <c r="C4891" i="1"/>
  <c r="A4891" i="1"/>
  <c r="C4890" i="1"/>
  <c r="A4890" i="1"/>
  <c r="C4889" i="1"/>
  <c r="A4889" i="1"/>
  <c r="C4888" i="1"/>
  <c r="A4888" i="1"/>
  <c r="C4887" i="1"/>
  <c r="A4887" i="1"/>
  <c r="C4886" i="1"/>
  <c r="A4886" i="1"/>
  <c r="C4885" i="1"/>
  <c r="A4885" i="1"/>
  <c r="C4884" i="1"/>
  <c r="A4884" i="1"/>
  <c r="C4883" i="1"/>
  <c r="A4883" i="1"/>
  <c r="C4882" i="1"/>
  <c r="A4882" i="1"/>
  <c r="C4881" i="1"/>
  <c r="A4881" i="1"/>
  <c r="C4880" i="1"/>
  <c r="A4880" i="1"/>
  <c r="C4879" i="1"/>
  <c r="A4879" i="1"/>
  <c r="C4878" i="1"/>
  <c r="A4878" i="1"/>
  <c r="C4877" i="1"/>
  <c r="A4877" i="1"/>
  <c r="C4876" i="1"/>
  <c r="A4876" i="1"/>
  <c r="C4875" i="1"/>
  <c r="A4875" i="1"/>
  <c r="C4874" i="1"/>
  <c r="A4874" i="1"/>
  <c r="C4873" i="1"/>
  <c r="A4873" i="1"/>
  <c r="C4872" i="1"/>
  <c r="A4872" i="1"/>
  <c r="C4871" i="1"/>
  <c r="A4871" i="1"/>
  <c r="C4870" i="1"/>
  <c r="A4870" i="1"/>
  <c r="C4869" i="1"/>
  <c r="A4869" i="1"/>
  <c r="C4868" i="1"/>
  <c r="A4868" i="1"/>
  <c r="C4867" i="1"/>
  <c r="A4867" i="1"/>
  <c r="C4866" i="1"/>
  <c r="A4866" i="1"/>
  <c r="C4865" i="1"/>
  <c r="A4865" i="1"/>
  <c r="C4864" i="1"/>
  <c r="A4864" i="1"/>
  <c r="C4863" i="1"/>
  <c r="A4863" i="1"/>
  <c r="C4862" i="1"/>
  <c r="A4862" i="1"/>
  <c r="C4861" i="1"/>
  <c r="A4861" i="1"/>
  <c r="C4860" i="1"/>
  <c r="A4860" i="1"/>
  <c r="C4859" i="1"/>
  <c r="A4859" i="1"/>
  <c r="C4858" i="1"/>
  <c r="A4858" i="1"/>
  <c r="C4857" i="1"/>
  <c r="A4857" i="1"/>
  <c r="C4856" i="1"/>
  <c r="A4856" i="1"/>
  <c r="C4855" i="1"/>
  <c r="A4855" i="1"/>
  <c r="C4854" i="1"/>
  <c r="A4854" i="1"/>
  <c r="C4853" i="1"/>
  <c r="A4853" i="1"/>
  <c r="C4852" i="1"/>
  <c r="A4852" i="1"/>
  <c r="C4851" i="1"/>
  <c r="A4851" i="1"/>
  <c r="C4850" i="1"/>
  <c r="A4850" i="1"/>
  <c r="C4849" i="1"/>
  <c r="A4849" i="1"/>
  <c r="C4848" i="1"/>
  <c r="A4848" i="1"/>
  <c r="C4847" i="1"/>
  <c r="A4847" i="1"/>
  <c r="C4846" i="1"/>
  <c r="A4846" i="1"/>
  <c r="C4845" i="1"/>
  <c r="A4845" i="1"/>
  <c r="C4844" i="1"/>
  <c r="A4844" i="1"/>
  <c r="C4843" i="1"/>
  <c r="A4843" i="1"/>
  <c r="C4842" i="1"/>
  <c r="A4842" i="1"/>
  <c r="C4841" i="1"/>
  <c r="A4841" i="1"/>
  <c r="C4840" i="1"/>
  <c r="A4840" i="1"/>
  <c r="C4839" i="1"/>
  <c r="A4839" i="1"/>
  <c r="C4838" i="1"/>
  <c r="A4838" i="1"/>
  <c r="C4837" i="1"/>
  <c r="A4837" i="1"/>
  <c r="C4836" i="1"/>
  <c r="A4836" i="1"/>
  <c r="C4835" i="1"/>
  <c r="A4835" i="1"/>
  <c r="C4834" i="1"/>
  <c r="A4834" i="1"/>
  <c r="C4833" i="1"/>
  <c r="A4833" i="1"/>
  <c r="C4832" i="1"/>
  <c r="A4832" i="1"/>
  <c r="C4831" i="1"/>
  <c r="A4831" i="1"/>
  <c r="C4830" i="1"/>
  <c r="A4830" i="1"/>
  <c r="C4829" i="1"/>
  <c r="A4829" i="1"/>
  <c r="C4828" i="1"/>
  <c r="A4828" i="1"/>
  <c r="C4827" i="1"/>
  <c r="A4827" i="1"/>
  <c r="C4826" i="1"/>
  <c r="A4826" i="1"/>
  <c r="C4825" i="1"/>
  <c r="A4825" i="1"/>
  <c r="C4824" i="1"/>
  <c r="A4824" i="1"/>
  <c r="C4823" i="1"/>
  <c r="A4823" i="1"/>
  <c r="C4822" i="1"/>
  <c r="A4822" i="1"/>
  <c r="C4821" i="1"/>
  <c r="A4821" i="1"/>
  <c r="C4820" i="1"/>
  <c r="A4820" i="1"/>
  <c r="C4819" i="1"/>
  <c r="A4819" i="1"/>
  <c r="C4818" i="1"/>
  <c r="A4818" i="1"/>
  <c r="C4817" i="1"/>
  <c r="A4817" i="1"/>
  <c r="C4816" i="1"/>
  <c r="A4816" i="1"/>
  <c r="C4815" i="1"/>
  <c r="A4815" i="1"/>
  <c r="C4814" i="1"/>
  <c r="A4814" i="1"/>
  <c r="C4813" i="1"/>
  <c r="A4813" i="1"/>
  <c r="C4812" i="1"/>
  <c r="A4812" i="1"/>
  <c r="C4811" i="1"/>
  <c r="A4811" i="1"/>
  <c r="C4810" i="1"/>
  <c r="A4810" i="1"/>
  <c r="C4809" i="1"/>
  <c r="A4809" i="1"/>
  <c r="C4808" i="1"/>
  <c r="A4808" i="1"/>
  <c r="C4807" i="1"/>
  <c r="A4807" i="1"/>
  <c r="C4806" i="1"/>
  <c r="A4806" i="1"/>
  <c r="C4805" i="1"/>
  <c r="A4805" i="1"/>
  <c r="C4804" i="1"/>
  <c r="A4804" i="1"/>
  <c r="C4803" i="1"/>
  <c r="A4803" i="1"/>
  <c r="C4802" i="1"/>
  <c r="A4802" i="1"/>
  <c r="C4801" i="1"/>
  <c r="A4801" i="1"/>
  <c r="C4800" i="1"/>
  <c r="A4800" i="1"/>
  <c r="C4799" i="1"/>
  <c r="A4799" i="1"/>
  <c r="C4798" i="1"/>
  <c r="A4798" i="1"/>
  <c r="C4797" i="1"/>
  <c r="A4797" i="1"/>
  <c r="C4796" i="1"/>
  <c r="A4796" i="1"/>
  <c r="C4795" i="1"/>
  <c r="A4795" i="1"/>
  <c r="C4794" i="1"/>
  <c r="A4794" i="1"/>
  <c r="C4793" i="1"/>
  <c r="A4793" i="1"/>
  <c r="C4792" i="1"/>
  <c r="A4792" i="1"/>
  <c r="C4791" i="1"/>
  <c r="A4791" i="1"/>
  <c r="C4790" i="1"/>
  <c r="A4790" i="1"/>
  <c r="C4789" i="1"/>
  <c r="A4789" i="1"/>
  <c r="C4788" i="1"/>
  <c r="A4788" i="1"/>
  <c r="C4787" i="1"/>
  <c r="A4787" i="1"/>
  <c r="C4786" i="1"/>
  <c r="A4786" i="1"/>
  <c r="C4785" i="1"/>
  <c r="A4785" i="1"/>
  <c r="C4784" i="1"/>
  <c r="A4784" i="1"/>
  <c r="C4783" i="1"/>
  <c r="A4783" i="1"/>
  <c r="C4782" i="1"/>
  <c r="A4782" i="1"/>
  <c r="C4781" i="1"/>
  <c r="A4781" i="1"/>
  <c r="C4780" i="1"/>
  <c r="A4780" i="1"/>
  <c r="C4779" i="1"/>
  <c r="A4779" i="1"/>
  <c r="C4778" i="1"/>
  <c r="A4778" i="1"/>
  <c r="C4777" i="1"/>
  <c r="A4777" i="1"/>
  <c r="C4776" i="1"/>
  <c r="A4776" i="1"/>
  <c r="C4775" i="1"/>
  <c r="A4775" i="1"/>
  <c r="C4774" i="1"/>
  <c r="A4774" i="1"/>
  <c r="C4773" i="1"/>
  <c r="A4773" i="1"/>
  <c r="C4772" i="1"/>
  <c r="A4772" i="1"/>
  <c r="C4771" i="1"/>
  <c r="A4771" i="1"/>
  <c r="C4770" i="1"/>
  <c r="A4770" i="1"/>
  <c r="C4769" i="1"/>
  <c r="A4769" i="1"/>
  <c r="C4768" i="1"/>
  <c r="A4768" i="1"/>
  <c r="C4767" i="1"/>
  <c r="A4767" i="1"/>
  <c r="C4766" i="1"/>
  <c r="A4766" i="1"/>
  <c r="C4765" i="1"/>
  <c r="A4765" i="1"/>
  <c r="C4764" i="1"/>
  <c r="A4764" i="1"/>
  <c r="C4763" i="1"/>
  <c r="A4763" i="1"/>
  <c r="C4762" i="1"/>
  <c r="A4762" i="1"/>
  <c r="C4761" i="1"/>
  <c r="A4761" i="1"/>
  <c r="C4760" i="1"/>
  <c r="A4760" i="1"/>
  <c r="C4759" i="1"/>
  <c r="A4759" i="1"/>
  <c r="C4758" i="1"/>
  <c r="A4758" i="1"/>
  <c r="C4757" i="1"/>
  <c r="A4757" i="1"/>
  <c r="C4756" i="1"/>
  <c r="A4756" i="1"/>
  <c r="C4755" i="1"/>
  <c r="A4755" i="1"/>
  <c r="C4754" i="1"/>
  <c r="A4754" i="1"/>
  <c r="C4753" i="1"/>
  <c r="A4753" i="1"/>
  <c r="C4752" i="1"/>
  <c r="A4752" i="1"/>
  <c r="C4751" i="1"/>
  <c r="A4751" i="1"/>
  <c r="C4750" i="1"/>
  <c r="A4750" i="1"/>
  <c r="C4749" i="1"/>
  <c r="A4749" i="1"/>
  <c r="C4748" i="1"/>
  <c r="A4748" i="1"/>
  <c r="C4747" i="1"/>
  <c r="A4747" i="1"/>
  <c r="C4746" i="1"/>
  <c r="A4746" i="1"/>
  <c r="C4745" i="1"/>
  <c r="A4745" i="1"/>
  <c r="C4744" i="1"/>
  <c r="A4744" i="1"/>
  <c r="C4743" i="1"/>
  <c r="A4743" i="1"/>
  <c r="C4742" i="1"/>
  <c r="A4742" i="1"/>
  <c r="C4741" i="1"/>
  <c r="A4741" i="1"/>
  <c r="C4740" i="1"/>
  <c r="A4740" i="1"/>
  <c r="C4739" i="1"/>
  <c r="A4739" i="1"/>
  <c r="C4738" i="1"/>
  <c r="A4738" i="1"/>
  <c r="C4737" i="1"/>
  <c r="A4737" i="1"/>
  <c r="C4736" i="1"/>
  <c r="A4736" i="1"/>
  <c r="C4735" i="1"/>
  <c r="A4735" i="1"/>
  <c r="C4734" i="1"/>
  <c r="A4734" i="1"/>
  <c r="C4733" i="1"/>
  <c r="A4733" i="1"/>
  <c r="C4732" i="1"/>
  <c r="A4732" i="1"/>
  <c r="C4731" i="1"/>
  <c r="A4731" i="1"/>
  <c r="C4730" i="1"/>
  <c r="A4730" i="1"/>
  <c r="C4729" i="1"/>
  <c r="A4729" i="1"/>
  <c r="C4728" i="1"/>
  <c r="A4728" i="1"/>
  <c r="C4727" i="1"/>
  <c r="A4727" i="1"/>
  <c r="C4726" i="1"/>
  <c r="A4726" i="1"/>
  <c r="C4725" i="1"/>
  <c r="A4725" i="1"/>
  <c r="C4724" i="1"/>
  <c r="A4724" i="1"/>
  <c r="C4723" i="1"/>
  <c r="A4723" i="1"/>
  <c r="C4722" i="1"/>
  <c r="A4722" i="1"/>
  <c r="C4721" i="1"/>
  <c r="A4721" i="1"/>
  <c r="C4720" i="1"/>
  <c r="A4720" i="1"/>
  <c r="C4719" i="1"/>
  <c r="A4719" i="1"/>
  <c r="C4718" i="1"/>
  <c r="A4718" i="1"/>
  <c r="C4717" i="1"/>
  <c r="A4717" i="1"/>
  <c r="C4716" i="1"/>
  <c r="A4716" i="1"/>
  <c r="C4715" i="1"/>
  <c r="A4715" i="1"/>
  <c r="C4714" i="1"/>
  <c r="A4714" i="1"/>
  <c r="C4713" i="1"/>
  <c r="A4713" i="1"/>
  <c r="C4712" i="1"/>
  <c r="A4712" i="1"/>
  <c r="C4711" i="1"/>
  <c r="A4711" i="1"/>
  <c r="C4710" i="1"/>
  <c r="A4710" i="1"/>
  <c r="C4709" i="1"/>
  <c r="A4709" i="1"/>
  <c r="C4708" i="1"/>
  <c r="A4708" i="1"/>
  <c r="C4707" i="1"/>
  <c r="A4707" i="1"/>
  <c r="C4706" i="1"/>
  <c r="A4706" i="1"/>
  <c r="C4705" i="1"/>
  <c r="A4705" i="1"/>
  <c r="C4704" i="1"/>
  <c r="A4704" i="1"/>
  <c r="C4703" i="1"/>
  <c r="A4703" i="1"/>
  <c r="C4702" i="1"/>
  <c r="A4702" i="1"/>
  <c r="C4701" i="1"/>
  <c r="A4701" i="1"/>
  <c r="C4700" i="1"/>
  <c r="A4700" i="1"/>
  <c r="C4699" i="1"/>
  <c r="A4699" i="1"/>
  <c r="C4698" i="1"/>
  <c r="A4698" i="1"/>
  <c r="C4697" i="1"/>
  <c r="A4697" i="1"/>
  <c r="C4696" i="1"/>
  <c r="A4696" i="1"/>
  <c r="C4695" i="1"/>
  <c r="A4695" i="1"/>
  <c r="C4694" i="1"/>
  <c r="A4694" i="1"/>
  <c r="C4693" i="1"/>
  <c r="A4693" i="1"/>
  <c r="C4692" i="1"/>
  <c r="A4692" i="1"/>
  <c r="C4691" i="1"/>
  <c r="A4691" i="1"/>
  <c r="C4690" i="1"/>
  <c r="A4690" i="1"/>
  <c r="C4689" i="1"/>
  <c r="A4689" i="1"/>
  <c r="C4688" i="1"/>
  <c r="A4688" i="1"/>
  <c r="C4687" i="1"/>
  <c r="A4687" i="1"/>
  <c r="C4686" i="1"/>
  <c r="A4686" i="1"/>
  <c r="C4685" i="1"/>
  <c r="A4685" i="1"/>
  <c r="C4684" i="1"/>
  <c r="A4684" i="1"/>
  <c r="C4683" i="1"/>
  <c r="A4683" i="1"/>
  <c r="C4682" i="1"/>
  <c r="A4682" i="1"/>
  <c r="C4681" i="1"/>
  <c r="A4681" i="1"/>
  <c r="C4680" i="1"/>
  <c r="A4680" i="1"/>
  <c r="C4679" i="1"/>
  <c r="A4679" i="1"/>
  <c r="C4678" i="1"/>
  <c r="A4678" i="1"/>
  <c r="C4677" i="1"/>
  <c r="A4677" i="1"/>
  <c r="C4676" i="1"/>
  <c r="A4676" i="1"/>
  <c r="C4675" i="1"/>
  <c r="A4675" i="1"/>
  <c r="C4674" i="1"/>
  <c r="A4674" i="1"/>
  <c r="C4673" i="1"/>
  <c r="A4673" i="1"/>
  <c r="C4672" i="1"/>
  <c r="A4672" i="1"/>
  <c r="C4671" i="1"/>
  <c r="A4671" i="1"/>
  <c r="C4670" i="1"/>
  <c r="A4670" i="1"/>
  <c r="C4669" i="1"/>
  <c r="A4669" i="1"/>
  <c r="C4668" i="1"/>
  <c r="A4668" i="1"/>
  <c r="C4667" i="1"/>
  <c r="A4667" i="1"/>
  <c r="C4666" i="1"/>
  <c r="A4666" i="1"/>
  <c r="C4665" i="1"/>
  <c r="A4665" i="1"/>
  <c r="C4664" i="1"/>
  <c r="A4664" i="1"/>
  <c r="C4663" i="1"/>
  <c r="A4663" i="1"/>
  <c r="C4662" i="1"/>
  <c r="A4662" i="1"/>
  <c r="C4661" i="1"/>
  <c r="A4661" i="1"/>
  <c r="C4660" i="1"/>
  <c r="A4660" i="1"/>
  <c r="C4659" i="1"/>
  <c r="A4659" i="1"/>
  <c r="C4658" i="1"/>
  <c r="A4658" i="1"/>
  <c r="C4657" i="1"/>
  <c r="A4657" i="1"/>
  <c r="C4656" i="1"/>
  <c r="A4656" i="1"/>
  <c r="C4655" i="1"/>
  <c r="A4655" i="1"/>
  <c r="C4654" i="1"/>
  <c r="A4654" i="1"/>
  <c r="C4653" i="1"/>
  <c r="A4653" i="1"/>
  <c r="C4652" i="1"/>
  <c r="A4652" i="1"/>
  <c r="C4651" i="1"/>
  <c r="A4651" i="1"/>
  <c r="C4650" i="1"/>
  <c r="A4650" i="1"/>
  <c r="C4649" i="1"/>
  <c r="A4649" i="1"/>
  <c r="C4648" i="1"/>
  <c r="A4648" i="1"/>
  <c r="C4647" i="1"/>
  <c r="A4647" i="1"/>
  <c r="C4646" i="1"/>
  <c r="A4646" i="1"/>
  <c r="C4645" i="1"/>
  <c r="A4645" i="1"/>
  <c r="C4644" i="1"/>
  <c r="A4644" i="1"/>
  <c r="C4643" i="1"/>
  <c r="A4643" i="1"/>
  <c r="C4642" i="1"/>
  <c r="A4642" i="1"/>
  <c r="C4641" i="1"/>
  <c r="A4641" i="1"/>
  <c r="C4640" i="1"/>
  <c r="A4640" i="1"/>
  <c r="C4639" i="1"/>
  <c r="A4639" i="1"/>
  <c r="C4638" i="1"/>
  <c r="A4638" i="1"/>
  <c r="C4637" i="1"/>
  <c r="A4637" i="1"/>
  <c r="C4636" i="1"/>
  <c r="A4636" i="1"/>
  <c r="C4635" i="1"/>
  <c r="A4635" i="1"/>
  <c r="C4634" i="1"/>
  <c r="A4634" i="1"/>
  <c r="C4633" i="1"/>
  <c r="A4633" i="1"/>
  <c r="C4632" i="1"/>
  <c r="A4632" i="1"/>
  <c r="C4631" i="1"/>
  <c r="A4631" i="1"/>
  <c r="C4630" i="1"/>
  <c r="A4630" i="1"/>
  <c r="C4629" i="1"/>
  <c r="A4629" i="1"/>
  <c r="C4628" i="1"/>
  <c r="A4628" i="1"/>
  <c r="C4627" i="1"/>
  <c r="A4627" i="1"/>
  <c r="C4626" i="1"/>
  <c r="A4626" i="1"/>
  <c r="C4625" i="1"/>
  <c r="A4625" i="1"/>
  <c r="C4624" i="1"/>
  <c r="A4624" i="1"/>
  <c r="C4623" i="1"/>
  <c r="A4623" i="1"/>
  <c r="C4622" i="1"/>
  <c r="A4622" i="1"/>
  <c r="C4621" i="1"/>
  <c r="A4621" i="1"/>
  <c r="C4620" i="1"/>
  <c r="A4620" i="1"/>
  <c r="C4619" i="1"/>
  <c r="A4619" i="1"/>
  <c r="C4618" i="1"/>
  <c r="A4618" i="1"/>
  <c r="C4617" i="1"/>
  <c r="A4617" i="1"/>
  <c r="C4616" i="1"/>
  <c r="A4616" i="1"/>
  <c r="C4615" i="1"/>
  <c r="A4615" i="1"/>
  <c r="C4614" i="1"/>
  <c r="A4614" i="1"/>
  <c r="C4613" i="1"/>
  <c r="A4613" i="1"/>
  <c r="C4612" i="1"/>
  <c r="A4612" i="1"/>
  <c r="C4611" i="1"/>
  <c r="A4611" i="1"/>
  <c r="C4610" i="1"/>
  <c r="A4610" i="1"/>
  <c r="C4609" i="1"/>
  <c r="A4609" i="1"/>
  <c r="C4608" i="1"/>
  <c r="A4608" i="1"/>
  <c r="C4607" i="1"/>
  <c r="A4607" i="1"/>
  <c r="C4606" i="1"/>
  <c r="A4606" i="1"/>
  <c r="C4605" i="1"/>
  <c r="A4605" i="1"/>
  <c r="C4604" i="1"/>
  <c r="A4604" i="1"/>
  <c r="C4603" i="1"/>
  <c r="A4603" i="1"/>
  <c r="C4602" i="1"/>
  <c r="A4602" i="1"/>
  <c r="C4601" i="1"/>
  <c r="A4601" i="1"/>
  <c r="C4600" i="1"/>
  <c r="A4600" i="1"/>
  <c r="C4599" i="1"/>
  <c r="A4599" i="1"/>
  <c r="C4598" i="1"/>
  <c r="A4598" i="1"/>
  <c r="C4597" i="1"/>
  <c r="A4597" i="1"/>
  <c r="C4596" i="1"/>
  <c r="A4596" i="1"/>
  <c r="C4595" i="1"/>
  <c r="A4595" i="1"/>
  <c r="C4594" i="1"/>
  <c r="A4594" i="1"/>
  <c r="C4593" i="1"/>
  <c r="A4593" i="1"/>
  <c r="C4592" i="1"/>
  <c r="A4592" i="1"/>
  <c r="C4591" i="1"/>
  <c r="A4591" i="1"/>
  <c r="C4590" i="1"/>
  <c r="A4590" i="1"/>
  <c r="C4589" i="1"/>
  <c r="A4589" i="1"/>
  <c r="C4588" i="1"/>
  <c r="A4588" i="1"/>
  <c r="C4587" i="1"/>
  <c r="A4587" i="1"/>
  <c r="C4586" i="1"/>
  <c r="A4586" i="1"/>
  <c r="C4585" i="1"/>
  <c r="A4585" i="1"/>
  <c r="C4584" i="1"/>
  <c r="A4584" i="1"/>
  <c r="C4583" i="1"/>
  <c r="A4583" i="1"/>
  <c r="C4582" i="1"/>
  <c r="A4582" i="1"/>
  <c r="C4581" i="1"/>
  <c r="A4581" i="1"/>
  <c r="C4580" i="1"/>
  <c r="A4580" i="1"/>
  <c r="C4579" i="1"/>
  <c r="A4579" i="1"/>
  <c r="C4578" i="1"/>
  <c r="A4578" i="1"/>
  <c r="C4577" i="1"/>
  <c r="A4577" i="1"/>
  <c r="C4576" i="1"/>
  <c r="A4576" i="1"/>
  <c r="C4575" i="1"/>
  <c r="A4575" i="1"/>
  <c r="C4574" i="1"/>
  <c r="A4574" i="1"/>
  <c r="C4573" i="1"/>
  <c r="A4573" i="1"/>
  <c r="C4572" i="1"/>
  <c r="A4572" i="1"/>
  <c r="C4571" i="1"/>
  <c r="A4571" i="1"/>
  <c r="C4570" i="1"/>
  <c r="A4570" i="1"/>
  <c r="C4569" i="1"/>
  <c r="A4569" i="1"/>
  <c r="C4568" i="1"/>
  <c r="A4568" i="1"/>
  <c r="C4567" i="1"/>
  <c r="A4567" i="1"/>
  <c r="C4566" i="1"/>
  <c r="A4566" i="1"/>
  <c r="C4565" i="1"/>
  <c r="A4565" i="1"/>
  <c r="C4564" i="1"/>
  <c r="A4564" i="1"/>
  <c r="C4563" i="1"/>
  <c r="A4563" i="1"/>
  <c r="C4562" i="1"/>
  <c r="A4562" i="1"/>
  <c r="C4561" i="1"/>
  <c r="A4561" i="1"/>
  <c r="C4560" i="1"/>
  <c r="A4560" i="1"/>
  <c r="C4559" i="1"/>
  <c r="A4559" i="1"/>
  <c r="C4558" i="1"/>
  <c r="A4558" i="1"/>
  <c r="C4557" i="1"/>
  <c r="A4557" i="1"/>
  <c r="C4556" i="1"/>
  <c r="A4556" i="1"/>
  <c r="C4555" i="1"/>
  <c r="A4555" i="1"/>
  <c r="C4554" i="1"/>
  <c r="A4554" i="1"/>
  <c r="C4553" i="1"/>
  <c r="A4553" i="1"/>
  <c r="C4552" i="1"/>
  <c r="A4552" i="1"/>
  <c r="C4551" i="1"/>
  <c r="A4551" i="1"/>
  <c r="C4550" i="1"/>
  <c r="A4550" i="1"/>
  <c r="C4549" i="1"/>
  <c r="A4549" i="1"/>
  <c r="C4548" i="1"/>
  <c r="A4548" i="1"/>
  <c r="C4547" i="1"/>
  <c r="A4547" i="1"/>
  <c r="C4546" i="1"/>
  <c r="A4546" i="1"/>
  <c r="C4545" i="1"/>
  <c r="A4545" i="1"/>
  <c r="C4544" i="1"/>
  <c r="A4544" i="1"/>
  <c r="C4543" i="1"/>
  <c r="A4543" i="1"/>
  <c r="C4542" i="1"/>
  <c r="A4542" i="1"/>
  <c r="C4541" i="1"/>
  <c r="A4541" i="1"/>
  <c r="C4540" i="1"/>
  <c r="A4540" i="1"/>
  <c r="C4539" i="1"/>
  <c r="A4539" i="1"/>
  <c r="C4538" i="1"/>
  <c r="A4538" i="1"/>
  <c r="C4537" i="1"/>
  <c r="A4537" i="1"/>
  <c r="C4536" i="1"/>
  <c r="A4536" i="1"/>
  <c r="C4535" i="1"/>
  <c r="A4535" i="1"/>
  <c r="C4534" i="1"/>
  <c r="A4534" i="1"/>
  <c r="C4533" i="1"/>
  <c r="A4533" i="1"/>
  <c r="C4532" i="1"/>
  <c r="A4532" i="1"/>
  <c r="C4531" i="1"/>
  <c r="A4531" i="1"/>
  <c r="C4530" i="1"/>
  <c r="A4530" i="1"/>
  <c r="C4529" i="1"/>
  <c r="A4529" i="1"/>
  <c r="C4528" i="1"/>
  <c r="A4528" i="1"/>
  <c r="C4527" i="1"/>
  <c r="A4527" i="1"/>
  <c r="C4526" i="1"/>
  <c r="A4526" i="1"/>
  <c r="C4525" i="1"/>
  <c r="A4525" i="1"/>
  <c r="C4524" i="1"/>
  <c r="A4524" i="1"/>
  <c r="C4523" i="1"/>
  <c r="A4523" i="1"/>
  <c r="C4522" i="1"/>
  <c r="A4522" i="1"/>
  <c r="C4521" i="1"/>
  <c r="A4521" i="1"/>
  <c r="C4520" i="1"/>
  <c r="A4520" i="1"/>
  <c r="C4519" i="1"/>
  <c r="A4519" i="1"/>
  <c r="C4518" i="1"/>
  <c r="A4518" i="1"/>
  <c r="C4517" i="1"/>
  <c r="A4517" i="1"/>
  <c r="C4516" i="1"/>
  <c r="A4516" i="1"/>
  <c r="C4515" i="1"/>
  <c r="A4515" i="1"/>
  <c r="C4514" i="1"/>
  <c r="A4514" i="1"/>
  <c r="C4513" i="1"/>
  <c r="A4513" i="1"/>
  <c r="C4512" i="1"/>
  <c r="A4512" i="1"/>
  <c r="C4511" i="1"/>
  <c r="A4511" i="1"/>
  <c r="C4510" i="1"/>
  <c r="A4510" i="1"/>
  <c r="C4509" i="1"/>
  <c r="A4509" i="1"/>
  <c r="C4508" i="1"/>
  <c r="A4508" i="1"/>
  <c r="C4507" i="1"/>
  <c r="A4507" i="1"/>
  <c r="C4506" i="1"/>
  <c r="A4506" i="1"/>
  <c r="C4505" i="1"/>
  <c r="A4505" i="1"/>
  <c r="C4504" i="1"/>
  <c r="A4504" i="1"/>
  <c r="C4503" i="1"/>
  <c r="A4503" i="1"/>
  <c r="C4502" i="1"/>
  <c r="A4502" i="1"/>
  <c r="C4501" i="1"/>
  <c r="A4501" i="1"/>
  <c r="C4500" i="1"/>
  <c r="A4500" i="1"/>
  <c r="C4499" i="1"/>
  <c r="A4499" i="1"/>
  <c r="C4498" i="1"/>
  <c r="A4498" i="1"/>
  <c r="C4497" i="1"/>
  <c r="A4497" i="1"/>
  <c r="C4496" i="1"/>
  <c r="A4496" i="1"/>
  <c r="C4495" i="1"/>
  <c r="A4495" i="1"/>
  <c r="C4494" i="1"/>
  <c r="A4494" i="1"/>
  <c r="C4493" i="1"/>
  <c r="A4493" i="1"/>
  <c r="C4492" i="1"/>
  <c r="A4492" i="1"/>
  <c r="C4491" i="1"/>
  <c r="A4491" i="1"/>
  <c r="C4490" i="1"/>
  <c r="A4490" i="1"/>
  <c r="C4489" i="1"/>
  <c r="A4489" i="1"/>
  <c r="C4488" i="1"/>
  <c r="A4488" i="1"/>
  <c r="C4487" i="1"/>
  <c r="A4487" i="1"/>
  <c r="C4486" i="1"/>
  <c r="A4486" i="1"/>
  <c r="C4485" i="1"/>
  <c r="A4485" i="1"/>
  <c r="C4484" i="1"/>
  <c r="A4484" i="1"/>
  <c r="C4483" i="1"/>
  <c r="A4483" i="1"/>
  <c r="C4482" i="1"/>
  <c r="A4482" i="1"/>
  <c r="C4481" i="1"/>
  <c r="A4481" i="1"/>
  <c r="C4480" i="1"/>
  <c r="A4480" i="1"/>
  <c r="C4479" i="1"/>
  <c r="A4479" i="1"/>
  <c r="C4478" i="1"/>
  <c r="A4478" i="1"/>
  <c r="C4477" i="1"/>
  <c r="A4477" i="1"/>
  <c r="C4476" i="1"/>
  <c r="A4476" i="1"/>
  <c r="C4475" i="1"/>
  <c r="A4475" i="1"/>
  <c r="C4474" i="1"/>
  <c r="A4474" i="1"/>
  <c r="C4473" i="1"/>
  <c r="A4473" i="1"/>
  <c r="C4472" i="1"/>
  <c r="A4472" i="1"/>
  <c r="C4471" i="1"/>
  <c r="A4471" i="1"/>
  <c r="C4470" i="1"/>
  <c r="A4470" i="1"/>
  <c r="C4469" i="1"/>
  <c r="A4469" i="1"/>
  <c r="C4468" i="1"/>
  <c r="A4468" i="1"/>
  <c r="C4467" i="1"/>
  <c r="A4467" i="1"/>
  <c r="C4466" i="1"/>
  <c r="A4466" i="1"/>
  <c r="C4465" i="1"/>
  <c r="A4465" i="1"/>
  <c r="C4464" i="1"/>
  <c r="A4464" i="1"/>
  <c r="C4463" i="1"/>
  <c r="A4463" i="1"/>
  <c r="C4462" i="1"/>
  <c r="A4462" i="1"/>
  <c r="C4461" i="1"/>
  <c r="A4461" i="1"/>
  <c r="C4460" i="1"/>
  <c r="A4460" i="1"/>
  <c r="C4459" i="1"/>
  <c r="A4459" i="1"/>
  <c r="C4458" i="1"/>
  <c r="A4458" i="1"/>
  <c r="C4457" i="1"/>
  <c r="A4457" i="1"/>
  <c r="C4456" i="1"/>
  <c r="A4456" i="1"/>
  <c r="C4455" i="1"/>
  <c r="A4455" i="1"/>
  <c r="C4454" i="1"/>
  <c r="A4454" i="1"/>
  <c r="C4453" i="1"/>
  <c r="A4453" i="1"/>
  <c r="C4452" i="1"/>
  <c r="A4452" i="1"/>
  <c r="C4451" i="1"/>
  <c r="A4451" i="1"/>
  <c r="C4450" i="1"/>
  <c r="A4450" i="1"/>
  <c r="C4449" i="1"/>
  <c r="A4449" i="1"/>
  <c r="C4448" i="1"/>
  <c r="A4448" i="1"/>
  <c r="C4447" i="1"/>
  <c r="A4447" i="1"/>
  <c r="C4446" i="1"/>
  <c r="A4446" i="1"/>
  <c r="C4445" i="1"/>
  <c r="A4445" i="1"/>
  <c r="C4444" i="1"/>
  <c r="A4444" i="1"/>
  <c r="C4443" i="1"/>
  <c r="A4443" i="1"/>
  <c r="C4442" i="1"/>
  <c r="A4442" i="1"/>
  <c r="C4441" i="1"/>
  <c r="A4441" i="1"/>
  <c r="C4440" i="1"/>
  <c r="A4440" i="1"/>
  <c r="C4439" i="1"/>
  <c r="A4439" i="1"/>
  <c r="C4438" i="1"/>
  <c r="A4438" i="1"/>
  <c r="C4437" i="1"/>
  <c r="A4437" i="1"/>
  <c r="C4436" i="1"/>
  <c r="A4436" i="1"/>
  <c r="C4435" i="1"/>
  <c r="A4435" i="1"/>
  <c r="C4434" i="1"/>
  <c r="A4434" i="1"/>
  <c r="C4433" i="1"/>
  <c r="A4433" i="1"/>
  <c r="C4432" i="1"/>
  <c r="A4432" i="1"/>
  <c r="C4431" i="1"/>
  <c r="A4431" i="1"/>
  <c r="C4430" i="1"/>
  <c r="A4430" i="1"/>
  <c r="C4429" i="1"/>
  <c r="A4429" i="1"/>
  <c r="C4428" i="1"/>
  <c r="A4428" i="1"/>
  <c r="C4427" i="1"/>
  <c r="A4427" i="1"/>
  <c r="C4426" i="1"/>
  <c r="A4426" i="1"/>
  <c r="C4425" i="1"/>
  <c r="A4425" i="1"/>
  <c r="C4424" i="1"/>
  <c r="A4424" i="1"/>
  <c r="C4423" i="1"/>
  <c r="A4423" i="1"/>
  <c r="C4422" i="1"/>
  <c r="A4422" i="1"/>
  <c r="C4421" i="1"/>
  <c r="A4421" i="1"/>
  <c r="C4420" i="1"/>
  <c r="A4420" i="1"/>
  <c r="C4419" i="1"/>
  <c r="A4419" i="1"/>
  <c r="C4418" i="1"/>
  <c r="A4418" i="1"/>
  <c r="C4417" i="1"/>
  <c r="A4417" i="1"/>
  <c r="C4416" i="1"/>
  <c r="A4416" i="1"/>
  <c r="C4415" i="1"/>
  <c r="A4415" i="1"/>
  <c r="C4414" i="1"/>
  <c r="A4414" i="1"/>
  <c r="C4413" i="1"/>
  <c r="A4413" i="1"/>
  <c r="C4412" i="1"/>
  <c r="A4412" i="1"/>
  <c r="C4411" i="1"/>
  <c r="A4411" i="1"/>
  <c r="C4410" i="1"/>
  <c r="A4410" i="1"/>
  <c r="C4409" i="1"/>
  <c r="A4409" i="1"/>
  <c r="C4408" i="1"/>
  <c r="A4408" i="1"/>
  <c r="C4407" i="1"/>
  <c r="A4407" i="1"/>
  <c r="C4406" i="1"/>
  <c r="A4406" i="1"/>
  <c r="C4405" i="1"/>
  <c r="A4405" i="1"/>
  <c r="C4404" i="1"/>
  <c r="A4404" i="1"/>
  <c r="C4403" i="1"/>
  <c r="A4403" i="1"/>
  <c r="C4402" i="1"/>
  <c r="A4402" i="1"/>
  <c r="C4401" i="1"/>
  <c r="A4401" i="1"/>
  <c r="C4400" i="1"/>
  <c r="A4400" i="1"/>
  <c r="C4399" i="1"/>
  <c r="A4399" i="1"/>
  <c r="C4398" i="1"/>
  <c r="A4398" i="1"/>
  <c r="C4397" i="1"/>
  <c r="A4397" i="1"/>
  <c r="C4396" i="1"/>
  <c r="A4396" i="1"/>
  <c r="C4395" i="1"/>
  <c r="A4395" i="1"/>
  <c r="C4394" i="1"/>
  <c r="A4394" i="1"/>
  <c r="C4393" i="1"/>
  <c r="A4393" i="1"/>
  <c r="C4392" i="1"/>
  <c r="A4392" i="1"/>
  <c r="C4391" i="1"/>
  <c r="A4391" i="1"/>
  <c r="C4390" i="1"/>
  <c r="A4390" i="1"/>
  <c r="C4389" i="1"/>
  <c r="A4389" i="1"/>
  <c r="C4388" i="1"/>
  <c r="A4388" i="1"/>
  <c r="C4387" i="1"/>
  <c r="A4387" i="1"/>
  <c r="C4386" i="1"/>
  <c r="A4386" i="1"/>
  <c r="C4385" i="1"/>
  <c r="A4385" i="1"/>
  <c r="C4384" i="1"/>
  <c r="A4384" i="1"/>
  <c r="C4383" i="1"/>
  <c r="A4383" i="1"/>
  <c r="C4382" i="1"/>
  <c r="A4382" i="1"/>
  <c r="C4381" i="1"/>
  <c r="A4381" i="1"/>
  <c r="C4380" i="1"/>
  <c r="A4380" i="1"/>
  <c r="C4379" i="1"/>
  <c r="A4379" i="1"/>
  <c r="C4378" i="1"/>
  <c r="A4378" i="1"/>
  <c r="C4377" i="1"/>
  <c r="A4377" i="1"/>
  <c r="C4376" i="1"/>
  <c r="A4376" i="1"/>
  <c r="C4375" i="1"/>
  <c r="A4375" i="1"/>
  <c r="C4374" i="1"/>
  <c r="A4374" i="1"/>
  <c r="C4373" i="1"/>
  <c r="A4373" i="1"/>
  <c r="C4372" i="1"/>
  <c r="A4372" i="1"/>
  <c r="C4371" i="1"/>
  <c r="A4371" i="1"/>
  <c r="C4370" i="1"/>
  <c r="A4370" i="1"/>
  <c r="C4369" i="1"/>
  <c r="A4369" i="1"/>
  <c r="C4368" i="1"/>
  <c r="A4368" i="1"/>
  <c r="C4367" i="1"/>
  <c r="A4367" i="1"/>
  <c r="C4366" i="1"/>
  <c r="A4366" i="1"/>
  <c r="C4365" i="1"/>
  <c r="A4365" i="1"/>
  <c r="C4364" i="1"/>
  <c r="A4364" i="1"/>
  <c r="C4363" i="1"/>
  <c r="A4363" i="1"/>
  <c r="C4362" i="1"/>
  <c r="A4362" i="1"/>
  <c r="C4361" i="1"/>
  <c r="A4361" i="1"/>
  <c r="C4360" i="1"/>
  <c r="A4360" i="1"/>
  <c r="C4359" i="1"/>
  <c r="A4359" i="1"/>
  <c r="C4358" i="1"/>
  <c r="A4358" i="1"/>
  <c r="C4357" i="1"/>
  <c r="A4357" i="1"/>
  <c r="C4356" i="1"/>
  <c r="A4356" i="1"/>
  <c r="C4355" i="1"/>
  <c r="A4355" i="1"/>
  <c r="C4354" i="1"/>
  <c r="A4354" i="1"/>
  <c r="C4353" i="1"/>
  <c r="A4353" i="1"/>
  <c r="C4352" i="1"/>
  <c r="A4352" i="1"/>
  <c r="C4351" i="1"/>
  <c r="A4351" i="1"/>
  <c r="C4350" i="1"/>
  <c r="A4350" i="1"/>
  <c r="C4349" i="1"/>
  <c r="A4349" i="1"/>
  <c r="C4348" i="1"/>
  <c r="A4348" i="1"/>
  <c r="C4347" i="1"/>
  <c r="A4347" i="1"/>
  <c r="C4346" i="1"/>
  <c r="A4346" i="1"/>
  <c r="C4345" i="1"/>
  <c r="A4345" i="1"/>
  <c r="C4344" i="1"/>
  <c r="A4344" i="1"/>
  <c r="C4343" i="1"/>
  <c r="A4343" i="1"/>
  <c r="C4342" i="1"/>
  <c r="A4342" i="1"/>
  <c r="C4341" i="1"/>
  <c r="A4341" i="1"/>
  <c r="C4340" i="1"/>
  <c r="A4340" i="1"/>
  <c r="C4339" i="1"/>
  <c r="A4339" i="1"/>
  <c r="C4338" i="1"/>
  <c r="A4338" i="1"/>
  <c r="C4337" i="1"/>
  <c r="A4337" i="1"/>
  <c r="C4336" i="1"/>
  <c r="A4336" i="1"/>
  <c r="C4335" i="1"/>
  <c r="A4335" i="1"/>
  <c r="C4334" i="1"/>
  <c r="A4334" i="1"/>
  <c r="C4333" i="1"/>
  <c r="A4333" i="1"/>
  <c r="C4332" i="1"/>
  <c r="A4332" i="1"/>
  <c r="C4331" i="1"/>
  <c r="A4331" i="1"/>
  <c r="C4330" i="1"/>
  <c r="A4330" i="1"/>
  <c r="C4329" i="1"/>
  <c r="A4329" i="1"/>
  <c r="C4328" i="1"/>
  <c r="A4328" i="1"/>
  <c r="C4327" i="1"/>
  <c r="A4327" i="1"/>
  <c r="C4326" i="1"/>
  <c r="A4326" i="1"/>
  <c r="C4325" i="1"/>
  <c r="A4325" i="1"/>
  <c r="C4324" i="1"/>
  <c r="A4324" i="1"/>
  <c r="C4323" i="1"/>
  <c r="A4323" i="1"/>
  <c r="C4322" i="1"/>
  <c r="A4322" i="1"/>
  <c r="C4321" i="1"/>
  <c r="A4321" i="1"/>
  <c r="C4320" i="1"/>
  <c r="A4320" i="1"/>
  <c r="C4319" i="1"/>
  <c r="A4319" i="1"/>
  <c r="C4318" i="1"/>
  <c r="A4318" i="1"/>
  <c r="C4317" i="1"/>
  <c r="A4317" i="1"/>
  <c r="C4316" i="1"/>
  <c r="A4316" i="1"/>
  <c r="C4315" i="1"/>
  <c r="A4315" i="1"/>
  <c r="C4314" i="1"/>
  <c r="A4314" i="1"/>
  <c r="C4313" i="1"/>
  <c r="A4313" i="1"/>
  <c r="C4312" i="1"/>
  <c r="A4312" i="1"/>
  <c r="C4311" i="1"/>
  <c r="A4311" i="1"/>
  <c r="C4310" i="1"/>
  <c r="A4310" i="1"/>
  <c r="C4309" i="1"/>
  <c r="A4309" i="1"/>
  <c r="C4308" i="1"/>
  <c r="A4308" i="1"/>
  <c r="C4307" i="1"/>
  <c r="A4307" i="1"/>
  <c r="C4306" i="1"/>
  <c r="A4306" i="1"/>
  <c r="C4305" i="1"/>
  <c r="A4305" i="1"/>
  <c r="C4304" i="1"/>
  <c r="A4304" i="1"/>
  <c r="C4303" i="1"/>
  <c r="A4303" i="1"/>
  <c r="C4302" i="1"/>
  <c r="A4302" i="1"/>
  <c r="C4301" i="1"/>
  <c r="A4301" i="1"/>
  <c r="C4300" i="1"/>
  <c r="A4300" i="1"/>
  <c r="C4299" i="1"/>
  <c r="A4299" i="1"/>
  <c r="C4298" i="1"/>
  <c r="A4298" i="1"/>
  <c r="C4297" i="1"/>
  <c r="A4297" i="1"/>
  <c r="C4296" i="1"/>
  <c r="A4296" i="1"/>
  <c r="C4295" i="1"/>
  <c r="A4295" i="1"/>
  <c r="C4294" i="1"/>
  <c r="A4294" i="1"/>
  <c r="C4293" i="1"/>
  <c r="A4293" i="1"/>
  <c r="C4292" i="1"/>
  <c r="A4292" i="1"/>
  <c r="C4291" i="1"/>
  <c r="A4291" i="1"/>
  <c r="C4290" i="1"/>
  <c r="A4290" i="1"/>
  <c r="C4289" i="1"/>
  <c r="A4289" i="1"/>
  <c r="C4288" i="1"/>
  <c r="A4288" i="1"/>
  <c r="C4287" i="1"/>
  <c r="A4287" i="1"/>
  <c r="C4286" i="1"/>
  <c r="A4286" i="1"/>
  <c r="C4285" i="1"/>
  <c r="A4285" i="1"/>
  <c r="C4284" i="1"/>
  <c r="A4284" i="1"/>
  <c r="C4283" i="1"/>
  <c r="A4283" i="1"/>
  <c r="C4282" i="1"/>
  <c r="A4282" i="1"/>
  <c r="C4281" i="1"/>
  <c r="A4281" i="1"/>
  <c r="C4280" i="1"/>
  <c r="A4280" i="1"/>
  <c r="C4279" i="1"/>
  <c r="A4279" i="1"/>
  <c r="C4278" i="1"/>
  <c r="A4278" i="1"/>
  <c r="C4277" i="1"/>
  <c r="A4277" i="1"/>
  <c r="C4276" i="1"/>
  <c r="A4276" i="1"/>
  <c r="C4275" i="1"/>
  <c r="A4275" i="1"/>
  <c r="C4274" i="1"/>
  <c r="A4274" i="1"/>
  <c r="C4273" i="1"/>
  <c r="A4273" i="1"/>
  <c r="C4272" i="1"/>
  <c r="A4272" i="1"/>
  <c r="C4271" i="1"/>
  <c r="A4271" i="1"/>
  <c r="C4270" i="1"/>
  <c r="A4270" i="1"/>
  <c r="C4269" i="1"/>
  <c r="A4269" i="1"/>
  <c r="C4268" i="1"/>
  <c r="A4268" i="1"/>
  <c r="C4267" i="1"/>
  <c r="A4267" i="1"/>
  <c r="C4266" i="1"/>
  <c r="A4266" i="1"/>
  <c r="C4265" i="1"/>
  <c r="A4265" i="1"/>
  <c r="C4264" i="1"/>
  <c r="A4264" i="1"/>
  <c r="C4263" i="1"/>
  <c r="A4263" i="1"/>
  <c r="C4262" i="1"/>
  <c r="A4262" i="1"/>
  <c r="C4261" i="1"/>
  <c r="A4261" i="1"/>
  <c r="C4260" i="1"/>
  <c r="A4260" i="1"/>
  <c r="C4259" i="1"/>
  <c r="A4259" i="1"/>
  <c r="C4258" i="1"/>
  <c r="A4258" i="1"/>
  <c r="C4257" i="1"/>
  <c r="A4257" i="1"/>
  <c r="C4256" i="1"/>
  <c r="A4256" i="1"/>
  <c r="C4255" i="1"/>
  <c r="A4255" i="1"/>
  <c r="C4254" i="1"/>
  <c r="A4254" i="1"/>
  <c r="C4253" i="1"/>
  <c r="A4253" i="1"/>
  <c r="C4252" i="1"/>
  <c r="A4252" i="1"/>
  <c r="C4251" i="1"/>
  <c r="A4251" i="1"/>
  <c r="C4250" i="1"/>
  <c r="A4250" i="1"/>
  <c r="C4249" i="1"/>
  <c r="A4249" i="1"/>
  <c r="C4248" i="1"/>
  <c r="A4248" i="1"/>
  <c r="C4247" i="1"/>
  <c r="A4247" i="1"/>
  <c r="C4246" i="1"/>
  <c r="A4246" i="1"/>
  <c r="C4245" i="1"/>
  <c r="A4245" i="1"/>
  <c r="C4244" i="1"/>
  <c r="A4244" i="1"/>
  <c r="C4243" i="1"/>
  <c r="A4243" i="1"/>
  <c r="C4242" i="1"/>
  <c r="A4242" i="1"/>
  <c r="C4241" i="1"/>
  <c r="A4241" i="1"/>
  <c r="C4240" i="1"/>
  <c r="A4240" i="1"/>
  <c r="C4239" i="1"/>
  <c r="A4239" i="1"/>
  <c r="C4238" i="1"/>
  <c r="A4238" i="1"/>
  <c r="C4237" i="1"/>
  <c r="A4237" i="1"/>
  <c r="C4236" i="1"/>
  <c r="A4236" i="1"/>
  <c r="C4235" i="1"/>
  <c r="A4235" i="1"/>
  <c r="C4234" i="1"/>
  <c r="A4234" i="1"/>
  <c r="C4233" i="1"/>
  <c r="A4233" i="1"/>
  <c r="C4232" i="1"/>
  <c r="A4232" i="1"/>
  <c r="C4231" i="1"/>
  <c r="A4231" i="1"/>
  <c r="C4230" i="1"/>
  <c r="A4230" i="1"/>
  <c r="C4229" i="1"/>
  <c r="A4229" i="1"/>
  <c r="C4228" i="1"/>
  <c r="A4228" i="1"/>
  <c r="C4227" i="1"/>
  <c r="A4227" i="1"/>
  <c r="C4226" i="1"/>
  <c r="A4226" i="1"/>
  <c r="C4225" i="1"/>
  <c r="A4225" i="1"/>
  <c r="C4224" i="1"/>
  <c r="A4224" i="1"/>
  <c r="C4223" i="1"/>
  <c r="A4223" i="1"/>
  <c r="C4222" i="1"/>
  <c r="A4222" i="1"/>
  <c r="C4221" i="1"/>
  <c r="A4221" i="1"/>
  <c r="C4220" i="1"/>
  <c r="A4220" i="1"/>
  <c r="C4219" i="1"/>
  <c r="A4219" i="1"/>
  <c r="C4218" i="1"/>
  <c r="A4218" i="1"/>
  <c r="C4217" i="1"/>
  <c r="A4217" i="1"/>
  <c r="C4216" i="1"/>
  <c r="A4216" i="1"/>
  <c r="C4215" i="1"/>
  <c r="A4215" i="1"/>
  <c r="C4214" i="1"/>
  <c r="A4214" i="1"/>
  <c r="C4213" i="1"/>
  <c r="A4213" i="1"/>
  <c r="C4212" i="1"/>
  <c r="A4212" i="1"/>
  <c r="C4211" i="1"/>
  <c r="A4211" i="1"/>
  <c r="C4210" i="1"/>
  <c r="A4210" i="1"/>
  <c r="C4209" i="1"/>
  <c r="A4209" i="1"/>
  <c r="C4208" i="1"/>
  <c r="A4208" i="1"/>
  <c r="C4207" i="1"/>
  <c r="A4207" i="1"/>
  <c r="C4206" i="1"/>
  <c r="A4206" i="1"/>
  <c r="C4205" i="1"/>
  <c r="A4205" i="1"/>
  <c r="C4204" i="1"/>
  <c r="A4204" i="1"/>
  <c r="C4203" i="1"/>
  <c r="A4203" i="1"/>
  <c r="C4202" i="1"/>
  <c r="A4202" i="1"/>
  <c r="C4201" i="1"/>
  <c r="A4201" i="1"/>
  <c r="C4200" i="1"/>
  <c r="A4200" i="1"/>
  <c r="C4199" i="1"/>
  <c r="A4199" i="1"/>
  <c r="C4198" i="1"/>
  <c r="A4198" i="1"/>
  <c r="C4197" i="1"/>
  <c r="A4197" i="1"/>
  <c r="C4196" i="1"/>
  <c r="A4196" i="1"/>
  <c r="C4195" i="1"/>
  <c r="A4195" i="1"/>
  <c r="C4194" i="1"/>
  <c r="A4194" i="1"/>
  <c r="C4193" i="1"/>
  <c r="A4193" i="1"/>
  <c r="C4192" i="1"/>
  <c r="A4192" i="1"/>
  <c r="C4191" i="1"/>
  <c r="A4191" i="1"/>
  <c r="C4190" i="1"/>
  <c r="A4190" i="1"/>
  <c r="C4189" i="1"/>
  <c r="A4189" i="1"/>
  <c r="C4188" i="1"/>
  <c r="A4188" i="1"/>
  <c r="C4187" i="1"/>
  <c r="A4187" i="1"/>
  <c r="C4186" i="1"/>
  <c r="A4186" i="1"/>
  <c r="C4185" i="1"/>
  <c r="A4185" i="1"/>
  <c r="C4184" i="1"/>
  <c r="A4184" i="1"/>
  <c r="C4183" i="1"/>
  <c r="A4183" i="1"/>
  <c r="C4182" i="1"/>
  <c r="A4182" i="1"/>
  <c r="C4181" i="1"/>
  <c r="A4181" i="1"/>
  <c r="C4180" i="1"/>
  <c r="A4180" i="1"/>
  <c r="C4179" i="1"/>
  <c r="A4179" i="1"/>
  <c r="C4178" i="1"/>
  <c r="A4178" i="1"/>
  <c r="C4177" i="1"/>
  <c r="A4177" i="1"/>
  <c r="C4176" i="1"/>
  <c r="A4176" i="1"/>
  <c r="C4175" i="1"/>
  <c r="A4175" i="1"/>
  <c r="C4174" i="1"/>
  <c r="A4174" i="1"/>
  <c r="C4173" i="1"/>
  <c r="A4173" i="1"/>
  <c r="C4172" i="1"/>
  <c r="A4172" i="1"/>
  <c r="C4171" i="1"/>
  <c r="A4171" i="1"/>
  <c r="C4170" i="1"/>
  <c r="A4170" i="1"/>
  <c r="C4169" i="1"/>
  <c r="A4169" i="1"/>
  <c r="C4168" i="1"/>
  <c r="A4168" i="1"/>
  <c r="C4167" i="1"/>
  <c r="A4167" i="1"/>
  <c r="C4166" i="1"/>
  <c r="A4166" i="1"/>
  <c r="C4165" i="1"/>
  <c r="A4165" i="1"/>
  <c r="C4164" i="1"/>
  <c r="A4164" i="1"/>
  <c r="C4163" i="1"/>
  <c r="A4163" i="1"/>
  <c r="C4162" i="1"/>
  <c r="A4162" i="1"/>
  <c r="C4161" i="1"/>
  <c r="A4161" i="1"/>
  <c r="C4160" i="1"/>
  <c r="A4160" i="1"/>
  <c r="C4159" i="1"/>
  <c r="A4159" i="1"/>
  <c r="C4158" i="1"/>
  <c r="A4158" i="1"/>
  <c r="C4157" i="1"/>
  <c r="A4157" i="1"/>
  <c r="C4156" i="1"/>
  <c r="A4156" i="1"/>
  <c r="C4155" i="1"/>
  <c r="A4155" i="1"/>
  <c r="C4154" i="1"/>
  <c r="A4154" i="1"/>
  <c r="C4153" i="1"/>
  <c r="A4153" i="1"/>
  <c r="C4152" i="1"/>
  <c r="A4152" i="1"/>
  <c r="C4151" i="1"/>
  <c r="A4151" i="1"/>
  <c r="C4150" i="1"/>
  <c r="A4150" i="1"/>
  <c r="C4149" i="1"/>
  <c r="A4149" i="1"/>
  <c r="C4148" i="1"/>
  <c r="A4148" i="1"/>
  <c r="C4147" i="1"/>
  <c r="A4147" i="1"/>
  <c r="C4146" i="1"/>
  <c r="A4146" i="1"/>
  <c r="C4145" i="1"/>
  <c r="A4145" i="1"/>
  <c r="C4144" i="1"/>
  <c r="A4144" i="1"/>
  <c r="C4143" i="1"/>
  <c r="A4143" i="1"/>
  <c r="C4142" i="1"/>
  <c r="A4142" i="1"/>
  <c r="C4141" i="1"/>
  <c r="A4141" i="1"/>
  <c r="C4140" i="1"/>
  <c r="A4140" i="1"/>
  <c r="C4139" i="1"/>
  <c r="A4139" i="1"/>
  <c r="C4138" i="1"/>
  <c r="A4138" i="1"/>
  <c r="C4137" i="1"/>
  <c r="A4137" i="1"/>
  <c r="C4136" i="1"/>
  <c r="A4136" i="1"/>
  <c r="C4135" i="1"/>
  <c r="A4135" i="1"/>
  <c r="C4134" i="1"/>
  <c r="A4134" i="1"/>
  <c r="C4133" i="1"/>
  <c r="A4133" i="1"/>
  <c r="C4132" i="1"/>
  <c r="A4132" i="1"/>
  <c r="C4131" i="1"/>
  <c r="A4131" i="1"/>
  <c r="C4130" i="1"/>
  <c r="A4130" i="1"/>
  <c r="C4129" i="1"/>
  <c r="A4129" i="1"/>
  <c r="C4128" i="1"/>
  <c r="A4128" i="1"/>
  <c r="C4127" i="1"/>
  <c r="A4127" i="1"/>
  <c r="C4126" i="1"/>
  <c r="A4126" i="1"/>
  <c r="C4125" i="1"/>
  <c r="A4125" i="1"/>
  <c r="C4124" i="1"/>
  <c r="A4124" i="1"/>
  <c r="C4123" i="1"/>
  <c r="A4123" i="1"/>
  <c r="C4122" i="1"/>
  <c r="A4122" i="1"/>
  <c r="C4121" i="1"/>
  <c r="A4121" i="1"/>
  <c r="C4120" i="1"/>
  <c r="A4120" i="1"/>
  <c r="C4119" i="1"/>
  <c r="A4119" i="1"/>
  <c r="C4118" i="1"/>
  <c r="A4118" i="1"/>
  <c r="C4117" i="1"/>
  <c r="A4117" i="1"/>
  <c r="C4116" i="1"/>
  <c r="A4116" i="1"/>
  <c r="C4115" i="1"/>
  <c r="A4115" i="1"/>
  <c r="C4114" i="1"/>
  <c r="A4114" i="1"/>
  <c r="C4113" i="1"/>
  <c r="A4113" i="1"/>
  <c r="C4112" i="1"/>
  <c r="A4112" i="1"/>
  <c r="C4111" i="1"/>
  <c r="A4111" i="1"/>
  <c r="C4110" i="1"/>
  <c r="A4110" i="1"/>
  <c r="C4109" i="1"/>
  <c r="A4109" i="1"/>
  <c r="C4108" i="1"/>
  <c r="A4108" i="1"/>
  <c r="C4107" i="1"/>
  <c r="A4107" i="1"/>
  <c r="C4106" i="1"/>
  <c r="A4106" i="1"/>
  <c r="C4105" i="1"/>
  <c r="A4105" i="1"/>
  <c r="C4104" i="1"/>
  <c r="A4104" i="1"/>
  <c r="C4103" i="1"/>
  <c r="A4103" i="1"/>
  <c r="C4102" i="1"/>
  <c r="A4102" i="1"/>
  <c r="C4101" i="1"/>
  <c r="A4101" i="1"/>
  <c r="C4100" i="1"/>
  <c r="A4100" i="1"/>
  <c r="C4099" i="1"/>
  <c r="A4099" i="1"/>
  <c r="C4098" i="1"/>
  <c r="A4098" i="1"/>
  <c r="C4097" i="1"/>
  <c r="A4097" i="1"/>
  <c r="C4096" i="1"/>
  <c r="A4096" i="1"/>
  <c r="C4095" i="1"/>
  <c r="A4095" i="1"/>
  <c r="C4094" i="1"/>
  <c r="A4094" i="1"/>
  <c r="C4093" i="1"/>
  <c r="A4093" i="1"/>
  <c r="C4092" i="1"/>
  <c r="A4092" i="1"/>
  <c r="C4091" i="1"/>
  <c r="A4091" i="1"/>
  <c r="C4090" i="1"/>
  <c r="A4090" i="1"/>
  <c r="C4089" i="1"/>
  <c r="A4089" i="1"/>
  <c r="C4088" i="1"/>
  <c r="A4088" i="1"/>
  <c r="C4087" i="1"/>
  <c r="A4087" i="1"/>
  <c r="C4086" i="1"/>
  <c r="A4086" i="1"/>
  <c r="C4085" i="1"/>
  <c r="A4085" i="1"/>
  <c r="C4084" i="1"/>
  <c r="A4084" i="1"/>
  <c r="C4083" i="1"/>
  <c r="A4083" i="1"/>
  <c r="C4082" i="1"/>
  <c r="A4082" i="1"/>
  <c r="C4081" i="1"/>
  <c r="A4081" i="1"/>
  <c r="C4080" i="1"/>
  <c r="A4080" i="1"/>
  <c r="C4079" i="1"/>
  <c r="A4079" i="1"/>
  <c r="C4078" i="1"/>
  <c r="A4078" i="1"/>
  <c r="C4077" i="1"/>
  <c r="A4077" i="1"/>
  <c r="C4076" i="1"/>
  <c r="A4076" i="1"/>
  <c r="C4075" i="1"/>
  <c r="A4075" i="1"/>
  <c r="C4074" i="1"/>
  <c r="A4074" i="1"/>
  <c r="C4073" i="1"/>
  <c r="A4073" i="1"/>
  <c r="C4072" i="1"/>
  <c r="A4072" i="1"/>
  <c r="C4071" i="1"/>
  <c r="A4071" i="1"/>
  <c r="C4070" i="1"/>
  <c r="A4070" i="1"/>
  <c r="C4069" i="1"/>
  <c r="A4069" i="1"/>
  <c r="C4068" i="1"/>
  <c r="A4068" i="1"/>
  <c r="C4067" i="1"/>
  <c r="A4067" i="1"/>
  <c r="C4066" i="1"/>
  <c r="A4066" i="1"/>
  <c r="C4065" i="1"/>
  <c r="A4065" i="1"/>
  <c r="C4064" i="1"/>
  <c r="A4064" i="1"/>
  <c r="C4063" i="1"/>
  <c r="A4063" i="1"/>
  <c r="C4062" i="1"/>
  <c r="A4062" i="1"/>
  <c r="C4061" i="1"/>
  <c r="A4061" i="1"/>
  <c r="C4060" i="1"/>
  <c r="A4060" i="1"/>
  <c r="C4059" i="1"/>
  <c r="A4059" i="1"/>
  <c r="C4058" i="1"/>
  <c r="A4058" i="1"/>
  <c r="C4057" i="1"/>
  <c r="A4057" i="1"/>
  <c r="C4056" i="1"/>
  <c r="A4056" i="1"/>
  <c r="C4055" i="1"/>
  <c r="A4055" i="1"/>
  <c r="C4054" i="1"/>
  <c r="A4054" i="1"/>
  <c r="C4053" i="1"/>
  <c r="A4053" i="1"/>
  <c r="C4052" i="1"/>
  <c r="A4052" i="1"/>
  <c r="C4051" i="1"/>
  <c r="A4051" i="1"/>
  <c r="C4050" i="1"/>
  <c r="A4050" i="1"/>
  <c r="C4049" i="1"/>
  <c r="A4049" i="1"/>
  <c r="C4048" i="1"/>
  <c r="A4048" i="1"/>
  <c r="C4047" i="1"/>
  <c r="A4047" i="1"/>
  <c r="C4046" i="1"/>
  <c r="A4046" i="1"/>
  <c r="C4045" i="1"/>
  <c r="A4045" i="1"/>
  <c r="C4044" i="1"/>
  <c r="A4044" i="1"/>
  <c r="C4043" i="1"/>
  <c r="A4043" i="1"/>
  <c r="C4042" i="1"/>
  <c r="A4042" i="1"/>
  <c r="C4041" i="1"/>
  <c r="A4041" i="1"/>
  <c r="C4040" i="1"/>
  <c r="A4040" i="1"/>
  <c r="C4039" i="1"/>
  <c r="A4039" i="1"/>
  <c r="C4038" i="1"/>
  <c r="A4038" i="1"/>
  <c r="C4037" i="1"/>
  <c r="A4037" i="1"/>
  <c r="C4036" i="1"/>
  <c r="A4036" i="1"/>
  <c r="C4035" i="1"/>
  <c r="A4035" i="1"/>
  <c r="C4034" i="1"/>
  <c r="A4034" i="1"/>
  <c r="C4033" i="1"/>
  <c r="A4033" i="1"/>
  <c r="C4032" i="1"/>
  <c r="A4032" i="1"/>
  <c r="C4031" i="1"/>
  <c r="A4031" i="1"/>
  <c r="C4030" i="1"/>
  <c r="A4030" i="1"/>
  <c r="C4029" i="1"/>
  <c r="A4029" i="1"/>
  <c r="C4028" i="1"/>
  <c r="A4028" i="1"/>
  <c r="C4027" i="1"/>
  <c r="A4027" i="1"/>
  <c r="C4026" i="1"/>
  <c r="A4026" i="1"/>
  <c r="C4025" i="1"/>
  <c r="A4025" i="1"/>
  <c r="C4024" i="1"/>
  <c r="A4024" i="1"/>
  <c r="C4023" i="1"/>
  <c r="A4023" i="1"/>
  <c r="C4022" i="1"/>
  <c r="A4022" i="1"/>
  <c r="C4021" i="1"/>
  <c r="A4021" i="1"/>
  <c r="C4020" i="1"/>
  <c r="A4020" i="1"/>
  <c r="C4019" i="1"/>
  <c r="A4019" i="1"/>
  <c r="C4018" i="1"/>
  <c r="A4018" i="1"/>
  <c r="C4017" i="1"/>
  <c r="A4017" i="1"/>
  <c r="C4016" i="1"/>
  <c r="A4016" i="1"/>
  <c r="C4015" i="1"/>
  <c r="A4015" i="1"/>
  <c r="C4014" i="1"/>
  <c r="A4014" i="1"/>
  <c r="C4013" i="1"/>
  <c r="A4013" i="1"/>
  <c r="C4012" i="1"/>
  <c r="A4012" i="1"/>
  <c r="C4011" i="1"/>
  <c r="A4011" i="1"/>
  <c r="C4010" i="1"/>
  <c r="A4010" i="1"/>
  <c r="C4009" i="1"/>
  <c r="A4009" i="1"/>
  <c r="C4008" i="1"/>
  <c r="A4008" i="1"/>
  <c r="C4007" i="1"/>
  <c r="A4007" i="1"/>
  <c r="C4006" i="1"/>
  <c r="A4006" i="1"/>
  <c r="C4005" i="1"/>
  <c r="A4005" i="1"/>
  <c r="C4004" i="1"/>
  <c r="A4004" i="1"/>
  <c r="C4003" i="1"/>
  <c r="A4003" i="1"/>
  <c r="C4002" i="1"/>
  <c r="A4002" i="1"/>
  <c r="C4001" i="1"/>
  <c r="A4001" i="1"/>
  <c r="C4000" i="1"/>
  <c r="A4000" i="1"/>
  <c r="C3999" i="1"/>
  <c r="A3999" i="1"/>
  <c r="C3998" i="1"/>
  <c r="A3998" i="1"/>
  <c r="C3997" i="1"/>
  <c r="A3997" i="1"/>
  <c r="C3996" i="1"/>
  <c r="A3996" i="1"/>
  <c r="C3995" i="1"/>
  <c r="A3995" i="1"/>
  <c r="C3994" i="1"/>
  <c r="A3994" i="1"/>
  <c r="C3993" i="1"/>
  <c r="A3993" i="1"/>
  <c r="C3992" i="1"/>
  <c r="A3992" i="1"/>
  <c r="C3991" i="1"/>
  <c r="A3991" i="1"/>
  <c r="C3990" i="1"/>
  <c r="A3990" i="1"/>
  <c r="C3989" i="1"/>
  <c r="A3989" i="1"/>
  <c r="C3988" i="1"/>
  <c r="A3988" i="1"/>
  <c r="C3987" i="1"/>
  <c r="A3987" i="1"/>
  <c r="C3986" i="1"/>
  <c r="A3986" i="1"/>
  <c r="C3985" i="1"/>
  <c r="A3985" i="1"/>
  <c r="C3984" i="1"/>
  <c r="A3984" i="1"/>
  <c r="C3983" i="1"/>
  <c r="A3983" i="1"/>
  <c r="C3982" i="1"/>
  <c r="A3982" i="1"/>
  <c r="C3981" i="1"/>
  <c r="A3981" i="1"/>
  <c r="C3980" i="1"/>
  <c r="A3980" i="1"/>
  <c r="C3979" i="1"/>
  <c r="A3979" i="1"/>
  <c r="C3978" i="1"/>
  <c r="A3978" i="1"/>
  <c r="C3977" i="1"/>
  <c r="A3977" i="1"/>
  <c r="C3976" i="1"/>
  <c r="A3976" i="1"/>
  <c r="C3975" i="1"/>
  <c r="A3975" i="1"/>
  <c r="C3974" i="1"/>
  <c r="A3974" i="1"/>
  <c r="C3973" i="1"/>
  <c r="A3973" i="1"/>
  <c r="C3972" i="1"/>
  <c r="A3972" i="1"/>
  <c r="C3971" i="1"/>
  <c r="A3971" i="1"/>
  <c r="C3970" i="1"/>
  <c r="A3970" i="1"/>
  <c r="C3969" i="1"/>
  <c r="A3969" i="1"/>
  <c r="C3968" i="1"/>
  <c r="A3968" i="1"/>
  <c r="C3967" i="1"/>
  <c r="A3967" i="1"/>
  <c r="C3966" i="1"/>
  <c r="A3966" i="1"/>
  <c r="C3965" i="1"/>
  <c r="A3965" i="1"/>
  <c r="C3964" i="1"/>
  <c r="A3964" i="1"/>
  <c r="C3963" i="1"/>
  <c r="A3963" i="1"/>
  <c r="C3962" i="1"/>
  <c r="A3962" i="1"/>
  <c r="C3961" i="1"/>
  <c r="A3961" i="1"/>
  <c r="C3960" i="1"/>
  <c r="A3960" i="1"/>
  <c r="C3959" i="1"/>
  <c r="A3959" i="1"/>
  <c r="C3958" i="1"/>
  <c r="A3958" i="1"/>
  <c r="C3957" i="1"/>
  <c r="A3957" i="1"/>
  <c r="C3956" i="1"/>
  <c r="A3956" i="1"/>
  <c r="C3955" i="1"/>
  <c r="A3955" i="1"/>
  <c r="C3954" i="1"/>
  <c r="A3954" i="1"/>
  <c r="C3953" i="1"/>
  <c r="A3953" i="1"/>
  <c r="C3952" i="1"/>
  <c r="A3952" i="1"/>
  <c r="C3951" i="1"/>
  <c r="A3951" i="1"/>
  <c r="C3950" i="1"/>
  <c r="A3950" i="1"/>
  <c r="C3949" i="1"/>
  <c r="A3949" i="1"/>
  <c r="C3948" i="1"/>
  <c r="A3948" i="1"/>
  <c r="C3947" i="1"/>
  <c r="A3947" i="1"/>
  <c r="C3946" i="1"/>
  <c r="A3946" i="1"/>
  <c r="C3945" i="1"/>
  <c r="A3945" i="1"/>
  <c r="C3944" i="1"/>
  <c r="A3944" i="1"/>
  <c r="C3943" i="1"/>
  <c r="A3943" i="1"/>
  <c r="C3942" i="1"/>
  <c r="A3942" i="1"/>
  <c r="C3941" i="1"/>
  <c r="A3941" i="1"/>
  <c r="C3940" i="1"/>
  <c r="A3940" i="1"/>
  <c r="C3939" i="1"/>
  <c r="A3939" i="1"/>
  <c r="C3938" i="1"/>
  <c r="A3938" i="1"/>
  <c r="C3937" i="1"/>
  <c r="A3937" i="1"/>
  <c r="C3936" i="1"/>
  <c r="A3936" i="1"/>
  <c r="C3935" i="1"/>
  <c r="A3935" i="1"/>
  <c r="C3934" i="1"/>
  <c r="A3934" i="1"/>
  <c r="C3933" i="1"/>
  <c r="A3933" i="1"/>
  <c r="C3932" i="1"/>
  <c r="A3932" i="1"/>
  <c r="C3931" i="1"/>
  <c r="A3931" i="1"/>
  <c r="C3930" i="1"/>
  <c r="A3930" i="1"/>
  <c r="C3929" i="1"/>
  <c r="A3929" i="1"/>
  <c r="C3928" i="1"/>
  <c r="A3928" i="1"/>
  <c r="C3927" i="1"/>
  <c r="A3927" i="1"/>
  <c r="C3926" i="1"/>
  <c r="A3926" i="1"/>
  <c r="C3925" i="1"/>
  <c r="A3925" i="1"/>
  <c r="C3924" i="1"/>
  <c r="A3924" i="1"/>
  <c r="C3923" i="1"/>
  <c r="A3923" i="1"/>
  <c r="C3922" i="1"/>
  <c r="A3922" i="1"/>
  <c r="C3921" i="1"/>
  <c r="A3921" i="1"/>
  <c r="C3920" i="1"/>
  <c r="A3920" i="1"/>
  <c r="C3919" i="1"/>
  <c r="A3919" i="1"/>
  <c r="C3918" i="1"/>
  <c r="A3918" i="1"/>
  <c r="C3917" i="1"/>
  <c r="A3917" i="1"/>
  <c r="C3916" i="1"/>
  <c r="A3916" i="1"/>
  <c r="C3915" i="1"/>
  <c r="A3915" i="1"/>
  <c r="C3914" i="1"/>
  <c r="A3914" i="1"/>
  <c r="C3913" i="1"/>
  <c r="A3913" i="1"/>
  <c r="C3912" i="1"/>
  <c r="A3912" i="1"/>
  <c r="C3911" i="1"/>
  <c r="A3911" i="1"/>
  <c r="C3910" i="1"/>
  <c r="A3910" i="1"/>
  <c r="C3909" i="1"/>
  <c r="A3909" i="1"/>
  <c r="C3908" i="1"/>
  <c r="A3908" i="1"/>
  <c r="C3907" i="1"/>
  <c r="A3907" i="1"/>
  <c r="C3906" i="1"/>
  <c r="A3906" i="1"/>
  <c r="C3905" i="1"/>
  <c r="A3905" i="1"/>
  <c r="C3904" i="1"/>
  <c r="A3904" i="1"/>
  <c r="C3903" i="1"/>
  <c r="A3903" i="1"/>
  <c r="C3902" i="1"/>
  <c r="A3902" i="1"/>
  <c r="C3901" i="1"/>
  <c r="A3901" i="1"/>
  <c r="C3900" i="1"/>
  <c r="A3900" i="1"/>
  <c r="C3899" i="1"/>
  <c r="A3899" i="1"/>
  <c r="C3898" i="1"/>
  <c r="A3898" i="1"/>
  <c r="C3897" i="1"/>
  <c r="A3897" i="1"/>
  <c r="C3896" i="1"/>
  <c r="A3896" i="1"/>
  <c r="C3895" i="1"/>
  <c r="A3895" i="1"/>
  <c r="C3894" i="1"/>
  <c r="A3894" i="1"/>
  <c r="C3893" i="1"/>
  <c r="A3893" i="1"/>
  <c r="C3892" i="1"/>
  <c r="A3892" i="1"/>
  <c r="C3891" i="1"/>
  <c r="A3891" i="1"/>
  <c r="C3890" i="1"/>
  <c r="A3890" i="1"/>
  <c r="C3889" i="1"/>
  <c r="A3889" i="1"/>
  <c r="C3888" i="1"/>
  <c r="A3888" i="1"/>
  <c r="C3887" i="1"/>
  <c r="A3887" i="1"/>
  <c r="C3886" i="1"/>
  <c r="A3886" i="1"/>
  <c r="C3885" i="1"/>
  <c r="A3885" i="1"/>
  <c r="C3884" i="1"/>
  <c r="A3884" i="1"/>
  <c r="C3883" i="1"/>
  <c r="A3883" i="1"/>
  <c r="C3882" i="1"/>
  <c r="A3882" i="1"/>
  <c r="C3881" i="1"/>
  <c r="A3881" i="1"/>
  <c r="C3880" i="1"/>
  <c r="A3880" i="1"/>
  <c r="C3879" i="1"/>
  <c r="A3879" i="1"/>
  <c r="C3878" i="1"/>
  <c r="A3878" i="1"/>
  <c r="C3877" i="1"/>
  <c r="A3877" i="1"/>
  <c r="C3876" i="1"/>
  <c r="A3876" i="1"/>
  <c r="C3875" i="1"/>
  <c r="A3875" i="1"/>
  <c r="C3874" i="1"/>
  <c r="A3874" i="1"/>
  <c r="C3873" i="1"/>
  <c r="A3873" i="1"/>
  <c r="C3872" i="1"/>
  <c r="A3872" i="1"/>
  <c r="C3871" i="1"/>
  <c r="A3871" i="1"/>
  <c r="C3870" i="1"/>
  <c r="A3870" i="1"/>
  <c r="C3869" i="1"/>
  <c r="A3869" i="1"/>
  <c r="C3868" i="1"/>
  <c r="A3868" i="1"/>
  <c r="C3867" i="1"/>
  <c r="A3867" i="1"/>
  <c r="C3866" i="1"/>
  <c r="A3866" i="1"/>
  <c r="C3865" i="1"/>
  <c r="A3865" i="1"/>
  <c r="C3864" i="1"/>
  <c r="A3864" i="1"/>
  <c r="C3863" i="1"/>
  <c r="A3863" i="1"/>
  <c r="C3862" i="1"/>
  <c r="A3862" i="1"/>
  <c r="C3861" i="1"/>
  <c r="A3861" i="1"/>
  <c r="C3860" i="1"/>
  <c r="A3860" i="1"/>
  <c r="C3859" i="1"/>
  <c r="A3859" i="1"/>
  <c r="C3858" i="1"/>
  <c r="A3858" i="1"/>
  <c r="C3857" i="1"/>
  <c r="A3857" i="1"/>
  <c r="C3856" i="1"/>
  <c r="A3856" i="1"/>
  <c r="C3855" i="1"/>
  <c r="A3855" i="1"/>
  <c r="C3854" i="1"/>
  <c r="A3854" i="1"/>
  <c r="C3853" i="1"/>
  <c r="A3853" i="1"/>
  <c r="C3852" i="1"/>
  <c r="A3852" i="1"/>
  <c r="C3851" i="1"/>
  <c r="A3851" i="1"/>
  <c r="C3850" i="1"/>
  <c r="A3850" i="1"/>
  <c r="C3849" i="1"/>
  <c r="A3849" i="1"/>
  <c r="C3848" i="1"/>
  <c r="A3848" i="1"/>
  <c r="C3847" i="1"/>
  <c r="A3847" i="1"/>
  <c r="C3846" i="1"/>
  <c r="A3846" i="1"/>
  <c r="C3845" i="1"/>
  <c r="A3845" i="1"/>
  <c r="C3844" i="1"/>
  <c r="A3844" i="1"/>
  <c r="C3843" i="1"/>
  <c r="A3843" i="1"/>
  <c r="C3842" i="1"/>
  <c r="A3842" i="1"/>
  <c r="C3841" i="1"/>
  <c r="A3841" i="1"/>
  <c r="C3840" i="1"/>
  <c r="A3840" i="1"/>
  <c r="C3839" i="1"/>
  <c r="A3839" i="1"/>
  <c r="C3838" i="1"/>
  <c r="A3838" i="1"/>
  <c r="C3837" i="1"/>
  <c r="A3837" i="1"/>
  <c r="C3836" i="1"/>
  <c r="A3836" i="1"/>
  <c r="C3835" i="1"/>
  <c r="A3835" i="1"/>
  <c r="C3834" i="1"/>
  <c r="A3834" i="1"/>
  <c r="C3833" i="1"/>
  <c r="A3833" i="1"/>
  <c r="C3832" i="1"/>
  <c r="A3832" i="1"/>
  <c r="C3831" i="1"/>
  <c r="A3831" i="1"/>
  <c r="C3830" i="1"/>
  <c r="A3830" i="1"/>
  <c r="C3829" i="1"/>
  <c r="A3829" i="1"/>
  <c r="C3828" i="1"/>
  <c r="A3828" i="1"/>
  <c r="C3827" i="1"/>
  <c r="A3827" i="1"/>
  <c r="C3826" i="1"/>
  <c r="A3826" i="1"/>
  <c r="C3825" i="1"/>
  <c r="A3825" i="1"/>
  <c r="C3824" i="1"/>
  <c r="A3824" i="1"/>
  <c r="C3823" i="1"/>
  <c r="A3823" i="1"/>
  <c r="C3822" i="1"/>
  <c r="A3822" i="1"/>
  <c r="C3821" i="1"/>
  <c r="A3821" i="1"/>
  <c r="C3820" i="1"/>
  <c r="A3820" i="1"/>
  <c r="C3819" i="1"/>
  <c r="A3819" i="1"/>
  <c r="C3818" i="1"/>
  <c r="A3818" i="1"/>
  <c r="C3817" i="1"/>
  <c r="A3817" i="1"/>
  <c r="C3816" i="1"/>
  <c r="A3816" i="1"/>
  <c r="C3815" i="1"/>
  <c r="A3815" i="1"/>
  <c r="C3814" i="1"/>
  <c r="A3814" i="1"/>
  <c r="C3813" i="1"/>
  <c r="A3813" i="1"/>
  <c r="C3812" i="1"/>
  <c r="A3812" i="1"/>
  <c r="C3811" i="1"/>
  <c r="A3811" i="1"/>
  <c r="C3810" i="1"/>
  <c r="A3810" i="1"/>
  <c r="C3809" i="1"/>
  <c r="A3809" i="1"/>
  <c r="C3808" i="1"/>
  <c r="A3808" i="1"/>
  <c r="C3807" i="1"/>
  <c r="A3807" i="1"/>
  <c r="C3806" i="1"/>
  <c r="A3806" i="1"/>
  <c r="C3805" i="1"/>
  <c r="A3805" i="1"/>
  <c r="C3804" i="1"/>
  <c r="A3804" i="1"/>
  <c r="C3803" i="1"/>
  <c r="A3803" i="1"/>
  <c r="C3802" i="1"/>
  <c r="A3802" i="1"/>
  <c r="C3801" i="1"/>
  <c r="A3801" i="1"/>
  <c r="C3800" i="1"/>
  <c r="A3800" i="1"/>
  <c r="C3799" i="1"/>
  <c r="A3799" i="1"/>
  <c r="C3798" i="1"/>
  <c r="A3798" i="1"/>
  <c r="C3797" i="1"/>
  <c r="A3797" i="1"/>
  <c r="C3796" i="1"/>
  <c r="A3796" i="1"/>
  <c r="C3795" i="1"/>
  <c r="A3795" i="1"/>
  <c r="C3794" i="1"/>
  <c r="A3794" i="1"/>
  <c r="C3793" i="1"/>
  <c r="A3793" i="1"/>
  <c r="C3792" i="1"/>
  <c r="A3792" i="1"/>
  <c r="C3791" i="1"/>
  <c r="A3791" i="1"/>
  <c r="C3790" i="1"/>
  <c r="A3790" i="1"/>
  <c r="C3789" i="1"/>
  <c r="A3789" i="1"/>
  <c r="C3788" i="1"/>
  <c r="A3788" i="1"/>
  <c r="C3787" i="1"/>
  <c r="A3787" i="1"/>
  <c r="C3786" i="1"/>
  <c r="A3786" i="1"/>
  <c r="C3785" i="1"/>
  <c r="A3785" i="1"/>
  <c r="C3784" i="1"/>
  <c r="A3784" i="1"/>
  <c r="C3783" i="1"/>
  <c r="A3783" i="1"/>
  <c r="C3782" i="1"/>
  <c r="A3782" i="1"/>
  <c r="C3781" i="1"/>
  <c r="A3781" i="1"/>
  <c r="C3780" i="1"/>
  <c r="A3780" i="1"/>
  <c r="C3779" i="1"/>
  <c r="A3779" i="1"/>
  <c r="C3778" i="1"/>
  <c r="A3778" i="1"/>
  <c r="C3777" i="1"/>
  <c r="A3777" i="1"/>
  <c r="C3776" i="1"/>
  <c r="A3776" i="1"/>
  <c r="C3775" i="1"/>
  <c r="A3775" i="1"/>
  <c r="C3774" i="1"/>
  <c r="A3774" i="1"/>
  <c r="C3773" i="1"/>
  <c r="A3773" i="1"/>
  <c r="C3772" i="1"/>
  <c r="A3772" i="1"/>
  <c r="C3771" i="1"/>
  <c r="A3771" i="1"/>
  <c r="C3770" i="1"/>
  <c r="A3770" i="1"/>
  <c r="C3769" i="1"/>
  <c r="A3769" i="1"/>
  <c r="C3768" i="1"/>
  <c r="A3768" i="1"/>
  <c r="C3767" i="1"/>
  <c r="A3767" i="1"/>
  <c r="C3766" i="1"/>
  <c r="A3766" i="1"/>
  <c r="C3765" i="1"/>
  <c r="A3765" i="1"/>
  <c r="C3764" i="1"/>
  <c r="A3764" i="1"/>
  <c r="C3763" i="1"/>
  <c r="A3763" i="1"/>
  <c r="C3762" i="1"/>
  <c r="A3762" i="1"/>
  <c r="C3761" i="1"/>
  <c r="A3761" i="1"/>
  <c r="C3760" i="1"/>
  <c r="A3760" i="1"/>
  <c r="C3759" i="1"/>
  <c r="A3759" i="1"/>
  <c r="C3758" i="1"/>
  <c r="A3758" i="1"/>
  <c r="C3757" i="1"/>
  <c r="A3757" i="1"/>
  <c r="C3756" i="1"/>
  <c r="A3756" i="1"/>
  <c r="C3755" i="1"/>
  <c r="A3755" i="1"/>
  <c r="C3754" i="1"/>
  <c r="A3754" i="1"/>
  <c r="C3753" i="1"/>
  <c r="A3753" i="1"/>
  <c r="C3752" i="1"/>
  <c r="A3752" i="1"/>
  <c r="C3751" i="1"/>
  <c r="A3751" i="1"/>
  <c r="C3750" i="1"/>
  <c r="A3750" i="1"/>
  <c r="C3749" i="1"/>
  <c r="A3749" i="1"/>
  <c r="C3748" i="1"/>
  <c r="A3748" i="1"/>
  <c r="C3747" i="1"/>
  <c r="A3747" i="1"/>
  <c r="C3746" i="1"/>
  <c r="A3746" i="1"/>
  <c r="C3745" i="1"/>
  <c r="A3745" i="1"/>
  <c r="C3744" i="1"/>
  <c r="A3744" i="1"/>
  <c r="C3743" i="1"/>
  <c r="A3743" i="1"/>
  <c r="C3742" i="1"/>
  <c r="A3742" i="1"/>
  <c r="C3741" i="1"/>
  <c r="A3741" i="1"/>
  <c r="C3740" i="1"/>
  <c r="A3740" i="1"/>
  <c r="C3739" i="1"/>
  <c r="A3739" i="1"/>
  <c r="C3738" i="1"/>
  <c r="A3738" i="1"/>
  <c r="C3737" i="1"/>
  <c r="A3737" i="1"/>
  <c r="C3736" i="1"/>
  <c r="A3736" i="1"/>
  <c r="C3735" i="1"/>
  <c r="A3735" i="1"/>
  <c r="C3734" i="1"/>
  <c r="A3734" i="1"/>
  <c r="C3733" i="1"/>
  <c r="A3733" i="1"/>
  <c r="C3732" i="1"/>
  <c r="A3732" i="1"/>
  <c r="C3731" i="1"/>
  <c r="A3731" i="1"/>
  <c r="C3730" i="1"/>
  <c r="A3730" i="1"/>
  <c r="C3729" i="1"/>
  <c r="A3729" i="1"/>
  <c r="C3728" i="1"/>
  <c r="A3728" i="1"/>
  <c r="C3727" i="1"/>
  <c r="A3727" i="1"/>
  <c r="C3726" i="1"/>
  <c r="A3726" i="1"/>
  <c r="C3725" i="1"/>
  <c r="A3725" i="1"/>
  <c r="C3724" i="1"/>
  <c r="A3724" i="1"/>
  <c r="C3723" i="1"/>
  <c r="A3723" i="1"/>
  <c r="C3722" i="1"/>
  <c r="A3722" i="1"/>
  <c r="C3721" i="1"/>
  <c r="A3721" i="1"/>
  <c r="C3720" i="1"/>
  <c r="A3720" i="1"/>
  <c r="C3719" i="1"/>
  <c r="A3719" i="1"/>
  <c r="C3718" i="1"/>
  <c r="A3718" i="1"/>
  <c r="C3717" i="1"/>
  <c r="A3717" i="1"/>
  <c r="C3716" i="1"/>
  <c r="A3716" i="1"/>
  <c r="C3715" i="1"/>
  <c r="A3715" i="1"/>
  <c r="C3714" i="1"/>
  <c r="A3714" i="1"/>
  <c r="C3713" i="1"/>
  <c r="A3713" i="1"/>
  <c r="C3712" i="1"/>
  <c r="A3712" i="1"/>
  <c r="C3711" i="1"/>
  <c r="A3711" i="1"/>
  <c r="C3710" i="1"/>
  <c r="A3710" i="1"/>
  <c r="C3709" i="1"/>
  <c r="A3709" i="1"/>
  <c r="C3708" i="1"/>
  <c r="A3708" i="1"/>
  <c r="C3707" i="1"/>
  <c r="A3707" i="1"/>
  <c r="C3706" i="1"/>
  <c r="A3706" i="1"/>
  <c r="C3705" i="1"/>
  <c r="A3705" i="1"/>
  <c r="C3704" i="1"/>
  <c r="A3704" i="1"/>
  <c r="C3703" i="1"/>
  <c r="A3703" i="1"/>
  <c r="C3702" i="1"/>
  <c r="A3702" i="1"/>
  <c r="C3701" i="1"/>
  <c r="A3701" i="1"/>
  <c r="C3700" i="1"/>
  <c r="A3700" i="1"/>
  <c r="C3699" i="1"/>
  <c r="A3699" i="1"/>
  <c r="C3698" i="1"/>
  <c r="A3698" i="1"/>
  <c r="C3697" i="1"/>
  <c r="A3697" i="1"/>
  <c r="C3696" i="1"/>
  <c r="A3696" i="1"/>
  <c r="C3695" i="1"/>
  <c r="A3695" i="1"/>
  <c r="C3694" i="1"/>
  <c r="A3694" i="1"/>
  <c r="C3693" i="1"/>
  <c r="A3693" i="1"/>
  <c r="C3692" i="1"/>
  <c r="A3692" i="1"/>
  <c r="C3691" i="1"/>
  <c r="A3691" i="1"/>
  <c r="C3690" i="1"/>
  <c r="A3690" i="1"/>
  <c r="C3689" i="1"/>
  <c r="A3689" i="1"/>
  <c r="C3688" i="1"/>
  <c r="A3688" i="1"/>
  <c r="C3687" i="1"/>
  <c r="A3687" i="1"/>
  <c r="C3686" i="1"/>
  <c r="A3686" i="1"/>
  <c r="C3685" i="1"/>
  <c r="A3685" i="1"/>
  <c r="C3684" i="1"/>
  <c r="A3684" i="1"/>
  <c r="C3683" i="1"/>
  <c r="A3683" i="1"/>
  <c r="C3682" i="1"/>
  <c r="A3682" i="1"/>
  <c r="C3681" i="1"/>
  <c r="A3681" i="1"/>
  <c r="C3680" i="1"/>
  <c r="A3680" i="1"/>
  <c r="C3679" i="1"/>
  <c r="A3679" i="1"/>
  <c r="C3678" i="1"/>
  <c r="A3678" i="1"/>
  <c r="C3677" i="1"/>
  <c r="A3677" i="1"/>
  <c r="C3676" i="1"/>
  <c r="A3676" i="1"/>
  <c r="C3675" i="1"/>
  <c r="A3675" i="1"/>
  <c r="C3674" i="1"/>
  <c r="A3674" i="1"/>
  <c r="C3673" i="1"/>
  <c r="A3673" i="1"/>
  <c r="C3672" i="1"/>
  <c r="A3672" i="1"/>
  <c r="C3671" i="1"/>
  <c r="A3671" i="1"/>
  <c r="C3670" i="1"/>
  <c r="A3670" i="1"/>
  <c r="C3669" i="1"/>
  <c r="A3669" i="1"/>
  <c r="C3668" i="1"/>
  <c r="A3668" i="1"/>
  <c r="C3667" i="1"/>
  <c r="A3667" i="1"/>
  <c r="C3666" i="1"/>
  <c r="A3666" i="1"/>
  <c r="C3665" i="1"/>
  <c r="A3665" i="1"/>
  <c r="C3664" i="1"/>
  <c r="A3664" i="1"/>
  <c r="C3663" i="1"/>
  <c r="A3663" i="1"/>
  <c r="C3662" i="1"/>
  <c r="A3662" i="1"/>
  <c r="C3661" i="1"/>
  <c r="A3661" i="1"/>
  <c r="C3660" i="1"/>
  <c r="A3660" i="1"/>
  <c r="C3659" i="1"/>
  <c r="A3659" i="1"/>
  <c r="C3658" i="1"/>
  <c r="A3658" i="1"/>
  <c r="C3657" i="1"/>
  <c r="A3657" i="1"/>
  <c r="C3656" i="1"/>
  <c r="A3656" i="1"/>
  <c r="C3655" i="1"/>
  <c r="A3655" i="1"/>
  <c r="C3654" i="1"/>
  <c r="A3654" i="1"/>
  <c r="C3653" i="1"/>
  <c r="A3653" i="1"/>
  <c r="C3652" i="1"/>
  <c r="A3652" i="1"/>
  <c r="C3651" i="1"/>
  <c r="A3651" i="1"/>
  <c r="C3650" i="1"/>
  <c r="A3650" i="1"/>
  <c r="C3649" i="1"/>
  <c r="A3649" i="1"/>
  <c r="C3648" i="1"/>
  <c r="A3648" i="1"/>
  <c r="C3647" i="1"/>
  <c r="A3647" i="1"/>
  <c r="C3646" i="1"/>
  <c r="A3646" i="1"/>
  <c r="C3645" i="1"/>
  <c r="A3645" i="1"/>
  <c r="C3644" i="1"/>
  <c r="A3644" i="1"/>
  <c r="C3643" i="1"/>
  <c r="A3643" i="1"/>
  <c r="C3642" i="1"/>
  <c r="A3642" i="1"/>
  <c r="C3641" i="1"/>
  <c r="A3641" i="1"/>
  <c r="C3640" i="1"/>
  <c r="A3640" i="1"/>
  <c r="C3639" i="1"/>
  <c r="A3639" i="1"/>
  <c r="C3638" i="1"/>
  <c r="A3638" i="1"/>
  <c r="C3637" i="1"/>
  <c r="A3637" i="1"/>
  <c r="C3636" i="1"/>
  <c r="A3636" i="1"/>
  <c r="C3635" i="1"/>
  <c r="A3635" i="1"/>
  <c r="C3634" i="1"/>
  <c r="A3634" i="1"/>
  <c r="C3633" i="1"/>
  <c r="A3633" i="1"/>
  <c r="C3632" i="1"/>
  <c r="A3632" i="1"/>
  <c r="C3631" i="1"/>
  <c r="A3631" i="1"/>
  <c r="C3630" i="1"/>
  <c r="A3630" i="1"/>
  <c r="C3629" i="1"/>
  <c r="A3629" i="1"/>
  <c r="C3628" i="1"/>
  <c r="A3628" i="1"/>
  <c r="C3627" i="1"/>
  <c r="A3627" i="1"/>
  <c r="C3626" i="1"/>
  <c r="A3626" i="1"/>
  <c r="C3625" i="1"/>
  <c r="A3625" i="1"/>
  <c r="C3624" i="1"/>
  <c r="A3624" i="1"/>
  <c r="C3623" i="1"/>
  <c r="A3623" i="1"/>
  <c r="C3622" i="1"/>
  <c r="A3622" i="1"/>
  <c r="C3621" i="1"/>
  <c r="A3621" i="1"/>
  <c r="C3620" i="1"/>
  <c r="A3620" i="1"/>
  <c r="C3619" i="1"/>
  <c r="A3619" i="1"/>
  <c r="C3618" i="1"/>
  <c r="A3618" i="1"/>
  <c r="C3617" i="1"/>
  <c r="A3617" i="1"/>
  <c r="C3616" i="1"/>
  <c r="A3616" i="1"/>
  <c r="C3615" i="1"/>
  <c r="A3615" i="1"/>
  <c r="C3614" i="1"/>
  <c r="A3614" i="1"/>
  <c r="C3613" i="1"/>
  <c r="A3613" i="1"/>
  <c r="C3612" i="1"/>
  <c r="A3612" i="1"/>
  <c r="C3611" i="1"/>
  <c r="A3611" i="1"/>
  <c r="C3610" i="1"/>
  <c r="A3610" i="1"/>
  <c r="C3609" i="1"/>
  <c r="A3609" i="1"/>
  <c r="C3608" i="1"/>
  <c r="A3608" i="1"/>
  <c r="C3607" i="1"/>
  <c r="A3607" i="1"/>
  <c r="C3606" i="1"/>
  <c r="A3606" i="1"/>
  <c r="C3605" i="1"/>
  <c r="A3605" i="1"/>
  <c r="C3604" i="1"/>
  <c r="A3604" i="1"/>
  <c r="C3603" i="1"/>
  <c r="A3603" i="1"/>
  <c r="C3602" i="1"/>
  <c r="A3602" i="1"/>
  <c r="C3601" i="1"/>
  <c r="A3601" i="1"/>
  <c r="C3600" i="1"/>
  <c r="A3600" i="1"/>
  <c r="C3599" i="1"/>
  <c r="A3599" i="1"/>
  <c r="C3598" i="1"/>
  <c r="A3598" i="1"/>
  <c r="C3597" i="1"/>
  <c r="A3597" i="1"/>
  <c r="C3596" i="1"/>
  <c r="A3596" i="1"/>
  <c r="C3595" i="1"/>
  <c r="A3595" i="1"/>
  <c r="C3594" i="1"/>
  <c r="A3594" i="1"/>
  <c r="C3593" i="1"/>
  <c r="A3593" i="1"/>
  <c r="C3592" i="1"/>
  <c r="A3592" i="1"/>
  <c r="C3591" i="1"/>
  <c r="A3591" i="1"/>
  <c r="C3590" i="1"/>
  <c r="A3590" i="1"/>
  <c r="C3589" i="1"/>
  <c r="A3589" i="1"/>
  <c r="C3588" i="1"/>
  <c r="A3588" i="1"/>
  <c r="C3587" i="1"/>
  <c r="A3587" i="1"/>
  <c r="C3586" i="1"/>
  <c r="A3586" i="1"/>
  <c r="C3585" i="1"/>
  <c r="A3585" i="1"/>
  <c r="C3584" i="1"/>
  <c r="A3584" i="1"/>
  <c r="C3583" i="1"/>
  <c r="A3583" i="1"/>
  <c r="C3582" i="1"/>
  <c r="A3582" i="1"/>
  <c r="C3581" i="1"/>
  <c r="A3581" i="1"/>
  <c r="C3580" i="1"/>
  <c r="A3580" i="1"/>
  <c r="C3579" i="1"/>
  <c r="A3579" i="1"/>
  <c r="C3578" i="1"/>
  <c r="A3578" i="1"/>
  <c r="C3577" i="1"/>
  <c r="A3577" i="1"/>
  <c r="C3576" i="1"/>
  <c r="A3576" i="1"/>
  <c r="C3575" i="1"/>
  <c r="A3575" i="1"/>
  <c r="C3574" i="1"/>
  <c r="A3574" i="1"/>
  <c r="C3573" i="1"/>
  <c r="A3573" i="1"/>
  <c r="C3572" i="1"/>
  <c r="A3572" i="1"/>
  <c r="C3571" i="1"/>
  <c r="A3571" i="1"/>
  <c r="C3570" i="1"/>
  <c r="A3570" i="1"/>
  <c r="C3569" i="1"/>
  <c r="A3569" i="1"/>
  <c r="C3568" i="1"/>
  <c r="A3568" i="1"/>
  <c r="C3567" i="1"/>
  <c r="A3567" i="1"/>
  <c r="C3566" i="1"/>
  <c r="A3566" i="1"/>
  <c r="C3565" i="1"/>
  <c r="A3565" i="1"/>
  <c r="C3564" i="1"/>
  <c r="A3564" i="1"/>
  <c r="C3563" i="1"/>
  <c r="A3563" i="1"/>
  <c r="C3562" i="1"/>
  <c r="A3562" i="1"/>
  <c r="C3561" i="1"/>
  <c r="A3561" i="1"/>
  <c r="C3560" i="1"/>
  <c r="A3560" i="1"/>
  <c r="C3559" i="1"/>
  <c r="A3559" i="1"/>
  <c r="C3558" i="1"/>
  <c r="A3558" i="1"/>
  <c r="C3557" i="1"/>
  <c r="A3557" i="1"/>
  <c r="C3556" i="1"/>
  <c r="A3556" i="1"/>
  <c r="C3555" i="1"/>
  <c r="A3555" i="1"/>
  <c r="C3554" i="1"/>
  <c r="A3554" i="1"/>
  <c r="C3553" i="1"/>
  <c r="A3553" i="1"/>
  <c r="C3552" i="1"/>
  <c r="A3552" i="1"/>
  <c r="C3551" i="1"/>
  <c r="A3551" i="1"/>
  <c r="C3550" i="1"/>
  <c r="A3550" i="1"/>
  <c r="C3549" i="1"/>
  <c r="A3549" i="1"/>
  <c r="C3548" i="1"/>
  <c r="A3548" i="1"/>
  <c r="C3547" i="1"/>
  <c r="A3547" i="1"/>
  <c r="C3546" i="1"/>
  <c r="A3546" i="1"/>
  <c r="C3545" i="1"/>
  <c r="A3545" i="1"/>
  <c r="C3544" i="1"/>
  <c r="A3544" i="1"/>
  <c r="C3543" i="1"/>
  <c r="A3543" i="1"/>
  <c r="C3542" i="1"/>
  <c r="A3542" i="1"/>
  <c r="C3541" i="1"/>
  <c r="A3541" i="1"/>
  <c r="C3540" i="1"/>
  <c r="A3540" i="1"/>
  <c r="C3539" i="1"/>
  <c r="A3539" i="1"/>
  <c r="C3538" i="1"/>
  <c r="A3538" i="1"/>
  <c r="C3537" i="1"/>
  <c r="A3537" i="1"/>
  <c r="C3536" i="1"/>
  <c r="A3536" i="1"/>
  <c r="C3535" i="1"/>
  <c r="A3535" i="1"/>
  <c r="C3534" i="1"/>
  <c r="A3534" i="1"/>
  <c r="C3533" i="1"/>
  <c r="A3533" i="1"/>
  <c r="C3532" i="1"/>
  <c r="A3532" i="1"/>
  <c r="C3531" i="1"/>
  <c r="A3531" i="1"/>
  <c r="C3530" i="1"/>
  <c r="A3530" i="1"/>
  <c r="C3529" i="1"/>
  <c r="A3529" i="1"/>
  <c r="C3528" i="1"/>
  <c r="A3528" i="1"/>
  <c r="C3527" i="1"/>
  <c r="A3527" i="1"/>
  <c r="C3526" i="1"/>
  <c r="A3526" i="1"/>
  <c r="C3525" i="1"/>
  <c r="A3525" i="1"/>
  <c r="C3524" i="1"/>
  <c r="A3524" i="1"/>
  <c r="C3523" i="1"/>
  <c r="A3523" i="1"/>
  <c r="C3522" i="1"/>
  <c r="A3522" i="1"/>
  <c r="C3521" i="1"/>
  <c r="A3521" i="1"/>
  <c r="C3520" i="1"/>
  <c r="A3520" i="1"/>
  <c r="C3519" i="1"/>
  <c r="A3519" i="1"/>
  <c r="C3518" i="1"/>
  <c r="A3518" i="1"/>
  <c r="C3517" i="1"/>
  <c r="A3517" i="1"/>
  <c r="C3516" i="1"/>
  <c r="A3516" i="1"/>
  <c r="C3515" i="1"/>
  <c r="A3515" i="1"/>
  <c r="C3514" i="1"/>
  <c r="A3514" i="1"/>
  <c r="C3513" i="1"/>
  <c r="A3513" i="1"/>
  <c r="C3512" i="1"/>
  <c r="A3512" i="1"/>
  <c r="C3511" i="1"/>
  <c r="A3511" i="1"/>
  <c r="C3510" i="1"/>
  <c r="A3510" i="1"/>
  <c r="C3509" i="1"/>
  <c r="A3509" i="1"/>
  <c r="C3508" i="1"/>
  <c r="A3508" i="1"/>
  <c r="C3507" i="1"/>
  <c r="A3507" i="1"/>
  <c r="C3506" i="1"/>
  <c r="A3506" i="1"/>
  <c r="C3505" i="1"/>
  <c r="A3505" i="1"/>
  <c r="C3504" i="1"/>
  <c r="A3504" i="1"/>
  <c r="C3503" i="1"/>
  <c r="A3503" i="1"/>
  <c r="C3502" i="1"/>
  <c r="A3502" i="1"/>
  <c r="C3501" i="1"/>
  <c r="A3501" i="1"/>
  <c r="C3500" i="1"/>
  <c r="A3500" i="1"/>
  <c r="C3499" i="1"/>
  <c r="A3499" i="1"/>
  <c r="C3498" i="1"/>
  <c r="A3498" i="1"/>
  <c r="C3497" i="1"/>
  <c r="A3497" i="1"/>
  <c r="C3496" i="1"/>
  <c r="A3496" i="1"/>
  <c r="C3495" i="1"/>
  <c r="A3495" i="1"/>
  <c r="C3494" i="1"/>
  <c r="A3494" i="1"/>
  <c r="C3493" i="1"/>
  <c r="A3493" i="1"/>
  <c r="C3492" i="1"/>
  <c r="A3492" i="1"/>
  <c r="C3491" i="1"/>
  <c r="A3491" i="1"/>
  <c r="C3490" i="1"/>
  <c r="A3490" i="1"/>
  <c r="C3489" i="1"/>
  <c r="A3489" i="1"/>
  <c r="C3488" i="1"/>
  <c r="A3488" i="1"/>
  <c r="C3487" i="1"/>
  <c r="A3487" i="1"/>
  <c r="C3486" i="1"/>
  <c r="A3486" i="1"/>
  <c r="C3485" i="1"/>
  <c r="A3485" i="1"/>
  <c r="C3484" i="1"/>
  <c r="A3484" i="1"/>
  <c r="C3483" i="1"/>
  <c r="A3483" i="1"/>
  <c r="C3482" i="1"/>
  <c r="A3482" i="1"/>
  <c r="C3481" i="1"/>
  <c r="A3481" i="1"/>
  <c r="C3480" i="1"/>
  <c r="A3480" i="1"/>
  <c r="C3479" i="1"/>
  <c r="A3479" i="1"/>
  <c r="C3478" i="1"/>
  <c r="A3478" i="1"/>
  <c r="C3477" i="1"/>
  <c r="A3477" i="1"/>
  <c r="C3476" i="1"/>
  <c r="A3476" i="1"/>
  <c r="C3475" i="1"/>
  <c r="A3475" i="1"/>
  <c r="C3474" i="1"/>
  <c r="A3474" i="1"/>
  <c r="C3473" i="1"/>
  <c r="A3473" i="1"/>
  <c r="C3472" i="1"/>
  <c r="A3472" i="1"/>
  <c r="C3471" i="1"/>
  <c r="A3471" i="1"/>
  <c r="C3470" i="1"/>
  <c r="A3470" i="1"/>
  <c r="C3469" i="1"/>
  <c r="A3469" i="1"/>
  <c r="C3468" i="1"/>
  <c r="A3468" i="1"/>
  <c r="C3467" i="1"/>
  <c r="A3467" i="1"/>
  <c r="C3466" i="1"/>
  <c r="A3466" i="1"/>
  <c r="C3465" i="1"/>
  <c r="A3465" i="1"/>
  <c r="C3464" i="1"/>
  <c r="A3464" i="1"/>
  <c r="C3463" i="1"/>
  <c r="A3463" i="1"/>
  <c r="C3462" i="1"/>
  <c r="A3462" i="1"/>
  <c r="C3461" i="1"/>
  <c r="A3461" i="1"/>
  <c r="C3460" i="1"/>
  <c r="A3460" i="1"/>
  <c r="C3459" i="1"/>
  <c r="A3459" i="1"/>
  <c r="C3458" i="1"/>
  <c r="A3458" i="1"/>
  <c r="C3457" i="1"/>
  <c r="A3457" i="1"/>
  <c r="C3456" i="1"/>
  <c r="A3456" i="1"/>
  <c r="C3455" i="1"/>
  <c r="A3455" i="1"/>
  <c r="C3454" i="1"/>
  <c r="A3454" i="1"/>
  <c r="C3453" i="1"/>
  <c r="A3453" i="1"/>
  <c r="C3452" i="1"/>
  <c r="A3452" i="1"/>
  <c r="C3451" i="1"/>
  <c r="A3451" i="1"/>
  <c r="C3450" i="1"/>
  <c r="A3450" i="1"/>
  <c r="C3449" i="1"/>
  <c r="A3449" i="1"/>
  <c r="C3448" i="1"/>
  <c r="A3448" i="1"/>
  <c r="C3447" i="1"/>
  <c r="A3447" i="1"/>
  <c r="C3446" i="1"/>
  <c r="A3446" i="1"/>
  <c r="C3445" i="1"/>
  <c r="A3445" i="1"/>
  <c r="C3444" i="1"/>
  <c r="A3444" i="1"/>
  <c r="C3443" i="1"/>
  <c r="A3443" i="1"/>
  <c r="C3442" i="1"/>
  <c r="A3442" i="1"/>
  <c r="C3441" i="1"/>
  <c r="A3441" i="1"/>
  <c r="C3440" i="1"/>
  <c r="A3440" i="1"/>
  <c r="C3439" i="1"/>
  <c r="A3439" i="1"/>
  <c r="C3438" i="1"/>
  <c r="A3438" i="1"/>
  <c r="C3437" i="1"/>
  <c r="A3437" i="1"/>
  <c r="C3436" i="1"/>
  <c r="A3436" i="1"/>
  <c r="C3435" i="1"/>
  <c r="A3435" i="1"/>
  <c r="C3434" i="1"/>
  <c r="A3434" i="1"/>
  <c r="C3433" i="1"/>
  <c r="A3433" i="1"/>
  <c r="C3432" i="1"/>
  <c r="A3432" i="1"/>
  <c r="C3431" i="1"/>
  <c r="A3431" i="1"/>
  <c r="C3430" i="1"/>
  <c r="A3430" i="1"/>
  <c r="C3429" i="1"/>
  <c r="A3429" i="1"/>
  <c r="C3428" i="1"/>
  <c r="A3428" i="1"/>
  <c r="C3427" i="1"/>
  <c r="A3427" i="1"/>
  <c r="C3426" i="1"/>
  <c r="A3426" i="1"/>
  <c r="C3425" i="1"/>
  <c r="A3425" i="1"/>
  <c r="C3424" i="1"/>
  <c r="A3424" i="1"/>
  <c r="C3423" i="1"/>
  <c r="A3423" i="1"/>
  <c r="C3422" i="1"/>
  <c r="A3422" i="1"/>
  <c r="C3421" i="1"/>
  <c r="A3421" i="1"/>
  <c r="C3420" i="1"/>
  <c r="A3420" i="1"/>
  <c r="C3419" i="1"/>
  <c r="A3419" i="1"/>
  <c r="C3418" i="1"/>
  <c r="A3418" i="1"/>
  <c r="C3417" i="1"/>
  <c r="A3417" i="1"/>
  <c r="C3416" i="1"/>
  <c r="A3416" i="1"/>
  <c r="C3415" i="1"/>
  <c r="A3415" i="1"/>
  <c r="C3414" i="1"/>
  <c r="A3414" i="1"/>
  <c r="C3413" i="1"/>
  <c r="A3413" i="1"/>
  <c r="C3412" i="1"/>
  <c r="A3412" i="1"/>
  <c r="C3411" i="1"/>
  <c r="A3411" i="1"/>
  <c r="C3410" i="1"/>
  <c r="A3410" i="1"/>
  <c r="C3409" i="1"/>
  <c r="A3409" i="1"/>
  <c r="C3408" i="1"/>
  <c r="A3408" i="1"/>
  <c r="C3407" i="1"/>
  <c r="A3407" i="1"/>
  <c r="C3406" i="1"/>
  <c r="A3406" i="1"/>
  <c r="C3405" i="1"/>
  <c r="A3405" i="1"/>
  <c r="C3404" i="1"/>
  <c r="A3404" i="1"/>
  <c r="C3403" i="1"/>
  <c r="A3403" i="1"/>
  <c r="C3402" i="1"/>
  <c r="A3402" i="1"/>
  <c r="C3401" i="1"/>
  <c r="A3401" i="1"/>
  <c r="C3400" i="1"/>
  <c r="A3400" i="1"/>
  <c r="C3399" i="1"/>
  <c r="A3399" i="1"/>
  <c r="C3398" i="1"/>
  <c r="A3398" i="1"/>
  <c r="C3397" i="1"/>
  <c r="A3397" i="1"/>
  <c r="C3396" i="1"/>
  <c r="A3396" i="1"/>
  <c r="C3395" i="1"/>
  <c r="A3395" i="1"/>
  <c r="C3394" i="1"/>
  <c r="A3394" i="1"/>
  <c r="C3393" i="1"/>
  <c r="A3393" i="1"/>
  <c r="C3392" i="1"/>
  <c r="A3392" i="1"/>
  <c r="C3391" i="1"/>
  <c r="A3391" i="1"/>
  <c r="C3390" i="1"/>
  <c r="A3390" i="1"/>
  <c r="C3389" i="1"/>
  <c r="A3389" i="1"/>
  <c r="C3388" i="1"/>
  <c r="A3388" i="1"/>
  <c r="C3387" i="1"/>
  <c r="A3387" i="1"/>
  <c r="C3386" i="1"/>
  <c r="A3386" i="1"/>
  <c r="C3385" i="1"/>
  <c r="A3385" i="1"/>
  <c r="C3384" i="1"/>
  <c r="A3384" i="1"/>
  <c r="C3383" i="1"/>
  <c r="A3383" i="1"/>
  <c r="C3382" i="1"/>
  <c r="A3382" i="1"/>
  <c r="C3381" i="1"/>
  <c r="A3381" i="1"/>
  <c r="C3380" i="1"/>
  <c r="A3380" i="1"/>
  <c r="C3379" i="1"/>
  <c r="A3379" i="1"/>
  <c r="C3378" i="1"/>
  <c r="A3378" i="1"/>
  <c r="C3377" i="1"/>
  <c r="A3377" i="1"/>
  <c r="C3376" i="1"/>
  <c r="A3376" i="1"/>
  <c r="C3375" i="1"/>
  <c r="A3375" i="1"/>
  <c r="C3374" i="1"/>
  <c r="A3374" i="1"/>
  <c r="C3373" i="1"/>
  <c r="A3373" i="1"/>
  <c r="C3372" i="1"/>
  <c r="A3372" i="1"/>
  <c r="C3371" i="1"/>
  <c r="A3371" i="1"/>
  <c r="C3370" i="1"/>
  <c r="A3370" i="1"/>
  <c r="C3369" i="1"/>
  <c r="A3369" i="1"/>
  <c r="C3368" i="1"/>
  <c r="A3368" i="1"/>
  <c r="C3367" i="1"/>
  <c r="A3367" i="1"/>
  <c r="C3366" i="1"/>
  <c r="A3366" i="1"/>
  <c r="C3365" i="1"/>
  <c r="A3365" i="1"/>
  <c r="C3364" i="1"/>
  <c r="A3364" i="1"/>
  <c r="C3363" i="1"/>
  <c r="A3363" i="1"/>
  <c r="C3362" i="1"/>
  <c r="A3362" i="1"/>
  <c r="C3361" i="1"/>
  <c r="A3361" i="1"/>
  <c r="C3360" i="1"/>
  <c r="A3360" i="1"/>
  <c r="C3359" i="1"/>
  <c r="A3359" i="1"/>
  <c r="C3358" i="1"/>
  <c r="A3358" i="1"/>
  <c r="C3357" i="1"/>
  <c r="A3357" i="1"/>
  <c r="C3356" i="1"/>
  <c r="A3356" i="1"/>
  <c r="C3355" i="1"/>
  <c r="A3355" i="1"/>
  <c r="C3354" i="1"/>
  <c r="A3354" i="1"/>
  <c r="C3353" i="1"/>
  <c r="A3353" i="1"/>
  <c r="C3352" i="1"/>
  <c r="A3352" i="1"/>
  <c r="C3351" i="1"/>
  <c r="A3351" i="1"/>
  <c r="C3350" i="1"/>
  <c r="A3350" i="1"/>
  <c r="C3349" i="1"/>
  <c r="A3349" i="1"/>
  <c r="C3348" i="1"/>
  <c r="A3348" i="1"/>
  <c r="C3347" i="1"/>
  <c r="A3347" i="1"/>
  <c r="C3346" i="1"/>
  <c r="A3346" i="1"/>
  <c r="C3345" i="1"/>
  <c r="A3345" i="1"/>
  <c r="C3344" i="1"/>
  <c r="A3344" i="1"/>
  <c r="C3343" i="1"/>
  <c r="A3343" i="1"/>
  <c r="C3342" i="1"/>
  <c r="A3342" i="1"/>
  <c r="C3341" i="1"/>
  <c r="A3341" i="1"/>
  <c r="C3340" i="1"/>
  <c r="A3340" i="1"/>
  <c r="C3339" i="1"/>
  <c r="A3339" i="1"/>
  <c r="C3338" i="1"/>
  <c r="A3338" i="1"/>
  <c r="C3337" i="1"/>
  <c r="A3337" i="1"/>
  <c r="C3336" i="1"/>
  <c r="A3336" i="1"/>
  <c r="C3335" i="1"/>
  <c r="A3335" i="1"/>
  <c r="C3334" i="1"/>
  <c r="A3334" i="1"/>
  <c r="C3333" i="1"/>
  <c r="A3333" i="1"/>
  <c r="C3332" i="1"/>
  <c r="A3332" i="1"/>
  <c r="C3331" i="1"/>
  <c r="A3331" i="1"/>
  <c r="C3330" i="1"/>
  <c r="A3330" i="1"/>
  <c r="C3329" i="1"/>
  <c r="A3329" i="1"/>
  <c r="C3328" i="1"/>
  <c r="A3328" i="1"/>
  <c r="C3327" i="1"/>
  <c r="A3327" i="1"/>
  <c r="C3326" i="1"/>
  <c r="A3326" i="1"/>
  <c r="C3325" i="1"/>
  <c r="A3325" i="1"/>
  <c r="C3324" i="1"/>
  <c r="A3324" i="1"/>
  <c r="C3323" i="1"/>
  <c r="A3323" i="1"/>
  <c r="C3322" i="1"/>
  <c r="A3322" i="1"/>
  <c r="C3321" i="1"/>
  <c r="A3321" i="1"/>
  <c r="C3320" i="1"/>
  <c r="A3320" i="1"/>
  <c r="C3319" i="1"/>
  <c r="A3319" i="1"/>
  <c r="C3318" i="1"/>
  <c r="A3318" i="1"/>
  <c r="C3317" i="1"/>
  <c r="A3317" i="1"/>
  <c r="C3316" i="1"/>
  <c r="A3316" i="1"/>
  <c r="C3315" i="1"/>
  <c r="A3315" i="1"/>
  <c r="C3314" i="1"/>
  <c r="A3314" i="1"/>
  <c r="C3313" i="1"/>
  <c r="A3313" i="1"/>
  <c r="C3312" i="1"/>
  <c r="A3312" i="1"/>
  <c r="C3311" i="1"/>
  <c r="A3311" i="1"/>
  <c r="C3310" i="1"/>
  <c r="A3310" i="1"/>
  <c r="C3309" i="1"/>
  <c r="A3309" i="1"/>
  <c r="C3308" i="1"/>
  <c r="A3308" i="1"/>
  <c r="C3307" i="1"/>
  <c r="A3307" i="1"/>
  <c r="C3306" i="1"/>
  <c r="A3306" i="1"/>
  <c r="C3305" i="1"/>
  <c r="A3305" i="1"/>
  <c r="C3304" i="1"/>
  <c r="A3304" i="1"/>
  <c r="C3303" i="1"/>
  <c r="A3303" i="1"/>
  <c r="C3302" i="1"/>
  <c r="A3302" i="1"/>
  <c r="C3301" i="1"/>
  <c r="A3301" i="1"/>
  <c r="C3300" i="1"/>
  <c r="A3300" i="1"/>
  <c r="C3299" i="1"/>
  <c r="A3299" i="1"/>
  <c r="C3298" i="1"/>
  <c r="A3298" i="1"/>
  <c r="C3297" i="1"/>
  <c r="A3297" i="1"/>
  <c r="C3296" i="1"/>
  <c r="A3296" i="1"/>
  <c r="C3295" i="1"/>
  <c r="A3295" i="1"/>
  <c r="C3294" i="1"/>
  <c r="A3294" i="1"/>
  <c r="C3293" i="1"/>
  <c r="A3293" i="1"/>
  <c r="C3292" i="1"/>
  <c r="A3292" i="1"/>
  <c r="C3291" i="1"/>
  <c r="A3291" i="1"/>
  <c r="C3290" i="1"/>
  <c r="A3290" i="1"/>
  <c r="C3289" i="1"/>
  <c r="A3289" i="1"/>
  <c r="C3288" i="1"/>
  <c r="A3288" i="1"/>
  <c r="C3287" i="1"/>
  <c r="A3287" i="1"/>
  <c r="C3286" i="1"/>
  <c r="A3286" i="1"/>
  <c r="C3285" i="1"/>
  <c r="A3285" i="1"/>
  <c r="C3284" i="1"/>
  <c r="A3284" i="1"/>
  <c r="C3283" i="1"/>
  <c r="A3283" i="1"/>
  <c r="C3282" i="1"/>
  <c r="A3282" i="1"/>
  <c r="C3281" i="1"/>
  <c r="A3281" i="1"/>
  <c r="C3280" i="1"/>
  <c r="A3280" i="1"/>
  <c r="C3279" i="1"/>
  <c r="A3279" i="1"/>
  <c r="C3278" i="1"/>
  <c r="A3278" i="1"/>
  <c r="C3277" i="1"/>
  <c r="A3277" i="1"/>
  <c r="C3276" i="1"/>
  <c r="A3276" i="1"/>
  <c r="C3275" i="1"/>
  <c r="A3275" i="1"/>
  <c r="C3274" i="1"/>
  <c r="A3274" i="1"/>
  <c r="C3273" i="1"/>
  <c r="A3273" i="1"/>
  <c r="C3272" i="1"/>
  <c r="A3272" i="1"/>
  <c r="C3271" i="1"/>
  <c r="A3271" i="1"/>
  <c r="C3270" i="1"/>
  <c r="A3270" i="1"/>
  <c r="C3269" i="1"/>
  <c r="A3269" i="1"/>
  <c r="C3268" i="1"/>
  <c r="A3268" i="1"/>
  <c r="C3267" i="1"/>
  <c r="A3267" i="1"/>
  <c r="C3266" i="1"/>
  <c r="A3266" i="1"/>
  <c r="C3265" i="1"/>
  <c r="A3265" i="1"/>
  <c r="C3264" i="1"/>
  <c r="A3264" i="1"/>
  <c r="C3263" i="1"/>
  <c r="A3263" i="1"/>
  <c r="C3262" i="1"/>
  <c r="A3262" i="1"/>
  <c r="C3261" i="1"/>
  <c r="A3261" i="1"/>
  <c r="C3260" i="1"/>
  <c r="A3260" i="1"/>
  <c r="C3259" i="1"/>
  <c r="A3259" i="1"/>
  <c r="C3258" i="1"/>
  <c r="A3258" i="1"/>
  <c r="C3257" i="1"/>
  <c r="A3257" i="1"/>
  <c r="C3256" i="1"/>
  <c r="A3256" i="1"/>
  <c r="C3255" i="1"/>
  <c r="A3255" i="1"/>
  <c r="C3254" i="1"/>
  <c r="A3254" i="1"/>
  <c r="C3253" i="1"/>
  <c r="A3253" i="1"/>
  <c r="C3252" i="1"/>
  <c r="A3252" i="1"/>
  <c r="C3251" i="1"/>
  <c r="A3251" i="1"/>
  <c r="C3250" i="1"/>
  <c r="A3250" i="1"/>
  <c r="C3249" i="1"/>
  <c r="A3249" i="1"/>
  <c r="C3248" i="1"/>
  <c r="A3248" i="1"/>
  <c r="C3247" i="1"/>
  <c r="A3247" i="1"/>
  <c r="C3246" i="1"/>
  <c r="A3246" i="1"/>
  <c r="C3245" i="1"/>
  <c r="A3245" i="1"/>
  <c r="C3244" i="1"/>
  <c r="A3244" i="1"/>
  <c r="C3243" i="1"/>
  <c r="A3243" i="1"/>
  <c r="C3242" i="1"/>
  <c r="A3242" i="1"/>
  <c r="C3241" i="1"/>
  <c r="A3241" i="1"/>
  <c r="C3240" i="1"/>
  <c r="A3240" i="1"/>
  <c r="C3239" i="1"/>
  <c r="A3239" i="1"/>
  <c r="C3238" i="1"/>
  <c r="A3238" i="1"/>
  <c r="C3237" i="1"/>
  <c r="A3237" i="1"/>
  <c r="C3236" i="1"/>
  <c r="A3236" i="1"/>
  <c r="C3235" i="1"/>
  <c r="A3235" i="1"/>
  <c r="C3234" i="1"/>
  <c r="A3234" i="1"/>
  <c r="C3233" i="1"/>
  <c r="A3233" i="1"/>
  <c r="C3232" i="1"/>
  <c r="A3232" i="1"/>
  <c r="C3231" i="1"/>
  <c r="A3231" i="1"/>
  <c r="C3230" i="1"/>
  <c r="A3230" i="1"/>
  <c r="C3229" i="1"/>
  <c r="A3229" i="1"/>
  <c r="C3228" i="1"/>
  <c r="A3228" i="1"/>
  <c r="C3227" i="1"/>
  <c r="A3227" i="1"/>
  <c r="C3226" i="1"/>
  <c r="A3226" i="1"/>
  <c r="C3225" i="1"/>
  <c r="A3225" i="1"/>
  <c r="C3224" i="1"/>
  <c r="A3224" i="1"/>
  <c r="C3223" i="1"/>
  <c r="A3223" i="1"/>
  <c r="C3222" i="1"/>
  <c r="A3222" i="1"/>
  <c r="C3221" i="1"/>
  <c r="A3221" i="1"/>
  <c r="C3220" i="1"/>
  <c r="A3220" i="1"/>
  <c r="C3219" i="1"/>
  <c r="A3219" i="1"/>
  <c r="C3218" i="1"/>
  <c r="A3218" i="1"/>
  <c r="C3217" i="1"/>
  <c r="A3217" i="1"/>
  <c r="C3216" i="1"/>
  <c r="A3216" i="1"/>
  <c r="C3215" i="1"/>
  <c r="A3215" i="1"/>
  <c r="C3214" i="1"/>
  <c r="A3214" i="1"/>
  <c r="C3213" i="1"/>
  <c r="A3213" i="1"/>
  <c r="C3212" i="1"/>
  <c r="A3212" i="1"/>
  <c r="C3211" i="1"/>
  <c r="A3211" i="1"/>
  <c r="C3210" i="1"/>
  <c r="A3210" i="1"/>
  <c r="C3209" i="1"/>
  <c r="A3209" i="1"/>
  <c r="C3208" i="1"/>
  <c r="A3208" i="1"/>
  <c r="C3207" i="1"/>
  <c r="A3207" i="1"/>
  <c r="C3206" i="1"/>
  <c r="A3206" i="1"/>
  <c r="C3205" i="1"/>
  <c r="A3205" i="1"/>
  <c r="C3204" i="1"/>
  <c r="A3204" i="1"/>
  <c r="C3203" i="1"/>
  <c r="A3203" i="1"/>
  <c r="C3202" i="1"/>
  <c r="A3202" i="1"/>
  <c r="C3201" i="1"/>
  <c r="A3201" i="1"/>
  <c r="C3200" i="1"/>
  <c r="A3200" i="1"/>
  <c r="C3199" i="1"/>
  <c r="A3199" i="1"/>
  <c r="C3198" i="1"/>
  <c r="A3198" i="1"/>
  <c r="C3197" i="1"/>
  <c r="A3197" i="1"/>
  <c r="C3196" i="1"/>
  <c r="A3196" i="1"/>
  <c r="C3195" i="1"/>
  <c r="A3195" i="1"/>
  <c r="C3194" i="1"/>
  <c r="A3194" i="1"/>
  <c r="C3193" i="1"/>
  <c r="A3193" i="1"/>
  <c r="C3192" i="1"/>
  <c r="A3192" i="1"/>
  <c r="C3191" i="1"/>
  <c r="A3191" i="1"/>
  <c r="C3190" i="1"/>
  <c r="A3190" i="1"/>
  <c r="C3189" i="1"/>
  <c r="A3189" i="1"/>
  <c r="C3188" i="1"/>
  <c r="A3188" i="1"/>
  <c r="C3187" i="1"/>
  <c r="A3187" i="1"/>
  <c r="C3186" i="1"/>
  <c r="A3186" i="1"/>
  <c r="C3185" i="1"/>
  <c r="A3185" i="1"/>
  <c r="C3184" i="1"/>
  <c r="A3184" i="1"/>
  <c r="C3183" i="1"/>
  <c r="A3183" i="1"/>
  <c r="C3182" i="1"/>
  <c r="A3182" i="1"/>
  <c r="C3181" i="1"/>
  <c r="A3181" i="1"/>
  <c r="C3180" i="1"/>
  <c r="A3180" i="1"/>
  <c r="C3179" i="1"/>
  <c r="A3179" i="1"/>
  <c r="C3178" i="1"/>
  <c r="A3178" i="1"/>
  <c r="C3177" i="1"/>
  <c r="A3177" i="1"/>
  <c r="C3176" i="1"/>
  <c r="A3176" i="1"/>
  <c r="C3175" i="1"/>
  <c r="A3175" i="1"/>
  <c r="C3174" i="1"/>
  <c r="A3174" i="1"/>
  <c r="C3173" i="1"/>
  <c r="A3173" i="1"/>
  <c r="C3172" i="1"/>
  <c r="A3172" i="1"/>
  <c r="C3171" i="1"/>
  <c r="A3171" i="1"/>
  <c r="C3170" i="1"/>
  <c r="A3170" i="1"/>
  <c r="C3169" i="1"/>
  <c r="A3169" i="1"/>
  <c r="C3168" i="1"/>
  <c r="A3168" i="1"/>
  <c r="C3167" i="1"/>
  <c r="A3167" i="1"/>
  <c r="C3166" i="1"/>
  <c r="A3166" i="1"/>
  <c r="C3165" i="1"/>
  <c r="A3165" i="1"/>
  <c r="C3164" i="1"/>
  <c r="A3164" i="1"/>
  <c r="C3163" i="1"/>
  <c r="A3163" i="1"/>
  <c r="C3162" i="1"/>
  <c r="A3162" i="1"/>
  <c r="C3161" i="1"/>
  <c r="A3161" i="1"/>
  <c r="C3160" i="1"/>
  <c r="A3160" i="1"/>
  <c r="C3159" i="1"/>
  <c r="A3159" i="1"/>
  <c r="C3158" i="1"/>
  <c r="A3158" i="1"/>
  <c r="C3157" i="1"/>
  <c r="A3157" i="1"/>
  <c r="C3156" i="1"/>
  <c r="A3156" i="1"/>
  <c r="C3155" i="1"/>
  <c r="A3155" i="1"/>
  <c r="C3154" i="1"/>
  <c r="A3154" i="1"/>
  <c r="C3153" i="1"/>
  <c r="A3153" i="1"/>
  <c r="C3152" i="1"/>
  <c r="A3152" i="1"/>
  <c r="C3151" i="1"/>
  <c r="A3151" i="1"/>
  <c r="C3150" i="1"/>
  <c r="A3150" i="1"/>
  <c r="C3149" i="1"/>
  <c r="A3149" i="1"/>
  <c r="C3148" i="1"/>
  <c r="A3148" i="1"/>
  <c r="C3147" i="1"/>
  <c r="A3147" i="1"/>
  <c r="C3146" i="1"/>
  <c r="A3146" i="1"/>
  <c r="C3145" i="1"/>
  <c r="A3145" i="1"/>
  <c r="C3144" i="1"/>
  <c r="A3144" i="1"/>
  <c r="C3143" i="1"/>
  <c r="A3143" i="1"/>
  <c r="C3142" i="1"/>
  <c r="A3142" i="1"/>
  <c r="C3141" i="1"/>
  <c r="A3141" i="1"/>
  <c r="C3140" i="1"/>
  <c r="A3140" i="1"/>
  <c r="C3139" i="1"/>
  <c r="A3139" i="1"/>
  <c r="C3138" i="1"/>
  <c r="A3138" i="1"/>
  <c r="C3137" i="1"/>
  <c r="A3137" i="1"/>
  <c r="C3136" i="1"/>
  <c r="A3136" i="1"/>
  <c r="C3135" i="1"/>
  <c r="A3135" i="1"/>
  <c r="C3134" i="1"/>
  <c r="A3134" i="1"/>
  <c r="C3133" i="1"/>
  <c r="A3133" i="1"/>
  <c r="C3132" i="1"/>
  <c r="A3132" i="1"/>
  <c r="C3131" i="1"/>
  <c r="A3131" i="1"/>
  <c r="C3130" i="1"/>
  <c r="A3130" i="1"/>
  <c r="C3129" i="1"/>
  <c r="A3129" i="1"/>
  <c r="C3128" i="1"/>
  <c r="A3128" i="1"/>
  <c r="C3127" i="1"/>
  <c r="A3127" i="1"/>
  <c r="C3126" i="1"/>
  <c r="A3126" i="1"/>
  <c r="C3125" i="1"/>
  <c r="A3125" i="1"/>
  <c r="C3124" i="1"/>
  <c r="A3124" i="1"/>
  <c r="C3123" i="1"/>
  <c r="A3123" i="1"/>
  <c r="C3122" i="1"/>
  <c r="A3122" i="1"/>
  <c r="C3121" i="1"/>
  <c r="A3121" i="1"/>
  <c r="C3120" i="1"/>
  <c r="A3120" i="1"/>
  <c r="C3119" i="1"/>
  <c r="A3119" i="1"/>
  <c r="C3118" i="1"/>
  <c r="A3118" i="1"/>
  <c r="C3117" i="1"/>
  <c r="A3117" i="1"/>
  <c r="C3116" i="1"/>
  <c r="A3116" i="1"/>
  <c r="C3115" i="1"/>
  <c r="A3115" i="1"/>
  <c r="C3114" i="1"/>
  <c r="A3114" i="1"/>
  <c r="C3113" i="1"/>
  <c r="A3113" i="1"/>
  <c r="C3112" i="1"/>
  <c r="A3112" i="1"/>
  <c r="C3111" i="1"/>
  <c r="A3111" i="1"/>
  <c r="C3110" i="1"/>
  <c r="A3110" i="1"/>
  <c r="C3109" i="1"/>
  <c r="A3109" i="1"/>
  <c r="C3108" i="1"/>
  <c r="A3108" i="1"/>
  <c r="C3107" i="1"/>
  <c r="A3107" i="1"/>
  <c r="C3106" i="1"/>
  <c r="A3106" i="1"/>
  <c r="C3105" i="1"/>
  <c r="A3105" i="1"/>
  <c r="C3104" i="1"/>
  <c r="A3104" i="1"/>
  <c r="C3103" i="1"/>
  <c r="A3103" i="1"/>
  <c r="C3102" i="1"/>
  <c r="A3102" i="1"/>
  <c r="C3101" i="1"/>
  <c r="A3101" i="1"/>
  <c r="C3100" i="1"/>
  <c r="A3100" i="1"/>
  <c r="C3099" i="1"/>
  <c r="A3099" i="1"/>
  <c r="C3098" i="1"/>
  <c r="A3098" i="1"/>
  <c r="C3097" i="1"/>
  <c r="A3097" i="1"/>
  <c r="C3096" i="1"/>
  <c r="A3096" i="1"/>
  <c r="C3095" i="1"/>
  <c r="A3095" i="1"/>
  <c r="C3094" i="1"/>
  <c r="A3094" i="1"/>
  <c r="C3093" i="1"/>
  <c r="A3093" i="1"/>
  <c r="C3092" i="1"/>
  <c r="A3092" i="1"/>
  <c r="C3091" i="1"/>
  <c r="A3091" i="1"/>
  <c r="C3090" i="1"/>
  <c r="A3090" i="1"/>
  <c r="C3089" i="1"/>
  <c r="A3089" i="1"/>
  <c r="C3088" i="1"/>
  <c r="A3088" i="1"/>
  <c r="C3087" i="1"/>
  <c r="A3087" i="1"/>
  <c r="C3086" i="1"/>
  <c r="A3086" i="1"/>
  <c r="C3085" i="1"/>
  <c r="A3085" i="1"/>
  <c r="C3084" i="1"/>
  <c r="A3084" i="1"/>
  <c r="C3083" i="1"/>
  <c r="A3083" i="1"/>
  <c r="C3082" i="1"/>
  <c r="A3082" i="1"/>
  <c r="C3081" i="1"/>
  <c r="A3081" i="1"/>
  <c r="C3080" i="1"/>
  <c r="A3080" i="1"/>
  <c r="C3079" i="1"/>
  <c r="A3079" i="1"/>
  <c r="C3078" i="1"/>
  <c r="A3078" i="1"/>
  <c r="C3077" i="1"/>
  <c r="A3077" i="1"/>
  <c r="C3076" i="1"/>
  <c r="A3076" i="1"/>
  <c r="C3075" i="1"/>
  <c r="A3075" i="1"/>
  <c r="C3074" i="1"/>
  <c r="A3074" i="1"/>
  <c r="C3073" i="1"/>
  <c r="A3073" i="1"/>
  <c r="C3072" i="1"/>
  <c r="A3072" i="1"/>
  <c r="C3071" i="1"/>
  <c r="A3071" i="1"/>
  <c r="C3070" i="1"/>
  <c r="A3070" i="1"/>
  <c r="C3069" i="1"/>
  <c r="A3069" i="1"/>
  <c r="C3068" i="1"/>
  <c r="A3068" i="1"/>
  <c r="C3067" i="1"/>
  <c r="A3067" i="1"/>
  <c r="C3066" i="1"/>
  <c r="A3066" i="1"/>
  <c r="C3065" i="1"/>
  <c r="A3065" i="1"/>
  <c r="C3064" i="1"/>
  <c r="A3064" i="1"/>
  <c r="C3063" i="1"/>
  <c r="A3063" i="1"/>
  <c r="C3062" i="1"/>
  <c r="A3062" i="1"/>
  <c r="C3061" i="1"/>
  <c r="A3061" i="1"/>
  <c r="C3060" i="1"/>
  <c r="A3060" i="1"/>
  <c r="C3059" i="1"/>
  <c r="A3059" i="1"/>
  <c r="C3058" i="1"/>
  <c r="A3058" i="1"/>
  <c r="C3057" i="1"/>
  <c r="A3057" i="1"/>
  <c r="C3056" i="1"/>
  <c r="A3056" i="1"/>
  <c r="C3055" i="1"/>
  <c r="A3055" i="1"/>
  <c r="C3054" i="1"/>
  <c r="A3054" i="1"/>
  <c r="C3053" i="1"/>
  <c r="A3053" i="1"/>
  <c r="C3052" i="1"/>
  <c r="A3052" i="1"/>
  <c r="C3051" i="1"/>
  <c r="A3051" i="1"/>
  <c r="C3050" i="1"/>
  <c r="A3050" i="1"/>
  <c r="C3049" i="1"/>
  <c r="A3049" i="1"/>
  <c r="C3048" i="1"/>
  <c r="A3048" i="1"/>
  <c r="C3047" i="1"/>
  <c r="A3047" i="1"/>
  <c r="C3046" i="1"/>
  <c r="A3046" i="1"/>
  <c r="C3045" i="1"/>
  <c r="A3045" i="1"/>
  <c r="C3044" i="1"/>
  <c r="A3044" i="1"/>
  <c r="C3043" i="1"/>
  <c r="A3043" i="1"/>
  <c r="C3042" i="1"/>
  <c r="A3042" i="1"/>
  <c r="C3041" i="1"/>
  <c r="A3041" i="1"/>
  <c r="C3040" i="1"/>
  <c r="A3040" i="1"/>
  <c r="C3039" i="1"/>
  <c r="A3039" i="1"/>
  <c r="C3038" i="1"/>
  <c r="A3038" i="1"/>
  <c r="C3037" i="1"/>
  <c r="A3037" i="1"/>
  <c r="C3036" i="1"/>
  <c r="A3036" i="1"/>
  <c r="C3035" i="1"/>
  <c r="A3035" i="1"/>
  <c r="C3034" i="1"/>
  <c r="A3034" i="1"/>
  <c r="C3033" i="1"/>
  <c r="A3033" i="1"/>
  <c r="C3032" i="1"/>
  <c r="A3032" i="1"/>
  <c r="C3031" i="1"/>
  <c r="A3031" i="1"/>
  <c r="C3030" i="1"/>
  <c r="A3030" i="1"/>
  <c r="C3029" i="1"/>
  <c r="A3029" i="1"/>
  <c r="C3028" i="1"/>
  <c r="A3028" i="1"/>
  <c r="C3027" i="1"/>
  <c r="A3027" i="1"/>
  <c r="C3026" i="1"/>
  <c r="A3026" i="1"/>
  <c r="C3025" i="1"/>
  <c r="A3025" i="1"/>
  <c r="C3024" i="1"/>
  <c r="A3024" i="1"/>
  <c r="C3023" i="1"/>
  <c r="A3023" i="1"/>
  <c r="C3022" i="1"/>
  <c r="A3022" i="1"/>
  <c r="C3021" i="1"/>
  <c r="A3021" i="1"/>
  <c r="C3020" i="1"/>
  <c r="A3020" i="1"/>
  <c r="C3019" i="1"/>
  <c r="A3019" i="1"/>
  <c r="C3018" i="1"/>
  <c r="A3018" i="1"/>
  <c r="C3017" i="1"/>
  <c r="A3017" i="1"/>
  <c r="C3016" i="1"/>
  <c r="A3016" i="1"/>
  <c r="C3015" i="1"/>
  <c r="A3015" i="1"/>
  <c r="C3014" i="1"/>
  <c r="A3014" i="1"/>
  <c r="C3013" i="1"/>
  <c r="A3013" i="1"/>
  <c r="C3012" i="1"/>
  <c r="A3012" i="1"/>
  <c r="C3011" i="1"/>
  <c r="A3011" i="1"/>
  <c r="C3010" i="1"/>
  <c r="A3010" i="1"/>
  <c r="C3009" i="1"/>
  <c r="A3009" i="1"/>
  <c r="C3008" i="1"/>
  <c r="A3008" i="1"/>
  <c r="C3007" i="1"/>
  <c r="A3007" i="1"/>
  <c r="C3006" i="1"/>
  <c r="A3006" i="1"/>
  <c r="C3005" i="1"/>
  <c r="A3005" i="1"/>
  <c r="C3004" i="1"/>
  <c r="A3004" i="1"/>
  <c r="C3003" i="1"/>
  <c r="A3003" i="1"/>
  <c r="C3002" i="1"/>
  <c r="A3002" i="1"/>
  <c r="C3001" i="1"/>
  <c r="A3001" i="1"/>
  <c r="C3000" i="1"/>
  <c r="A3000" i="1"/>
  <c r="C2999" i="1"/>
  <c r="A2999" i="1"/>
  <c r="C2998" i="1"/>
  <c r="A2998" i="1"/>
  <c r="C2997" i="1"/>
  <c r="A2997" i="1"/>
  <c r="C2996" i="1"/>
  <c r="A2996" i="1"/>
  <c r="C2995" i="1"/>
  <c r="A2995" i="1"/>
  <c r="C2994" i="1"/>
  <c r="A2994" i="1"/>
  <c r="C2993" i="1"/>
  <c r="A2993" i="1"/>
  <c r="C2992" i="1"/>
  <c r="A2992" i="1"/>
  <c r="C2991" i="1"/>
  <c r="A2991" i="1"/>
  <c r="C2990" i="1"/>
  <c r="A2990" i="1"/>
  <c r="C2989" i="1"/>
  <c r="A2989" i="1"/>
  <c r="C2988" i="1"/>
  <c r="A2988" i="1"/>
  <c r="C2987" i="1"/>
  <c r="A2987" i="1"/>
  <c r="C2986" i="1"/>
  <c r="A2986" i="1"/>
  <c r="C2985" i="1"/>
  <c r="A2985" i="1"/>
  <c r="C2984" i="1"/>
  <c r="A2984" i="1"/>
  <c r="C2983" i="1"/>
  <c r="A2983" i="1"/>
  <c r="C2982" i="1"/>
  <c r="A2982" i="1"/>
  <c r="C2981" i="1"/>
  <c r="A2981" i="1"/>
  <c r="C2980" i="1"/>
  <c r="A2980" i="1"/>
  <c r="C2979" i="1"/>
  <c r="A2979" i="1"/>
  <c r="C2978" i="1"/>
  <c r="A2978" i="1"/>
  <c r="C2977" i="1"/>
  <c r="A2977" i="1"/>
  <c r="C2976" i="1"/>
  <c r="A2976" i="1"/>
  <c r="C2975" i="1"/>
  <c r="A2975" i="1"/>
  <c r="C2974" i="1"/>
  <c r="A2974" i="1"/>
  <c r="C2973" i="1"/>
  <c r="A2973" i="1"/>
  <c r="C2972" i="1"/>
  <c r="A2972" i="1"/>
  <c r="C2971" i="1"/>
  <c r="A2971" i="1"/>
  <c r="C2970" i="1"/>
  <c r="A2970" i="1"/>
  <c r="C2969" i="1"/>
  <c r="A2969" i="1"/>
  <c r="C2968" i="1"/>
  <c r="A2968" i="1"/>
  <c r="C2967" i="1"/>
  <c r="A2967" i="1"/>
  <c r="C2966" i="1"/>
  <c r="A2966" i="1"/>
  <c r="C2965" i="1"/>
  <c r="A2965" i="1"/>
  <c r="C2964" i="1"/>
  <c r="A2964" i="1"/>
  <c r="C2963" i="1"/>
  <c r="A2963" i="1"/>
  <c r="C2962" i="1"/>
  <c r="A2962" i="1"/>
  <c r="C2961" i="1"/>
  <c r="A2961" i="1"/>
  <c r="C2960" i="1"/>
  <c r="A2960" i="1"/>
  <c r="C2959" i="1"/>
  <c r="A2959" i="1"/>
  <c r="C2958" i="1"/>
  <c r="A2958" i="1"/>
  <c r="C2957" i="1"/>
  <c r="A2957" i="1"/>
  <c r="C2956" i="1"/>
  <c r="A2956" i="1"/>
  <c r="C2955" i="1"/>
  <c r="A2955" i="1"/>
  <c r="C2954" i="1"/>
  <c r="A2954" i="1"/>
  <c r="C2953" i="1"/>
  <c r="A2953" i="1"/>
  <c r="C2952" i="1"/>
  <c r="A2952" i="1"/>
  <c r="C2951" i="1"/>
  <c r="A2951" i="1"/>
  <c r="C2950" i="1"/>
  <c r="A2950" i="1"/>
  <c r="C2949" i="1"/>
  <c r="A2949" i="1"/>
  <c r="C2948" i="1"/>
  <c r="A2948" i="1"/>
  <c r="C2947" i="1"/>
  <c r="A2947" i="1"/>
  <c r="C2946" i="1"/>
  <c r="A2946" i="1"/>
  <c r="C2945" i="1"/>
  <c r="A2945" i="1"/>
  <c r="C2944" i="1"/>
  <c r="A2944" i="1"/>
  <c r="C2943" i="1"/>
  <c r="A2943" i="1"/>
  <c r="C2942" i="1"/>
  <c r="A2942" i="1"/>
  <c r="C2941" i="1"/>
  <c r="A2941" i="1"/>
  <c r="C2940" i="1"/>
  <c r="A2940" i="1"/>
  <c r="C2939" i="1"/>
  <c r="A2939" i="1"/>
  <c r="C2938" i="1"/>
  <c r="A2938" i="1"/>
  <c r="C2937" i="1"/>
  <c r="A2937" i="1"/>
  <c r="C2936" i="1"/>
  <c r="A2936" i="1"/>
  <c r="C2935" i="1"/>
  <c r="A2935" i="1"/>
  <c r="C2934" i="1"/>
  <c r="A2934" i="1"/>
  <c r="C2933" i="1"/>
  <c r="A2933" i="1"/>
  <c r="C2932" i="1"/>
  <c r="A2932" i="1"/>
  <c r="C2931" i="1"/>
  <c r="A2931" i="1"/>
  <c r="C2930" i="1"/>
  <c r="A2930" i="1"/>
  <c r="C2929" i="1"/>
  <c r="A2929" i="1"/>
  <c r="C2928" i="1"/>
  <c r="A2928" i="1"/>
  <c r="C2927" i="1"/>
  <c r="A2927" i="1"/>
  <c r="C2926" i="1"/>
  <c r="A2926" i="1"/>
  <c r="C2925" i="1"/>
  <c r="A2925" i="1"/>
  <c r="C2924" i="1"/>
  <c r="A2924" i="1"/>
  <c r="C2923" i="1"/>
  <c r="A2923" i="1"/>
  <c r="C2922" i="1"/>
  <c r="A2922" i="1"/>
  <c r="C2921" i="1"/>
  <c r="A2921" i="1"/>
  <c r="C2920" i="1"/>
  <c r="A2920" i="1"/>
  <c r="C2919" i="1"/>
  <c r="A2919" i="1"/>
  <c r="C2918" i="1"/>
  <c r="A2918" i="1"/>
  <c r="C2917" i="1"/>
  <c r="A2917" i="1"/>
  <c r="C2916" i="1"/>
  <c r="A2916" i="1"/>
  <c r="C2915" i="1"/>
  <c r="A2915" i="1"/>
  <c r="C2914" i="1"/>
  <c r="A2914" i="1"/>
  <c r="C2913" i="1"/>
  <c r="A2913" i="1"/>
  <c r="C2912" i="1"/>
  <c r="A2912" i="1"/>
  <c r="C2911" i="1"/>
  <c r="A2911" i="1"/>
  <c r="C2910" i="1"/>
  <c r="A2910" i="1"/>
  <c r="C2909" i="1"/>
  <c r="A2909" i="1"/>
  <c r="C2908" i="1"/>
  <c r="A2908" i="1"/>
  <c r="C2907" i="1"/>
  <c r="A2907" i="1"/>
  <c r="C2906" i="1"/>
  <c r="A2906" i="1"/>
  <c r="C2905" i="1"/>
  <c r="A2905" i="1"/>
  <c r="C2904" i="1"/>
  <c r="A2904" i="1"/>
  <c r="C2903" i="1"/>
  <c r="A2903" i="1"/>
  <c r="C2902" i="1"/>
  <c r="A2902" i="1"/>
  <c r="C2901" i="1"/>
  <c r="A2901" i="1"/>
  <c r="C2900" i="1"/>
  <c r="A2900" i="1"/>
  <c r="C2899" i="1"/>
  <c r="A2899" i="1"/>
  <c r="C2898" i="1"/>
  <c r="A2898" i="1"/>
  <c r="C2897" i="1"/>
  <c r="A2897" i="1"/>
  <c r="C2896" i="1"/>
  <c r="A2896" i="1"/>
  <c r="C2895" i="1"/>
  <c r="A2895" i="1"/>
  <c r="C2894" i="1"/>
  <c r="A2894" i="1"/>
  <c r="C2893" i="1"/>
  <c r="A2893" i="1"/>
  <c r="C2892" i="1"/>
  <c r="A2892" i="1"/>
  <c r="C2891" i="1"/>
  <c r="A2891" i="1"/>
  <c r="C2890" i="1"/>
  <c r="A2890" i="1"/>
  <c r="C2889" i="1"/>
  <c r="A2889" i="1"/>
  <c r="C2888" i="1"/>
  <c r="A2888" i="1"/>
  <c r="C2887" i="1"/>
  <c r="A2887" i="1"/>
  <c r="C2886" i="1"/>
  <c r="A2886" i="1"/>
  <c r="C2885" i="1"/>
  <c r="A2885" i="1"/>
  <c r="C2884" i="1"/>
  <c r="A2884" i="1"/>
  <c r="C2883" i="1"/>
  <c r="A2883" i="1"/>
  <c r="C2882" i="1"/>
  <c r="A2882" i="1"/>
  <c r="C2881" i="1"/>
  <c r="A2881" i="1"/>
  <c r="C2880" i="1"/>
  <c r="A2880" i="1"/>
  <c r="C2879" i="1"/>
  <c r="A2879" i="1"/>
  <c r="C2878" i="1"/>
  <c r="A2878" i="1"/>
  <c r="C2877" i="1"/>
  <c r="A2877" i="1"/>
  <c r="C2876" i="1"/>
  <c r="A2876" i="1"/>
  <c r="C2875" i="1"/>
  <c r="A2875" i="1"/>
  <c r="C2874" i="1"/>
  <c r="A2874" i="1"/>
  <c r="C2873" i="1"/>
  <c r="A2873" i="1"/>
  <c r="C2872" i="1"/>
  <c r="A2872" i="1"/>
  <c r="C2871" i="1"/>
  <c r="A2871" i="1"/>
  <c r="C2870" i="1"/>
  <c r="A2870" i="1"/>
  <c r="C2869" i="1"/>
  <c r="A2869" i="1"/>
  <c r="C2868" i="1"/>
  <c r="A2868" i="1"/>
  <c r="C2867" i="1"/>
  <c r="A2867" i="1"/>
  <c r="C2866" i="1"/>
  <c r="A2866" i="1"/>
  <c r="C2865" i="1"/>
  <c r="A2865" i="1"/>
  <c r="C2864" i="1"/>
  <c r="A2864" i="1"/>
  <c r="C2863" i="1"/>
  <c r="A2863" i="1"/>
  <c r="C2862" i="1"/>
  <c r="A2862" i="1"/>
  <c r="C2861" i="1"/>
  <c r="A2861" i="1"/>
  <c r="C2860" i="1"/>
  <c r="A2860" i="1"/>
  <c r="C2859" i="1"/>
  <c r="A2859" i="1"/>
  <c r="C2858" i="1"/>
  <c r="A2858" i="1"/>
  <c r="C2857" i="1"/>
  <c r="A2857" i="1"/>
  <c r="C2856" i="1"/>
  <c r="A2856" i="1"/>
  <c r="C2855" i="1"/>
  <c r="A2855" i="1"/>
  <c r="C2854" i="1"/>
  <c r="A2854" i="1"/>
  <c r="C2853" i="1"/>
  <c r="A2853" i="1"/>
  <c r="C2852" i="1"/>
  <c r="A2852" i="1"/>
  <c r="C2851" i="1"/>
  <c r="A2851" i="1"/>
  <c r="C2850" i="1"/>
  <c r="A2850" i="1"/>
  <c r="C2849" i="1"/>
  <c r="A2849" i="1"/>
  <c r="C2848" i="1"/>
  <c r="A2848" i="1"/>
  <c r="C2847" i="1"/>
  <c r="A2847" i="1"/>
  <c r="C2846" i="1"/>
  <c r="A2846" i="1"/>
  <c r="C2845" i="1"/>
  <c r="A2845" i="1"/>
  <c r="C2844" i="1"/>
  <c r="A2844" i="1"/>
  <c r="C2843" i="1"/>
  <c r="A2843" i="1"/>
  <c r="C2842" i="1"/>
  <c r="A2842" i="1"/>
  <c r="C2841" i="1"/>
  <c r="A2841" i="1"/>
  <c r="C2840" i="1"/>
  <c r="A2840" i="1"/>
  <c r="C2839" i="1"/>
  <c r="A2839" i="1"/>
  <c r="C2838" i="1"/>
  <c r="A2838" i="1"/>
  <c r="C2837" i="1"/>
  <c r="A2837" i="1"/>
  <c r="C2836" i="1"/>
  <c r="A2836" i="1"/>
  <c r="C2835" i="1"/>
  <c r="A2835" i="1"/>
  <c r="C2834" i="1"/>
  <c r="A2834" i="1"/>
  <c r="C2833" i="1"/>
  <c r="A2833" i="1"/>
  <c r="C2832" i="1"/>
  <c r="A2832" i="1"/>
  <c r="C2831" i="1"/>
  <c r="A2831" i="1"/>
  <c r="C2830" i="1"/>
  <c r="A2830" i="1"/>
  <c r="C2829" i="1"/>
  <c r="A2829" i="1"/>
  <c r="C2828" i="1"/>
  <c r="A2828" i="1"/>
  <c r="C2827" i="1"/>
  <c r="A2827" i="1"/>
  <c r="C2826" i="1"/>
  <c r="A2826" i="1"/>
  <c r="C2825" i="1"/>
  <c r="A2825" i="1"/>
  <c r="C2824" i="1"/>
  <c r="A2824" i="1"/>
  <c r="C2823" i="1"/>
  <c r="A2823" i="1"/>
  <c r="C2822" i="1"/>
  <c r="A2822" i="1"/>
  <c r="C2821" i="1"/>
  <c r="A2821" i="1"/>
  <c r="C2820" i="1"/>
  <c r="A2820" i="1"/>
  <c r="C2819" i="1"/>
  <c r="A2819" i="1"/>
  <c r="C2818" i="1"/>
  <c r="A2818" i="1"/>
  <c r="C2817" i="1"/>
  <c r="A2817" i="1"/>
  <c r="C2816" i="1"/>
  <c r="A2816" i="1"/>
  <c r="C2815" i="1"/>
  <c r="A2815" i="1"/>
  <c r="C2814" i="1"/>
  <c r="A2814" i="1"/>
  <c r="C2813" i="1"/>
  <c r="A2813" i="1"/>
  <c r="C2812" i="1"/>
  <c r="A2812" i="1"/>
  <c r="C2811" i="1"/>
  <c r="A2811" i="1"/>
  <c r="C2810" i="1"/>
  <c r="A2810" i="1"/>
  <c r="C2809" i="1"/>
  <c r="A2809" i="1"/>
  <c r="C2808" i="1"/>
  <c r="A2808" i="1"/>
  <c r="C2807" i="1"/>
  <c r="A2807" i="1"/>
  <c r="C2806" i="1"/>
  <c r="A2806" i="1"/>
  <c r="C2805" i="1"/>
  <c r="A2805" i="1"/>
  <c r="C2804" i="1"/>
  <c r="A2804" i="1"/>
  <c r="C2803" i="1"/>
  <c r="A2803" i="1"/>
  <c r="C2802" i="1"/>
  <c r="A2802" i="1"/>
  <c r="C2801" i="1"/>
  <c r="A2801" i="1"/>
  <c r="C2800" i="1"/>
  <c r="A2800" i="1"/>
  <c r="C2799" i="1"/>
  <c r="A2799" i="1"/>
  <c r="C2798" i="1"/>
  <c r="A2798" i="1"/>
  <c r="C2797" i="1"/>
  <c r="A2797" i="1"/>
  <c r="C2796" i="1"/>
  <c r="A2796" i="1"/>
  <c r="C2795" i="1"/>
  <c r="A2795" i="1"/>
  <c r="C2794" i="1"/>
  <c r="A2794" i="1"/>
  <c r="C2793" i="1"/>
  <c r="A2793" i="1"/>
  <c r="C2792" i="1"/>
  <c r="A2792" i="1"/>
  <c r="C2791" i="1"/>
  <c r="A2791" i="1"/>
  <c r="C2790" i="1"/>
  <c r="A2790" i="1"/>
  <c r="C2789" i="1"/>
  <c r="A2789" i="1"/>
  <c r="C2788" i="1"/>
  <c r="A2788" i="1"/>
  <c r="C2787" i="1"/>
  <c r="A2787" i="1"/>
  <c r="C2786" i="1"/>
  <c r="A2786" i="1"/>
  <c r="C2785" i="1"/>
  <c r="A2785" i="1"/>
  <c r="C2784" i="1"/>
  <c r="A2784" i="1"/>
  <c r="C2783" i="1"/>
  <c r="A2783" i="1"/>
  <c r="C2782" i="1"/>
  <c r="A2782" i="1"/>
  <c r="C2781" i="1"/>
  <c r="A2781" i="1"/>
  <c r="C2780" i="1"/>
  <c r="A2780" i="1"/>
  <c r="C2779" i="1"/>
  <c r="A2779" i="1"/>
  <c r="C2778" i="1"/>
  <c r="A2778" i="1"/>
  <c r="C2777" i="1"/>
  <c r="A2777" i="1"/>
  <c r="C2776" i="1"/>
  <c r="A2776" i="1"/>
  <c r="C2775" i="1"/>
  <c r="A2775" i="1"/>
  <c r="C2774" i="1"/>
  <c r="A2774" i="1"/>
  <c r="C2773" i="1"/>
  <c r="A2773" i="1"/>
  <c r="C2772" i="1"/>
  <c r="A2772" i="1"/>
  <c r="C2771" i="1"/>
  <c r="A2771" i="1"/>
  <c r="C2770" i="1"/>
  <c r="A2770" i="1"/>
  <c r="C2769" i="1"/>
  <c r="A2769" i="1"/>
  <c r="C2768" i="1"/>
  <c r="A2768" i="1"/>
  <c r="C2767" i="1"/>
  <c r="A2767" i="1"/>
  <c r="C2766" i="1"/>
  <c r="A2766" i="1"/>
  <c r="C2765" i="1"/>
  <c r="A2765" i="1"/>
  <c r="C2764" i="1"/>
  <c r="A2764" i="1"/>
  <c r="C2763" i="1"/>
  <c r="A2763" i="1"/>
  <c r="C2762" i="1"/>
  <c r="A2762" i="1"/>
  <c r="C2761" i="1"/>
  <c r="A2761" i="1"/>
  <c r="C2760" i="1"/>
  <c r="A2760" i="1"/>
  <c r="C2759" i="1"/>
  <c r="A2759" i="1"/>
  <c r="C2758" i="1"/>
  <c r="A2758" i="1"/>
  <c r="C2757" i="1"/>
  <c r="A2757" i="1"/>
  <c r="C2756" i="1"/>
  <c r="A2756" i="1"/>
  <c r="C2755" i="1"/>
  <c r="A2755" i="1"/>
  <c r="C2754" i="1"/>
  <c r="A2754" i="1"/>
  <c r="C2753" i="1"/>
  <c r="A2753" i="1"/>
  <c r="C2752" i="1"/>
  <c r="A2752" i="1"/>
  <c r="C2751" i="1"/>
  <c r="A2751" i="1"/>
  <c r="C2750" i="1"/>
  <c r="A2750" i="1"/>
  <c r="C2749" i="1"/>
  <c r="A2749" i="1"/>
  <c r="C2748" i="1"/>
  <c r="A2748" i="1"/>
  <c r="C2747" i="1"/>
  <c r="A2747" i="1"/>
  <c r="C2746" i="1"/>
  <c r="A2746" i="1"/>
  <c r="C2745" i="1"/>
  <c r="A2745" i="1"/>
  <c r="C2744" i="1"/>
  <c r="A2744" i="1"/>
  <c r="C2743" i="1"/>
  <c r="A2743" i="1"/>
  <c r="C2742" i="1"/>
  <c r="A2742" i="1"/>
  <c r="C2741" i="1"/>
  <c r="A2741" i="1"/>
  <c r="C2740" i="1"/>
  <c r="A2740" i="1"/>
  <c r="C2739" i="1"/>
  <c r="A2739" i="1"/>
  <c r="C2738" i="1"/>
  <c r="A2738" i="1"/>
  <c r="C2737" i="1"/>
  <c r="A2737" i="1"/>
  <c r="C2736" i="1"/>
  <c r="A2736" i="1"/>
  <c r="C2735" i="1"/>
  <c r="A2735" i="1"/>
  <c r="C2734" i="1"/>
  <c r="A2734" i="1"/>
  <c r="C2733" i="1"/>
  <c r="A2733" i="1"/>
  <c r="C2732" i="1"/>
  <c r="A2732" i="1"/>
  <c r="C2731" i="1"/>
  <c r="A2731" i="1"/>
  <c r="C2730" i="1"/>
  <c r="A2730" i="1"/>
  <c r="C2729" i="1"/>
  <c r="A2729" i="1"/>
  <c r="C2728" i="1"/>
  <c r="A2728" i="1"/>
  <c r="C2727" i="1"/>
  <c r="A2727" i="1"/>
  <c r="C2726" i="1"/>
  <c r="A2726" i="1"/>
  <c r="C2725" i="1"/>
  <c r="A2725" i="1"/>
  <c r="C2724" i="1"/>
  <c r="A2724" i="1"/>
  <c r="C2723" i="1"/>
  <c r="A2723" i="1"/>
  <c r="C2722" i="1"/>
  <c r="A2722" i="1"/>
  <c r="C2721" i="1"/>
  <c r="A2721" i="1"/>
  <c r="C2720" i="1"/>
  <c r="A2720" i="1"/>
  <c r="C2719" i="1"/>
  <c r="A2719" i="1"/>
  <c r="C2718" i="1"/>
  <c r="A2718" i="1"/>
  <c r="C2717" i="1"/>
  <c r="A2717" i="1"/>
  <c r="C2716" i="1"/>
  <c r="A2716" i="1"/>
  <c r="C2715" i="1"/>
  <c r="A2715" i="1"/>
  <c r="C2714" i="1"/>
  <c r="A2714" i="1"/>
  <c r="C2713" i="1"/>
  <c r="A2713" i="1"/>
  <c r="C2712" i="1"/>
  <c r="A2712" i="1"/>
  <c r="C2711" i="1"/>
  <c r="A2711" i="1"/>
  <c r="C2710" i="1"/>
  <c r="A2710" i="1"/>
  <c r="C2709" i="1"/>
  <c r="A2709" i="1"/>
  <c r="C2708" i="1"/>
  <c r="A2708" i="1"/>
  <c r="C2707" i="1"/>
  <c r="A2707" i="1"/>
  <c r="C2706" i="1"/>
  <c r="A2706" i="1"/>
  <c r="C2705" i="1"/>
  <c r="A2705" i="1"/>
  <c r="C2704" i="1"/>
  <c r="A2704" i="1"/>
  <c r="C2703" i="1"/>
  <c r="A2703" i="1"/>
  <c r="C2702" i="1"/>
  <c r="A2702" i="1"/>
  <c r="C2701" i="1"/>
  <c r="A2701" i="1"/>
  <c r="C2700" i="1"/>
  <c r="A2700" i="1"/>
  <c r="C2699" i="1"/>
  <c r="A2699" i="1"/>
  <c r="C2698" i="1"/>
  <c r="A2698" i="1"/>
  <c r="C2697" i="1"/>
  <c r="A2697" i="1"/>
  <c r="C2696" i="1"/>
  <c r="A2696" i="1"/>
  <c r="C2695" i="1"/>
  <c r="A2695" i="1"/>
  <c r="C2694" i="1"/>
  <c r="A2694" i="1"/>
  <c r="C2693" i="1"/>
  <c r="A2693" i="1"/>
  <c r="C2692" i="1"/>
  <c r="A2692" i="1"/>
  <c r="C2691" i="1"/>
  <c r="A2691" i="1"/>
  <c r="C2690" i="1"/>
  <c r="A2690" i="1"/>
  <c r="C2689" i="1"/>
  <c r="A2689" i="1"/>
  <c r="C2688" i="1"/>
  <c r="A2688" i="1"/>
  <c r="C2687" i="1"/>
  <c r="A2687" i="1"/>
  <c r="C2686" i="1"/>
  <c r="A2686" i="1"/>
  <c r="C2685" i="1"/>
  <c r="A2685" i="1"/>
  <c r="C2684" i="1"/>
  <c r="A2684" i="1"/>
  <c r="C2683" i="1"/>
  <c r="A2683" i="1"/>
  <c r="C2682" i="1"/>
  <c r="A2682" i="1"/>
  <c r="C2681" i="1"/>
  <c r="A2681" i="1"/>
  <c r="C2680" i="1"/>
  <c r="A2680" i="1"/>
  <c r="C2679" i="1"/>
  <c r="A2679" i="1"/>
  <c r="C2678" i="1"/>
  <c r="A2678" i="1"/>
  <c r="C2677" i="1"/>
  <c r="A2677" i="1"/>
  <c r="C2676" i="1"/>
  <c r="A2676" i="1"/>
  <c r="C2675" i="1"/>
  <c r="A2675" i="1"/>
  <c r="C2674" i="1"/>
  <c r="A2674" i="1"/>
  <c r="C2673" i="1"/>
  <c r="A2673" i="1"/>
  <c r="C2672" i="1"/>
  <c r="A2672" i="1"/>
  <c r="C2671" i="1"/>
  <c r="A2671" i="1"/>
  <c r="C2670" i="1"/>
  <c r="A2670" i="1"/>
  <c r="C2669" i="1"/>
  <c r="A2669" i="1"/>
  <c r="C2668" i="1"/>
  <c r="A2668" i="1"/>
  <c r="C2667" i="1"/>
  <c r="A2667" i="1"/>
  <c r="C2666" i="1"/>
  <c r="A2666" i="1"/>
  <c r="C2665" i="1"/>
  <c r="A2665" i="1"/>
  <c r="C2664" i="1"/>
  <c r="A2664" i="1"/>
  <c r="C2663" i="1"/>
  <c r="A2663" i="1"/>
  <c r="C2662" i="1"/>
  <c r="A2662" i="1"/>
  <c r="C2661" i="1"/>
  <c r="A2661" i="1"/>
  <c r="C2660" i="1"/>
  <c r="A2660" i="1"/>
  <c r="C2659" i="1"/>
  <c r="A2659" i="1"/>
  <c r="C2658" i="1"/>
  <c r="A2658" i="1"/>
  <c r="C2657" i="1"/>
  <c r="A2657" i="1"/>
  <c r="C2656" i="1"/>
  <c r="A2656" i="1"/>
  <c r="C2655" i="1"/>
  <c r="A2655" i="1"/>
  <c r="C2654" i="1"/>
  <c r="A2654" i="1"/>
  <c r="C2653" i="1"/>
  <c r="A2653" i="1"/>
  <c r="C2652" i="1"/>
  <c r="A2652" i="1"/>
  <c r="C2651" i="1"/>
  <c r="A2651" i="1"/>
  <c r="C2650" i="1"/>
  <c r="A2650" i="1"/>
  <c r="C2649" i="1"/>
  <c r="A2649" i="1"/>
  <c r="C2648" i="1"/>
  <c r="A2648" i="1"/>
  <c r="C2647" i="1"/>
  <c r="A2647" i="1"/>
  <c r="C2646" i="1"/>
  <c r="A2646" i="1"/>
  <c r="C2645" i="1"/>
  <c r="A2645" i="1"/>
  <c r="C2644" i="1"/>
  <c r="A2644" i="1"/>
  <c r="C2643" i="1"/>
  <c r="A2643" i="1"/>
  <c r="C2642" i="1"/>
  <c r="A2642" i="1"/>
  <c r="C2641" i="1"/>
  <c r="A2641" i="1"/>
  <c r="C2640" i="1"/>
  <c r="A2640" i="1"/>
  <c r="C2639" i="1"/>
  <c r="A2639" i="1"/>
  <c r="C2638" i="1"/>
  <c r="A2638" i="1"/>
  <c r="C2637" i="1"/>
  <c r="A2637" i="1"/>
  <c r="C2636" i="1"/>
  <c r="A2636" i="1"/>
  <c r="C2635" i="1"/>
  <c r="A2635" i="1"/>
  <c r="C2634" i="1"/>
  <c r="A2634" i="1"/>
  <c r="C2633" i="1"/>
  <c r="A2633" i="1"/>
  <c r="C2632" i="1"/>
  <c r="A2632" i="1"/>
  <c r="C2631" i="1"/>
  <c r="A2631" i="1"/>
  <c r="C2630" i="1"/>
  <c r="A2630" i="1"/>
  <c r="C2629" i="1"/>
  <c r="A2629" i="1"/>
  <c r="C2628" i="1"/>
  <c r="A2628" i="1"/>
  <c r="C2627" i="1"/>
  <c r="A2627" i="1"/>
  <c r="C2626" i="1"/>
  <c r="A2626" i="1"/>
  <c r="C2625" i="1"/>
  <c r="A2625" i="1"/>
  <c r="C2624" i="1"/>
  <c r="A2624" i="1"/>
  <c r="C2623" i="1"/>
  <c r="A2623" i="1"/>
  <c r="C2622" i="1"/>
  <c r="A2622" i="1"/>
  <c r="C2621" i="1"/>
  <c r="A2621" i="1"/>
  <c r="C2620" i="1"/>
  <c r="A2620" i="1"/>
  <c r="C2619" i="1"/>
  <c r="A2619" i="1"/>
  <c r="C2618" i="1"/>
  <c r="A2618" i="1"/>
  <c r="C2617" i="1"/>
  <c r="A2617" i="1"/>
  <c r="C2616" i="1"/>
  <c r="A2616" i="1"/>
  <c r="C2615" i="1"/>
  <c r="A2615" i="1"/>
  <c r="C2614" i="1"/>
  <c r="A2614" i="1"/>
  <c r="C2613" i="1"/>
  <c r="A2613" i="1"/>
  <c r="C2612" i="1"/>
  <c r="A2612" i="1"/>
  <c r="C2611" i="1"/>
  <c r="A2611" i="1"/>
  <c r="C2610" i="1"/>
  <c r="A2610" i="1"/>
  <c r="C2609" i="1"/>
  <c r="A2609" i="1"/>
  <c r="C2608" i="1"/>
  <c r="A2608" i="1"/>
  <c r="C2607" i="1"/>
  <c r="A2607" i="1"/>
  <c r="C2606" i="1"/>
  <c r="A2606" i="1"/>
  <c r="C2605" i="1"/>
  <c r="A2605" i="1"/>
  <c r="C2604" i="1"/>
  <c r="A2604" i="1"/>
  <c r="C2603" i="1"/>
  <c r="A2603" i="1"/>
  <c r="C2602" i="1"/>
  <c r="A2602" i="1"/>
  <c r="C2601" i="1"/>
  <c r="A2601" i="1"/>
  <c r="C2600" i="1"/>
  <c r="A2600" i="1"/>
  <c r="C2599" i="1"/>
  <c r="A2599" i="1"/>
  <c r="C2598" i="1"/>
  <c r="A2598" i="1"/>
  <c r="C2597" i="1"/>
  <c r="A2597" i="1"/>
  <c r="C2596" i="1"/>
  <c r="A2596" i="1"/>
  <c r="C2595" i="1"/>
  <c r="A2595" i="1"/>
  <c r="C2594" i="1"/>
  <c r="A2594" i="1"/>
  <c r="C2593" i="1"/>
  <c r="A2593" i="1"/>
  <c r="C2592" i="1"/>
  <c r="A2592" i="1"/>
  <c r="C2591" i="1"/>
  <c r="A2591" i="1"/>
  <c r="C2590" i="1"/>
  <c r="A2590" i="1"/>
  <c r="C2589" i="1"/>
  <c r="A2589" i="1"/>
  <c r="C2588" i="1"/>
  <c r="A2588" i="1"/>
  <c r="C2587" i="1"/>
  <c r="A2587" i="1"/>
  <c r="C2586" i="1"/>
  <c r="A2586" i="1"/>
  <c r="C2585" i="1"/>
  <c r="A2585" i="1"/>
  <c r="C2584" i="1"/>
  <c r="A2584" i="1"/>
  <c r="C2583" i="1"/>
  <c r="A2583" i="1"/>
  <c r="C2582" i="1"/>
  <c r="A2582" i="1"/>
  <c r="C2581" i="1"/>
  <c r="A2581" i="1"/>
  <c r="C2580" i="1"/>
  <c r="A2580" i="1"/>
  <c r="C2579" i="1"/>
  <c r="A2579" i="1"/>
  <c r="C2578" i="1"/>
  <c r="A2578" i="1"/>
  <c r="C2577" i="1"/>
  <c r="A2577" i="1"/>
  <c r="C2576" i="1"/>
  <c r="A2576" i="1"/>
  <c r="C2575" i="1"/>
  <c r="A2575" i="1"/>
  <c r="C2574" i="1"/>
  <c r="A2574" i="1"/>
  <c r="C2573" i="1"/>
  <c r="A2573" i="1"/>
  <c r="C2572" i="1"/>
  <c r="A2572" i="1"/>
  <c r="C2571" i="1"/>
  <c r="A2571" i="1"/>
  <c r="C2570" i="1"/>
  <c r="A2570" i="1"/>
  <c r="C2569" i="1"/>
  <c r="A2569" i="1"/>
  <c r="C2568" i="1"/>
  <c r="A2568" i="1"/>
  <c r="C2567" i="1"/>
  <c r="A2567" i="1"/>
  <c r="C2566" i="1"/>
  <c r="A2566" i="1"/>
  <c r="C2565" i="1"/>
  <c r="A2565" i="1"/>
  <c r="C2564" i="1"/>
  <c r="A2564" i="1"/>
  <c r="C2563" i="1"/>
  <c r="A2563" i="1"/>
  <c r="C2562" i="1"/>
  <c r="A2562" i="1"/>
  <c r="C2561" i="1"/>
  <c r="A2561" i="1"/>
  <c r="C2560" i="1"/>
  <c r="A2560" i="1"/>
  <c r="C2559" i="1"/>
  <c r="A2559" i="1"/>
  <c r="C2558" i="1"/>
  <c r="A2558" i="1"/>
  <c r="C2557" i="1"/>
  <c r="A2557" i="1"/>
  <c r="C2556" i="1"/>
  <c r="A2556" i="1"/>
  <c r="C2555" i="1"/>
  <c r="A2555" i="1"/>
  <c r="C2554" i="1"/>
  <c r="A2554" i="1"/>
  <c r="C2553" i="1"/>
  <c r="A2553" i="1"/>
  <c r="C2552" i="1"/>
  <c r="A2552" i="1"/>
  <c r="C2551" i="1"/>
  <c r="A2551" i="1"/>
  <c r="C2550" i="1"/>
  <c r="A2550" i="1"/>
  <c r="C2549" i="1"/>
  <c r="A2549" i="1"/>
  <c r="C2548" i="1"/>
  <c r="A2548" i="1"/>
  <c r="C2547" i="1"/>
  <c r="A2547" i="1"/>
  <c r="C2546" i="1"/>
  <c r="A2546" i="1"/>
  <c r="C2545" i="1"/>
  <c r="A2545" i="1"/>
  <c r="C2544" i="1"/>
  <c r="A2544" i="1"/>
  <c r="C2543" i="1"/>
  <c r="A2543" i="1"/>
  <c r="C2542" i="1"/>
  <c r="A2542" i="1"/>
  <c r="C2541" i="1"/>
  <c r="A2541" i="1"/>
  <c r="C2540" i="1"/>
  <c r="A2540" i="1"/>
  <c r="C2539" i="1"/>
  <c r="A2539" i="1"/>
  <c r="C2538" i="1"/>
  <c r="A2538" i="1"/>
  <c r="C2537" i="1"/>
  <c r="A2537" i="1"/>
  <c r="C2536" i="1"/>
  <c r="A2536" i="1"/>
  <c r="C2535" i="1"/>
  <c r="A2535" i="1"/>
  <c r="C2534" i="1"/>
  <c r="A2534" i="1"/>
  <c r="C2533" i="1"/>
  <c r="A2533" i="1"/>
  <c r="C2532" i="1"/>
  <c r="A2532" i="1"/>
  <c r="C2531" i="1"/>
  <c r="A2531" i="1"/>
  <c r="C2530" i="1"/>
  <c r="A2530" i="1"/>
  <c r="C2529" i="1"/>
  <c r="A2529" i="1"/>
  <c r="C2528" i="1"/>
  <c r="A2528" i="1"/>
  <c r="C2527" i="1"/>
  <c r="A2527" i="1"/>
  <c r="C2526" i="1"/>
  <c r="A2526" i="1"/>
  <c r="C2525" i="1"/>
  <c r="A2525" i="1"/>
  <c r="C2524" i="1"/>
  <c r="A2524" i="1"/>
  <c r="C2523" i="1"/>
  <c r="A2523" i="1"/>
  <c r="C2522" i="1"/>
  <c r="A2522" i="1"/>
  <c r="C2521" i="1"/>
  <c r="A2521" i="1"/>
  <c r="C2520" i="1"/>
  <c r="A2520" i="1"/>
  <c r="C2519" i="1"/>
  <c r="A2519" i="1"/>
  <c r="C2518" i="1"/>
  <c r="A2518" i="1"/>
  <c r="C2517" i="1"/>
  <c r="A2517" i="1"/>
  <c r="C2516" i="1"/>
  <c r="A2516" i="1"/>
  <c r="C2515" i="1"/>
  <c r="A2515" i="1"/>
  <c r="C2514" i="1"/>
  <c r="A2514" i="1"/>
  <c r="C2513" i="1"/>
  <c r="A2513" i="1"/>
  <c r="C2512" i="1"/>
  <c r="A2512" i="1"/>
  <c r="C2511" i="1"/>
  <c r="A2511" i="1"/>
  <c r="C2510" i="1"/>
  <c r="A2510" i="1"/>
  <c r="C2509" i="1"/>
  <c r="A2509" i="1"/>
  <c r="C2508" i="1"/>
  <c r="A2508" i="1"/>
  <c r="C2507" i="1"/>
  <c r="A2507" i="1"/>
  <c r="C2506" i="1"/>
  <c r="A2506" i="1"/>
  <c r="C2505" i="1"/>
  <c r="A2505" i="1"/>
  <c r="C2504" i="1"/>
  <c r="A2504" i="1"/>
  <c r="C2503" i="1"/>
  <c r="A2503" i="1"/>
  <c r="C2502" i="1"/>
  <c r="A2502" i="1"/>
  <c r="C2501" i="1"/>
  <c r="A2501" i="1"/>
  <c r="C2500" i="1"/>
  <c r="A2500" i="1"/>
  <c r="C2499" i="1"/>
  <c r="A2499" i="1"/>
  <c r="C2498" i="1"/>
  <c r="A2498" i="1"/>
  <c r="C2497" i="1"/>
  <c r="A2497" i="1"/>
  <c r="C2496" i="1"/>
  <c r="A2496" i="1"/>
  <c r="C2495" i="1"/>
  <c r="A2495" i="1"/>
  <c r="C2494" i="1"/>
  <c r="A2494" i="1"/>
  <c r="C2493" i="1"/>
  <c r="A2493" i="1"/>
  <c r="C2492" i="1"/>
  <c r="A2492" i="1"/>
  <c r="C2491" i="1"/>
  <c r="A2491" i="1"/>
  <c r="C2490" i="1"/>
  <c r="A2490" i="1"/>
  <c r="C2489" i="1"/>
  <c r="A2489" i="1"/>
  <c r="C2488" i="1"/>
  <c r="A2488" i="1"/>
  <c r="C2487" i="1"/>
  <c r="A2487" i="1"/>
  <c r="C2486" i="1"/>
  <c r="A2486" i="1"/>
  <c r="C2485" i="1"/>
  <c r="A2485" i="1"/>
  <c r="C2484" i="1"/>
  <c r="A2484" i="1"/>
  <c r="C2483" i="1"/>
  <c r="A2483" i="1"/>
  <c r="C2482" i="1"/>
  <c r="A2482" i="1"/>
  <c r="C2481" i="1"/>
  <c r="A2481" i="1"/>
  <c r="C2480" i="1"/>
  <c r="A2480" i="1"/>
  <c r="C2479" i="1"/>
  <c r="A2479" i="1"/>
  <c r="C2478" i="1"/>
  <c r="A2478" i="1"/>
  <c r="C2477" i="1"/>
  <c r="A2477" i="1"/>
  <c r="C2476" i="1"/>
  <c r="A2476" i="1"/>
  <c r="C2475" i="1"/>
  <c r="A2475" i="1"/>
  <c r="C2474" i="1"/>
  <c r="A2474" i="1"/>
  <c r="C2473" i="1"/>
  <c r="A2473" i="1"/>
  <c r="C2472" i="1"/>
  <c r="A2472" i="1"/>
  <c r="C2471" i="1"/>
  <c r="A2471" i="1"/>
  <c r="C2470" i="1"/>
  <c r="A2470" i="1"/>
  <c r="C2469" i="1"/>
  <c r="A2469" i="1"/>
  <c r="C2468" i="1"/>
  <c r="A2468" i="1"/>
  <c r="C2467" i="1"/>
  <c r="A2467" i="1"/>
  <c r="C2466" i="1"/>
  <c r="A2466" i="1"/>
  <c r="C2465" i="1"/>
  <c r="A2465" i="1"/>
  <c r="C2464" i="1"/>
  <c r="A2464" i="1"/>
  <c r="C2463" i="1"/>
  <c r="A2463" i="1"/>
  <c r="C2462" i="1"/>
  <c r="A2462" i="1"/>
  <c r="C2461" i="1"/>
  <c r="A2461" i="1"/>
  <c r="C2460" i="1"/>
  <c r="A2460" i="1"/>
  <c r="C2459" i="1"/>
  <c r="A2459" i="1"/>
  <c r="C2458" i="1"/>
  <c r="A2458" i="1"/>
  <c r="C2457" i="1"/>
  <c r="A2457" i="1"/>
  <c r="C2456" i="1"/>
  <c r="A2456" i="1"/>
  <c r="C2455" i="1"/>
  <c r="A2455" i="1"/>
  <c r="C2454" i="1"/>
  <c r="A2454" i="1"/>
  <c r="C2453" i="1"/>
  <c r="A2453" i="1"/>
  <c r="C2452" i="1"/>
  <c r="A2452" i="1"/>
  <c r="C2451" i="1"/>
  <c r="A2451" i="1"/>
  <c r="C2450" i="1"/>
  <c r="A2450" i="1"/>
  <c r="C2449" i="1"/>
  <c r="A2449" i="1"/>
  <c r="C2448" i="1"/>
  <c r="A2448" i="1"/>
  <c r="C2447" i="1"/>
  <c r="A2447" i="1"/>
  <c r="C2446" i="1"/>
  <c r="A2446" i="1"/>
  <c r="C2445" i="1"/>
  <c r="A2445" i="1"/>
  <c r="C2444" i="1"/>
  <c r="A2444" i="1"/>
  <c r="C2443" i="1"/>
  <c r="A2443" i="1"/>
  <c r="C2442" i="1"/>
  <c r="A2442" i="1"/>
  <c r="C2441" i="1"/>
  <c r="A2441" i="1"/>
  <c r="C2440" i="1"/>
  <c r="A2440" i="1"/>
  <c r="C2439" i="1"/>
  <c r="A2439" i="1"/>
  <c r="C2438" i="1"/>
  <c r="A2438" i="1"/>
  <c r="C2437" i="1"/>
  <c r="A2437" i="1"/>
  <c r="C2436" i="1"/>
  <c r="A2436" i="1"/>
  <c r="C2435" i="1"/>
  <c r="A2435" i="1"/>
  <c r="C2434" i="1"/>
  <c r="A2434" i="1"/>
  <c r="C2433" i="1"/>
  <c r="A2433" i="1"/>
  <c r="C2432" i="1"/>
  <c r="A2432" i="1"/>
  <c r="C2431" i="1"/>
  <c r="A2431" i="1"/>
  <c r="C2430" i="1"/>
  <c r="A2430" i="1"/>
  <c r="C2429" i="1"/>
  <c r="A2429" i="1"/>
  <c r="C2428" i="1"/>
  <c r="A2428" i="1"/>
  <c r="C2427" i="1"/>
  <c r="A2427" i="1"/>
  <c r="C2426" i="1"/>
  <c r="A2426" i="1"/>
  <c r="C2425" i="1"/>
  <c r="A2425" i="1"/>
  <c r="C2424" i="1"/>
  <c r="A2424" i="1"/>
  <c r="C2423" i="1"/>
  <c r="A2423" i="1"/>
  <c r="C2422" i="1"/>
  <c r="A2422" i="1"/>
  <c r="C2421" i="1"/>
  <c r="A2421" i="1"/>
  <c r="C2420" i="1"/>
  <c r="A2420" i="1"/>
  <c r="C2419" i="1"/>
  <c r="A2419" i="1"/>
  <c r="C2418" i="1"/>
  <c r="A2418" i="1"/>
  <c r="C2417" i="1"/>
  <c r="A2417" i="1"/>
  <c r="C2416" i="1"/>
  <c r="A2416" i="1"/>
  <c r="C2415" i="1"/>
  <c r="A2415" i="1"/>
  <c r="C2414" i="1"/>
  <c r="A2414" i="1"/>
  <c r="C2413" i="1"/>
  <c r="A2413" i="1"/>
  <c r="C2412" i="1"/>
  <c r="A2412" i="1"/>
  <c r="C2411" i="1"/>
  <c r="A2411" i="1"/>
  <c r="C2410" i="1"/>
  <c r="A2410" i="1"/>
  <c r="C2409" i="1"/>
  <c r="A2409" i="1"/>
  <c r="C2408" i="1"/>
  <c r="A2408" i="1"/>
  <c r="C2407" i="1"/>
  <c r="A2407" i="1"/>
  <c r="C2406" i="1"/>
  <c r="A2406" i="1"/>
  <c r="C2405" i="1"/>
  <c r="A2405" i="1"/>
  <c r="C2404" i="1"/>
  <c r="A2404" i="1"/>
  <c r="C2403" i="1"/>
  <c r="A2403" i="1"/>
  <c r="C2402" i="1"/>
  <c r="A2402" i="1"/>
  <c r="C2401" i="1"/>
  <c r="A2401" i="1"/>
  <c r="C2400" i="1"/>
  <c r="A2400" i="1"/>
  <c r="C2399" i="1"/>
  <c r="A2399" i="1"/>
  <c r="C2398" i="1"/>
  <c r="A2398" i="1"/>
  <c r="C2397" i="1"/>
  <c r="A2397" i="1"/>
  <c r="C2396" i="1"/>
  <c r="A2396" i="1"/>
  <c r="C2395" i="1"/>
  <c r="A2395" i="1"/>
  <c r="C2394" i="1"/>
  <c r="A2394" i="1"/>
  <c r="C2393" i="1"/>
  <c r="A2393" i="1"/>
  <c r="C2392" i="1"/>
  <c r="A2392" i="1"/>
  <c r="C2391" i="1"/>
  <c r="A2391" i="1"/>
  <c r="C2390" i="1"/>
  <c r="A2390" i="1"/>
  <c r="C2389" i="1"/>
  <c r="A2389" i="1"/>
  <c r="C2388" i="1"/>
  <c r="A2388" i="1"/>
  <c r="C2387" i="1"/>
  <c r="A2387" i="1"/>
  <c r="C2386" i="1"/>
  <c r="A2386" i="1"/>
  <c r="C2385" i="1"/>
  <c r="A2385" i="1"/>
  <c r="C2384" i="1"/>
  <c r="A2384" i="1"/>
  <c r="C2383" i="1"/>
  <c r="A2383" i="1"/>
  <c r="C2382" i="1"/>
  <c r="A2382" i="1"/>
  <c r="C2381" i="1"/>
  <c r="A2381" i="1"/>
  <c r="C2380" i="1"/>
  <c r="A2380" i="1"/>
  <c r="C2379" i="1"/>
  <c r="A2379" i="1"/>
  <c r="C2378" i="1"/>
  <c r="A2378" i="1"/>
  <c r="C2377" i="1"/>
  <c r="A2377" i="1"/>
  <c r="C2376" i="1"/>
  <c r="A2376" i="1"/>
  <c r="C2375" i="1"/>
  <c r="A2375" i="1"/>
  <c r="C2374" i="1"/>
  <c r="A2374" i="1"/>
  <c r="C2373" i="1"/>
  <c r="A2373" i="1"/>
  <c r="C2372" i="1"/>
  <c r="A2372" i="1"/>
  <c r="C2371" i="1"/>
  <c r="A2371" i="1"/>
  <c r="C2370" i="1"/>
  <c r="A2370" i="1"/>
  <c r="C2369" i="1"/>
  <c r="A2369" i="1"/>
  <c r="C2368" i="1"/>
  <c r="A2368" i="1"/>
  <c r="C2367" i="1"/>
  <c r="A2367" i="1"/>
  <c r="C2366" i="1"/>
  <c r="A2366" i="1"/>
  <c r="C2365" i="1"/>
  <c r="A2365" i="1"/>
  <c r="C2364" i="1"/>
  <c r="A2364" i="1"/>
  <c r="C2363" i="1"/>
  <c r="A2363" i="1"/>
  <c r="C2362" i="1"/>
  <c r="A2362" i="1"/>
  <c r="C2361" i="1"/>
  <c r="A2361" i="1"/>
  <c r="C2360" i="1"/>
  <c r="A2360" i="1"/>
  <c r="C2359" i="1"/>
  <c r="A2359" i="1"/>
  <c r="C2358" i="1"/>
  <c r="A2358" i="1"/>
  <c r="C2357" i="1"/>
  <c r="A2357" i="1"/>
  <c r="C2356" i="1"/>
  <c r="A2356" i="1"/>
  <c r="C2355" i="1"/>
  <c r="A2355" i="1"/>
  <c r="C2354" i="1"/>
  <c r="A2354" i="1"/>
  <c r="C2353" i="1"/>
  <c r="A2353" i="1"/>
  <c r="C2352" i="1"/>
  <c r="A2352" i="1"/>
  <c r="C2351" i="1"/>
  <c r="A2351" i="1"/>
  <c r="C2350" i="1"/>
  <c r="A2350" i="1"/>
  <c r="C2349" i="1"/>
  <c r="A2349" i="1"/>
  <c r="C2348" i="1"/>
  <c r="A2348" i="1"/>
  <c r="C2347" i="1"/>
  <c r="A2347" i="1"/>
  <c r="C2346" i="1"/>
  <c r="A2346" i="1"/>
  <c r="C2345" i="1"/>
  <c r="A2345" i="1"/>
  <c r="C2344" i="1"/>
  <c r="A2344" i="1"/>
  <c r="C2343" i="1"/>
  <c r="A2343" i="1"/>
  <c r="C2342" i="1"/>
  <c r="A2342" i="1"/>
  <c r="C2341" i="1"/>
  <c r="A2341" i="1"/>
  <c r="C2340" i="1"/>
  <c r="A2340" i="1"/>
  <c r="C2339" i="1"/>
  <c r="A2339" i="1"/>
  <c r="C2338" i="1"/>
  <c r="A2338" i="1"/>
  <c r="C2337" i="1"/>
  <c r="A2337" i="1"/>
  <c r="C2336" i="1"/>
  <c r="A2336" i="1"/>
  <c r="C2335" i="1"/>
  <c r="A2335" i="1"/>
  <c r="C2334" i="1"/>
  <c r="A2334" i="1"/>
  <c r="C2333" i="1"/>
  <c r="A2333" i="1"/>
  <c r="C2332" i="1"/>
  <c r="A2332" i="1"/>
  <c r="C2331" i="1"/>
  <c r="A2331" i="1"/>
  <c r="C2330" i="1"/>
  <c r="A2330" i="1"/>
  <c r="C2329" i="1"/>
  <c r="A2329" i="1"/>
  <c r="C2328" i="1"/>
  <c r="A2328" i="1"/>
  <c r="C2327" i="1"/>
  <c r="A2327" i="1"/>
  <c r="C2326" i="1"/>
  <c r="A2326" i="1"/>
  <c r="C2325" i="1"/>
  <c r="A2325" i="1"/>
  <c r="C2324" i="1"/>
  <c r="A2324" i="1"/>
  <c r="C2323" i="1"/>
  <c r="A2323" i="1"/>
  <c r="C2322" i="1"/>
  <c r="A2322" i="1"/>
  <c r="C2321" i="1"/>
  <c r="A2321" i="1"/>
  <c r="C2320" i="1"/>
  <c r="A2320" i="1"/>
  <c r="C2319" i="1"/>
  <c r="A2319" i="1"/>
  <c r="C2318" i="1"/>
  <c r="A2318" i="1"/>
  <c r="C2317" i="1"/>
  <c r="A2317" i="1"/>
  <c r="C2316" i="1"/>
  <c r="A2316" i="1"/>
  <c r="C2315" i="1"/>
  <c r="A2315" i="1"/>
  <c r="C2314" i="1"/>
  <c r="A2314" i="1"/>
  <c r="C2313" i="1"/>
  <c r="A2313" i="1"/>
  <c r="C2312" i="1"/>
  <c r="A2312" i="1"/>
  <c r="C2311" i="1"/>
  <c r="A2311" i="1"/>
  <c r="C2310" i="1"/>
  <c r="A2310" i="1"/>
  <c r="C2309" i="1"/>
  <c r="A2309" i="1"/>
  <c r="C2308" i="1"/>
  <c r="A2308" i="1"/>
  <c r="C2307" i="1"/>
  <c r="A2307" i="1"/>
  <c r="C2306" i="1"/>
  <c r="A2306" i="1"/>
  <c r="C2305" i="1"/>
  <c r="A2305" i="1"/>
  <c r="C2304" i="1"/>
  <c r="A2304" i="1"/>
  <c r="C2303" i="1"/>
  <c r="A2303" i="1"/>
  <c r="C2302" i="1"/>
  <c r="A2302" i="1"/>
  <c r="C2301" i="1"/>
  <c r="A2301" i="1"/>
  <c r="C2300" i="1"/>
  <c r="A2300" i="1"/>
  <c r="C2299" i="1"/>
  <c r="A2299" i="1"/>
  <c r="C2298" i="1"/>
  <c r="A2298" i="1"/>
  <c r="C2297" i="1"/>
  <c r="A2297" i="1"/>
  <c r="C2296" i="1"/>
  <c r="A2296" i="1"/>
  <c r="C2295" i="1"/>
  <c r="A2295" i="1"/>
  <c r="C2294" i="1"/>
  <c r="A2294" i="1"/>
  <c r="C2293" i="1"/>
  <c r="A2293" i="1"/>
  <c r="C2292" i="1"/>
  <c r="A2292" i="1"/>
  <c r="C2291" i="1"/>
  <c r="A2291" i="1"/>
  <c r="C2290" i="1"/>
  <c r="A2290" i="1"/>
  <c r="C2289" i="1"/>
  <c r="A2289" i="1"/>
  <c r="C2288" i="1"/>
  <c r="A2288" i="1"/>
  <c r="C2287" i="1"/>
  <c r="A2287" i="1"/>
  <c r="C2286" i="1"/>
  <c r="A2286" i="1"/>
  <c r="C2285" i="1"/>
  <c r="A2285" i="1"/>
  <c r="C2284" i="1"/>
  <c r="A2284" i="1"/>
  <c r="C2283" i="1"/>
  <c r="A2283" i="1"/>
  <c r="C2282" i="1"/>
  <c r="A2282" i="1"/>
  <c r="C2281" i="1"/>
  <c r="A2281" i="1"/>
  <c r="C2280" i="1"/>
  <c r="A2280" i="1"/>
  <c r="C2279" i="1"/>
  <c r="A2279" i="1"/>
  <c r="C2278" i="1"/>
  <c r="A2278" i="1"/>
  <c r="C2277" i="1"/>
  <c r="A2277" i="1"/>
  <c r="C2276" i="1"/>
  <c r="A2276" i="1"/>
  <c r="C2275" i="1"/>
  <c r="A2275" i="1"/>
  <c r="C2274" i="1"/>
  <c r="A2274" i="1"/>
  <c r="C2273" i="1"/>
  <c r="A2273" i="1"/>
  <c r="C2272" i="1"/>
  <c r="A2272" i="1"/>
  <c r="C2271" i="1"/>
  <c r="A2271" i="1"/>
  <c r="C2270" i="1"/>
  <c r="A2270" i="1"/>
  <c r="C2269" i="1"/>
  <c r="A2269" i="1"/>
  <c r="C2268" i="1"/>
  <c r="A2268" i="1"/>
  <c r="C2267" i="1"/>
  <c r="A2267" i="1"/>
  <c r="C2266" i="1"/>
  <c r="A2266" i="1"/>
  <c r="C2265" i="1"/>
  <c r="A2265" i="1"/>
  <c r="C2264" i="1"/>
  <c r="A2264" i="1"/>
  <c r="C2263" i="1"/>
  <c r="A2263" i="1"/>
  <c r="C2262" i="1"/>
  <c r="A2262" i="1"/>
  <c r="C2261" i="1"/>
  <c r="A2261" i="1"/>
  <c r="C2260" i="1"/>
  <c r="A2260" i="1"/>
  <c r="C2259" i="1"/>
  <c r="A2259" i="1"/>
  <c r="C2258" i="1"/>
  <c r="A2258" i="1"/>
  <c r="C2257" i="1"/>
  <c r="A2257" i="1"/>
  <c r="C2256" i="1"/>
  <c r="A2256" i="1"/>
  <c r="C2255" i="1"/>
  <c r="A2255" i="1"/>
  <c r="C2254" i="1"/>
  <c r="A2254" i="1"/>
  <c r="C2253" i="1"/>
  <c r="A2253" i="1"/>
  <c r="C2252" i="1"/>
  <c r="A2252" i="1"/>
  <c r="C2251" i="1"/>
  <c r="A2251" i="1"/>
  <c r="C2250" i="1"/>
  <c r="A2250" i="1"/>
  <c r="C2249" i="1"/>
  <c r="A2249" i="1"/>
  <c r="C2248" i="1"/>
  <c r="A2248" i="1"/>
  <c r="C2247" i="1"/>
  <c r="A2247" i="1"/>
  <c r="C2246" i="1"/>
  <c r="A2246" i="1"/>
  <c r="C2245" i="1"/>
  <c r="A2245" i="1"/>
  <c r="C2244" i="1"/>
  <c r="A2244" i="1"/>
  <c r="C2243" i="1"/>
  <c r="A2243" i="1"/>
  <c r="C2242" i="1"/>
  <c r="A2242" i="1"/>
  <c r="C2241" i="1"/>
  <c r="A2241" i="1"/>
  <c r="C2240" i="1"/>
  <c r="A2240" i="1"/>
  <c r="C2239" i="1"/>
  <c r="A2239" i="1"/>
  <c r="C2238" i="1"/>
  <c r="A2238" i="1"/>
  <c r="C2237" i="1"/>
  <c r="A2237" i="1"/>
  <c r="C2236" i="1"/>
  <c r="A2236" i="1"/>
  <c r="C2235" i="1"/>
  <c r="A2235" i="1"/>
  <c r="C2234" i="1"/>
  <c r="A2234" i="1"/>
  <c r="C2233" i="1"/>
  <c r="A2233" i="1"/>
  <c r="C2232" i="1"/>
  <c r="A2232" i="1"/>
  <c r="C2231" i="1"/>
  <c r="A2231" i="1"/>
  <c r="C2230" i="1"/>
  <c r="A2230" i="1"/>
  <c r="C2229" i="1"/>
  <c r="A2229" i="1"/>
  <c r="C2228" i="1"/>
  <c r="A2228" i="1"/>
  <c r="C2227" i="1"/>
  <c r="A2227" i="1"/>
  <c r="C2226" i="1"/>
  <c r="A2226" i="1"/>
  <c r="C2225" i="1"/>
  <c r="A2225" i="1"/>
  <c r="C2224" i="1"/>
  <c r="A2224" i="1"/>
  <c r="C2223" i="1"/>
  <c r="A2223" i="1"/>
  <c r="C2222" i="1"/>
  <c r="A2222" i="1"/>
  <c r="C2221" i="1"/>
  <c r="A2221" i="1"/>
  <c r="C2220" i="1"/>
  <c r="A2220" i="1"/>
  <c r="C2219" i="1"/>
  <c r="A2219" i="1"/>
  <c r="C2218" i="1"/>
  <c r="A2218" i="1"/>
  <c r="C2217" i="1"/>
  <c r="A2217" i="1"/>
  <c r="C2216" i="1"/>
  <c r="A2216" i="1"/>
  <c r="C2215" i="1"/>
  <c r="A2215" i="1"/>
  <c r="C2214" i="1"/>
  <c r="A2214" i="1"/>
  <c r="C2213" i="1"/>
  <c r="A2213" i="1"/>
  <c r="C2212" i="1"/>
  <c r="A2212" i="1"/>
  <c r="C2211" i="1"/>
  <c r="A2211" i="1"/>
  <c r="C2210" i="1"/>
  <c r="A2210" i="1"/>
  <c r="C2209" i="1"/>
  <c r="A2209" i="1"/>
  <c r="C2208" i="1"/>
  <c r="A2208" i="1"/>
  <c r="C2207" i="1"/>
  <c r="A2207" i="1"/>
  <c r="C2206" i="1"/>
  <c r="A2206" i="1"/>
  <c r="C2205" i="1"/>
  <c r="A2205" i="1"/>
  <c r="C2204" i="1"/>
  <c r="A2204" i="1"/>
  <c r="C2203" i="1"/>
  <c r="A2203" i="1"/>
  <c r="C2202" i="1"/>
  <c r="A2202" i="1"/>
  <c r="C2201" i="1"/>
  <c r="A2201" i="1"/>
  <c r="C2200" i="1"/>
  <c r="A2200" i="1"/>
  <c r="C2199" i="1"/>
  <c r="A2199" i="1"/>
  <c r="C2198" i="1"/>
  <c r="A2198" i="1"/>
  <c r="C2197" i="1"/>
  <c r="A2197" i="1"/>
  <c r="C2196" i="1"/>
  <c r="A2196" i="1"/>
  <c r="C2195" i="1"/>
  <c r="A2195" i="1"/>
  <c r="C2194" i="1"/>
  <c r="A2194" i="1"/>
  <c r="C2193" i="1"/>
  <c r="A2193" i="1"/>
  <c r="C2192" i="1"/>
  <c r="A2192" i="1"/>
  <c r="C2191" i="1"/>
  <c r="A2191" i="1"/>
  <c r="C2190" i="1"/>
  <c r="A2190" i="1"/>
  <c r="C2189" i="1"/>
  <c r="A2189" i="1"/>
  <c r="C2188" i="1"/>
  <c r="A2188" i="1"/>
  <c r="C2187" i="1"/>
  <c r="A2187" i="1"/>
  <c r="C2186" i="1"/>
  <c r="A2186" i="1"/>
  <c r="C2185" i="1"/>
  <c r="A2185" i="1"/>
  <c r="C2184" i="1"/>
  <c r="A2184" i="1"/>
  <c r="C2183" i="1"/>
  <c r="A2183" i="1"/>
  <c r="C2182" i="1"/>
  <c r="A2182" i="1"/>
  <c r="C2181" i="1"/>
  <c r="A2181" i="1"/>
  <c r="C2180" i="1"/>
  <c r="A2180" i="1"/>
  <c r="C2179" i="1"/>
  <c r="A2179" i="1"/>
  <c r="C2178" i="1"/>
  <c r="A2178" i="1"/>
  <c r="C2177" i="1"/>
  <c r="A2177" i="1"/>
  <c r="C2176" i="1"/>
  <c r="A2176" i="1"/>
  <c r="C2175" i="1"/>
  <c r="A2175" i="1"/>
  <c r="C2174" i="1"/>
  <c r="A2174" i="1"/>
  <c r="C2173" i="1"/>
  <c r="A2173" i="1"/>
  <c r="C2172" i="1"/>
  <c r="A2172" i="1"/>
  <c r="C2171" i="1"/>
  <c r="A2171" i="1"/>
  <c r="C2170" i="1"/>
  <c r="A2170" i="1"/>
  <c r="C2169" i="1"/>
  <c r="A2169" i="1"/>
  <c r="C2168" i="1"/>
  <c r="A2168" i="1"/>
  <c r="C2167" i="1"/>
  <c r="A2167" i="1"/>
  <c r="C2166" i="1"/>
  <c r="A2166" i="1"/>
  <c r="C2165" i="1"/>
  <c r="A2165" i="1"/>
  <c r="C2164" i="1"/>
  <c r="A2164" i="1"/>
  <c r="C2163" i="1"/>
  <c r="A2163" i="1"/>
  <c r="C2162" i="1"/>
  <c r="A2162" i="1"/>
  <c r="C2161" i="1"/>
  <c r="A2161" i="1"/>
  <c r="C2160" i="1"/>
  <c r="A2160" i="1"/>
  <c r="C2159" i="1"/>
  <c r="A2159" i="1"/>
  <c r="C2158" i="1"/>
  <c r="A2158" i="1"/>
  <c r="C2157" i="1"/>
  <c r="A2157" i="1"/>
  <c r="C2156" i="1"/>
  <c r="A2156" i="1"/>
  <c r="C2155" i="1"/>
  <c r="A2155" i="1"/>
  <c r="C2154" i="1"/>
  <c r="A2154" i="1"/>
  <c r="C2153" i="1"/>
  <c r="A2153" i="1"/>
  <c r="C2152" i="1"/>
  <c r="A2152" i="1"/>
  <c r="C2151" i="1"/>
  <c r="A2151" i="1"/>
  <c r="C2150" i="1"/>
  <c r="A2150" i="1"/>
  <c r="C2149" i="1"/>
  <c r="A2149" i="1"/>
  <c r="C2148" i="1"/>
  <c r="A2148" i="1"/>
  <c r="C2147" i="1"/>
  <c r="A2147" i="1"/>
  <c r="C2146" i="1"/>
  <c r="A2146" i="1"/>
  <c r="C2145" i="1"/>
  <c r="A2145" i="1"/>
  <c r="C2144" i="1"/>
  <c r="A2144" i="1"/>
  <c r="C2143" i="1"/>
  <c r="A2143" i="1"/>
  <c r="C2142" i="1"/>
  <c r="A2142" i="1"/>
  <c r="C2141" i="1"/>
  <c r="A2141" i="1"/>
  <c r="C2140" i="1"/>
  <c r="A2140" i="1"/>
  <c r="C2139" i="1"/>
  <c r="A2139" i="1"/>
  <c r="C2138" i="1"/>
  <c r="A2138" i="1"/>
  <c r="C2137" i="1"/>
  <c r="A2137" i="1"/>
  <c r="C2136" i="1"/>
  <c r="A2136" i="1"/>
  <c r="C2135" i="1"/>
  <c r="A2135" i="1"/>
  <c r="C2134" i="1"/>
  <c r="A2134" i="1"/>
  <c r="C2133" i="1"/>
  <c r="A2133" i="1"/>
  <c r="C2132" i="1"/>
  <c r="A2132" i="1"/>
  <c r="C2131" i="1"/>
  <c r="A2131" i="1"/>
  <c r="C2130" i="1"/>
  <c r="A2130" i="1"/>
  <c r="C2129" i="1"/>
  <c r="A2129" i="1"/>
  <c r="C2128" i="1"/>
  <c r="A2128" i="1"/>
  <c r="C2127" i="1"/>
  <c r="A2127" i="1"/>
  <c r="C2126" i="1"/>
  <c r="A2126" i="1"/>
  <c r="C2125" i="1"/>
  <c r="A2125" i="1"/>
  <c r="C2124" i="1"/>
  <c r="A2124" i="1"/>
  <c r="C2123" i="1"/>
  <c r="A2123" i="1"/>
  <c r="C2122" i="1"/>
  <c r="A2122" i="1"/>
  <c r="C2121" i="1"/>
  <c r="A2121" i="1"/>
  <c r="C2120" i="1"/>
  <c r="A2120" i="1"/>
  <c r="C2119" i="1"/>
  <c r="A2119" i="1"/>
  <c r="C2118" i="1"/>
  <c r="A2118" i="1"/>
  <c r="C2117" i="1"/>
  <c r="A2117" i="1"/>
  <c r="C2116" i="1"/>
  <c r="A2116" i="1"/>
  <c r="C2115" i="1"/>
  <c r="A2115" i="1"/>
  <c r="C2114" i="1"/>
  <c r="A2114" i="1"/>
  <c r="C2113" i="1"/>
  <c r="A2113" i="1"/>
  <c r="C2112" i="1"/>
  <c r="A2112" i="1"/>
  <c r="C2111" i="1"/>
  <c r="A2111" i="1"/>
  <c r="C2110" i="1"/>
  <c r="A2110" i="1"/>
  <c r="C2109" i="1"/>
  <c r="A2109" i="1"/>
  <c r="C2108" i="1"/>
  <c r="A2108" i="1"/>
  <c r="C2107" i="1"/>
  <c r="A2107" i="1"/>
  <c r="C2106" i="1"/>
  <c r="A2106" i="1"/>
  <c r="C2105" i="1"/>
  <c r="A2105" i="1"/>
  <c r="C2104" i="1"/>
  <c r="A2104" i="1"/>
  <c r="C2103" i="1"/>
  <c r="A2103" i="1"/>
  <c r="C2102" i="1"/>
  <c r="A2102" i="1"/>
  <c r="C2101" i="1"/>
  <c r="A2101" i="1"/>
  <c r="C2100" i="1"/>
  <c r="A2100" i="1"/>
  <c r="C2099" i="1"/>
  <c r="A2099" i="1"/>
  <c r="C2098" i="1"/>
  <c r="A2098" i="1"/>
  <c r="C2097" i="1"/>
  <c r="A2097" i="1"/>
  <c r="C2096" i="1"/>
  <c r="A2096" i="1"/>
  <c r="C2095" i="1"/>
  <c r="A2095" i="1"/>
  <c r="C2094" i="1"/>
  <c r="A2094" i="1"/>
  <c r="C2093" i="1"/>
  <c r="A2093" i="1"/>
  <c r="C2092" i="1"/>
  <c r="A2092" i="1"/>
  <c r="C2091" i="1"/>
  <c r="A2091" i="1"/>
  <c r="C2090" i="1"/>
  <c r="A2090" i="1"/>
  <c r="C2089" i="1"/>
  <c r="A2089" i="1"/>
  <c r="C2088" i="1"/>
  <c r="A2088" i="1"/>
  <c r="C2087" i="1"/>
  <c r="A2087" i="1"/>
  <c r="C2086" i="1"/>
  <c r="A2086" i="1"/>
  <c r="C2085" i="1"/>
  <c r="A2085" i="1"/>
  <c r="C2084" i="1"/>
  <c r="A2084" i="1"/>
  <c r="C2083" i="1"/>
  <c r="A2083" i="1"/>
  <c r="C2082" i="1"/>
  <c r="A2082" i="1"/>
  <c r="C2081" i="1"/>
  <c r="A2081" i="1"/>
  <c r="C2080" i="1"/>
  <c r="A2080" i="1"/>
  <c r="C2079" i="1"/>
  <c r="A2079" i="1"/>
  <c r="C2078" i="1"/>
  <c r="A2078" i="1"/>
  <c r="C2077" i="1"/>
  <c r="A2077" i="1"/>
  <c r="C2076" i="1"/>
  <c r="A2076" i="1"/>
  <c r="C2075" i="1"/>
  <c r="A2075" i="1"/>
  <c r="C2074" i="1"/>
  <c r="A2074" i="1"/>
  <c r="C2073" i="1"/>
  <c r="A2073" i="1"/>
  <c r="C2072" i="1"/>
  <c r="A2072" i="1"/>
  <c r="C2071" i="1"/>
  <c r="A2071" i="1"/>
  <c r="C2070" i="1"/>
  <c r="A2070" i="1"/>
  <c r="C2069" i="1"/>
  <c r="A2069" i="1"/>
  <c r="C2068" i="1"/>
  <c r="A2068" i="1"/>
  <c r="C2067" i="1"/>
  <c r="A2067" i="1"/>
  <c r="C2066" i="1"/>
  <c r="A2066" i="1"/>
  <c r="C2065" i="1"/>
  <c r="A2065" i="1"/>
  <c r="C2064" i="1"/>
  <c r="A2064" i="1"/>
  <c r="C2063" i="1"/>
  <c r="A2063" i="1"/>
  <c r="C2062" i="1"/>
  <c r="A2062" i="1"/>
  <c r="C2061" i="1"/>
  <c r="A2061" i="1"/>
  <c r="C2060" i="1"/>
  <c r="A2060" i="1"/>
  <c r="C2059" i="1"/>
  <c r="A2059" i="1"/>
  <c r="C2058" i="1"/>
  <c r="A2058" i="1"/>
  <c r="C2057" i="1"/>
  <c r="A2057" i="1"/>
  <c r="C2056" i="1"/>
  <c r="A2056" i="1"/>
  <c r="C2055" i="1"/>
  <c r="A2055" i="1"/>
  <c r="C2054" i="1"/>
  <c r="A2054" i="1"/>
  <c r="C2053" i="1"/>
  <c r="A2053" i="1"/>
  <c r="C2052" i="1"/>
  <c r="A2052" i="1"/>
  <c r="C2051" i="1"/>
  <c r="A2051" i="1"/>
  <c r="C2050" i="1"/>
  <c r="A2050" i="1"/>
  <c r="C2049" i="1"/>
  <c r="A2049" i="1"/>
  <c r="C2048" i="1"/>
  <c r="A2048" i="1"/>
  <c r="C2047" i="1"/>
  <c r="A2047" i="1"/>
  <c r="C2046" i="1"/>
  <c r="A2046" i="1"/>
  <c r="C2045" i="1"/>
  <c r="A2045" i="1"/>
  <c r="C2044" i="1"/>
  <c r="A2044" i="1"/>
  <c r="C2043" i="1"/>
  <c r="A2043" i="1"/>
  <c r="C2042" i="1"/>
  <c r="A2042" i="1"/>
  <c r="C2041" i="1"/>
  <c r="A2041" i="1"/>
  <c r="C2040" i="1"/>
  <c r="A2040" i="1"/>
  <c r="C2039" i="1"/>
  <c r="A2039" i="1"/>
  <c r="C2038" i="1"/>
  <c r="A2038" i="1"/>
  <c r="C2037" i="1"/>
  <c r="A2037" i="1"/>
  <c r="C2036" i="1"/>
  <c r="A2036" i="1"/>
  <c r="C2035" i="1"/>
  <c r="A2035" i="1"/>
  <c r="C2034" i="1"/>
  <c r="A2034" i="1"/>
  <c r="C2033" i="1"/>
  <c r="A2033" i="1"/>
  <c r="C2032" i="1"/>
  <c r="A2032" i="1"/>
  <c r="C2031" i="1"/>
  <c r="A2031" i="1"/>
  <c r="C2030" i="1"/>
  <c r="A2030" i="1"/>
  <c r="C2029" i="1"/>
  <c r="A2029" i="1"/>
  <c r="C2028" i="1"/>
  <c r="A2028" i="1"/>
  <c r="C2027" i="1"/>
  <c r="A2027" i="1"/>
  <c r="C2026" i="1"/>
  <c r="A2026" i="1"/>
  <c r="C2025" i="1"/>
  <c r="A2025" i="1"/>
  <c r="C2024" i="1"/>
  <c r="A2024" i="1"/>
  <c r="C2023" i="1"/>
  <c r="A2023" i="1"/>
  <c r="C2022" i="1"/>
  <c r="A2022" i="1"/>
  <c r="C2021" i="1"/>
  <c r="A2021" i="1"/>
  <c r="C2020" i="1"/>
  <c r="A2020" i="1"/>
  <c r="C2019" i="1"/>
  <c r="A2019" i="1"/>
  <c r="C2018" i="1"/>
  <c r="A2018" i="1"/>
  <c r="C2017" i="1"/>
  <c r="A2017" i="1"/>
  <c r="C2016" i="1"/>
  <c r="A2016" i="1"/>
  <c r="C2015" i="1"/>
  <c r="A2015" i="1"/>
  <c r="C2014" i="1"/>
  <c r="A2014" i="1"/>
  <c r="C2013" i="1"/>
  <c r="A2013" i="1"/>
  <c r="C2012" i="1"/>
  <c r="A2012" i="1"/>
  <c r="C2011" i="1"/>
  <c r="A2011" i="1"/>
  <c r="C2010" i="1"/>
  <c r="A2010" i="1"/>
  <c r="C2009" i="1"/>
  <c r="A2009" i="1"/>
  <c r="C2008" i="1"/>
  <c r="A2008" i="1"/>
  <c r="C2007" i="1"/>
  <c r="A2007" i="1"/>
  <c r="C2006" i="1"/>
  <c r="A2006" i="1"/>
  <c r="C2005" i="1"/>
  <c r="A2005" i="1"/>
  <c r="C2004" i="1"/>
  <c r="A2004" i="1"/>
  <c r="C2003" i="1"/>
  <c r="A2003" i="1"/>
  <c r="C2002" i="1"/>
  <c r="A2002" i="1"/>
  <c r="C2001" i="1"/>
  <c r="A2001" i="1"/>
  <c r="C2000" i="1"/>
  <c r="A2000" i="1"/>
  <c r="C1999" i="1"/>
  <c r="A1999" i="1"/>
  <c r="C1998" i="1"/>
  <c r="A1998" i="1"/>
  <c r="C1997" i="1"/>
  <c r="A1997" i="1"/>
  <c r="C1996" i="1"/>
  <c r="A1996" i="1"/>
  <c r="C1995" i="1"/>
  <c r="A1995" i="1"/>
  <c r="C1994" i="1"/>
  <c r="A1994" i="1"/>
  <c r="C1993" i="1"/>
  <c r="A1993" i="1"/>
  <c r="C1992" i="1"/>
  <c r="A1992" i="1"/>
  <c r="C1991" i="1"/>
  <c r="A1991" i="1"/>
  <c r="C1990" i="1"/>
  <c r="A1990" i="1"/>
  <c r="C1989" i="1"/>
  <c r="A1989" i="1"/>
  <c r="C1988" i="1"/>
  <c r="A1988" i="1"/>
  <c r="C1987" i="1"/>
  <c r="A1987" i="1"/>
  <c r="C1986" i="1"/>
  <c r="A1986" i="1"/>
  <c r="C1985" i="1"/>
  <c r="A1985" i="1"/>
  <c r="C1984" i="1"/>
  <c r="A1984" i="1"/>
  <c r="C1983" i="1"/>
  <c r="A1983" i="1"/>
  <c r="C1982" i="1"/>
  <c r="A1982" i="1"/>
  <c r="C1981" i="1"/>
  <c r="A1981" i="1"/>
  <c r="C1980" i="1"/>
  <c r="A1980" i="1"/>
  <c r="C1979" i="1"/>
  <c r="A1979" i="1"/>
  <c r="C1978" i="1"/>
  <c r="A1978" i="1"/>
  <c r="C1977" i="1"/>
  <c r="A1977" i="1"/>
  <c r="C1976" i="1"/>
  <c r="A1976" i="1"/>
  <c r="C1975" i="1"/>
  <c r="A1975" i="1"/>
  <c r="C1974" i="1"/>
  <c r="A1974" i="1"/>
  <c r="C1973" i="1"/>
  <c r="A1973" i="1"/>
  <c r="C1972" i="1"/>
  <c r="A1972" i="1"/>
  <c r="C1971" i="1"/>
  <c r="A1971" i="1"/>
  <c r="C1970" i="1"/>
  <c r="A1970" i="1"/>
  <c r="C1969" i="1"/>
  <c r="A1969" i="1"/>
  <c r="C1968" i="1"/>
  <c r="A1968" i="1"/>
  <c r="C1967" i="1"/>
  <c r="A1967" i="1"/>
  <c r="C1966" i="1"/>
  <c r="A1966" i="1"/>
  <c r="C1965" i="1"/>
  <c r="A1965" i="1"/>
  <c r="C1964" i="1"/>
  <c r="A1964" i="1"/>
  <c r="C1963" i="1"/>
  <c r="A1963" i="1"/>
  <c r="C1962" i="1"/>
  <c r="A1962" i="1"/>
  <c r="C1961" i="1"/>
  <c r="A1961" i="1"/>
  <c r="C1960" i="1"/>
  <c r="A1960" i="1"/>
  <c r="C1959" i="1"/>
  <c r="A1959" i="1"/>
  <c r="C1958" i="1"/>
  <c r="A1958" i="1"/>
  <c r="C1957" i="1"/>
  <c r="A1957" i="1"/>
  <c r="C1956" i="1"/>
  <c r="A1956" i="1"/>
  <c r="C1955" i="1"/>
  <c r="A1955" i="1"/>
  <c r="C1954" i="1"/>
  <c r="A1954" i="1"/>
  <c r="C1953" i="1"/>
  <c r="A1953" i="1"/>
  <c r="C1952" i="1"/>
  <c r="A1952" i="1"/>
  <c r="C1951" i="1"/>
  <c r="A1951" i="1"/>
  <c r="C1950" i="1"/>
  <c r="A1950" i="1"/>
  <c r="C1949" i="1"/>
  <c r="A1949" i="1"/>
  <c r="C1948" i="1"/>
  <c r="A1948" i="1"/>
  <c r="C1947" i="1"/>
  <c r="A1947" i="1"/>
  <c r="C1946" i="1"/>
  <c r="A1946" i="1"/>
  <c r="C1945" i="1"/>
  <c r="A1945" i="1"/>
  <c r="C1944" i="1"/>
  <c r="A1944" i="1"/>
  <c r="C1943" i="1"/>
  <c r="A1943" i="1"/>
  <c r="C1942" i="1"/>
  <c r="A1942" i="1"/>
  <c r="C1941" i="1"/>
  <c r="A1941" i="1"/>
  <c r="C1940" i="1"/>
  <c r="A1940" i="1"/>
  <c r="C1939" i="1"/>
  <c r="A1939" i="1"/>
  <c r="C1938" i="1"/>
  <c r="A1938" i="1"/>
  <c r="C1937" i="1"/>
  <c r="A1937" i="1"/>
  <c r="C1936" i="1"/>
  <c r="A1936" i="1"/>
  <c r="C1935" i="1"/>
  <c r="A1935" i="1"/>
  <c r="C1934" i="1"/>
  <c r="A1934" i="1"/>
  <c r="C1933" i="1"/>
  <c r="A1933" i="1"/>
  <c r="C1932" i="1"/>
  <c r="A1932" i="1"/>
  <c r="C1931" i="1"/>
  <c r="A1931" i="1"/>
  <c r="C1930" i="1"/>
  <c r="A1930" i="1"/>
  <c r="C1929" i="1"/>
  <c r="A1929" i="1"/>
  <c r="C1928" i="1"/>
  <c r="A1928" i="1"/>
  <c r="C1927" i="1"/>
  <c r="A1927" i="1"/>
  <c r="C1926" i="1"/>
  <c r="A1926" i="1"/>
  <c r="C1925" i="1"/>
  <c r="A1925" i="1"/>
  <c r="C1924" i="1"/>
  <c r="A1924" i="1"/>
  <c r="C1923" i="1"/>
  <c r="A1923" i="1"/>
  <c r="C1922" i="1"/>
  <c r="A1922" i="1"/>
  <c r="C1921" i="1"/>
  <c r="A1921" i="1"/>
  <c r="C1920" i="1"/>
  <c r="A1920" i="1"/>
  <c r="C1919" i="1"/>
  <c r="A1919" i="1"/>
  <c r="C1918" i="1"/>
  <c r="A1918" i="1"/>
  <c r="C1917" i="1"/>
  <c r="A1917" i="1"/>
  <c r="C1916" i="1"/>
  <c r="A1916" i="1"/>
  <c r="C1915" i="1"/>
  <c r="A1915" i="1"/>
  <c r="C1914" i="1"/>
  <c r="A1914" i="1"/>
  <c r="C1913" i="1"/>
  <c r="A1913" i="1"/>
  <c r="C1912" i="1"/>
  <c r="A1912" i="1"/>
  <c r="C1911" i="1"/>
  <c r="A1911" i="1"/>
  <c r="C1910" i="1"/>
  <c r="A1910" i="1"/>
  <c r="C1909" i="1"/>
  <c r="A1909" i="1"/>
  <c r="C1908" i="1"/>
  <c r="A1908" i="1"/>
  <c r="C1907" i="1"/>
  <c r="A1907" i="1"/>
  <c r="C1906" i="1"/>
  <c r="A1906" i="1"/>
  <c r="C1905" i="1"/>
  <c r="A1905" i="1"/>
  <c r="C1904" i="1"/>
  <c r="A1904" i="1"/>
  <c r="C1903" i="1"/>
  <c r="A1903" i="1"/>
  <c r="C1902" i="1"/>
  <c r="A1902" i="1"/>
  <c r="C1901" i="1"/>
  <c r="A1901" i="1"/>
  <c r="C1900" i="1"/>
  <c r="A1900" i="1"/>
  <c r="C1899" i="1"/>
  <c r="A1899" i="1"/>
  <c r="C1898" i="1"/>
  <c r="A1898" i="1"/>
  <c r="C1897" i="1"/>
  <c r="A1897" i="1"/>
  <c r="C1896" i="1"/>
  <c r="A1896" i="1"/>
  <c r="C1895" i="1"/>
  <c r="A1895" i="1"/>
  <c r="C1894" i="1"/>
  <c r="A1894" i="1"/>
  <c r="C1893" i="1"/>
  <c r="A1893" i="1"/>
  <c r="C1892" i="1"/>
  <c r="A1892" i="1"/>
  <c r="C1891" i="1"/>
  <c r="A1891" i="1"/>
  <c r="C1890" i="1"/>
  <c r="A1890" i="1"/>
  <c r="C1889" i="1"/>
  <c r="A1889" i="1"/>
  <c r="C1888" i="1"/>
  <c r="A1888" i="1"/>
  <c r="C1887" i="1"/>
  <c r="A1887" i="1"/>
  <c r="C1886" i="1"/>
  <c r="A1886" i="1"/>
  <c r="C1885" i="1"/>
  <c r="A1885" i="1"/>
  <c r="C1884" i="1"/>
  <c r="A1884" i="1"/>
  <c r="C1883" i="1"/>
  <c r="A1883" i="1"/>
  <c r="C1882" i="1"/>
  <c r="A1882" i="1"/>
  <c r="C1881" i="1"/>
  <c r="A1881" i="1"/>
  <c r="C1880" i="1"/>
  <c r="A1880" i="1"/>
  <c r="C1879" i="1"/>
  <c r="A1879" i="1"/>
  <c r="C1878" i="1"/>
  <c r="A1878" i="1"/>
  <c r="C1877" i="1"/>
  <c r="A1877" i="1"/>
  <c r="C1876" i="1"/>
  <c r="A1876" i="1"/>
  <c r="C1875" i="1"/>
  <c r="A1875" i="1"/>
  <c r="C1874" i="1"/>
  <c r="A1874" i="1"/>
  <c r="C1873" i="1"/>
  <c r="A1873" i="1"/>
  <c r="C1872" i="1"/>
  <c r="A1872" i="1"/>
  <c r="C1871" i="1"/>
  <c r="A1871" i="1"/>
  <c r="C1870" i="1"/>
  <c r="A1870" i="1"/>
  <c r="C1869" i="1"/>
  <c r="A1869" i="1"/>
  <c r="C1868" i="1"/>
  <c r="A1868" i="1"/>
  <c r="C1867" i="1"/>
  <c r="A1867" i="1"/>
  <c r="C1866" i="1"/>
  <c r="A1866" i="1"/>
  <c r="C1865" i="1"/>
  <c r="A1865" i="1"/>
  <c r="C1864" i="1"/>
  <c r="A1864" i="1"/>
  <c r="C1863" i="1"/>
  <c r="A1863" i="1"/>
  <c r="C1862" i="1"/>
  <c r="A1862" i="1"/>
  <c r="C1861" i="1"/>
  <c r="A1861" i="1"/>
  <c r="C1860" i="1"/>
  <c r="A1860" i="1"/>
  <c r="C1859" i="1"/>
  <c r="A1859" i="1"/>
  <c r="C1858" i="1"/>
  <c r="A1858" i="1"/>
  <c r="C1857" i="1"/>
  <c r="A1857" i="1"/>
  <c r="C1856" i="1"/>
  <c r="A1856" i="1"/>
  <c r="C1855" i="1"/>
  <c r="A1855" i="1"/>
  <c r="C1854" i="1"/>
  <c r="A1854" i="1"/>
  <c r="C1853" i="1"/>
  <c r="A1853" i="1"/>
  <c r="C1852" i="1"/>
  <c r="A1852" i="1"/>
  <c r="C1851" i="1"/>
  <c r="A1851" i="1"/>
  <c r="C1850" i="1"/>
  <c r="A1850" i="1"/>
  <c r="C1849" i="1"/>
  <c r="A1849" i="1"/>
  <c r="C1848" i="1"/>
  <c r="A1848" i="1"/>
  <c r="C1847" i="1"/>
  <c r="A1847" i="1"/>
  <c r="C1846" i="1"/>
  <c r="A1846" i="1"/>
  <c r="C1845" i="1"/>
  <c r="A1845" i="1"/>
  <c r="C1844" i="1"/>
  <c r="A1844" i="1"/>
  <c r="C1843" i="1"/>
  <c r="A1843" i="1"/>
  <c r="C1842" i="1"/>
  <c r="A1842" i="1"/>
  <c r="C1841" i="1"/>
  <c r="A1841" i="1"/>
  <c r="C1840" i="1"/>
  <c r="A1840" i="1"/>
  <c r="C1839" i="1"/>
  <c r="A1839" i="1"/>
  <c r="C1838" i="1"/>
  <c r="A1838" i="1"/>
  <c r="C1837" i="1"/>
  <c r="A1837" i="1"/>
  <c r="C1836" i="1"/>
  <c r="A1836" i="1"/>
  <c r="C1835" i="1"/>
  <c r="A1835" i="1"/>
  <c r="C1834" i="1"/>
  <c r="A1834" i="1"/>
  <c r="C1833" i="1"/>
  <c r="A1833" i="1"/>
  <c r="C1832" i="1"/>
  <c r="A1832" i="1"/>
  <c r="C1831" i="1"/>
  <c r="A1831" i="1"/>
  <c r="C1830" i="1"/>
  <c r="A1830" i="1"/>
  <c r="C1829" i="1"/>
  <c r="A1829" i="1"/>
  <c r="C1828" i="1"/>
  <c r="A1828" i="1"/>
  <c r="C1827" i="1"/>
  <c r="A1827" i="1"/>
  <c r="C1826" i="1"/>
  <c r="A1826" i="1"/>
  <c r="C1825" i="1"/>
  <c r="A1825" i="1"/>
  <c r="C1824" i="1"/>
  <c r="A1824" i="1"/>
  <c r="C1823" i="1"/>
  <c r="A1823" i="1"/>
  <c r="C1822" i="1"/>
  <c r="A1822" i="1"/>
  <c r="C1821" i="1"/>
  <c r="A1821" i="1"/>
  <c r="C1820" i="1"/>
  <c r="A1820" i="1"/>
  <c r="C1819" i="1"/>
  <c r="A1819" i="1"/>
  <c r="C1818" i="1"/>
  <c r="A1818" i="1"/>
  <c r="C1817" i="1"/>
  <c r="A1817" i="1"/>
  <c r="C1816" i="1"/>
  <c r="A1816" i="1"/>
  <c r="C1815" i="1"/>
  <c r="A1815" i="1"/>
  <c r="C1814" i="1"/>
  <c r="A1814" i="1"/>
  <c r="C1813" i="1"/>
  <c r="A1813" i="1"/>
  <c r="C1812" i="1"/>
  <c r="A1812" i="1"/>
  <c r="C1811" i="1"/>
  <c r="A1811" i="1"/>
  <c r="C1810" i="1"/>
  <c r="A1810" i="1"/>
  <c r="C1809" i="1"/>
  <c r="A1809" i="1"/>
  <c r="C1808" i="1"/>
  <c r="A1808" i="1"/>
  <c r="C1807" i="1"/>
  <c r="A1807" i="1"/>
  <c r="C1806" i="1"/>
  <c r="A1806" i="1"/>
  <c r="C1805" i="1"/>
  <c r="A1805" i="1"/>
  <c r="C1804" i="1"/>
  <c r="A1804" i="1"/>
  <c r="C1803" i="1"/>
  <c r="A1803" i="1"/>
  <c r="C1802" i="1"/>
  <c r="A1802" i="1"/>
  <c r="C1801" i="1"/>
  <c r="A1801" i="1"/>
  <c r="C1800" i="1"/>
  <c r="A1800" i="1"/>
  <c r="C1799" i="1"/>
  <c r="A1799" i="1"/>
  <c r="C1798" i="1"/>
  <c r="A1798" i="1"/>
  <c r="C1797" i="1"/>
  <c r="A1797" i="1"/>
  <c r="C1796" i="1"/>
  <c r="A1796" i="1"/>
  <c r="C1795" i="1"/>
  <c r="A1795" i="1"/>
  <c r="C1794" i="1"/>
  <c r="A1794" i="1"/>
  <c r="C1793" i="1"/>
  <c r="A1793" i="1"/>
  <c r="C1792" i="1"/>
  <c r="A1792" i="1"/>
  <c r="C1791" i="1"/>
  <c r="A1791" i="1"/>
  <c r="C1790" i="1"/>
  <c r="A1790" i="1"/>
  <c r="C1789" i="1"/>
  <c r="A1789" i="1"/>
  <c r="C1788" i="1"/>
  <c r="A1788" i="1"/>
  <c r="C1787" i="1"/>
  <c r="A1787" i="1"/>
  <c r="C1786" i="1"/>
  <c r="A1786" i="1"/>
  <c r="C1785" i="1"/>
  <c r="A1785" i="1"/>
  <c r="C1784" i="1"/>
  <c r="A1784" i="1"/>
  <c r="C1783" i="1"/>
  <c r="A1783" i="1"/>
  <c r="C1782" i="1"/>
  <c r="A1782" i="1"/>
  <c r="C1781" i="1"/>
  <c r="A1781" i="1"/>
  <c r="C1780" i="1"/>
  <c r="A1780" i="1"/>
  <c r="C1779" i="1"/>
  <c r="A1779" i="1"/>
  <c r="C1778" i="1"/>
  <c r="A1778" i="1"/>
  <c r="C1777" i="1"/>
  <c r="A1777" i="1"/>
  <c r="C1776" i="1"/>
  <c r="A1776" i="1"/>
  <c r="C1775" i="1"/>
  <c r="A1775" i="1"/>
  <c r="C1774" i="1"/>
  <c r="A1774" i="1"/>
  <c r="C1773" i="1"/>
  <c r="A1773" i="1"/>
  <c r="C1772" i="1"/>
  <c r="A1772" i="1"/>
  <c r="C1771" i="1"/>
  <c r="A1771" i="1"/>
  <c r="C1770" i="1"/>
  <c r="A1770" i="1"/>
  <c r="C1769" i="1"/>
  <c r="A1769" i="1"/>
  <c r="C1768" i="1"/>
  <c r="A1768" i="1"/>
  <c r="C1767" i="1"/>
  <c r="A1767" i="1"/>
  <c r="C1766" i="1"/>
  <c r="A1766" i="1"/>
  <c r="C1765" i="1"/>
  <c r="A1765" i="1"/>
  <c r="C1764" i="1"/>
  <c r="A1764" i="1"/>
  <c r="C1763" i="1"/>
  <c r="A1763" i="1"/>
  <c r="C1762" i="1"/>
  <c r="A1762" i="1"/>
  <c r="C1761" i="1"/>
  <c r="A1761" i="1"/>
  <c r="C1760" i="1"/>
  <c r="A1760" i="1"/>
  <c r="C1759" i="1"/>
  <c r="A1759" i="1"/>
  <c r="C1758" i="1"/>
  <c r="A1758" i="1"/>
  <c r="C1757" i="1"/>
  <c r="A1757" i="1"/>
  <c r="C1756" i="1"/>
  <c r="A1756" i="1"/>
  <c r="C1755" i="1"/>
  <c r="A1755" i="1"/>
  <c r="C1754" i="1"/>
  <c r="A1754" i="1"/>
  <c r="C1753" i="1"/>
  <c r="A1753" i="1"/>
  <c r="C1752" i="1"/>
  <c r="A1752" i="1"/>
  <c r="C1751" i="1"/>
  <c r="A1751" i="1"/>
  <c r="C1750" i="1"/>
  <c r="A1750" i="1"/>
  <c r="C1749" i="1"/>
  <c r="A1749" i="1"/>
  <c r="C1748" i="1"/>
  <c r="A1748" i="1"/>
  <c r="C1747" i="1"/>
  <c r="A1747" i="1"/>
  <c r="C1746" i="1"/>
  <c r="A1746" i="1"/>
  <c r="C1745" i="1"/>
  <c r="A1745" i="1"/>
  <c r="C1744" i="1"/>
  <c r="A1744" i="1"/>
  <c r="C1743" i="1"/>
  <c r="A1743" i="1"/>
  <c r="C1742" i="1"/>
  <c r="A1742" i="1"/>
  <c r="C1741" i="1"/>
  <c r="A1741" i="1"/>
  <c r="C1740" i="1"/>
  <c r="A1740" i="1"/>
  <c r="C1739" i="1"/>
  <c r="A1739" i="1"/>
  <c r="C1738" i="1"/>
  <c r="A1738" i="1"/>
  <c r="C1737" i="1"/>
  <c r="A1737" i="1"/>
  <c r="C1736" i="1"/>
  <c r="A1736" i="1"/>
  <c r="C1735" i="1"/>
  <c r="A1735" i="1"/>
  <c r="C1734" i="1"/>
  <c r="A1734" i="1"/>
  <c r="C1733" i="1"/>
  <c r="A1733" i="1"/>
  <c r="C1732" i="1"/>
  <c r="A1732" i="1"/>
  <c r="C1731" i="1"/>
  <c r="A1731" i="1"/>
  <c r="C1730" i="1"/>
  <c r="A1730" i="1"/>
  <c r="C1729" i="1"/>
  <c r="A1729" i="1"/>
  <c r="C1728" i="1"/>
  <c r="A1728" i="1"/>
  <c r="C1727" i="1"/>
  <c r="A1727" i="1"/>
  <c r="C1726" i="1"/>
  <c r="A1726" i="1"/>
  <c r="C1725" i="1"/>
  <c r="A1725" i="1"/>
  <c r="C1724" i="1"/>
  <c r="A1724" i="1"/>
  <c r="C1723" i="1"/>
  <c r="A1723" i="1"/>
  <c r="C1722" i="1"/>
  <c r="A1722" i="1"/>
  <c r="C1721" i="1"/>
  <c r="A1721" i="1"/>
  <c r="C1720" i="1"/>
  <c r="A1720" i="1"/>
  <c r="C1719" i="1"/>
  <c r="A1719" i="1"/>
  <c r="C1718" i="1"/>
  <c r="A1718" i="1"/>
  <c r="C1717" i="1"/>
  <c r="A1717" i="1"/>
  <c r="C1716" i="1"/>
  <c r="A1716" i="1"/>
  <c r="C1715" i="1"/>
  <c r="A1715" i="1"/>
  <c r="C1714" i="1"/>
  <c r="A1714" i="1"/>
  <c r="C1713" i="1"/>
  <c r="A1713" i="1"/>
  <c r="C1712" i="1"/>
  <c r="A1712" i="1"/>
  <c r="C1711" i="1"/>
  <c r="A1711" i="1"/>
  <c r="C1710" i="1"/>
  <c r="A1710" i="1"/>
  <c r="C1709" i="1"/>
  <c r="A1709" i="1"/>
  <c r="C1708" i="1"/>
  <c r="A1708" i="1"/>
  <c r="C1707" i="1"/>
  <c r="A1707" i="1"/>
  <c r="C1706" i="1"/>
  <c r="A1706" i="1"/>
  <c r="C1705" i="1"/>
  <c r="A1705" i="1"/>
  <c r="C1704" i="1"/>
  <c r="A1704" i="1"/>
  <c r="C1703" i="1"/>
  <c r="A1703" i="1"/>
  <c r="C1702" i="1"/>
  <c r="A1702" i="1"/>
  <c r="C1701" i="1"/>
  <c r="A1701" i="1"/>
  <c r="C1700" i="1"/>
  <c r="A1700" i="1"/>
  <c r="C1699" i="1"/>
  <c r="A1699" i="1"/>
  <c r="C1698" i="1"/>
  <c r="A1698" i="1"/>
  <c r="C1697" i="1"/>
  <c r="A1697" i="1"/>
  <c r="C1696" i="1"/>
  <c r="A1696" i="1"/>
  <c r="C1695" i="1"/>
  <c r="A1695" i="1"/>
  <c r="C1694" i="1"/>
  <c r="A1694" i="1"/>
  <c r="C1693" i="1"/>
  <c r="A1693" i="1"/>
  <c r="C1692" i="1"/>
  <c r="A1692" i="1"/>
  <c r="C1691" i="1"/>
  <c r="A1691" i="1"/>
  <c r="C1690" i="1"/>
  <c r="A1690" i="1"/>
  <c r="C1689" i="1"/>
  <c r="A1689" i="1"/>
  <c r="C1688" i="1"/>
  <c r="A1688" i="1"/>
  <c r="C1687" i="1"/>
  <c r="A1687" i="1"/>
  <c r="C1686" i="1"/>
  <c r="A1686" i="1"/>
  <c r="C1685" i="1"/>
  <c r="A1685" i="1"/>
  <c r="C1684" i="1"/>
  <c r="A1684" i="1"/>
  <c r="C1683" i="1"/>
  <c r="A1683" i="1"/>
  <c r="C1682" i="1"/>
  <c r="A1682" i="1"/>
  <c r="C1681" i="1"/>
  <c r="A1681" i="1"/>
  <c r="C1680" i="1"/>
  <c r="A1680" i="1"/>
  <c r="C1679" i="1"/>
  <c r="A1679" i="1"/>
  <c r="C1678" i="1"/>
  <c r="A1678" i="1"/>
  <c r="C1677" i="1"/>
  <c r="A1677" i="1"/>
  <c r="C1676" i="1"/>
  <c r="A1676" i="1"/>
  <c r="C1675" i="1"/>
  <c r="A1675" i="1"/>
  <c r="C1674" i="1"/>
  <c r="A1674" i="1"/>
  <c r="C1673" i="1"/>
  <c r="A1673" i="1"/>
  <c r="C1672" i="1"/>
  <c r="A1672" i="1"/>
  <c r="C1671" i="1"/>
  <c r="A1671" i="1"/>
  <c r="C1670" i="1"/>
  <c r="A1670" i="1"/>
  <c r="C1669" i="1"/>
  <c r="A1669" i="1"/>
  <c r="C1668" i="1"/>
  <c r="A1668" i="1"/>
  <c r="C1667" i="1"/>
  <c r="A1667" i="1"/>
  <c r="C1666" i="1"/>
  <c r="A1666" i="1"/>
  <c r="C1665" i="1"/>
  <c r="A1665" i="1"/>
  <c r="C1664" i="1"/>
  <c r="A1664" i="1"/>
  <c r="C1663" i="1"/>
  <c r="A1663" i="1"/>
  <c r="C1662" i="1"/>
  <c r="A1662" i="1"/>
  <c r="C1661" i="1"/>
  <c r="A1661" i="1"/>
  <c r="C1660" i="1"/>
  <c r="A1660" i="1"/>
  <c r="C1659" i="1"/>
  <c r="A1659" i="1"/>
  <c r="C1658" i="1"/>
  <c r="A1658" i="1"/>
  <c r="C1657" i="1"/>
  <c r="A1657" i="1"/>
  <c r="C1656" i="1"/>
  <c r="A1656" i="1"/>
  <c r="C1655" i="1"/>
  <c r="A1655" i="1"/>
  <c r="C1654" i="1"/>
  <c r="A1654" i="1"/>
  <c r="C1653" i="1"/>
  <c r="A1653" i="1"/>
  <c r="C1652" i="1"/>
  <c r="A1652" i="1"/>
  <c r="C1651" i="1"/>
  <c r="A1651" i="1"/>
  <c r="C1650" i="1"/>
  <c r="A1650" i="1"/>
  <c r="C1649" i="1"/>
  <c r="A1649" i="1"/>
  <c r="C1648" i="1"/>
  <c r="A1648" i="1"/>
  <c r="C1647" i="1"/>
  <c r="A1647" i="1"/>
  <c r="C1646" i="1"/>
  <c r="A1646" i="1"/>
  <c r="C1645" i="1"/>
  <c r="A1645" i="1"/>
  <c r="C1644" i="1"/>
  <c r="A1644" i="1"/>
  <c r="C1643" i="1"/>
  <c r="A1643" i="1"/>
  <c r="C1642" i="1"/>
  <c r="A1642" i="1"/>
  <c r="C1641" i="1"/>
  <c r="A1641" i="1"/>
  <c r="C1640" i="1"/>
  <c r="A1640" i="1"/>
  <c r="C1639" i="1"/>
  <c r="A1639" i="1"/>
  <c r="C1638" i="1"/>
  <c r="A1638" i="1"/>
  <c r="C1637" i="1"/>
  <c r="A1637" i="1"/>
  <c r="C1636" i="1"/>
  <c r="A1636" i="1"/>
  <c r="C1635" i="1"/>
  <c r="A1635" i="1"/>
  <c r="C1634" i="1"/>
  <c r="A1634" i="1"/>
  <c r="C1633" i="1"/>
  <c r="A1633" i="1"/>
  <c r="C1632" i="1"/>
  <c r="A1632" i="1"/>
  <c r="C1631" i="1"/>
  <c r="A1631" i="1"/>
  <c r="C1630" i="1"/>
  <c r="A1630" i="1"/>
  <c r="C1629" i="1"/>
  <c r="A1629" i="1"/>
  <c r="C1628" i="1"/>
  <c r="A1628" i="1"/>
  <c r="C1627" i="1"/>
  <c r="A1627" i="1"/>
  <c r="C1626" i="1"/>
  <c r="A1626" i="1"/>
  <c r="C1625" i="1"/>
  <c r="A1625" i="1"/>
  <c r="C1624" i="1"/>
  <c r="A1624" i="1"/>
  <c r="C1623" i="1"/>
  <c r="A1623" i="1"/>
  <c r="C1622" i="1"/>
  <c r="A1622" i="1"/>
  <c r="C1621" i="1"/>
  <c r="A1621" i="1"/>
  <c r="C1620" i="1"/>
  <c r="A1620" i="1"/>
  <c r="C1619" i="1"/>
  <c r="A1619" i="1"/>
  <c r="C1618" i="1"/>
  <c r="A1618" i="1"/>
  <c r="C1617" i="1"/>
  <c r="A1617" i="1"/>
  <c r="C1616" i="1"/>
  <c r="A1616" i="1"/>
  <c r="C1615" i="1"/>
  <c r="A1615" i="1"/>
  <c r="C1614" i="1"/>
  <c r="A1614" i="1"/>
  <c r="C1613" i="1"/>
  <c r="A1613" i="1"/>
  <c r="C1612" i="1"/>
  <c r="A1612" i="1"/>
  <c r="C1611" i="1"/>
  <c r="A1611" i="1"/>
  <c r="C1610" i="1"/>
  <c r="A1610" i="1"/>
  <c r="C1609" i="1"/>
  <c r="A1609" i="1"/>
  <c r="C1608" i="1"/>
  <c r="A1608" i="1"/>
  <c r="C1607" i="1"/>
  <c r="A1607" i="1"/>
  <c r="C1606" i="1"/>
  <c r="A1606" i="1"/>
  <c r="C1605" i="1"/>
  <c r="A1605" i="1"/>
  <c r="C1604" i="1"/>
  <c r="A1604" i="1"/>
  <c r="C1603" i="1"/>
  <c r="A1603" i="1"/>
  <c r="C1602" i="1"/>
  <c r="A1602" i="1"/>
  <c r="C1601" i="1"/>
  <c r="A1601" i="1"/>
  <c r="C1600" i="1"/>
  <c r="A1600" i="1"/>
  <c r="C1599" i="1"/>
  <c r="A1599" i="1"/>
  <c r="C1598" i="1"/>
  <c r="A1598" i="1"/>
  <c r="C1597" i="1"/>
  <c r="A1597" i="1"/>
  <c r="C1596" i="1"/>
  <c r="A1596" i="1"/>
  <c r="C1595" i="1"/>
  <c r="A1595" i="1"/>
  <c r="C1594" i="1"/>
  <c r="A1594" i="1"/>
  <c r="C1593" i="1"/>
  <c r="A1593" i="1"/>
  <c r="C1592" i="1"/>
  <c r="A1592" i="1"/>
  <c r="C1591" i="1"/>
  <c r="A1591" i="1"/>
  <c r="C1590" i="1"/>
  <c r="A1590" i="1"/>
  <c r="C1589" i="1"/>
  <c r="A1589" i="1"/>
  <c r="C1588" i="1"/>
  <c r="A1588" i="1"/>
  <c r="C1587" i="1"/>
  <c r="A1587" i="1"/>
  <c r="C1586" i="1"/>
  <c r="A1586" i="1"/>
  <c r="C1585" i="1"/>
  <c r="A1585" i="1"/>
  <c r="C1584" i="1"/>
  <c r="A1584" i="1"/>
  <c r="C1583" i="1"/>
  <c r="A1583" i="1"/>
  <c r="C1582" i="1"/>
  <c r="A1582" i="1"/>
  <c r="C1581" i="1"/>
  <c r="A1581" i="1"/>
  <c r="C1580" i="1"/>
  <c r="A1580" i="1"/>
  <c r="C1579" i="1"/>
  <c r="A1579" i="1"/>
  <c r="C1578" i="1"/>
  <c r="A1578" i="1"/>
  <c r="C1577" i="1"/>
  <c r="A1577" i="1"/>
  <c r="C1576" i="1"/>
  <c r="A1576" i="1"/>
  <c r="C1575" i="1"/>
  <c r="A1575" i="1"/>
  <c r="C1574" i="1"/>
  <c r="A1574" i="1"/>
  <c r="C1573" i="1"/>
  <c r="A1573" i="1"/>
  <c r="C1572" i="1"/>
  <c r="A1572" i="1"/>
  <c r="C1571" i="1"/>
  <c r="A1571" i="1"/>
  <c r="C1570" i="1"/>
  <c r="A1570" i="1"/>
  <c r="C1569" i="1"/>
  <c r="A1569" i="1"/>
  <c r="C1568" i="1"/>
  <c r="A1568" i="1"/>
  <c r="C1567" i="1"/>
  <c r="A1567" i="1"/>
  <c r="C1566" i="1"/>
  <c r="A1566" i="1"/>
  <c r="C1565" i="1"/>
  <c r="A1565" i="1"/>
  <c r="C1564" i="1"/>
  <c r="A1564" i="1"/>
  <c r="C1563" i="1"/>
  <c r="A1563" i="1"/>
  <c r="C1562" i="1"/>
  <c r="A1562" i="1"/>
  <c r="C1561" i="1"/>
  <c r="A1561" i="1"/>
  <c r="C1560" i="1"/>
  <c r="A1560" i="1"/>
  <c r="C1559" i="1"/>
  <c r="A1559" i="1"/>
  <c r="C1558" i="1"/>
  <c r="A1558" i="1"/>
  <c r="C1557" i="1"/>
  <c r="A1557" i="1"/>
  <c r="C1556" i="1"/>
  <c r="A1556" i="1"/>
  <c r="C1555" i="1"/>
  <c r="A1555" i="1"/>
  <c r="C1554" i="1"/>
  <c r="A1554" i="1"/>
  <c r="C1553" i="1"/>
  <c r="A1553" i="1"/>
  <c r="C1552" i="1"/>
  <c r="A1552" i="1"/>
  <c r="C1551" i="1"/>
  <c r="A1551" i="1"/>
  <c r="C1550" i="1"/>
  <c r="A1550" i="1"/>
  <c r="C1549" i="1"/>
  <c r="A1549" i="1"/>
  <c r="C1548" i="1"/>
  <c r="A1548" i="1"/>
  <c r="C1547" i="1"/>
  <c r="A1547" i="1"/>
  <c r="C1546" i="1"/>
  <c r="A1546" i="1"/>
  <c r="C1545" i="1"/>
  <c r="A1545" i="1"/>
  <c r="C1544" i="1"/>
  <c r="A1544" i="1"/>
  <c r="C1543" i="1"/>
  <c r="A1543" i="1"/>
  <c r="C1542" i="1"/>
  <c r="A1542" i="1"/>
  <c r="C1541" i="1"/>
  <c r="A1541" i="1"/>
  <c r="C1540" i="1"/>
  <c r="A1540" i="1"/>
  <c r="C1539" i="1"/>
  <c r="A1539" i="1"/>
  <c r="C1538" i="1"/>
  <c r="A1538" i="1"/>
  <c r="C1537" i="1"/>
  <c r="A1537" i="1"/>
  <c r="C1536" i="1"/>
  <c r="A1536" i="1"/>
  <c r="C1535" i="1"/>
  <c r="A1535" i="1"/>
  <c r="C1534" i="1"/>
  <c r="A1534" i="1"/>
  <c r="C1533" i="1"/>
  <c r="A1533" i="1"/>
  <c r="C1532" i="1"/>
  <c r="A1532" i="1"/>
  <c r="C1531" i="1"/>
  <c r="A1531" i="1"/>
  <c r="C1530" i="1"/>
  <c r="A1530" i="1"/>
  <c r="C1529" i="1"/>
  <c r="A1529" i="1"/>
  <c r="C1528" i="1"/>
  <c r="A1528" i="1"/>
  <c r="C1527" i="1"/>
  <c r="A1527" i="1"/>
  <c r="C1526" i="1"/>
  <c r="A1526" i="1"/>
  <c r="C1525" i="1"/>
  <c r="A1525" i="1"/>
  <c r="C1524" i="1"/>
  <c r="A1524" i="1"/>
  <c r="C1523" i="1"/>
  <c r="A1523" i="1"/>
  <c r="C1522" i="1"/>
  <c r="A1522" i="1"/>
  <c r="C1521" i="1"/>
  <c r="A1521" i="1"/>
  <c r="C1520" i="1"/>
  <c r="A1520" i="1"/>
  <c r="C1519" i="1"/>
  <c r="A1519" i="1"/>
  <c r="C1518" i="1"/>
  <c r="A1518" i="1"/>
  <c r="C1517" i="1"/>
  <c r="A1517" i="1"/>
  <c r="C1516" i="1"/>
  <c r="A1516" i="1"/>
  <c r="C1515" i="1"/>
  <c r="A1515" i="1"/>
  <c r="C1514" i="1"/>
  <c r="A1514" i="1"/>
  <c r="C1513" i="1"/>
  <c r="A1513" i="1"/>
  <c r="C1512" i="1"/>
  <c r="A1512" i="1"/>
  <c r="C1511" i="1"/>
  <c r="A1511" i="1"/>
  <c r="C1510" i="1"/>
  <c r="A1510" i="1"/>
  <c r="C1509" i="1"/>
  <c r="A1509" i="1"/>
  <c r="C1508" i="1"/>
  <c r="A1508" i="1"/>
  <c r="C1507" i="1"/>
  <c r="A1507" i="1"/>
  <c r="C1506" i="1"/>
  <c r="A1506" i="1"/>
  <c r="C1505" i="1"/>
  <c r="A1505" i="1"/>
  <c r="C1504" i="1"/>
  <c r="A1504" i="1"/>
  <c r="C1503" i="1"/>
  <c r="A1503" i="1"/>
  <c r="C1502" i="1"/>
  <c r="A1502" i="1"/>
  <c r="C1501" i="1"/>
  <c r="A1501" i="1"/>
  <c r="C1500" i="1"/>
  <c r="A1500" i="1"/>
  <c r="C1499" i="1"/>
  <c r="A1499" i="1"/>
  <c r="C1498" i="1"/>
  <c r="A1498" i="1"/>
  <c r="C1497" i="1"/>
  <c r="A1497" i="1"/>
  <c r="C1496" i="1"/>
  <c r="A1496" i="1"/>
  <c r="C1495" i="1"/>
  <c r="A1495" i="1"/>
  <c r="C1494" i="1"/>
  <c r="A1494" i="1"/>
  <c r="C1493" i="1"/>
  <c r="A1493" i="1"/>
  <c r="C1492" i="1"/>
  <c r="A1492" i="1"/>
  <c r="C1491" i="1"/>
  <c r="A1491" i="1"/>
  <c r="C1490" i="1"/>
  <c r="A1490" i="1"/>
  <c r="C1489" i="1"/>
  <c r="A1489" i="1"/>
  <c r="C1488" i="1"/>
  <c r="A1488" i="1"/>
  <c r="C1487" i="1"/>
  <c r="A1487" i="1"/>
  <c r="C1486" i="1"/>
  <c r="A1486" i="1"/>
  <c r="C1485" i="1"/>
  <c r="A1485" i="1"/>
  <c r="C1484" i="1"/>
  <c r="A1484" i="1"/>
  <c r="C1483" i="1"/>
  <c r="A1483" i="1"/>
  <c r="C1482" i="1"/>
  <c r="A1482" i="1"/>
  <c r="C1481" i="1"/>
  <c r="A1481" i="1"/>
  <c r="C1480" i="1"/>
  <c r="A1480" i="1"/>
  <c r="C1479" i="1"/>
  <c r="A1479" i="1"/>
  <c r="C1478" i="1"/>
  <c r="A1478" i="1"/>
  <c r="C1477" i="1"/>
  <c r="A1477" i="1"/>
  <c r="C1476" i="1"/>
  <c r="A1476" i="1"/>
  <c r="C1475" i="1"/>
  <c r="A1475" i="1"/>
  <c r="C1474" i="1"/>
  <c r="A1474" i="1"/>
  <c r="C1473" i="1"/>
  <c r="A1473" i="1"/>
  <c r="C1472" i="1"/>
  <c r="A1472" i="1"/>
  <c r="C1471" i="1"/>
  <c r="A1471" i="1"/>
  <c r="C1470" i="1"/>
  <c r="A1470" i="1"/>
  <c r="C1469" i="1"/>
  <c r="A1469" i="1"/>
  <c r="C1468" i="1"/>
  <c r="A1468" i="1"/>
  <c r="C1467" i="1"/>
  <c r="A1467" i="1"/>
  <c r="C1466" i="1"/>
  <c r="A1466" i="1"/>
  <c r="C1465" i="1"/>
  <c r="A1465" i="1"/>
  <c r="C1464" i="1"/>
  <c r="A1464" i="1"/>
  <c r="C1463" i="1"/>
  <c r="A1463" i="1"/>
  <c r="C1462" i="1"/>
  <c r="A1462" i="1"/>
  <c r="C1461" i="1"/>
  <c r="A1461" i="1"/>
  <c r="C1460" i="1"/>
  <c r="A1460" i="1"/>
  <c r="C1459" i="1"/>
  <c r="A1459" i="1"/>
  <c r="C1458" i="1"/>
  <c r="A1458" i="1"/>
  <c r="C1457" i="1"/>
  <c r="A1457" i="1"/>
  <c r="C1456" i="1"/>
  <c r="A1456" i="1"/>
  <c r="C1455" i="1"/>
  <c r="A1455" i="1"/>
  <c r="C1454" i="1"/>
  <c r="A1454" i="1"/>
  <c r="C1453" i="1"/>
  <c r="A1453" i="1"/>
  <c r="C1452" i="1"/>
  <c r="A1452" i="1"/>
  <c r="C1451" i="1"/>
  <c r="A1451" i="1"/>
  <c r="C1450" i="1"/>
  <c r="A1450" i="1"/>
  <c r="C1449" i="1"/>
  <c r="A1449" i="1"/>
  <c r="C1448" i="1"/>
  <c r="A1448" i="1"/>
  <c r="C1447" i="1"/>
  <c r="A1447" i="1"/>
  <c r="C1446" i="1"/>
  <c r="A1446" i="1"/>
  <c r="C1445" i="1"/>
  <c r="A1445" i="1"/>
  <c r="C1444" i="1"/>
  <c r="A1444" i="1"/>
  <c r="C1443" i="1"/>
  <c r="A1443" i="1"/>
  <c r="C1442" i="1"/>
  <c r="A1442" i="1"/>
  <c r="C1441" i="1"/>
  <c r="A1441" i="1"/>
  <c r="C1440" i="1"/>
  <c r="A1440" i="1"/>
  <c r="C1439" i="1"/>
  <c r="A1439" i="1"/>
  <c r="C1438" i="1"/>
  <c r="A1438" i="1"/>
  <c r="C1437" i="1"/>
  <c r="A1437" i="1"/>
  <c r="C1436" i="1"/>
  <c r="A1436" i="1"/>
  <c r="C1435" i="1"/>
  <c r="A1435" i="1"/>
  <c r="C1434" i="1"/>
  <c r="A1434" i="1"/>
  <c r="C1433" i="1"/>
  <c r="A1433" i="1"/>
  <c r="C1432" i="1"/>
  <c r="A1432" i="1"/>
  <c r="C1431" i="1"/>
  <c r="A1431" i="1"/>
  <c r="C1430" i="1"/>
  <c r="A1430" i="1"/>
  <c r="C1429" i="1"/>
  <c r="A1429" i="1"/>
  <c r="C1428" i="1"/>
  <c r="A1428" i="1"/>
  <c r="C1427" i="1"/>
  <c r="A1427" i="1"/>
  <c r="C1426" i="1"/>
  <c r="A1426" i="1"/>
  <c r="C1425" i="1"/>
  <c r="A1425" i="1"/>
  <c r="C1424" i="1"/>
  <c r="A1424" i="1"/>
  <c r="C1423" i="1"/>
  <c r="A1423" i="1"/>
  <c r="C1422" i="1"/>
  <c r="A1422" i="1"/>
  <c r="C1421" i="1"/>
  <c r="A1421" i="1"/>
  <c r="C1420" i="1"/>
  <c r="A1420" i="1"/>
  <c r="C1419" i="1"/>
  <c r="A1419" i="1"/>
  <c r="C1418" i="1"/>
  <c r="A1418" i="1"/>
  <c r="C1417" i="1"/>
  <c r="A1417" i="1"/>
  <c r="C1416" i="1"/>
  <c r="A1416" i="1"/>
  <c r="C1415" i="1"/>
  <c r="A1415" i="1"/>
  <c r="C1414" i="1"/>
  <c r="A1414" i="1"/>
  <c r="C1413" i="1"/>
  <c r="A1413" i="1"/>
  <c r="C1412" i="1"/>
  <c r="A1412" i="1"/>
  <c r="C1411" i="1"/>
  <c r="A1411" i="1"/>
  <c r="C1410" i="1"/>
  <c r="A1410" i="1"/>
  <c r="C1409" i="1"/>
  <c r="A1409" i="1"/>
  <c r="C1408" i="1"/>
  <c r="A1408" i="1"/>
  <c r="C1407" i="1"/>
  <c r="A1407" i="1"/>
  <c r="C1406" i="1"/>
  <c r="A1406" i="1"/>
  <c r="C1405" i="1"/>
  <c r="A1405" i="1"/>
  <c r="C1404" i="1"/>
  <c r="A1404" i="1"/>
  <c r="C1403" i="1"/>
  <c r="A1403" i="1"/>
  <c r="C1402" i="1"/>
  <c r="A1402" i="1"/>
  <c r="C1401" i="1"/>
  <c r="A1401" i="1"/>
  <c r="C1400" i="1"/>
  <c r="A1400" i="1"/>
  <c r="C1399" i="1"/>
  <c r="A1399" i="1"/>
  <c r="C1398" i="1"/>
  <c r="A1398" i="1"/>
  <c r="C1397" i="1"/>
  <c r="A1397" i="1"/>
  <c r="C1396" i="1"/>
  <c r="A1396" i="1"/>
  <c r="C1395" i="1"/>
  <c r="A1395" i="1"/>
  <c r="C1394" i="1"/>
  <c r="A1394" i="1"/>
  <c r="C1393" i="1"/>
  <c r="A1393" i="1"/>
  <c r="C1392" i="1"/>
  <c r="A1392" i="1"/>
  <c r="C1391" i="1"/>
  <c r="A1391" i="1"/>
  <c r="C1390" i="1"/>
  <c r="A1390" i="1"/>
  <c r="C1389" i="1"/>
  <c r="A1389" i="1"/>
  <c r="C1388" i="1"/>
  <c r="A1388" i="1"/>
  <c r="C1387" i="1"/>
  <c r="A1387" i="1"/>
  <c r="C1386" i="1"/>
  <c r="A1386" i="1"/>
  <c r="C1385" i="1"/>
  <c r="A1385" i="1"/>
  <c r="C1384" i="1"/>
  <c r="A1384" i="1"/>
  <c r="C1383" i="1"/>
  <c r="A1383" i="1"/>
  <c r="C1382" i="1"/>
  <c r="A1382" i="1"/>
  <c r="C1381" i="1"/>
  <c r="A1381" i="1"/>
  <c r="C1380" i="1"/>
  <c r="A1380" i="1"/>
  <c r="C1379" i="1"/>
  <c r="A1379" i="1"/>
  <c r="C1378" i="1"/>
  <c r="A1378" i="1"/>
  <c r="C1377" i="1"/>
  <c r="A1377" i="1"/>
  <c r="C1376" i="1"/>
  <c r="A1376" i="1"/>
  <c r="C1375" i="1"/>
  <c r="A1375" i="1"/>
  <c r="C1374" i="1"/>
  <c r="A1374" i="1"/>
  <c r="C1373" i="1"/>
  <c r="A1373" i="1"/>
  <c r="C1372" i="1"/>
  <c r="A1372" i="1"/>
  <c r="C1371" i="1"/>
  <c r="A1371" i="1"/>
  <c r="C1370" i="1"/>
  <c r="A1370" i="1"/>
  <c r="C1369" i="1"/>
  <c r="A1369" i="1"/>
  <c r="C1368" i="1"/>
  <c r="A1368" i="1"/>
  <c r="C1367" i="1"/>
  <c r="A1367" i="1"/>
  <c r="C1366" i="1"/>
  <c r="A1366" i="1"/>
  <c r="C1365" i="1"/>
  <c r="A1365" i="1"/>
  <c r="C1364" i="1"/>
  <c r="A1364" i="1"/>
  <c r="C1363" i="1"/>
  <c r="A1363" i="1"/>
  <c r="C1362" i="1"/>
  <c r="A1362" i="1"/>
  <c r="C1361" i="1"/>
  <c r="A1361" i="1"/>
  <c r="C1360" i="1"/>
  <c r="A1360" i="1"/>
  <c r="C1359" i="1"/>
  <c r="A1359" i="1"/>
  <c r="C1358" i="1"/>
  <c r="A1358" i="1"/>
  <c r="C1357" i="1"/>
  <c r="A1357" i="1"/>
  <c r="C1356" i="1"/>
  <c r="A1356" i="1"/>
  <c r="C1355" i="1"/>
  <c r="A1355" i="1"/>
  <c r="C1354" i="1"/>
  <c r="A1354" i="1"/>
  <c r="C1353" i="1"/>
  <c r="A1353" i="1"/>
  <c r="C1352" i="1"/>
  <c r="A1352" i="1"/>
  <c r="C1351" i="1"/>
  <c r="A1351" i="1"/>
  <c r="C1350" i="1"/>
  <c r="A1350" i="1"/>
  <c r="C1349" i="1"/>
  <c r="A1349" i="1"/>
  <c r="C1348" i="1"/>
  <c r="A1348" i="1"/>
  <c r="C1347" i="1"/>
  <c r="A1347" i="1"/>
  <c r="C1346" i="1"/>
  <c r="A1346" i="1"/>
  <c r="C1345" i="1"/>
  <c r="A1345" i="1"/>
  <c r="C1344" i="1"/>
  <c r="A1344" i="1"/>
  <c r="C1343" i="1"/>
  <c r="A1343" i="1"/>
  <c r="C1342" i="1"/>
  <c r="A1342" i="1"/>
  <c r="C1341" i="1"/>
  <c r="A1341" i="1"/>
  <c r="C1340" i="1"/>
  <c r="A1340" i="1"/>
  <c r="C1339" i="1"/>
  <c r="A1339" i="1"/>
  <c r="C1338" i="1"/>
  <c r="A1338" i="1"/>
  <c r="C1337" i="1"/>
  <c r="A1337" i="1"/>
  <c r="C1336" i="1"/>
  <c r="A1336" i="1"/>
  <c r="C1335" i="1"/>
  <c r="A1335" i="1"/>
  <c r="C1334" i="1"/>
  <c r="A1334" i="1"/>
  <c r="C1333" i="1"/>
  <c r="A1333" i="1"/>
  <c r="C1332" i="1"/>
  <c r="A1332" i="1"/>
  <c r="C1331" i="1"/>
  <c r="A1331" i="1"/>
  <c r="C1330" i="1"/>
  <c r="A1330" i="1"/>
  <c r="C1329" i="1"/>
  <c r="A1329" i="1"/>
  <c r="C1328" i="1"/>
  <c r="A1328" i="1"/>
  <c r="C1327" i="1"/>
  <c r="A1327" i="1"/>
  <c r="C1326" i="1"/>
  <c r="A1326" i="1"/>
  <c r="C1325" i="1"/>
  <c r="A1325" i="1"/>
  <c r="C1324" i="1"/>
  <c r="A1324" i="1"/>
  <c r="C1323" i="1"/>
  <c r="A1323" i="1"/>
  <c r="C1322" i="1"/>
  <c r="A1322" i="1"/>
  <c r="C1321" i="1"/>
  <c r="A1321" i="1"/>
  <c r="C1320" i="1"/>
  <c r="A1320" i="1"/>
  <c r="C1319" i="1"/>
  <c r="A1319" i="1"/>
  <c r="C1318" i="1"/>
  <c r="A1318" i="1"/>
  <c r="C1317" i="1"/>
  <c r="A1317" i="1"/>
  <c r="C1316" i="1"/>
  <c r="A1316" i="1"/>
  <c r="C1315" i="1"/>
  <c r="A1315" i="1"/>
  <c r="C1314" i="1"/>
  <c r="A1314" i="1"/>
  <c r="C1313" i="1"/>
  <c r="A1313" i="1"/>
  <c r="C1312" i="1"/>
  <c r="A1312" i="1"/>
  <c r="C1311" i="1"/>
  <c r="A1311" i="1"/>
  <c r="C1310" i="1"/>
  <c r="A1310" i="1"/>
  <c r="C1309" i="1"/>
  <c r="A1309" i="1"/>
  <c r="C1308" i="1"/>
  <c r="A1308" i="1"/>
  <c r="C1307" i="1"/>
  <c r="A1307" i="1"/>
  <c r="C1306" i="1"/>
  <c r="A1306" i="1"/>
  <c r="C1305" i="1"/>
  <c r="A1305" i="1"/>
  <c r="C1304" i="1"/>
  <c r="A1304" i="1"/>
  <c r="C1303" i="1"/>
  <c r="A1303" i="1"/>
  <c r="C1302" i="1"/>
  <c r="A1302" i="1"/>
  <c r="C1301" i="1"/>
  <c r="A1301" i="1"/>
  <c r="C1300" i="1"/>
  <c r="A1300" i="1"/>
  <c r="C1299" i="1"/>
  <c r="A1299" i="1"/>
  <c r="C1298" i="1"/>
  <c r="A1298" i="1"/>
  <c r="C1297" i="1"/>
  <c r="A1297" i="1"/>
  <c r="C1296" i="1"/>
  <c r="A1296" i="1"/>
  <c r="C1295" i="1"/>
  <c r="A1295" i="1"/>
  <c r="C1294" i="1"/>
  <c r="A1294" i="1"/>
  <c r="C1293" i="1"/>
  <c r="A1293" i="1"/>
  <c r="C1292" i="1"/>
  <c r="A1292" i="1"/>
  <c r="C1291" i="1"/>
  <c r="A1291" i="1"/>
  <c r="C1290" i="1"/>
  <c r="A1290" i="1"/>
  <c r="C1289" i="1"/>
  <c r="A1289" i="1"/>
  <c r="C1288" i="1"/>
  <c r="A1288" i="1"/>
  <c r="C1287" i="1"/>
  <c r="A1287" i="1"/>
  <c r="C1286" i="1"/>
  <c r="A1286" i="1"/>
  <c r="C1285" i="1"/>
  <c r="A1285" i="1"/>
  <c r="C1284" i="1"/>
  <c r="A1284" i="1"/>
  <c r="C1283" i="1"/>
  <c r="A1283" i="1"/>
  <c r="C1282" i="1"/>
  <c r="A1282" i="1"/>
  <c r="C1281" i="1"/>
  <c r="A1281" i="1"/>
  <c r="C1280" i="1"/>
  <c r="A1280" i="1"/>
  <c r="C1279" i="1"/>
  <c r="A1279" i="1"/>
  <c r="C1278" i="1"/>
  <c r="A1278" i="1"/>
  <c r="C1277" i="1"/>
  <c r="A1277" i="1"/>
  <c r="C1276" i="1"/>
  <c r="A1276" i="1"/>
  <c r="C1275" i="1"/>
  <c r="A1275" i="1"/>
  <c r="C1274" i="1"/>
  <c r="A1274" i="1"/>
  <c r="C1273" i="1"/>
  <c r="A1273" i="1"/>
  <c r="C1272" i="1"/>
  <c r="A1272" i="1"/>
  <c r="C1271" i="1"/>
  <c r="A1271" i="1"/>
  <c r="C1270" i="1"/>
  <c r="A1270" i="1"/>
  <c r="C1269" i="1"/>
  <c r="A1269" i="1"/>
  <c r="C1268" i="1"/>
  <c r="A1268" i="1"/>
  <c r="C1267" i="1"/>
  <c r="A1267" i="1"/>
  <c r="C1266" i="1"/>
  <c r="A1266" i="1"/>
  <c r="C1265" i="1"/>
  <c r="A1265" i="1"/>
  <c r="C1264" i="1"/>
  <c r="A1264" i="1"/>
  <c r="C1263" i="1"/>
  <c r="A1263" i="1"/>
  <c r="C1262" i="1"/>
  <c r="A1262" i="1"/>
  <c r="C1261" i="1"/>
  <c r="A1261" i="1"/>
  <c r="C1260" i="1"/>
  <c r="A1260" i="1"/>
  <c r="C1259" i="1"/>
  <c r="A1259" i="1"/>
  <c r="C1258" i="1"/>
  <c r="A1258" i="1"/>
  <c r="C1257" i="1"/>
  <c r="A1257" i="1"/>
  <c r="C1256" i="1"/>
  <c r="A1256" i="1"/>
  <c r="C1255" i="1"/>
  <c r="A1255" i="1"/>
  <c r="C1254" i="1"/>
  <c r="A1254" i="1"/>
  <c r="C1253" i="1"/>
  <c r="A1253" i="1"/>
  <c r="C1252" i="1"/>
  <c r="A1252" i="1"/>
  <c r="C1251" i="1"/>
  <c r="A1251" i="1"/>
  <c r="C1250" i="1"/>
  <c r="A1250" i="1"/>
  <c r="C1249" i="1"/>
  <c r="A1249" i="1"/>
  <c r="C1248" i="1"/>
  <c r="A1248" i="1"/>
  <c r="C1247" i="1"/>
  <c r="A1247" i="1"/>
  <c r="C1246" i="1"/>
  <c r="A1246" i="1"/>
  <c r="C1245" i="1"/>
  <c r="A1245" i="1"/>
  <c r="C1244" i="1"/>
  <c r="A1244" i="1"/>
  <c r="C1243" i="1"/>
  <c r="A1243" i="1"/>
  <c r="C1242" i="1"/>
  <c r="A1242" i="1"/>
  <c r="C1241" i="1"/>
  <c r="A1241" i="1"/>
  <c r="C1240" i="1"/>
  <c r="A1240" i="1"/>
  <c r="C1239" i="1"/>
  <c r="A1239" i="1"/>
  <c r="C1238" i="1"/>
  <c r="A1238" i="1"/>
  <c r="C1237" i="1"/>
  <c r="A1237" i="1"/>
  <c r="C1236" i="1"/>
  <c r="A1236" i="1"/>
  <c r="C1235" i="1"/>
  <c r="A1235" i="1"/>
  <c r="C1234" i="1"/>
  <c r="A1234" i="1"/>
  <c r="C1233" i="1"/>
  <c r="A1233" i="1"/>
  <c r="C1232" i="1"/>
  <c r="A1232" i="1"/>
  <c r="C1231" i="1"/>
  <c r="A1231" i="1"/>
  <c r="C1230" i="1"/>
  <c r="A1230" i="1"/>
  <c r="C1229" i="1"/>
  <c r="A1229" i="1"/>
  <c r="C1228" i="1"/>
  <c r="A1228" i="1"/>
  <c r="C1227" i="1"/>
  <c r="A1227" i="1"/>
  <c r="C1226" i="1"/>
  <c r="A1226" i="1"/>
  <c r="C1225" i="1"/>
  <c r="A1225" i="1"/>
  <c r="C1224" i="1"/>
  <c r="A1224" i="1"/>
  <c r="C1223" i="1"/>
  <c r="A1223" i="1"/>
  <c r="C1222" i="1"/>
  <c r="A1222" i="1"/>
  <c r="C1221" i="1"/>
  <c r="A1221" i="1"/>
  <c r="C1220" i="1"/>
  <c r="A1220" i="1"/>
  <c r="C1219" i="1"/>
  <c r="A1219" i="1"/>
  <c r="C1218" i="1"/>
  <c r="A1218" i="1"/>
  <c r="C1217" i="1"/>
  <c r="A1217" i="1"/>
  <c r="C1216" i="1"/>
  <c r="A1216" i="1"/>
  <c r="C1215" i="1"/>
  <c r="A1215" i="1"/>
  <c r="C1214" i="1"/>
  <c r="A1214" i="1"/>
  <c r="C1213" i="1"/>
  <c r="A1213" i="1"/>
  <c r="C1212" i="1"/>
  <c r="A1212" i="1"/>
  <c r="C1211" i="1"/>
  <c r="A1211" i="1"/>
  <c r="C1210" i="1"/>
  <c r="A1210" i="1"/>
  <c r="C1209" i="1"/>
  <c r="A1209" i="1"/>
  <c r="C1208" i="1"/>
  <c r="A1208" i="1"/>
  <c r="C1207" i="1"/>
  <c r="A1207" i="1"/>
  <c r="C1206" i="1"/>
  <c r="A1206" i="1"/>
  <c r="C1205" i="1"/>
  <c r="A1205" i="1"/>
  <c r="C1204" i="1"/>
  <c r="A1204" i="1"/>
  <c r="C1203" i="1"/>
  <c r="A1203" i="1"/>
  <c r="C1202" i="1"/>
  <c r="A1202" i="1"/>
  <c r="C1201" i="1"/>
  <c r="A1201" i="1"/>
  <c r="C1200" i="1"/>
  <c r="A1200" i="1"/>
  <c r="C1199" i="1"/>
  <c r="A1199" i="1"/>
  <c r="C1198" i="1"/>
  <c r="A1198" i="1"/>
  <c r="C1197" i="1"/>
  <c r="A1197" i="1"/>
  <c r="C1196" i="1"/>
  <c r="A1196" i="1"/>
  <c r="C1195" i="1"/>
  <c r="A1195" i="1"/>
  <c r="C1194" i="1"/>
  <c r="A1194" i="1"/>
  <c r="C1193" i="1"/>
  <c r="A1193" i="1"/>
  <c r="C1192" i="1"/>
  <c r="A1192" i="1"/>
  <c r="C1191" i="1"/>
  <c r="A1191" i="1"/>
  <c r="C1190" i="1"/>
  <c r="A1190" i="1"/>
  <c r="C1189" i="1"/>
  <c r="A1189" i="1"/>
  <c r="C1188" i="1"/>
  <c r="A1188" i="1"/>
  <c r="C1187" i="1"/>
  <c r="A1187" i="1"/>
  <c r="C1186" i="1"/>
  <c r="A1186" i="1"/>
  <c r="C1185" i="1"/>
  <c r="A1185" i="1"/>
  <c r="C1184" i="1"/>
  <c r="A1184" i="1"/>
  <c r="C1183" i="1"/>
  <c r="A1183" i="1"/>
  <c r="C1182" i="1"/>
  <c r="A1182" i="1"/>
  <c r="C1181" i="1"/>
  <c r="A1181" i="1"/>
  <c r="C1180" i="1"/>
  <c r="A1180" i="1"/>
  <c r="C1179" i="1"/>
  <c r="A1179" i="1"/>
  <c r="C1178" i="1"/>
  <c r="A1178" i="1"/>
  <c r="C1177" i="1"/>
  <c r="A1177" i="1"/>
  <c r="C1176" i="1"/>
  <c r="A1176" i="1"/>
  <c r="C1175" i="1"/>
  <c r="A1175" i="1"/>
  <c r="C1174" i="1"/>
  <c r="A1174" i="1"/>
  <c r="C1173" i="1"/>
  <c r="A1173" i="1"/>
  <c r="C1172" i="1"/>
  <c r="A1172" i="1"/>
  <c r="C1171" i="1"/>
  <c r="A1171" i="1"/>
  <c r="C1170" i="1"/>
  <c r="A1170" i="1"/>
  <c r="C1169" i="1"/>
  <c r="A1169" i="1"/>
  <c r="C1168" i="1"/>
  <c r="A1168" i="1"/>
  <c r="C1167" i="1"/>
  <c r="A1167" i="1"/>
  <c r="C1166" i="1"/>
  <c r="A1166" i="1"/>
  <c r="C1165" i="1"/>
  <c r="A1165" i="1"/>
  <c r="C1164" i="1"/>
  <c r="A1164" i="1"/>
  <c r="C1163" i="1"/>
  <c r="A1163" i="1"/>
  <c r="C1162" i="1"/>
  <c r="A1162" i="1"/>
  <c r="C1161" i="1"/>
  <c r="A1161" i="1"/>
  <c r="C1160" i="1"/>
  <c r="A1160" i="1"/>
  <c r="C1159" i="1"/>
  <c r="A1159" i="1"/>
  <c r="C1158" i="1"/>
  <c r="A1158" i="1"/>
  <c r="C1157" i="1"/>
  <c r="A1157" i="1"/>
  <c r="C1156" i="1"/>
  <c r="A1156" i="1"/>
  <c r="C1155" i="1"/>
  <c r="A1155" i="1"/>
  <c r="C1154" i="1"/>
  <c r="A1154" i="1"/>
  <c r="C1153" i="1"/>
  <c r="A1153" i="1"/>
  <c r="C1152" i="1"/>
  <c r="A1152" i="1"/>
  <c r="C1151" i="1"/>
  <c r="A1151" i="1"/>
  <c r="C1150" i="1"/>
  <c r="A1150" i="1"/>
  <c r="C1149" i="1"/>
  <c r="A1149" i="1"/>
  <c r="C1148" i="1"/>
  <c r="A1148" i="1"/>
  <c r="C1147" i="1"/>
  <c r="A1147" i="1"/>
  <c r="C1146" i="1"/>
  <c r="A1146" i="1"/>
  <c r="C1145" i="1"/>
  <c r="A1145" i="1"/>
  <c r="C1144" i="1"/>
  <c r="A1144" i="1"/>
  <c r="C1143" i="1"/>
  <c r="A1143" i="1"/>
  <c r="C1142" i="1"/>
  <c r="A1142" i="1"/>
  <c r="C1141" i="1"/>
  <c r="A1141" i="1"/>
  <c r="C1140" i="1"/>
  <c r="A1140" i="1"/>
  <c r="C1139" i="1"/>
  <c r="A1139" i="1"/>
  <c r="C1138" i="1"/>
  <c r="A1138" i="1"/>
  <c r="C1137" i="1"/>
  <c r="A1137" i="1"/>
  <c r="C1136" i="1"/>
  <c r="A1136" i="1"/>
  <c r="C1135" i="1"/>
  <c r="A1135" i="1"/>
  <c r="C1134" i="1"/>
  <c r="A1134" i="1"/>
  <c r="C1133" i="1"/>
  <c r="A1133" i="1"/>
  <c r="C1132" i="1"/>
  <c r="A1132" i="1"/>
  <c r="C1131" i="1"/>
  <c r="A1131" i="1"/>
  <c r="C1130" i="1"/>
  <c r="A1130" i="1"/>
  <c r="C1129" i="1"/>
  <c r="A1129" i="1"/>
  <c r="C1128" i="1"/>
  <c r="A1128" i="1"/>
  <c r="C1127" i="1"/>
  <c r="A1127" i="1"/>
  <c r="C1126" i="1"/>
  <c r="A1126" i="1"/>
  <c r="C1125" i="1"/>
  <c r="A1125" i="1"/>
  <c r="C1124" i="1"/>
  <c r="A1124" i="1"/>
  <c r="C1123" i="1"/>
  <c r="A1123" i="1"/>
  <c r="C1122" i="1"/>
  <c r="A1122" i="1"/>
  <c r="C1121" i="1"/>
  <c r="A1121" i="1"/>
  <c r="C1120" i="1"/>
  <c r="A1120" i="1"/>
  <c r="C1119" i="1"/>
  <c r="A1119" i="1"/>
  <c r="C1118" i="1"/>
  <c r="A1118" i="1"/>
  <c r="C1117" i="1"/>
  <c r="A1117" i="1"/>
  <c r="C1116" i="1"/>
  <c r="A1116" i="1"/>
  <c r="C1115" i="1"/>
  <c r="A1115" i="1"/>
  <c r="C1114" i="1"/>
  <c r="A1114" i="1"/>
  <c r="C1113" i="1"/>
  <c r="A1113" i="1"/>
  <c r="C1112" i="1"/>
  <c r="A1112" i="1"/>
  <c r="C1111" i="1"/>
  <c r="A1111" i="1"/>
  <c r="C1110" i="1"/>
  <c r="A1110" i="1"/>
  <c r="C1109" i="1"/>
  <c r="A1109" i="1"/>
  <c r="C1108" i="1"/>
  <c r="A1108" i="1"/>
  <c r="C1107" i="1"/>
  <c r="A1107" i="1"/>
  <c r="C1106" i="1"/>
  <c r="A1106" i="1"/>
  <c r="C1105" i="1"/>
  <c r="A1105" i="1"/>
  <c r="C1104" i="1"/>
  <c r="A1104" i="1"/>
  <c r="C1103" i="1"/>
  <c r="A1103" i="1"/>
  <c r="C1102" i="1"/>
  <c r="A1102" i="1"/>
  <c r="C1101" i="1"/>
  <c r="A1101" i="1"/>
  <c r="C1100" i="1"/>
  <c r="A1100" i="1"/>
  <c r="C1099" i="1"/>
  <c r="A1099" i="1"/>
  <c r="C1098" i="1"/>
  <c r="A1098" i="1"/>
  <c r="C1097" i="1"/>
  <c r="A1097" i="1"/>
  <c r="C1096" i="1"/>
  <c r="A1096" i="1"/>
  <c r="C1095" i="1"/>
  <c r="A1095" i="1"/>
  <c r="C1094" i="1"/>
  <c r="A1094" i="1"/>
  <c r="C1093" i="1"/>
  <c r="A1093" i="1"/>
  <c r="C1092" i="1"/>
  <c r="A1092" i="1"/>
  <c r="C1091" i="1"/>
  <c r="A1091" i="1"/>
  <c r="C1090" i="1"/>
  <c r="A1090" i="1"/>
  <c r="C1089" i="1"/>
  <c r="A1089" i="1"/>
  <c r="C1088" i="1"/>
  <c r="A1088" i="1"/>
  <c r="C1087" i="1"/>
  <c r="A1087" i="1"/>
  <c r="C1086" i="1"/>
  <c r="A1086" i="1"/>
  <c r="C1085" i="1"/>
  <c r="A1085" i="1"/>
  <c r="C1084" i="1"/>
  <c r="A1084" i="1"/>
  <c r="C1083" i="1"/>
  <c r="A1083" i="1"/>
  <c r="C1082" i="1"/>
  <c r="A1082" i="1"/>
  <c r="C1081" i="1"/>
  <c r="A1081" i="1"/>
  <c r="C1080" i="1"/>
  <c r="A1080" i="1"/>
  <c r="C1079" i="1"/>
  <c r="A1079" i="1"/>
  <c r="C1078" i="1"/>
  <c r="A1078" i="1"/>
  <c r="C1077" i="1"/>
  <c r="A1077" i="1"/>
  <c r="C1076" i="1"/>
  <c r="A1076" i="1"/>
  <c r="C1075" i="1"/>
  <c r="A1075" i="1"/>
  <c r="C1074" i="1"/>
  <c r="A1074" i="1"/>
  <c r="C1073" i="1"/>
  <c r="A1073" i="1"/>
  <c r="C1072" i="1"/>
  <c r="A1072" i="1"/>
  <c r="C1071" i="1"/>
  <c r="A1071" i="1"/>
  <c r="C1070" i="1"/>
  <c r="A1070" i="1"/>
  <c r="C1069" i="1"/>
  <c r="A1069" i="1"/>
  <c r="C1068" i="1"/>
  <c r="A1068" i="1"/>
  <c r="C1067" i="1"/>
  <c r="A1067" i="1"/>
  <c r="C1066" i="1"/>
  <c r="A1066" i="1"/>
  <c r="C1065" i="1"/>
  <c r="A1065" i="1"/>
  <c r="C1064" i="1"/>
  <c r="A1064" i="1"/>
  <c r="C1063" i="1"/>
  <c r="A1063" i="1"/>
  <c r="C1062" i="1"/>
  <c r="A1062" i="1"/>
  <c r="C1061" i="1"/>
  <c r="A1061" i="1"/>
  <c r="C1060" i="1"/>
  <c r="A1060" i="1"/>
  <c r="C1059" i="1"/>
  <c r="A1059" i="1"/>
  <c r="C1058" i="1"/>
  <c r="A1058" i="1"/>
  <c r="C1057" i="1"/>
  <c r="A1057" i="1"/>
  <c r="C1056" i="1"/>
  <c r="A1056" i="1"/>
  <c r="C1055" i="1"/>
  <c r="A1055" i="1"/>
  <c r="C1054" i="1"/>
  <c r="A1054" i="1"/>
  <c r="C1053" i="1"/>
  <c r="A1053" i="1"/>
  <c r="C1052" i="1"/>
  <c r="A1052" i="1"/>
  <c r="C1051" i="1"/>
  <c r="A1051" i="1"/>
  <c r="C1050" i="1"/>
  <c r="A1050" i="1"/>
  <c r="C1049" i="1"/>
  <c r="A1049" i="1"/>
  <c r="C1048" i="1"/>
  <c r="A1048" i="1"/>
  <c r="C1047" i="1"/>
  <c r="A1047" i="1"/>
  <c r="C1046" i="1"/>
  <c r="A1046" i="1"/>
  <c r="C1045" i="1"/>
  <c r="A1045" i="1"/>
  <c r="C1044" i="1"/>
  <c r="A1044" i="1"/>
  <c r="C1043" i="1"/>
  <c r="A1043" i="1"/>
  <c r="C1042" i="1"/>
  <c r="A1042" i="1"/>
  <c r="C1041" i="1"/>
  <c r="A1041" i="1"/>
  <c r="C1040" i="1"/>
  <c r="A1040" i="1"/>
  <c r="C1039" i="1"/>
  <c r="A1039" i="1"/>
  <c r="C1038" i="1"/>
  <c r="A1038" i="1"/>
  <c r="C1037" i="1"/>
  <c r="A1037" i="1"/>
  <c r="C1036" i="1"/>
  <c r="A1036" i="1"/>
  <c r="C1035" i="1"/>
  <c r="A1035" i="1"/>
  <c r="C1034" i="1"/>
  <c r="A1034" i="1"/>
  <c r="C1033" i="1"/>
  <c r="A1033" i="1"/>
  <c r="C1032" i="1"/>
  <c r="A1032" i="1"/>
  <c r="C1031" i="1"/>
  <c r="A1031" i="1"/>
  <c r="C1030" i="1"/>
  <c r="A1030" i="1"/>
  <c r="C1029" i="1"/>
  <c r="A1029" i="1"/>
  <c r="C1028" i="1"/>
  <c r="A1028" i="1"/>
  <c r="C1027" i="1"/>
  <c r="A1027" i="1"/>
  <c r="C1026" i="1"/>
  <c r="A1026" i="1"/>
  <c r="C1025" i="1"/>
  <c r="A1025" i="1"/>
  <c r="C1024" i="1"/>
  <c r="A1024" i="1"/>
  <c r="C1023" i="1"/>
  <c r="A1023" i="1"/>
  <c r="C1022" i="1"/>
  <c r="A1022" i="1"/>
  <c r="C1021" i="1"/>
  <c r="A1021" i="1"/>
  <c r="C1020" i="1"/>
  <c r="A1020" i="1"/>
  <c r="C1019" i="1"/>
  <c r="A1019" i="1"/>
  <c r="C1018" i="1"/>
  <c r="A1018" i="1"/>
  <c r="C1017" i="1"/>
  <c r="A1017" i="1"/>
  <c r="C1016" i="1"/>
  <c r="A1016" i="1"/>
  <c r="C1015" i="1"/>
  <c r="A1015" i="1"/>
  <c r="C1014" i="1"/>
  <c r="A1014" i="1"/>
  <c r="C1013" i="1"/>
  <c r="A1013" i="1"/>
  <c r="C1012" i="1"/>
  <c r="A1012" i="1"/>
  <c r="C1011" i="1"/>
  <c r="A1011" i="1"/>
  <c r="C1010" i="1"/>
  <c r="A1010" i="1"/>
  <c r="C1009" i="1"/>
  <c r="A1009" i="1"/>
  <c r="C1008" i="1"/>
  <c r="A1008" i="1"/>
  <c r="C1007" i="1"/>
  <c r="A1007" i="1"/>
  <c r="C1006" i="1"/>
  <c r="A1006" i="1"/>
  <c r="C1005" i="1"/>
  <c r="A1005" i="1"/>
  <c r="C1004" i="1"/>
  <c r="A1004" i="1"/>
  <c r="C1003" i="1"/>
  <c r="A1003" i="1"/>
  <c r="C1002" i="1"/>
  <c r="A1002" i="1"/>
  <c r="C1001" i="1"/>
  <c r="A1001" i="1"/>
  <c r="C1000" i="1"/>
  <c r="A1000" i="1"/>
  <c r="C999" i="1"/>
  <c r="A999" i="1"/>
  <c r="C998" i="1"/>
  <c r="A998" i="1"/>
  <c r="C997" i="1"/>
  <c r="A997" i="1"/>
  <c r="C996" i="1"/>
  <c r="A996" i="1"/>
  <c r="C995" i="1"/>
  <c r="A995" i="1"/>
  <c r="C994" i="1"/>
  <c r="A994" i="1"/>
  <c r="C993" i="1"/>
  <c r="A993" i="1"/>
  <c r="C992" i="1"/>
  <c r="A992" i="1"/>
  <c r="C991" i="1"/>
  <c r="A991" i="1"/>
  <c r="C990" i="1"/>
  <c r="A990" i="1"/>
  <c r="C989" i="1"/>
  <c r="A989" i="1"/>
  <c r="C988" i="1"/>
  <c r="A988" i="1"/>
  <c r="C987" i="1"/>
  <c r="A987" i="1"/>
  <c r="C986" i="1"/>
  <c r="A986" i="1"/>
  <c r="C985" i="1"/>
  <c r="A985" i="1"/>
  <c r="C984" i="1"/>
  <c r="A984" i="1"/>
  <c r="C983" i="1"/>
  <c r="A983" i="1"/>
  <c r="C982" i="1"/>
  <c r="A982" i="1"/>
  <c r="C981" i="1"/>
  <c r="A981" i="1"/>
  <c r="C980" i="1"/>
  <c r="A980" i="1"/>
  <c r="C979" i="1"/>
  <c r="A979" i="1"/>
  <c r="C978" i="1"/>
  <c r="A978" i="1"/>
  <c r="C977" i="1"/>
  <c r="A977" i="1"/>
  <c r="C976" i="1"/>
  <c r="A976" i="1"/>
  <c r="C975" i="1"/>
  <c r="A975" i="1"/>
  <c r="C974" i="1"/>
  <c r="A974" i="1"/>
  <c r="C973" i="1"/>
  <c r="A973" i="1"/>
  <c r="C972" i="1"/>
  <c r="A972" i="1"/>
  <c r="C971" i="1"/>
  <c r="A971" i="1"/>
  <c r="C970" i="1"/>
  <c r="A970" i="1"/>
  <c r="C969" i="1"/>
  <c r="A969" i="1"/>
  <c r="C968" i="1"/>
  <c r="A968" i="1"/>
  <c r="C967" i="1"/>
  <c r="A967" i="1"/>
  <c r="C966" i="1"/>
  <c r="A966" i="1"/>
  <c r="C965" i="1"/>
  <c r="A965" i="1"/>
  <c r="C964" i="1"/>
  <c r="A964" i="1"/>
  <c r="C963" i="1"/>
  <c r="A963" i="1"/>
  <c r="C962" i="1"/>
  <c r="A962" i="1"/>
  <c r="C961" i="1"/>
  <c r="A961" i="1"/>
  <c r="C960" i="1"/>
  <c r="A960" i="1"/>
  <c r="C959" i="1"/>
  <c r="A959" i="1"/>
  <c r="C958" i="1"/>
  <c r="A958" i="1"/>
  <c r="C957" i="1"/>
  <c r="A957" i="1"/>
  <c r="C956" i="1"/>
  <c r="A956" i="1"/>
  <c r="C955" i="1"/>
  <c r="A955" i="1"/>
  <c r="C954" i="1"/>
  <c r="A954" i="1"/>
  <c r="C953" i="1"/>
  <c r="A953" i="1"/>
  <c r="C952" i="1"/>
  <c r="A952" i="1"/>
  <c r="C951" i="1"/>
  <c r="A951" i="1"/>
  <c r="C950" i="1"/>
  <c r="A950" i="1"/>
  <c r="C949" i="1"/>
  <c r="A949" i="1"/>
  <c r="C948" i="1"/>
  <c r="A948" i="1"/>
  <c r="C947" i="1"/>
  <c r="A947" i="1"/>
  <c r="C946" i="1"/>
  <c r="A946" i="1"/>
  <c r="C945" i="1"/>
  <c r="A945" i="1"/>
  <c r="C944" i="1"/>
  <c r="A944" i="1"/>
  <c r="C943" i="1"/>
  <c r="A943" i="1"/>
  <c r="C942" i="1"/>
  <c r="A942" i="1"/>
  <c r="C941" i="1"/>
  <c r="A941" i="1"/>
  <c r="C940" i="1"/>
  <c r="A940" i="1"/>
  <c r="C939" i="1"/>
  <c r="A939" i="1"/>
  <c r="C938" i="1"/>
  <c r="A938" i="1"/>
  <c r="C937" i="1"/>
  <c r="A937" i="1"/>
  <c r="C936" i="1"/>
  <c r="A936" i="1"/>
  <c r="C935" i="1"/>
  <c r="A935" i="1"/>
  <c r="C934" i="1"/>
  <c r="A934" i="1"/>
  <c r="C933" i="1"/>
  <c r="A933" i="1"/>
  <c r="C932" i="1"/>
  <c r="A932" i="1"/>
  <c r="C931" i="1"/>
  <c r="A931" i="1"/>
  <c r="C930" i="1"/>
  <c r="A930" i="1"/>
  <c r="C929" i="1"/>
  <c r="A929" i="1"/>
  <c r="C928" i="1"/>
  <c r="A928" i="1"/>
  <c r="C927" i="1"/>
  <c r="A927" i="1"/>
  <c r="C926" i="1"/>
  <c r="A926" i="1"/>
  <c r="C925" i="1"/>
  <c r="A925" i="1"/>
  <c r="C924" i="1"/>
  <c r="A924" i="1"/>
  <c r="C923" i="1"/>
  <c r="A923" i="1"/>
  <c r="C922" i="1"/>
  <c r="A922" i="1"/>
  <c r="C921" i="1"/>
  <c r="A921" i="1"/>
  <c r="C920" i="1"/>
  <c r="A920" i="1"/>
  <c r="C919" i="1"/>
  <c r="A919" i="1"/>
  <c r="C918" i="1"/>
  <c r="A918" i="1"/>
  <c r="C917" i="1"/>
  <c r="A917" i="1"/>
  <c r="C916" i="1"/>
  <c r="A916" i="1"/>
  <c r="C915" i="1"/>
  <c r="A915" i="1"/>
  <c r="C914" i="1"/>
  <c r="A914" i="1"/>
  <c r="C913" i="1"/>
  <c r="A913" i="1"/>
  <c r="C912" i="1"/>
  <c r="A912" i="1"/>
  <c r="C911" i="1"/>
  <c r="A911" i="1"/>
  <c r="C910" i="1"/>
  <c r="A910" i="1"/>
  <c r="C909" i="1"/>
  <c r="A909" i="1"/>
  <c r="C908" i="1"/>
  <c r="A908" i="1"/>
  <c r="C907" i="1"/>
  <c r="A907" i="1"/>
  <c r="C906" i="1"/>
  <c r="A906" i="1"/>
  <c r="C905" i="1"/>
  <c r="A905" i="1"/>
  <c r="C904" i="1"/>
  <c r="A904" i="1"/>
  <c r="C903" i="1"/>
  <c r="A903" i="1"/>
  <c r="C902" i="1"/>
  <c r="A902" i="1"/>
  <c r="C901" i="1"/>
  <c r="A901" i="1"/>
  <c r="C900" i="1"/>
  <c r="A900" i="1"/>
  <c r="C899" i="1"/>
  <c r="A899" i="1"/>
  <c r="C898" i="1"/>
  <c r="A898" i="1"/>
  <c r="C897" i="1"/>
  <c r="A897" i="1"/>
  <c r="C896" i="1"/>
  <c r="A896" i="1"/>
  <c r="C895" i="1"/>
  <c r="A895" i="1"/>
  <c r="C894" i="1"/>
  <c r="A894" i="1"/>
  <c r="C893" i="1"/>
  <c r="A893" i="1"/>
  <c r="C892" i="1"/>
  <c r="A892" i="1"/>
  <c r="C891" i="1"/>
  <c r="A891" i="1"/>
  <c r="C890" i="1"/>
  <c r="A890" i="1"/>
  <c r="C889" i="1"/>
  <c r="A889" i="1"/>
  <c r="C888" i="1"/>
  <c r="A888" i="1"/>
  <c r="C887" i="1"/>
  <c r="A887" i="1"/>
  <c r="C886" i="1"/>
  <c r="A886" i="1"/>
  <c r="C885" i="1"/>
  <c r="A885" i="1"/>
  <c r="C884" i="1"/>
  <c r="A884" i="1"/>
  <c r="C883" i="1"/>
  <c r="A883" i="1"/>
  <c r="C882" i="1"/>
  <c r="A882" i="1"/>
  <c r="C881" i="1"/>
  <c r="A881" i="1"/>
  <c r="C880" i="1"/>
  <c r="A880" i="1"/>
  <c r="C879" i="1"/>
  <c r="A879" i="1"/>
  <c r="C878" i="1"/>
  <c r="A878" i="1"/>
  <c r="C877" i="1"/>
  <c r="A877" i="1"/>
  <c r="C876" i="1"/>
  <c r="A876" i="1"/>
  <c r="C875" i="1"/>
  <c r="A875" i="1"/>
  <c r="C874" i="1"/>
  <c r="A874" i="1"/>
  <c r="C873" i="1"/>
  <c r="A873" i="1"/>
  <c r="C872" i="1"/>
  <c r="A872" i="1"/>
  <c r="C871" i="1"/>
  <c r="A871" i="1"/>
  <c r="C870" i="1"/>
  <c r="A870" i="1"/>
  <c r="C869" i="1"/>
  <c r="A869" i="1"/>
  <c r="C868" i="1"/>
  <c r="A868" i="1"/>
  <c r="C867" i="1"/>
  <c r="A867" i="1"/>
  <c r="C866" i="1"/>
  <c r="A866" i="1"/>
  <c r="C865" i="1"/>
  <c r="A865" i="1"/>
  <c r="C864" i="1"/>
  <c r="A864" i="1"/>
  <c r="C863" i="1"/>
  <c r="A863" i="1"/>
  <c r="C862" i="1"/>
  <c r="A862" i="1"/>
  <c r="C861" i="1"/>
  <c r="A861" i="1"/>
  <c r="C860" i="1"/>
  <c r="A860" i="1"/>
  <c r="C859" i="1"/>
  <c r="A859" i="1"/>
  <c r="C858" i="1"/>
  <c r="A858" i="1"/>
  <c r="C857" i="1"/>
  <c r="A857" i="1"/>
  <c r="C856" i="1"/>
  <c r="A856" i="1"/>
  <c r="C855" i="1"/>
  <c r="A855" i="1"/>
  <c r="C854" i="1"/>
  <c r="A854" i="1"/>
  <c r="C853" i="1"/>
  <c r="A853" i="1"/>
  <c r="C852" i="1"/>
  <c r="A852" i="1"/>
  <c r="C851" i="1"/>
  <c r="A851" i="1"/>
  <c r="C850" i="1"/>
  <c r="A850" i="1"/>
  <c r="C849" i="1"/>
  <c r="A849" i="1"/>
  <c r="C848" i="1"/>
  <c r="A848" i="1"/>
  <c r="C847" i="1"/>
  <c r="A847" i="1"/>
  <c r="C846" i="1"/>
  <c r="A846" i="1"/>
  <c r="C845" i="1"/>
  <c r="A845" i="1"/>
  <c r="C844" i="1"/>
  <c r="A844" i="1"/>
  <c r="C843" i="1"/>
  <c r="A843" i="1"/>
  <c r="C842" i="1"/>
  <c r="A842" i="1"/>
  <c r="C841" i="1"/>
  <c r="A841" i="1"/>
  <c r="C840" i="1"/>
  <c r="A840" i="1"/>
  <c r="C839" i="1"/>
  <c r="A839" i="1"/>
  <c r="C838" i="1"/>
  <c r="A838" i="1"/>
  <c r="C837" i="1"/>
  <c r="A837" i="1"/>
  <c r="C836" i="1"/>
  <c r="A836" i="1"/>
  <c r="C835" i="1"/>
  <c r="A835" i="1"/>
  <c r="C834" i="1"/>
  <c r="A834" i="1"/>
  <c r="C833" i="1"/>
  <c r="A833" i="1"/>
  <c r="C832" i="1"/>
  <c r="A832" i="1"/>
  <c r="C831" i="1"/>
  <c r="A831" i="1"/>
  <c r="C830" i="1"/>
  <c r="A830" i="1"/>
  <c r="C829" i="1"/>
  <c r="A829" i="1"/>
  <c r="C828" i="1"/>
  <c r="A828" i="1"/>
  <c r="C827" i="1"/>
  <c r="A827" i="1"/>
  <c r="C826" i="1"/>
  <c r="A826" i="1"/>
  <c r="C825" i="1"/>
  <c r="A825" i="1"/>
  <c r="C824" i="1"/>
  <c r="A824" i="1"/>
  <c r="C823" i="1"/>
  <c r="A823" i="1"/>
  <c r="C822" i="1"/>
  <c r="A822" i="1"/>
  <c r="C821" i="1"/>
  <c r="A821" i="1"/>
  <c r="C820" i="1"/>
  <c r="A820" i="1"/>
  <c r="C819" i="1"/>
  <c r="A819" i="1"/>
  <c r="C818" i="1"/>
  <c r="A818" i="1"/>
  <c r="C817" i="1"/>
  <c r="A817" i="1"/>
  <c r="C816" i="1"/>
  <c r="A816" i="1"/>
  <c r="C815" i="1"/>
  <c r="A815" i="1"/>
  <c r="C814" i="1"/>
  <c r="A814" i="1"/>
  <c r="C813" i="1"/>
  <c r="A813" i="1"/>
  <c r="C812" i="1"/>
  <c r="A812" i="1"/>
  <c r="C811" i="1"/>
  <c r="A811" i="1"/>
  <c r="C810" i="1"/>
  <c r="A810" i="1"/>
  <c r="C809" i="1"/>
  <c r="A809" i="1"/>
  <c r="C808" i="1"/>
  <c r="A808" i="1"/>
  <c r="C807" i="1"/>
  <c r="A807" i="1"/>
  <c r="C806" i="1"/>
  <c r="A806" i="1"/>
  <c r="C805" i="1"/>
  <c r="A805" i="1"/>
  <c r="C804" i="1"/>
  <c r="A804" i="1"/>
  <c r="C803" i="1"/>
  <c r="A803" i="1"/>
  <c r="C802" i="1"/>
  <c r="A802" i="1"/>
  <c r="C801" i="1"/>
  <c r="A801" i="1"/>
  <c r="C800" i="1"/>
  <c r="A800" i="1"/>
  <c r="C799" i="1"/>
  <c r="A799" i="1"/>
  <c r="C798" i="1"/>
  <c r="A798" i="1"/>
  <c r="C797" i="1"/>
  <c r="A797" i="1"/>
  <c r="C796" i="1"/>
  <c r="A796" i="1"/>
  <c r="C795" i="1"/>
  <c r="A795" i="1"/>
  <c r="C794" i="1"/>
  <c r="A794" i="1"/>
  <c r="C793" i="1"/>
  <c r="A793" i="1"/>
  <c r="C792" i="1"/>
  <c r="A792" i="1"/>
  <c r="C791" i="1"/>
  <c r="A791" i="1"/>
  <c r="C790" i="1"/>
  <c r="A790" i="1"/>
  <c r="C789" i="1"/>
  <c r="A789" i="1"/>
  <c r="C788" i="1"/>
  <c r="A788" i="1"/>
  <c r="C787" i="1"/>
  <c r="A787" i="1"/>
  <c r="C786" i="1"/>
  <c r="A786" i="1"/>
  <c r="C785" i="1"/>
  <c r="A785" i="1"/>
  <c r="C784" i="1"/>
  <c r="A784" i="1"/>
  <c r="C783" i="1"/>
  <c r="A783" i="1"/>
  <c r="C782" i="1"/>
  <c r="A782" i="1"/>
  <c r="C781" i="1"/>
  <c r="A781" i="1"/>
  <c r="C780" i="1"/>
  <c r="A780" i="1"/>
  <c r="C779" i="1"/>
  <c r="A779" i="1"/>
  <c r="C778" i="1"/>
  <c r="A778" i="1"/>
  <c r="C777" i="1"/>
  <c r="A777" i="1"/>
  <c r="C776" i="1"/>
  <c r="A776" i="1"/>
  <c r="C775" i="1"/>
  <c r="A775" i="1"/>
  <c r="C774" i="1"/>
  <c r="A774" i="1"/>
  <c r="C773" i="1"/>
  <c r="A773" i="1"/>
  <c r="C772" i="1"/>
  <c r="A772" i="1"/>
  <c r="C771" i="1"/>
  <c r="A771" i="1"/>
  <c r="C770" i="1"/>
  <c r="A770" i="1"/>
  <c r="C769" i="1"/>
  <c r="A769" i="1"/>
  <c r="C768" i="1"/>
  <c r="A768" i="1"/>
  <c r="C767" i="1"/>
  <c r="A767" i="1"/>
  <c r="C766" i="1"/>
  <c r="A766" i="1"/>
  <c r="C765" i="1"/>
  <c r="A765" i="1"/>
  <c r="C764" i="1"/>
  <c r="A764" i="1"/>
  <c r="C763" i="1"/>
  <c r="A763" i="1"/>
  <c r="C762" i="1"/>
  <c r="A762" i="1"/>
  <c r="C761" i="1"/>
  <c r="A761" i="1"/>
  <c r="C760" i="1"/>
  <c r="A760" i="1"/>
  <c r="C759" i="1"/>
  <c r="A759" i="1"/>
  <c r="C758" i="1"/>
  <c r="A758" i="1"/>
  <c r="C757" i="1"/>
  <c r="A757" i="1"/>
  <c r="C756" i="1"/>
  <c r="A756" i="1"/>
  <c r="C755" i="1"/>
  <c r="A755" i="1"/>
  <c r="C754" i="1"/>
  <c r="A754" i="1"/>
  <c r="C753" i="1"/>
  <c r="A753" i="1"/>
  <c r="C752" i="1"/>
  <c r="A752" i="1"/>
  <c r="C751" i="1"/>
  <c r="A751" i="1"/>
  <c r="C750" i="1"/>
  <c r="A750" i="1"/>
  <c r="C749" i="1"/>
  <c r="A749" i="1"/>
  <c r="C748" i="1"/>
  <c r="A748" i="1"/>
  <c r="C747" i="1"/>
  <c r="A747" i="1"/>
  <c r="C746" i="1"/>
  <c r="A746" i="1"/>
  <c r="C745" i="1"/>
  <c r="A745" i="1"/>
  <c r="C744" i="1"/>
  <c r="A744" i="1"/>
  <c r="C743" i="1"/>
  <c r="A743" i="1"/>
  <c r="C742" i="1"/>
  <c r="A742" i="1"/>
  <c r="C741" i="1"/>
  <c r="A741" i="1"/>
  <c r="C740" i="1"/>
  <c r="A740" i="1"/>
  <c r="C739" i="1"/>
  <c r="A739" i="1"/>
  <c r="C738" i="1"/>
  <c r="A738" i="1"/>
  <c r="C737" i="1"/>
  <c r="A737" i="1"/>
  <c r="C736" i="1"/>
  <c r="A736" i="1"/>
  <c r="C735" i="1"/>
  <c r="A735" i="1"/>
  <c r="C734" i="1"/>
  <c r="A734" i="1"/>
  <c r="C733" i="1"/>
  <c r="A733" i="1"/>
  <c r="C732" i="1"/>
  <c r="A732" i="1"/>
  <c r="C731" i="1"/>
  <c r="A731" i="1"/>
  <c r="C730" i="1"/>
  <c r="A730" i="1"/>
  <c r="C729" i="1"/>
  <c r="A729" i="1"/>
  <c r="C728" i="1"/>
  <c r="A728" i="1"/>
  <c r="C727" i="1"/>
  <c r="A727" i="1"/>
  <c r="C726" i="1"/>
  <c r="A726" i="1"/>
  <c r="C725" i="1"/>
  <c r="A725" i="1"/>
  <c r="C724" i="1"/>
  <c r="A724" i="1"/>
  <c r="C723" i="1"/>
  <c r="A723" i="1"/>
  <c r="C722" i="1"/>
  <c r="A722" i="1"/>
  <c r="C721" i="1"/>
  <c r="A721" i="1"/>
  <c r="C720" i="1"/>
  <c r="A720" i="1"/>
  <c r="C719" i="1"/>
  <c r="A719" i="1"/>
  <c r="C718" i="1"/>
  <c r="A718" i="1"/>
  <c r="C717" i="1"/>
  <c r="A717" i="1"/>
  <c r="C716" i="1"/>
  <c r="A716" i="1"/>
  <c r="C715" i="1"/>
  <c r="A715" i="1"/>
  <c r="C714" i="1"/>
  <c r="A714" i="1"/>
  <c r="C713" i="1"/>
  <c r="A713" i="1"/>
  <c r="C712" i="1"/>
  <c r="A712" i="1"/>
  <c r="C711" i="1"/>
  <c r="A711" i="1"/>
  <c r="C710" i="1"/>
  <c r="A710" i="1"/>
  <c r="C709" i="1"/>
  <c r="A709" i="1"/>
  <c r="C708" i="1"/>
  <c r="A708" i="1"/>
  <c r="C707" i="1"/>
  <c r="A707" i="1"/>
  <c r="C706" i="1"/>
  <c r="A706" i="1"/>
  <c r="C705" i="1"/>
  <c r="A705" i="1"/>
  <c r="C704" i="1"/>
  <c r="A704" i="1"/>
  <c r="C703" i="1"/>
  <c r="A703" i="1"/>
  <c r="C702" i="1"/>
  <c r="A702" i="1"/>
  <c r="C701" i="1"/>
  <c r="A701" i="1"/>
  <c r="C700" i="1"/>
  <c r="A700" i="1"/>
  <c r="C699" i="1"/>
  <c r="A699" i="1"/>
  <c r="C698" i="1"/>
  <c r="A698" i="1"/>
  <c r="C697" i="1"/>
  <c r="A697" i="1"/>
  <c r="C696" i="1"/>
  <c r="A696" i="1"/>
  <c r="C695" i="1"/>
  <c r="A695" i="1"/>
  <c r="C694" i="1"/>
  <c r="A694" i="1"/>
  <c r="C693" i="1"/>
  <c r="A693" i="1"/>
  <c r="C692" i="1"/>
  <c r="A692" i="1"/>
  <c r="C691" i="1"/>
  <c r="A691" i="1"/>
  <c r="C690" i="1"/>
  <c r="A690" i="1"/>
  <c r="C689" i="1"/>
  <c r="A689" i="1"/>
  <c r="C688" i="1"/>
  <c r="A688" i="1"/>
  <c r="C687" i="1"/>
  <c r="A687" i="1"/>
  <c r="C686" i="1"/>
  <c r="A686" i="1"/>
  <c r="C685" i="1"/>
  <c r="A685" i="1"/>
  <c r="C684" i="1"/>
  <c r="A684" i="1"/>
  <c r="C683" i="1"/>
  <c r="A683" i="1"/>
  <c r="C682" i="1"/>
  <c r="A682" i="1"/>
  <c r="C681" i="1"/>
  <c r="A681" i="1"/>
  <c r="C680" i="1"/>
  <c r="A680" i="1"/>
  <c r="C679" i="1"/>
  <c r="A679" i="1"/>
  <c r="C678" i="1"/>
  <c r="A678" i="1"/>
  <c r="C677" i="1"/>
  <c r="A677" i="1"/>
  <c r="C676" i="1"/>
  <c r="A676" i="1"/>
  <c r="C675" i="1"/>
  <c r="A675" i="1"/>
  <c r="C674" i="1"/>
  <c r="A674" i="1"/>
  <c r="C673" i="1"/>
  <c r="A673" i="1"/>
  <c r="C672" i="1"/>
  <c r="A672" i="1"/>
  <c r="C671" i="1"/>
  <c r="A671" i="1"/>
  <c r="C670" i="1"/>
  <c r="A670" i="1"/>
  <c r="C669" i="1"/>
  <c r="A669" i="1"/>
  <c r="C668" i="1"/>
  <c r="A668" i="1"/>
  <c r="C667" i="1"/>
  <c r="A667" i="1"/>
  <c r="C666" i="1"/>
  <c r="A666" i="1"/>
  <c r="C665" i="1"/>
  <c r="A665" i="1"/>
  <c r="C664" i="1"/>
  <c r="A664" i="1"/>
  <c r="C663" i="1"/>
  <c r="A663" i="1"/>
  <c r="C662" i="1"/>
  <c r="A662" i="1"/>
  <c r="C661" i="1"/>
  <c r="A661" i="1"/>
  <c r="C660" i="1"/>
  <c r="A660" i="1"/>
  <c r="C659" i="1"/>
  <c r="A659" i="1"/>
  <c r="C658" i="1"/>
  <c r="A658" i="1"/>
  <c r="C657" i="1"/>
  <c r="A657" i="1"/>
  <c r="C656" i="1"/>
  <c r="A656" i="1"/>
  <c r="C655" i="1"/>
  <c r="A655" i="1"/>
  <c r="C654" i="1"/>
  <c r="A654" i="1"/>
  <c r="C653" i="1"/>
  <c r="A653" i="1"/>
  <c r="C652" i="1"/>
  <c r="A652" i="1"/>
  <c r="C651" i="1"/>
  <c r="A651" i="1"/>
  <c r="C650" i="1"/>
  <c r="A650" i="1"/>
  <c r="C649" i="1"/>
  <c r="A649" i="1"/>
  <c r="C648" i="1"/>
  <c r="A648" i="1"/>
  <c r="C647" i="1"/>
  <c r="A647" i="1"/>
  <c r="C646" i="1"/>
  <c r="A646" i="1"/>
  <c r="C645" i="1"/>
  <c r="A645" i="1"/>
  <c r="C644" i="1"/>
  <c r="A644" i="1"/>
  <c r="C643" i="1"/>
  <c r="A643" i="1"/>
  <c r="C642" i="1"/>
  <c r="A642" i="1"/>
  <c r="C641" i="1"/>
  <c r="A641" i="1"/>
  <c r="C640" i="1"/>
  <c r="A640" i="1"/>
  <c r="C639" i="1"/>
  <c r="A639" i="1"/>
  <c r="C638" i="1"/>
  <c r="A638" i="1"/>
  <c r="C637" i="1"/>
  <c r="A637" i="1"/>
  <c r="C636" i="1"/>
  <c r="A636" i="1"/>
  <c r="C635" i="1"/>
  <c r="A635" i="1"/>
  <c r="C634" i="1"/>
  <c r="A634" i="1"/>
  <c r="C633" i="1"/>
  <c r="A633" i="1"/>
  <c r="C632" i="1"/>
  <c r="A632" i="1"/>
  <c r="C631" i="1"/>
  <c r="A631" i="1"/>
  <c r="C630" i="1"/>
  <c r="A630" i="1"/>
  <c r="C629" i="1"/>
  <c r="A629" i="1"/>
  <c r="C628" i="1"/>
  <c r="A628" i="1"/>
  <c r="C627" i="1"/>
  <c r="A627" i="1"/>
  <c r="C626" i="1"/>
  <c r="A626" i="1"/>
  <c r="C625" i="1"/>
  <c r="A625" i="1"/>
  <c r="C624" i="1"/>
  <c r="A624" i="1"/>
  <c r="C623" i="1"/>
  <c r="A623" i="1"/>
  <c r="C622" i="1"/>
  <c r="A622" i="1"/>
  <c r="C621" i="1"/>
  <c r="A621" i="1"/>
  <c r="C620" i="1"/>
  <c r="A620" i="1"/>
  <c r="C619" i="1"/>
  <c r="A619" i="1"/>
  <c r="C618" i="1"/>
  <c r="A618" i="1"/>
  <c r="C617" i="1"/>
  <c r="A617" i="1"/>
  <c r="C616" i="1"/>
  <c r="A616" i="1"/>
  <c r="C615" i="1"/>
  <c r="A615" i="1"/>
  <c r="C614" i="1"/>
  <c r="A614" i="1"/>
  <c r="C613" i="1"/>
  <c r="A613" i="1"/>
  <c r="C612" i="1"/>
  <c r="A612" i="1"/>
  <c r="C611" i="1"/>
  <c r="A611" i="1"/>
  <c r="C610" i="1"/>
  <c r="A610" i="1"/>
  <c r="C609" i="1"/>
  <c r="A609" i="1"/>
  <c r="C608" i="1"/>
  <c r="A608" i="1"/>
  <c r="C607" i="1"/>
  <c r="A607" i="1"/>
  <c r="C606" i="1"/>
  <c r="A606" i="1"/>
  <c r="C605" i="1"/>
  <c r="A605" i="1"/>
  <c r="C604" i="1"/>
  <c r="A604" i="1"/>
  <c r="C603" i="1"/>
  <c r="A603" i="1"/>
  <c r="C602" i="1"/>
  <c r="A602" i="1"/>
  <c r="C601" i="1"/>
  <c r="A601" i="1"/>
  <c r="C600" i="1"/>
  <c r="A600" i="1"/>
  <c r="C599" i="1"/>
  <c r="A599" i="1"/>
  <c r="C598" i="1"/>
  <c r="A598" i="1"/>
  <c r="C597" i="1"/>
  <c r="A597" i="1"/>
  <c r="C596" i="1"/>
  <c r="A596" i="1"/>
  <c r="C595" i="1"/>
  <c r="A595" i="1"/>
  <c r="C594" i="1"/>
  <c r="A594" i="1"/>
  <c r="C593" i="1"/>
  <c r="A593" i="1"/>
  <c r="C592" i="1"/>
  <c r="A592" i="1"/>
  <c r="C591" i="1"/>
  <c r="A591" i="1"/>
  <c r="C590" i="1"/>
  <c r="A590" i="1"/>
  <c r="C589" i="1"/>
  <c r="A589" i="1"/>
  <c r="C588" i="1"/>
  <c r="A588" i="1"/>
  <c r="C587" i="1"/>
  <c r="A587" i="1"/>
  <c r="C586" i="1"/>
  <c r="A586" i="1"/>
  <c r="C585" i="1"/>
  <c r="A585" i="1"/>
  <c r="C584" i="1"/>
  <c r="A584" i="1"/>
  <c r="C583" i="1"/>
  <c r="A583" i="1"/>
  <c r="C582" i="1"/>
  <c r="A582" i="1"/>
  <c r="C581" i="1"/>
  <c r="A581" i="1"/>
  <c r="C580" i="1"/>
  <c r="A580" i="1"/>
  <c r="C579" i="1"/>
  <c r="A579" i="1"/>
  <c r="C578" i="1"/>
  <c r="A578" i="1"/>
  <c r="C577" i="1"/>
  <c r="A577" i="1"/>
  <c r="C576" i="1"/>
  <c r="A576" i="1"/>
  <c r="C575" i="1"/>
  <c r="A575" i="1"/>
  <c r="C574" i="1"/>
  <c r="A574" i="1"/>
  <c r="C573" i="1"/>
  <c r="A573" i="1"/>
  <c r="C572" i="1"/>
  <c r="A572" i="1"/>
  <c r="C571" i="1"/>
  <c r="A571" i="1"/>
  <c r="C570" i="1"/>
  <c r="A570" i="1"/>
  <c r="C569" i="1"/>
  <c r="A569" i="1"/>
  <c r="C568" i="1"/>
  <c r="A568" i="1"/>
  <c r="C567" i="1"/>
  <c r="A567" i="1"/>
  <c r="C566" i="1"/>
  <c r="A566" i="1"/>
  <c r="C565" i="1"/>
  <c r="A565" i="1"/>
  <c r="C564" i="1"/>
  <c r="A564" i="1"/>
  <c r="C563" i="1"/>
  <c r="A563" i="1"/>
  <c r="C562" i="1"/>
  <c r="A562" i="1"/>
  <c r="C561" i="1"/>
  <c r="A561" i="1"/>
  <c r="C560" i="1"/>
  <c r="A560" i="1"/>
  <c r="C559" i="1"/>
  <c r="A559" i="1"/>
  <c r="C558" i="1"/>
  <c r="A558" i="1"/>
  <c r="C557" i="1"/>
  <c r="A557" i="1"/>
  <c r="C556" i="1"/>
  <c r="A556" i="1"/>
  <c r="C555" i="1"/>
  <c r="A555" i="1"/>
  <c r="C554" i="1"/>
  <c r="A554" i="1"/>
  <c r="C553" i="1"/>
  <c r="A553" i="1"/>
  <c r="C552" i="1"/>
  <c r="A552" i="1"/>
  <c r="C551" i="1"/>
  <c r="A551" i="1"/>
  <c r="C550" i="1"/>
  <c r="A550" i="1"/>
  <c r="C549" i="1"/>
  <c r="A549" i="1"/>
  <c r="C548" i="1"/>
  <c r="A548" i="1"/>
  <c r="C547" i="1"/>
  <c r="A547" i="1"/>
  <c r="C546" i="1"/>
  <c r="A546" i="1"/>
  <c r="C545" i="1"/>
  <c r="A545" i="1"/>
  <c r="C544" i="1"/>
  <c r="A544" i="1"/>
  <c r="C543" i="1"/>
  <c r="A543" i="1"/>
  <c r="C542" i="1"/>
  <c r="A542" i="1"/>
  <c r="C541" i="1"/>
  <c r="A541" i="1"/>
  <c r="C540" i="1"/>
  <c r="A540" i="1"/>
  <c r="C539" i="1"/>
  <c r="A539" i="1"/>
  <c r="C538" i="1"/>
  <c r="A538" i="1"/>
  <c r="C537" i="1"/>
  <c r="A537" i="1"/>
  <c r="C536" i="1"/>
  <c r="A536" i="1"/>
  <c r="C535" i="1"/>
  <c r="A535" i="1"/>
  <c r="C534" i="1"/>
  <c r="A534" i="1"/>
  <c r="C533" i="1"/>
  <c r="A533" i="1"/>
  <c r="C532" i="1"/>
  <c r="A532" i="1"/>
  <c r="C531" i="1"/>
  <c r="A531" i="1"/>
  <c r="C530" i="1"/>
  <c r="A530" i="1"/>
  <c r="C529" i="1"/>
  <c r="A529" i="1"/>
  <c r="C528" i="1"/>
  <c r="A528" i="1"/>
  <c r="C527" i="1"/>
  <c r="A527" i="1"/>
  <c r="C526" i="1"/>
  <c r="A526" i="1"/>
  <c r="C525" i="1"/>
  <c r="A525" i="1"/>
  <c r="C524" i="1"/>
  <c r="A524" i="1"/>
  <c r="C523" i="1"/>
  <c r="A523" i="1"/>
  <c r="C522" i="1"/>
  <c r="A522" i="1"/>
  <c r="C521" i="1"/>
  <c r="A521" i="1"/>
  <c r="C520" i="1"/>
  <c r="A520" i="1"/>
  <c r="C519" i="1"/>
  <c r="A519" i="1"/>
  <c r="C518" i="1"/>
  <c r="A518" i="1"/>
  <c r="C517" i="1"/>
  <c r="A517" i="1"/>
  <c r="C516" i="1"/>
  <c r="A516" i="1"/>
  <c r="C515" i="1"/>
  <c r="A515" i="1"/>
  <c r="C514" i="1"/>
  <c r="A514" i="1"/>
  <c r="C513" i="1"/>
  <c r="A513" i="1"/>
  <c r="C512" i="1"/>
  <c r="A512" i="1"/>
  <c r="C511" i="1"/>
  <c r="A511" i="1"/>
  <c r="C510" i="1"/>
  <c r="A510" i="1"/>
  <c r="C509" i="1"/>
  <c r="A509" i="1"/>
  <c r="C508" i="1"/>
  <c r="A508" i="1"/>
  <c r="C507" i="1"/>
  <c r="A507" i="1"/>
  <c r="C506" i="1"/>
  <c r="A506" i="1"/>
  <c r="C505" i="1"/>
  <c r="A505" i="1"/>
  <c r="C504" i="1"/>
  <c r="A504" i="1"/>
  <c r="C503" i="1"/>
  <c r="A503" i="1"/>
  <c r="C502" i="1"/>
  <c r="A502" i="1"/>
  <c r="C501" i="1"/>
  <c r="A501" i="1"/>
  <c r="C500" i="1"/>
  <c r="A500" i="1"/>
  <c r="C499" i="1"/>
  <c r="A499" i="1"/>
  <c r="C498" i="1"/>
  <c r="A498" i="1"/>
  <c r="C497" i="1"/>
  <c r="A497" i="1"/>
  <c r="C496" i="1"/>
  <c r="A496" i="1"/>
  <c r="C495" i="1"/>
  <c r="A495" i="1"/>
  <c r="C494" i="1"/>
  <c r="A494" i="1"/>
  <c r="C493" i="1"/>
  <c r="A493" i="1"/>
  <c r="C492" i="1"/>
  <c r="A492" i="1"/>
  <c r="C491" i="1"/>
  <c r="A491" i="1"/>
  <c r="C490" i="1"/>
  <c r="A490" i="1"/>
  <c r="C489" i="1"/>
  <c r="A489" i="1"/>
  <c r="C488" i="1"/>
  <c r="A488" i="1"/>
  <c r="C487" i="1"/>
  <c r="A487" i="1"/>
  <c r="C486" i="1"/>
  <c r="A486" i="1"/>
  <c r="C485" i="1"/>
  <c r="A485" i="1"/>
  <c r="C484" i="1"/>
  <c r="A484" i="1"/>
  <c r="C483" i="1"/>
  <c r="A483" i="1"/>
  <c r="C482" i="1"/>
  <c r="A482" i="1"/>
  <c r="C481" i="1"/>
  <c r="A481" i="1"/>
  <c r="C480" i="1"/>
  <c r="A480" i="1"/>
  <c r="C479" i="1"/>
  <c r="A479" i="1"/>
  <c r="C478" i="1"/>
  <c r="A478" i="1"/>
  <c r="C477" i="1"/>
  <c r="A477" i="1"/>
  <c r="C476" i="1"/>
  <c r="A476" i="1"/>
  <c r="C475" i="1"/>
  <c r="A475" i="1"/>
  <c r="C474" i="1"/>
  <c r="A474" i="1"/>
  <c r="C473" i="1"/>
  <c r="A473" i="1"/>
  <c r="C472" i="1"/>
  <c r="A472" i="1"/>
  <c r="C471" i="1"/>
  <c r="A471" i="1"/>
  <c r="C470" i="1"/>
  <c r="A470" i="1"/>
  <c r="C469" i="1"/>
  <c r="A469" i="1"/>
  <c r="C468" i="1"/>
  <c r="A468" i="1"/>
  <c r="C467" i="1"/>
  <c r="A467" i="1"/>
  <c r="C466" i="1"/>
  <c r="A466" i="1"/>
  <c r="C465" i="1"/>
  <c r="A465" i="1"/>
  <c r="C464" i="1"/>
  <c r="A464" i="1"/>
  <c r="C463" i="1"/>
  <c r="A463" i="1"/>
  <c r="C462" i="1"/>
  <c r="A462" i="1"/>
  <c r="C461" i="1"/>
  <c r="A461" i="1"/>
  <c r="C460" i="1"/>
  <c r="A460" i="1"/>
  <c r="C459" i="1"/>
  <c r="A459" i="1"/>
  <c r="C458" i="1"/>
  <c r="A458" i="1"/>
  <c r="C457" i="1"/>
  <c r="A457" i="1"/>
  <c r="C456" i="1"/>
  <c r="A456" i="1"/>
  <c r="C455" i="1"/>
  <c r="A455" i="1"/>
  <c r="C454" i="1"/>
  <c r="A454" i="1"/>
  <c r="C453" i="1"/>
  <c r="A453" i="1"/>
  <c r="C452" i="1"/>
  <c r="A452" i="1"/>
  <c r="C451" i="1"/>
  <c r="A451" i="1"/>
  <c r="C450" i="1"/>
  <c r="A450" i="1"/>
  <c r="C449" i="1"/>
  <c r="A449" i="1"/>
  <c r="C448" i="1"/>
  <c r="A448" i="1"/>
  <c r="C447" i="1"/>
  <c r="A447" i="1"/>
  <c r="C446" i="1"/>
  <c r="A446" i="1"/>
  <c r="C445" i="1"/>
  <c r="A445" i="1"/>
  <c r="C444" i="1"/>
  <c r="A444" i="1"/>
  <c r="C443" i="1"/>
  <c r="A443" i="1"/>
  <c r="C442" i="1"/>
  <c r="A442" i="1"/>
  <c r="C441" i="1"/>
  <c r="A441" i="1"/>
  <c r="C440" i="1"/>
  <c r="A440" i="1"/>
  <c r="C439" i="1"/>
  <c r="A439" i="1"/>
  <c r="C438" i="1"/>
  <c r="A438" i="1"/>
  <c r="C437" i="1"/>
  <c r="A437" i="1"/>
  <c r="C436" i="1"/>
  <c r="A436" i="1"/>
  <c r="C435" i="1"/>
  <c r="A435" i="1"/>
  <c r="C434" i="1"/>
  <c r="A434" i="1"/>
  <c r="C433" i="1"/>
  <c r="A433" i="1"/>
  <c r="C432" i="1"/>
  <c r="A432" i="1"/>
  <c r="C431" i="1"/>
  <c r="A431" i="1"/>
  <c r="C430" i="1"/>
  <c r="A430" i="1"/>
  <c r="C429" i="1"/>
  <c r="A429" i="1"/>
  <c r="C428" i="1"/>
  <c r="A428" i="1"/>
  <c r="C427" i="1"/>
  <c r="A427" i="1"/>
  <c r="C426" i="1"/>
  <c r="A426" i="1"/>
  <c r="C425" i="1"/>
  <c r="A425" i="1"/>
  <c r="C424" i="1"/>
  <c r="A424" i="1"/>
  <c r="C423" i="1"/>
  <c r="A423" i="1"/>
  <c r="C422" i="1"/>
  <c r="A422" i="1"/>
  <c r="C421" i="1"/>
  <c r="A421" i="1"/>
  <c r="C420" i="1"/>
  <c r="A420" i="1"/>
  <c r="C419" i="1"/>
  <c r="A419" i="1"/>
  <c r="C418" i="1"/>
  <c r="A418" i="1"/>
  <c r="C417" i="1"/>
  <c r="A417" i="1"/>
  <c r="C416" i="1"/>
  <c r="A416" i="1"/>
  <c r="C415" i="1"/>
  <c r="A415" i="1"/>
  <c r="C414" i="1"/>
  <c r="A414" i="1"/>
  <c r="C413" i="1"/>
  <c r="A413" i="1"/>
  <c r="C412" i="1"/>
  <c r="A412" i="1"/>
  <c r="C411" i="1"/>
  <c r="A411" i="1"/>
  <c r="C410" i="1"/>
  <c r="A410" i="1"/>
  <c r="C409" i="1"/>
  <c r="A409" i="1"/>
  <c r="C408" i="1"/>
  <c r="A408" i="1"/>
  <c r="C407" i="1"/>
  <c r="A407" i="1"/>
  <c r="C406" i="1"/>
  <c r="A406" i="1"/>
  <c r="C405" i="1"/>
  <c r="A405" i="1"/>
  <c r="C404" i="1"/>
  <c r="A404" i="1"/>
  <c r="C403" i="1"/>
  <c r="A403" i="1"/>
  <c r="C402" i="1"/>
  <c r="A402" i="1"/>
  <c r="C401" i="1"/>
  <c r="A401" i="1"/>
  <c r="C400" i="1"/>
  <c r="A400" i="1"/>
  <c r="C399" i="1"/>
  <c r="A399" i="1"/>
  <c r="C398" i="1"/>
  <c r="A398" i="1"/>
  <c r="C397" i="1"/>
  <c r="A397" i="1"/>
  <c r="C396" i="1"/>
  <c r="A396" i="1"/>
  <c r="C395" i="1"/>
  <c r="A395" i="1"/>
  <c r="C394" i="1"/>
  <c r="A394" i="1"/>
  <c r="C393" i="1"/>
  <c r="A393" i="1"/>
  <c r="C392" i="1"/>
  <c r="A392" i="1"/>
  <c r="C391" i="1"/>
  <c r="A391" i="1"/>
  <c r="C390" i="1"/>
  <c r="A390" i="1"/>
  <c r="C389" i="1"/>
  <c r="A389" i="1"/>
  <c r="C388" i="1"/>
  <c r="A388" i="1"/>
  <c r="C387" i="1"/>
  <c r="A387" i="1"/>
  <c r="C386" i="1"/>
  <c r="A386" i="1"/>
  <c r="C385" i="1"/>
  <c r="A385" i="1"/>
  <c r="C384" i="1"/>
  <c r="A384" i="1"/>
  <c r="C383" i="1"/>
  <c r="A383" i="1"/>
  <c r="C382" i="1"/>
  <c r="A382" i="1"/>
  <c r="C381" i="1"/>
  <c r="A381" i="1"/>
  <c r="C380" i="1"/>
  <c r="A380" i="1"/>
  <c r="C379" i="1"/>
  <c r="A379" i="1"/>
  <c r="C378" i="1"/>
  <c r="A378" i="1"/>
  <c r="C377" i="1"/>
  <c r="A377" i="1"/>
  <c r="C376" i="1"/>
  <c r="A376" i="1"/>
  <c r="C375" i="1"/>
  <c r="A375" i="1"/>
  <c r="C374" i="1"/>
  <c r="A374" i="1"/>
  <c r="C373" i="1"/>
  <c r="A373" i="1"/>
  <c r="C372" i="1"/>
  <c r="A372" i="1"/>
  <c r="C371" i="1"/>
  <c r="A371" i="1"/>
  <c r="C370" i="1"/>
  <c r="A370" i="1"/>
  <c r="C369" i="1"/>
  <c r="A369" i="1"/>
  <c r="C368" i="1"/>
  <c r="A368" i="1"/>
  <c r="C367" i="1"/>
  <c r="A367" i="1"/>
  <c r="C366" i="1"/>
  <c r="A366" i="1"/>
  <c r="C365" i="1"/>
  <c r="A365" i="1"/>
  <c r="C364" i="1"/>
  <c r="A364" i="1"/>
  <c r="C363" i="1"/>
  <c r="A363" i="1"/>
  <c r="C362" i="1"/>
  <c r="A362" i="1"/>
  <c r="C361" i="1"/>
  <c r="A361" i="1"/>
  <c r="C360" i="1"/>
  <c r="A360" i="1"/>
  <c r="C359" i="1"/>
  <c r="A359" i="1"/>
  <c r="C358" i="1"/>
  <c r="A358" i="1"/>
  <c r="C357" i="1"/>
  <c r="A357" i="1"/>
  <c r="C356" i="1"/>
  <c r="A356" i="1"/>
  <c r="C355" i="1"/>
  <c r="A355" i="1"/>
  <c r="C354" i="1"/>
  <c r="A354" i="1"/>
  <c r="C353" i="1"/>
  <c r="A353" i="1"/>
  <c r="C352" i="1"/>
  <c r="A352" i="1"/>
  <c r="C351" i="1"/>
  <c r="A351" i="1"/>
  <c r="C350" i="1"/>
  <c r="A350" i="1"/>
  <c r="C349" i="1"/>
  <c r="A349" i="1"/>
  <c r="C348" i="1"/>
  <c r="A348" i="1"/>
  <c r="C347" i="1"/>
  <c r="A347" i="1"/>
  <c r="C346" i="1"/>
  <c r="A346" i="1"/>
  <c r="C345" i="1"/>
  <c r="A345" i="1"/>
  <c r="C344" i="1"/>
  <c r="A344" i="1"/>
  <c r="C343" i="1"/>
  <c r="A343" i="1"/>
  <c r="C342" i="1"/>
  <c r="A342" i="1"/>
  <c r="C341" i="1"/>
  <c r="A341" i="1"/>
  <c r="C340" i="1"/>
  <c r="A340" i="1"/>
  <c r="C339" i="1"/>
  <c r="A339" i="1"/>
  <c r="C338" i="1"/>
  <c r="A338" i="1"/>
  <c r="C337" i="1"/>
  <c r="A337" i="1"/>
  <c r="C336" i="1"/>
  <c r="A336" i="1"/>
  <c r="C335" i="1"/>
  <c r="A335" i="1"/>
  <c r="C334" i="1"/>
  <c r="A334" i="1"/>
  <c r="C333" i="1"/>
  <c r="A333" i="1"/>
  <c r="C332" i="1"/>
  <c r="A332" i="1"/>
  <c r="C331" i="1"/>
  <c r="A331" i="1"/>
  <c r="C330" i="1"/>
  <c r="A330" i="1"/>
  <c r="C329" i="1"/>
  <c r="A329" i="1"/>
  <c r="C328" i="1"/>
  <c r="A328" i="1"/>
  <c r="C327" i="1"/>
  <c r="A327" i="1"/>
  <c r="C326" i="1"/>
  <c r="A326" i="1"/>
  <c r="C325" i="1"/>
  <c r="A325" i="1"/>
  <c r="C324" i="1"/>
  <c r="A324" i="1"/>
  <c r="C323" i="1"/>
  <c r="A323" i="1"/>
  <c r="C322" i="1"/>
  <c r="A322" i="1"/>
  <c r="C321" i="1"/>
  <c r="A321" i="1"/>
  <c r="C320" i="1"/>
  <c r="A320" i="1"/>
  <c r="C319" i="1"/>
  <c r="A319" i="1"/>
  <c r="C318" i="1"/>
  <c r="A318" i="1"/>
  <c r="C317" i="1"/>
  <c r="A317" i="1"/>
  <c r="C316" i="1"/>
  <c r="A316" i="1"/>
  <c r="C315" i="1"/>
  <c r="A315" i="1"/>
  <c r="C314" i="1"/>
  <c r="A314" i="1"/>
  <c r="C313" i="1"/>
  <c r="A313" i="1"/>
  <c r="C312" i="1"/>
  <c r="A312" i="1"/>
  <c r="C311" i="1"/>
  <c r="A311" i="1"/>
  <c r="C310" i="1"/>
  <c r="A310" i="1"/>
  <c r="C309" i="1"/>
  <c r="A309" i="1"/>
  <c r="C308" i="1"/>
  <c r="A308" i="1"/>
  <c r="C307" i="1"/>
  <c r="A307" i="1"/>
  <c r="C306" i="1"/>
  <c r="A306" i="1"/>
  <c r="C305" i="1"/>
  <c r="A305" i="1"/>
  <c r="C304" i="1"/>
  <c r="A304" i="1"/>
  <c r="C303" i="1"/>
  <c r="A303" i="1"/>
  <c r="C302" i="1"/>
  <c r="A302" i="1"/>
  <c r="C301" i="1"/>
  <c r="A301" i="1"/>
  <c r="C300" i="1"/>
  <c r="A300" i="1"/>
  <c r="C299" i="1"/>
  <c r="A299" i="1"/>
  <c r="C298" i="1"/>
  <c r="A298" i="1"/>
  <c r="C297" i="1"/>
  <c r="A297" i="1"/>
  <c r="C296" i="1"/>
  <c r="A296" i="1"/>
  <c r="C295" i="1"/>
  <c r="A295" i="1"/>
  <c r="C294" i="1"/>
  <c r="A294" i="1"/>
  <c r="C293" i="1"/>
  <c r="A293" i="1"/>
  <c r="C292" i="1"/>
  <c r="A292" i="1"/>
  <c r="C291" i="1"/>
  <c r="A291" i="1"/>
  <c r="C290" i="1"/>
  <c r="A290" i="1"/>
  <c r="C289" i="1"/>
  <c r="A289" i="1"/>
  <c r="C288" i="1"/>
  <c r="A288" i="1"/>
  <c r="C287" i="1"/>
  <c r="A287" i="1"/>
  <c r="C286" i="1"/>
  <c r="A286" i="1"/>
  <c r="C285" i="1"/>
  <c r="A285" i="1"/>
  <c r="C284" i="1"/>
  <c r="A284" i="1"/>
  <c r="C283" i="1"/>
  <c r="A283" i="1"/>
  <c r="C282" i="1"/>
  <c r="A282" i="1"/>
  <c r="C281" i="1"/>
  <c r="A281" i="1"/>
  <c r="C280" i="1"/>
  <c r="A280" i="1"/>
  <c r="C279" i="1"/>
  <c r="A279" i="1"/>
  <c r="C278" i="1"/>
  <c r="A278" i="1"/>
  <c r="C277" i="1"/>
  <c r="A277" i="1"/>
  <c r="C276" i="1"/>
  <c r="A276" i="1"/>
  <c r="C275" i="1"/>
  <c r="A275" i="1"/>
  <c r="C274" i="1"/>
  <c r="A274" i="1"/>
  <c r="C273" i="1"/>
  <c r="A273" i="1"/>
  <c r="C272" i="1"/>
  <c r="A272" i="1"/>
  <c r="C271" i="1"/>
  <c r="A271" i="1"/>
  <c r="C270" i="1"/>
  <c r="A270" i="1"/>
  <c r="C269" i="1"/>
  <c r="A269" i="1"/>
  <c r="C268" i="1"/>
  <c r="A268" i="1"/>
  <c r="C267" i="1"/>
  <c r="A267" i="1"/>
  <c r="C266" i="1"/>
  <c r="A266" i="1"/>
  <c r="C265" i="1"/>
  <c r="A265" i="1"/>
  <c r="C264" i="1"/>
  <c r="A264" i="1"/>
  <c r="C263" i="1"/>
  <c r="A263" i="1"/>
  <c r="C262" i="1"/>
  <c r="A262" i="1"/>
  <c r="C261" i="1"/>
  <c r="A261" i="1"/>
  <c r="C260" i="1"/>
  <c r="A260" i="1"/>
  <c r="C259" i="1"/>
  <c r="A259" i="1"/>
  <c r="C258" i="1"/>
  <c r="A258" i="1"/>
  <c r="C257" i="1"/>
  <c r="A257" i="1"/>
  <c r="C256" i="1"/>
  <c r="A256" i="1"/>
  <c r="C255" i="1"/>
  <c r="A255" i="1"/>
  <c r="C254" i="1"/>
  <c r="A254" i="1"/>
  <c r="C253" i="1"/>
  <c r="A253" i="1"/>
  <c r="C252" i="1"/>
  <c r="A252" i="1"/>
  <c r="C251" i="1"/>
  <c r="A251" i="1"/>
  <c r="C250" i="1"/>
  <c r="A250" i="1"/>
  <c r="C249" i="1"/>
  <c r="A249" i="1"/>
  <c r="C248" i="1"/>
  <c r="A248" i="1"/>
  <c r="C247" i="1"/>
  <c r="A247" i="1"/>
  <c r="C246" i="1"/>
  <c r="A246" i="1"/>
  <c r="C245" i="1"/>
  <c r="A245" i="1"/>
  <c r="C244" i="1"/>
  <c r="A244" i="1"/>
  <c r="C243" i="1"/>
  <c r="A243" i="1"/>
  <c r="C242" i="1"/>
  <c r="A242" i="1"/>
  <c r="C241" i="1"/>
  <c r="A241" i="1"/>
  <c r="C240" i="1"/>
  <c r="A240" i="1"/>
  <c r="C239" i="1"/>
  <c r="A239" i="1"/>
  <c r="C238" i="1"/>
  <c r="A238" i="1"/>
  <c r="C237" i="1"/>
  <c r="A237" i="1"/>
  <c r="C236" i="1"/>
  <c r="A236" i="1"/>
  <c r="C235" i="1"/>
  <c r="A235" i="1"/>
  <c r="C234" i="1"/>
  <c r="A234" i="1"/>
  <c r="C233" i="1"/>
  <c r="A233" i="1"/>
  <c r="C232" i="1"/>
  <c r="A232" i="1"/>
  <c r="C231" i="1"/>
  <c r="A231" i="1"/>
  <c r="C230" i="1"/>
  <c r="A230" i="1"/>
  <c r="C229" i="1"/>
  <c r="A229" i="1"/>
  <c r="C228" i="1"/>
  <c r="A228" i="1"/>
  <c r="C227" i="1"/>
  <c r="A227" i="1"/>
  <c r="C226" i="1"/>
  <c r="A226" i="1"/>
  <c r="C225" i="1"/>
  <c r="A225" i="1"/>
  <c r="C224" i="1"/>
  <c r="A224" i="1"/>
  <c r="C223" i="1"/>
  <c r="A223" i="1"/>
  <c r="C222" i="1"/>
  <c r="A222" i="1"/>
  <c r="C221" i="1"/>
  <c r="A221" i="1"/>
  <c r="C220" i="1"/>
  <c r="A220" i="1"/>
  <c r="C219" i="1"/>
  <c r="A219" i="1"/>
  <c r="C218" i="1"/>
  <c r="A218" i="1"/>
  <c r="C217" i="1"/>
  <c r="A217" i="1"/>
  <c r="C216" i="1"/>
  <c r="A216" i="1"/>
  <c r="C215" i="1"/>
  <c r="A215" i="1"/>
  <c r="C214" i="1"/>
  <c r="A214" i="1"/>
  <c r="C213" i="1"/>
  <c r="A213" i="1"/>
  <c r="C212" i="1"/>
  <c r="A212" i="1"/>
  <c r="C211" i="1"/>
  <c r="A211" i="1"/>
  <c r="C210" i="1"/>
  <c r="A210" i="1"/>
  <c r="C209" i="1"/>
  <c r="A209" i="1"/>
  <c r="C208" i="1"/>
  <c r="A208" i="1"/>
  <c r="C207" i="1"/>
  <c r="A207" i="1"/>
  <c r="C206" i="1"/>
  <c r="A206" i="1"/>
  <c r="C205" i="1"/>
  <c r="A205" i="1"/>
  <c r="C204" i="1"/>
  <c r="A204" i="1"/>
  <c r="C203" i="1"/>
  <c r="A203" i="1"/>
  <c r="C202" i="1"/>
  <c r="A202" i="1"/>
  <c r="C201" i="1"/>
  <c r="A201" i="1"/>
  <c r="C200" i="1"/>
  <c r="A200" i="1"/>
  <c r="C199" i="1"/>
  <c r="A199" i="1"/>
  <c r="C198" i="1"/>
  <c r="A198" i="1"/>
  <c r="C197" i="1"/>
  <c r="A197" i="1"/>
  <c r="C196" i="1"/>
  <c r="A196" i="1"/>
  <c r="C195" i="1"/>
  <c r="A195" i="1"/>
  <c r="C194" i="1"/>
  <c r="A194" i="1"/>
  <c r="C193" i="1"/>
  <c r="A193" i="1"/>
  <c r="C192" i="1"/>
  <c r="A192" i="1"/>
  <c r="C191" i="1"/>
  <c r="A191" i="1"/>
  <c r="C190" i="1"/>
  <c r="A190" i="1"/>
  <c r="C189" i="1"/>
  <c r="A189" i="1"/>
  <c r="C188" i="1"/>
  <c r="A188" i="1"/>
  <c r="C187" i="1"/>
  <c r="A187" i="1"/>
  <c r="C186" i="1"/>
  <c r="A186" i="1"/>
  <c r="C185" i="1"/>
  <c r="A185" i="1"/>
  <c r="C184" i="1"/>
  <c r="A184" i="1"/>
  <c r="C183" i="1"/>
  <c r="A183" i="1"/>
  <c r="C182" i="1"/>
  <c r="A182" i="1"/>
  <c r="C181" i="1"/>
  <c r="A181" i="1"/>
  <c r="C180" i="1"/>
  <c r="A180" i="1"/>
  <c r="C179" i="1"/>
  <c r="A179" i="1"/>
  <c r="C178" i="1"/>
  <c r="A178" i="1"/>
  <c r="C177" i="1"/>
  <c r="A177" i="1"/>
  <c r="C176" i="1"/>
  <c r="A176" i="1"/>
  <c r="C175" i="1"/>
  <c r="A175" i="1"/>
  <c r="C174" i="1"/>
  <c r="A174" i="1"/>
  <c r="C173" i="1"/>
  <c r="A173" i="1"/>
  <c r="C172" i="1"/>
  <c r="A172" i="1"/>
  <c r="C171" i="1"/>
  <c r="A171" i="1"/>
  <c r="C170" i="1"/>
  <c r="A170" i="1"/>
  <c r="C169" i="1"/>
  <c r="A169" i="1"/>
  <c r="C168" i="1"/>
  <c r="A168" i="1"/>
  <c r="C167" i="1"/>
  <c r="A167" i="1"/>
  <c r="C166" i="1"/>
  <c r="A166" i="1"/>
  <c r="C165" i="1"/>
  <c r="A165" i="1"/>
  <c r="C164" i="1"/>
  <c r="A164" i="1"/>
  <c r="C163" i="1"/>
  <c r="A163" i="1"/>
  <c r="C162" i="1"/>
  <c r="A162" i="1"/>
  <c r="C161" i="1"/>
  <c r="A161" i="1"/>
  <c r="C160" i="1"/>
  <c r="A160" i="1"/>
  <c r="C159" i="1"/>
  <c r="A159" i="1"/>
  <c r="C158" i="1"/>
  <c r="A158" i="1"/>
  <c r="C157" i="1"/>
  <c r="A157" i="1"/>
  <c r="C156" i="1"/>
  <c r="A156" i="1"/>
  <c r="C155" i="1"/>
  <c r="A155" i="1"/>
  <c r="C154" i="1"/>
  <c r="A154" i="1"/>
  <c r="C153" i="1"/>
  <c r="A153" i="1"/>
  <c r="C152" i="1"/>
  <c r="A152" i="1"/>
  <c r="C151" i="1"/>
  <c r="A151" i="1"/>
  <c r="C150" i="1"/>
  <c r="A150" i="1"/>
  <c r="C149" i="1"/>
  <c r="A149" i="1"/>
  <c r="C148" i="1"/>
  <c r="A148" i="1"/>
  <c r="C147" i="1"/>
  <c r="A147" i="1"/>
  <c r="C146" i="1"/>
  <c r="A146" i="1"/>
  <c r="C145" i="1"/>
  <c r="A145" i="1"/>
  <c r="C144" i="1"/>
  <c r="A144" i="1"/>
  <c r="C143" i="1"/>
  <c r="A143" i="1"/>
  <c r="C142" i="1"/>
  <c r="A142" i="1"/>
  <c r="C141" i="1"/>
  <c r="A141" i="1"/>
  <c r="C140" i="1"/>
  <c r="A140" i="1"/>
  <c r="C139" i="1"/>
  <c r="A139" i="1"/>
  <c r="C138" i="1"/>
  <c r="A138" i="1"/>
  <c r="C137" i="1"/>
  <c r="A137" i="1"/>
  <c r="C136" i="1"/>
  <c r="A136" i="1"/>
  <c r="C135" i="1"/>
  <c r="A135" i="1"/>
  <c r="C134" i="1"/>
  <c r="A134" i="1"/>
  <c r="C133" i="1"/>
  <c r="A133" i="1"/>
  <c r="C132" i="1"/>
  <c r="A132" i="1"/>
  <c r="C131" i="1"/>
  <c r="A131" i="1"/>
  <c r="C130" i="1"/>
  <c r="A130" i="1"/>
  <c r="C129" i="1"/>
  <c r="A129" i="1"/>
  <c r="C128" i="1"/>
  <c r="A128" i="1"/>
  <c r="C127" i="1"/>
  <c r="A127" i="1"/>
  <c r="C126" i="1"/>
  <c r="A126" i="1"/>
  <c r="C125" i="1"/>
  <c r="A125" i="1"/>
  <c r="C124" i="1"/>
  <c r="A124" i="1"/>
  <c r="C123" i="1"/>
  <c r="A123" i="1"/>
  <c r="C122" i="1"/>
  <c r="A122" i="1"/>
  <c r="C121" i="1"/>
  <c r="A121" i="1"/>
  <c r="C120" i="1"/>
  <c r="A120" i="1"/>
  <c r="C119" i="1"/>
  <c r="A119" i="1"/>
  <c r="C118" i="1"/>
  <c r="A118" i="1"/>
  <c r="C117" i="1"/>
  <c r="A117" i="1"/>
  <c r="C116" i="1"/>
  <c r="A116" i="1"/>
  <c r="C115" i="1"/>
  <c r="A115" i="1"/>
  <c r="C114" i="1"/>
  <c r="A114" i="1"/>
  <c r="C113" i="1"/>
  <c r="A113" i="1"/>
  <c r="C112" i="1"/>
  <c r="A112" i="1"/>
  <c r="C111" i="1"/>
  <c r="A111" i="1"/>
  <c r="C110" i="1"/>
  <c r="A110" i="1"/>
  <c r="C109" i="1"/>
  <c r="A109" i="1"/>
  <c r="C108" i="1"/>
  <c r="A108" i="1"/>
  <c r="C107" i="1"/>
  <c r="A107" i="1"/>
  <c r="C106" i="1"/>
  <c r="A106" i="1"/>
  <c r="C105" i="1"/>
  <c r="A105" i="1"/>
  <c r="C104" i="1"/>
  <c r="A104" i="1"/>
  <c r="C103" i="1"/>
  <c r="A103" i="1"/>
  <c r="C102" i="1"/>
  <c r="A102" i="1"/>
  <c r="C101" i="1"/>
  <c r="A101" i="1"/>
  <c r="C100" i="1"/>
  <c r="A100" i="1"/>
  <c r="C99" i="1"/>
  <c r="A99" i="1"/>
  <c r="C98" i="1"/>
  <c r="A98" i="1"/>
  <c r="C97" i="1"/>
  <c r="A97" i="1"/>
  <c r="C96" i="1"/>
  <c r="A96" i="1"/>
  <c r="C95" i="1"/>
  <c r="A95" i="1"/>
  <c r="C94" i="1"/>
  <c r="A94" i="1"/>
  <c r="C93" i="1"/>
  <c r="A93" i="1"/>
  <c r="C92" i="1"/>
  <c r="A92" i="1"/>
  <c r="C91" i="1"/>
  <c r="A91" i="1"/>
  <c r="C90" i="1"/>
  <c r="A90" i="1"/>
  <c r="C89" i="1"/>
  <c r="A89" i="1"/>
  <c r="C88" i="1"/>
  <c r="A88" i="1"/>
  <c r="C87" i="1"/>
  <c r="A87" i="1"/>
  <c r="C86" i="1"/>
  <c r="A86" i="1"/>
  <c r="C85" i="1"/>
  <c r="A85" i="1"/>
  <c r="C84" i="1"/>
  <c r="A84" i="1"/>
  <c r="C83" i="1"/>
  <c r="A83" i="1"/>
  <c r="C82" i="1"/>
  <c r="A82" i="1"/>
  <c r="C81" i="1"/>
  <c r="A81" i="1"/>
  <c r="C80" i="1"/>
  <c r="A80" i="1"/>
  <c r="C79" i="1"/>
  <c r="A79" i="1"/>
  <c r="C78" i="1"/>
  <c r="A78" i="1"/>
  <c r="C77" i="1"/>
  <c r="A77" i="1"/>
  <c r="C76" i="1"/>
  <c r="A76" i="1"/>
  <c r="C75" i="1"/>
  <c r="A75" i="1"/>
  <c r="C74" i="1"/>
  <c r="A74" i="1"/>
  <c r="C73" i="1"/>
  <c r="A73" i="1"/>
  <c r="C72" i="1"/>
  <c r="A72" i="1"/>
  <c r="C71" i="1"/>
  <c r="A71" i="1"/>
  <c r="C70" i="1"/>
  <c r="A70" i="1"/>
  <c r="C69" i="1"/>
  <c r="A69" i="1"/>
  <c r="C68" i="1"/>
  <c r="A68" i="1"/>
  <c r="C67" i="1"/>
  <c r="A67" i="1"/>
  <c r="C66" i="1"/>
  <c r="A66" i="1"/>
  <c r="C65" i="1"/>
  <c r="A65" i="1"/>
  <c r="C64" i="1"/>
  <c r="A64" i="1"/>
  <c r="C63" i="1"/>
  <c r="A63" i="1"/>
  <c r="C62" i="1"/>
  <c r="A62" i="1"/>
  <c r="C61" i="1"/>
  <c r="A61" i="1"/>
  <c r="C60" i="1"/>
  <c r="A60" i="1"/>
  <c r="C59" i="1"/>
  <c r="A59" i="1"/>
  <c r="C58" i="1"/>
  <c r="A58" i="1"/>
  <c r="C57" i="1"/>
  <c r="A57" i="1"/>
  <c r="C56" i="1"/>
  <c r="A56" i="1"/>
  <c r="C55" i="1"/>
  <c r="A55" i="1"/>
  <c r="C54" i="1"/>
  <c r="A54" i="1"/>
  <c r="C53" i="1"/>
  <c r="A53" i="1"/>
  <c r="C52" i="1"/>
  <c r="A52" i="1"/>
  <c r="C51" i="1"/>
  <c r="A51" i="1"/>
  <c r="C50" i="1"/>
  <c r="A50" i="1"/>
  <c r="C49" i="1"/>
  <c r="A49" i="1"/>
  <c r="C48" i="1"/>
  <c r="A48" i="1"/>
  <c r="C47" i="1"/>
  <c r="A47" i="1"/>
  <c r="C46" i="1"/>
  <c r="A46" i="1"/>
  <c r="C45" i="1"/>
  <c r="A45" i="1"/>
  <c r="C44" i="1"/>
  <c r="A44" i="1"/>
  <c r="C43" i="1"/>
  <c r="A43" i="1"/>
  <c r="C42" i="1"/>
  <c r="A42" i="1"/>
  <c r="C41" i="1"/>
  <c r="A41" i="1"/>
  <c r="C40" i="1"/>
  <c r="A40" i="1"/>
  <c r="C39" i="1"/>
  <c r="A39" i="1"/>
  <c r="C38" i="1"/>
  <c r="A38" i="1"/>
  <c r="C37" i="1"/>
  <c r="A37" i="1"/>
  <c r="C36" i="1"/>
  <c r="A36" i="1"/>
  <c r="C35" i="1"/>
  <c r="A35" i="1"/>
  <c r="C34" i="1"/>
  <c r="A34" i="1"/>
  <c r="C33" i="1"/>
  <c r="A33" i="1"/>
  <c r="C32" i="1"/>
  <c r="A32" i="1"/>
  <c r="C31" i="1"/>
  <c r="A31" i="1"/>
  <c r="C30" i="1"/>
  <c r="A30" i="1"/>
  <c r="C29" i="1"/>
  <c r="A29" i="1"/>
  <c r="C28" i="1"/>
  <c r="A28" i="1"/>
  <c r="C27" i="1"/>
  <c r="A27" i="1"/>
  <c r="C26" i="1"/>
  <c r="A26" i="1"/>
  <c r="C25" i="1"/>
  <c r="A25" i="1"/>
  <c r="C24" i="1"/>
  <c r="A24" i="1"/>
  <c r="C23" i="1"/>
  <c r="A23" i="1"/>
  <c r="C22" i="1"/>
  <c r="A22" i="1"/>
  <c r="C21" i="1"/>
  <c r="A21" i="1"/>
  <c r="C20" i="1"/>
  <c r="A20" i="1"/>
  <c r="C19" i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C7" i="1"/>
  <c r="A7" i="1"/>
  <c r="C6" i="1"/>
  <c r="A6" i="1"/>
  <c r="C5" i="1"/>
  <c r="A5" i="1"/>
  <c r="C4" i="1"/>
  <c r="A4" i="1"/>
  <c r="C3" i="1"/>
  <c r="A3" i="1"/>
</calcChain>
</file>

<file path=xl/sharedStrings.xml><?xml version="1.0" encoding="utf-8"?>
<sst xmlns="http://schemas.openxmlformats.org/spreadsheetml/2006/main" count="46182" uniqueCount="8335">
  <si>
    <t>1K</t>
  </si>
  <si>
    <t>4K</t>
  </si>
  <si>
    <t>17K</t>
  </si>
  <si>
    <t>200Kp</t>
  </si>
  <si>
    <t>200Ks</t>
  </si>
  <si>
    <t>GI Number</t>
  </si>
  <si>
    <t xml:space="preserve"> </t>
  </si>
  <si>
    <t>Ctrl</t>
  </si>
  <si>
    <t>dDAVP</t>
  </si>
  <si>
    <t>Annotation</t>
  </si>
  <si>
    <t/>
  </si>
  <si>
    <t xml:space="preserve">APOBEC1 complementation factor </t>
  </si>
  <si>
    <t>lactosylceramide 4-alpha-galactosyltransferase</t>
  </si>
  <si>
    <t xml:space="preserve">aladin </t>
  </si>
  <si>
    <t>acetoacetyl-CoA synthetase</t>
  </si>
  <si>
    <t xml:space="preserve">alpha- and gamma-adaptin-binding protein p34 </t>
  </si>
  <si>
    <t>AP2 associated kinase 1 isoform 2</t>
  </si>
  <si>
    <t>AP2 associated kinase 1 isoform 1</t>
  </si>
  <si>
    <t>UPF0366 protein C11orf67 homolog isoform 1</t>
  </si>
  <si>
    <t>UPF0366 protein C11orf67 homolog isoform 3</t>
  </si>
  <si>
    <t>UPF0366 protein C11orf67 homolog isoform 4</t>
  </si>
  <si>
    <t>UPF0366 protein C11orf67 homolog isoform 2</t>
  </si>
  <si>
    <t>angio-associated migratory cell protein isoform 1</t>
  </si>
  <si>
    <t>angio-associated migratory cell protein isoform 2</t>
  </si>
  <si>
    <t xml:space="preserve">protein AAR2 homolog </t>
  </si>
  <si>
    <t xml:space="preserve">alanine--tRNA ligase, cytoplasmic </t>
  </si>
  <si>
    <t>alanine--tRNA ligase, mitochondrial precursor</t>
  </si>
  <si>
    <t>alanyl-tRNA editing protein Aarsd1</t>
  </si>
  <si>
    <t xml:space="preserve">L-aminoadipate-semialdehyde dehydrogenase-phosphopantetheinyl transferase </t>
  </si>
  <si>
    <t>protein AATF</t>
  </si>
  <si>
    <t>4-aminobutyrate aminotransferase, mitochondrial isoform 2 precursor</t>
  </si>
  <si>
    <t>4-aminobutyrate aminotransferase, mitochondrial isoform 1 precursor</t>
  </si>
  <si>
    <t>ATP-binding cassette sub-family A member 13</t>
  </si>
  <si>
    <t>ATP-binding cassette sub-family A member 2</t>
  </si>
  <si>
    <t>ATP-binding cassette sub-family A member 3</t>
  </si>
  <si>
    <t>retinal-specific ATP-binding cassette transporter</t>
  </si>
  <si>
    <t>ATP-binding cassette sub-family A member 5</t>
  </si>
  <si>
    <t>ATP-binding cassette sub-family A member 7</t>
  </si>
  <si>
    <t>ATP-binding cassette sub-family A member 9</t>
  </si>
  <si>
    <t xml:space="preserve">ATP-binding cassette sub-family B member 10, mitochondrial </t>
  </si>
  <si>
    <t xml:space="preserve">ATP-binding cassette sub-family B member 6, mitochondrial </t>
  </si>
  <si>
    <t xml:space="preserve">ATP-binding cassette sub-family B member 7, mitochondrial </t>
  </si>
  <si>
    <t>ATP-binding cassette sub-family B member 8, mitochondrial precursor</t>
  </si>
  <si>
    <t>multidrug resistance-associated protein 1</t>
  </si>
  <si>
    <t>canalicular multispecific organic anion transporter 1</t>
  </si>
  <si>
    <t>canalicular multispecific organic anion transporter 2</t>
  </si>
  <si>
    <t xml:space="preserve">ATP-binding cassette, sub-family C (CFTR/MRP), member 4 isoform 1 </t>
  </si>
  <si>
    <t xml:space="preserve">ATP-binding cassette, sub-family C (CFTR/MRP), member 4 isoform 2 </t>
  </si>
  <si>
    <t xml:space="preserve">ATP-binding cassette, sub-family C (CFTR/MRP), member 4 isoform 3 </t>
  </si>
  <si>
    <t>ATP-binding cassette sub-family D member 1</t>
  </si>
  <si>
    <t>ATP-binding cassette sub-family D member 3</t>
  </si>
  <si>
    <t>ATP-binding cassette sub-family D member 4</t>
  </si>
  <si>
    <t>ATP-binding cassette sub-family E member 1</t>
  </si>
  <si>
    <t>ATP-binding cassette sub-family F member 1</t>
  </si>
  <si>
    <t>ATP-binding cassette sub-family F member 2 isoform 1</t>
  </si>
  <si>
    <t>ATP-binding cassette sub-family F member 2 isoform 2</t>
  </si>
  <si>
    <t>ATP-binding cassette sub-family F member 3</t>
  </si>
  <si>
    <t>ATP-binding cassette sub-family G member 2</t>
  </si>
  <si>
    <t>abhydrolase domain-containing protein 10, mitochondrial precursor</t>
  </si>
  <si>
    <t>mycophenolic acid acyl-glucuronide esterase, mitochondrial isoform 2 precursor</t>
  </si>
  <si>
    <t xml:space="preserve">monoacylglycerol lipase ABHD12 </t>
  </si>
  <si>
    <t>abhydrolase domain-containing protein 13</t>
  </si>
  <si>
    <t xml:space="preserve">alpha/beta hydrolase domain-containing protein 14B </t>
  </si>
  <si>
    <t>abhydrolase domain-containing protein 16A</t>
  </si>
  <si>
    <t xml:space="preserve">abhydrolase domain-containing protein FAM108B1 precursor </t>
  </si>
  <si>
    <t>abhydrolase domain-containing protein 4 isoform 1</t>
  </si>
  <si>
    <t>abhydrolase domain-containing protein 4 isoform 2</t>
  </si>
  <si>
    <t xml:space="preserve">1-acylglycerol-3-phosphate O-acyltransferase ABHD5 </t>
  </si>
  <si>
    <t xml:space="preserve">monoacylglycerol lipase ABHD6 </t>
  </si>
  <si>
    <t xml:space="preserve">abl interactor 1 isoform 1 </t>
  </si>
  <si>
    <t xml:space="preserve">abl interactor 1 isoform 4 </t>
  </si>
  <si>
    <t xml:space="preserve">abl interactor 1 isoform 2 </t>
  </si>
  <si>
    <t xml:space="preserve">abl interactor 1 isoform 3 </t>
  </si>
  <si>
    <t xml:space="preserve">abl interactor 1 isoform 5 </t>
  </si>
  <si>
    <t xml:space="preserve">tyrosine-protein kinase ABL1 isoform b </t>
  </si>
  <si>
    <t xml:space="preserve">tyrosine-protein kinase ABL1 isoform a </t>
  </si>
  <si>
    <t>actin-binding LIM protein 1 isoform 1</t>
  </si>
  <si>
    <t>actin-binding LIM protein 1 isoform 2</t>
  </si>
  <si>
    <t>actin-binding LIM protein 1 isoform 3</t>
  </si>
  <si>
    <t xml:space="preserve">active breakpoint cluster region-related protein isoform 1 </t>
  </si>
  <si>
    <t xml:space="preserve">active breakpoint cluster region-related protein isoform 2 </t>
  </si>
  <si>
    <t xml:space="preserve">active breakpoint cluster region-related protein isoform 3 </t>
  </si>
  <si>
    <t>costars family protein ABRACL</t>
  </si>
  <si>
    <t xml:space="preserve">ankyrin repeat and BTB/POZ domain-containing protein 2 </t>
  </si>
  <si>
    <t xml:space="preserve">3-ketoacyl-CoA thiolase A, peroxisomal precursor </t>
  </si>
  <si>
    <t xml:space="preserve">3-ketoacyl-CoA thiolase B, peroxisomal precursor </t>
  </si>
  <si>
    <t xml:space="preserve">3-ketoacyl-CoA thiolase, mitochondrial </t>
  </si>
  <si>
    <t xml:space="preserve">acetyl-CoA carboxylase 1 </t>
  </si>
  <si>
    <t xml:space="preserve">acetyl-Coenzyme A carboxylase beta precursor </t>
  </si>
  <si>
    <t xml:space="preserve">acyl-CoA dehydrogenase family member 10 </t>
  </si>
  <si>
    <t xml:space="preserve">acyl-CoA dehydrogenase family member 11 </t>
  </si>
  <si>
    <t>acyl-Coenzyme A dehydrogenase family, member 10-like</t>
  </si>
  <si>
    <t>isobutyryl-CoA dehydrogenase, mitochondrial precursor</t>
  </si>
  <si>
    <t>acyl-CoA dehydrogenase family member 9, mitochondrial</t>
  </si>
  <si>
    <t>long-chain specific acyl-CoA dehydrogenase, mitochondrial precursor</t>
  </si>
  <si>
    <t>medium-chain specific acyl-CoA dehydrogenase, mitochondrial precursor</t>
  </si>
  <si>
    <t>short-chain specific acyl-CoA dehydrogenase, mitochondrial precursor</t>
  </si>
  <si>
    <t>short/branched chain specific acyl-CoA dehydrogenase, mitochondrial</t>
  </si>
  <si>
    <t xml:space="preserve">very long-chain specific acyl-CoA dehydrogenase, mitochondrial precursor </t>
  </si>
  <si>
    <t>arf-GAP with coiled-coil, ANK repeat and PH domain-containing protein 2</t>
  </si>
  <si>
    <t>acetyl-CoA acetyltransferase, mitochondrial precursor</t>
  </si>
  <si>
    <t xml:space="preserve">acetyl-CoA acetyltransferase, cytosolic </t>
  </si>
  <si>
    <t>acetyl-Coenzyme A acetyltransferase 3</t>
  </si>
  <si>
    <t>Golgi resident protein GCP60</t>
  </si>
  <si>
    <t>acyl-CoA-binding domain-containing protein 5 isoform d</t>
  </si>
  <si>
    <t xml:space="preserve">acyl-CoA-binding domain-containing protein 5 isoform a precursor </t>
  </si>
  <si>
    <t xml:space="preserve">acyl-CoA-binding domain-containing protein 5 isoform b precursor </t>
  </si>
  <si>
    <t>acyl-CoA-binding domain-containing protein 5 isoform c</t>
  </si>
  <si>
    <t>acyl-CoA-binding domain-containing protein 6 isoform 2</t>
  </si>
  <si>
    <t>acyl-CoA-binding domain-containing protein 6 isoform 3</t>
  </si>
  <si>
    <t>acyl-CoA-binding domain-containing protein 6 isoform 1</t>
  </si>
  <si>
    <t xml:space="preserve">adrenocortical dysplasia protein </t>
  </si>
  <si>
    <t xml:space="preserve">apoptotic chromatin condensation inducer in the nucleus isoform 1 </t>
  </si>
  <si>
    <t xml:space="preserve">apoptotic chromatin condensation inducer in the nucleus isoform 3 </t>
  </si>
  <si>
    <t xml:space="preserve">apoptotic chromatin condensation inducer in the nucleus isoform 5 </t>
  </si>
  <si>
    <t xml:space="preserve">apoptotic chromatin condensation inducer in the nucleus isoform 6 </t>
  </si>
  <si>
    <t xml:space="preserve">apoptotic chromatin condensation inducer in the nucleus isoform 2 </t>
  </si>
  <si>
    <t xml:space="preserve">apoptotic chromatin condensation inducer in the nucleus isoform 4 </t>
  </si>
  <si>
    <t>ATP-citrate synthase isoform 2</t>
  </si>
  <si>
    <t>ATP-citrate synthase isoform 1</t>
  </si>
  <si>
    <t xml:space="preserve">cytoplasmic aconitate hydratase </t>
  </si>
  <si>
    <t>aconitate hydratase, mitochondrial precursor</t>
  </si>
  <si>
    <t>acyl-coenzyme A thioesterase 1</t>
  </si>
  <si>
    <t>acyl-coenzyme A thioesterase 10, mitochondrial precursor</t>
  </si>
  <si>
    <t>acyl-coenzyme A thioesterase 12</t>
  </si>
  <si>
    <t>acyl-coenzyme A thioesterase 13</t>
  </si>
  <si>
    <t>acyl-coenzyme A thioesterase 2, mitochondrial precursor</t>
  </si>
  <si>
    <t>acyl-coenzyme A thioesterase 3</t>
  </si>
  <si>
    <t>acyl-coenzyme A thioesterase 4</t>
  </si>
  <si>
    <t>acyl-coenzyme A thioesterase 5</t>
  </si>
  <si>
    <t>acyl-coenzyme A thioesterase 6</t>
  </si>
  <si>
    <t>cytosolic acyl coenzyme A thioester hydrolase isoform 2</t>
  </si>
  <si>
    <t>cytosolic acyl coenzyme A thioester hydrolase isoform 1</t>
  </si>
  <si>
    <t>cytosolic acyl coenzyme A thioester hydrolase isoform 3</t>
  </si>
  <si>
    <t>acyl-coenzyme A thioesterase 8</t>
  </si>
  <si>
    <t xml:space="preserve">acyl-coenzyme A thioesterase 9, mitochondrial </t>
  </si>
  <si>
    <t xml:space="preserve">peroxisomal acyl-coenzyme A oxidase 1 isoform 2 </t>
  </si>
  <si>
    <t xml:space="preserve">peroxisomal acyl-coenzyme A oxidase 1 isoform 1 </t>
  </si>
  <si>
    <t xml:space="preserve">peroxisomal acyl-coenzyme A oxidase 3 </t>
  </si>
  <si>
    <t>low molecular weight phosphotyrosine protein phosphatase isoform 1</t>
  </si>
  <si>
    <t>lysosomal acid phosphatase precursor</t>
  </si>
  <si>
    <t>lysophosphatidic acid phosphatase type 6 precursor</t>
  </si>
  <si>
    <t xml:space="preserve">acyl-CoA synthetase family member 2, mitochondrial precursor </t>
  </si>
  <si>
    <t xml:space="preserve">acyl-CoA synthetase family member 3, mitochondrial precursor </t>
  </si>
  <si>
    <t xml:space="preserve">long-chain-fatty-acid--CoA ligase 1 </t>
  </si>
  <si>
    <t xml:space="preserve">long-chain-fatty-acid--CoA ligase 3 isoform b </t>
  </si>
  <si>
    <t xml:space="preserve">long-chain-fatty-acid--CoA ligase 3 isoform a </t>
  </si>
  <si>
    <t xml:space="preserve">long-chain-fatty-acid--CoA ligase 4 isoform 1 </t>
  </si>
  <si>
    <t xml:space="preserve">long-chain-fatty-acid--CoA ligase 4 isoform 2 </t>
  </si>
  <si>
    <t xml:space="preserve">long-chain-fatty-acid--CoA ligase 5 </t>
  </si>
  <si>
    <t>acetyl-coenzyme A synthetase, cytoplasmic</t>
  </si>
  <si>
    <t>actin, alpha skeletal muscle</t>
  </si>
  <si>
    <t>actin, aortic smooth muscle</t>
  </si>
  <si>
    <t xml:space="preserve">actin, cytoplasmic 1 </t>
  </si>
  <si>
    <t xml:space="preserve">beta-actin-like protein 2 </t>
  </si>
  <si>
    <t xml:space="preserve">actin, alpha cardiac muscle 1 </t>
  </si>
  <si>
    <t xml:space="preserve">actin, cytoplasmic 2 </t>
  </si>
  <si>
    <t>actin, gamma-enteric smooth muscle</t>
  </si>
  <si>
    <t xml:space="preserve">actin-like protein 6A </t>
  </si>
  <si>
    <t xml:space="preserve">actin-like protein 6B </t>
  </si>
  <si>
    <t xml:space="preserve">alpha-actinin-1 </t>
  </si>
  <si>
    <t xml:space="preserve">alpha-actinin-2 </t>
  </si>
  <si>
    <t xml:space="preserve">alpha-actinin-3 </t>
  </si>
  <si>
    <t xml:space="preserve">alpha-actinin-4 </t>
  </si>
  <si>
    <t xml:space="preserve">actin-related protein 10 </t>
  </si>
  <si>
    <t xml:space="preserve">alpha-centractin </t>
  </si>
  <si>
    <t xml:space="preserve">beta-centractin </t>
  </si>
  <si>
    <t xml:space="preserve">actin-related protein 2 </t>
  </si>
  <si>
    <t xml:space="preserve">actin-related protein 3 </t>
  </si>
  <si>
    <t xml:space="preserve">actin-related protein 3B </t>
  </si>
  <si>
    <t xml:space="preserve">aminoacylase-1 </t>
  </si>
  <si>
    <t xml:space="preserve">aspartoacylase-2 </t>
  </si>
  <si>
    <t xml:space="preserve">acylphosphatase-1 </t>
  </si>
  <si>
    <t xml:space="preserve">disintegrin and metalloproteinase domain-containing protein 10 precursor </t>
  </si>
  <si>
    <t>disintegrin and metalloproteinase domain-containing protein 17 isoform 2</t>
  </si>
  <si>
    <t xml:space="preserve">disintegrin and metalloproteinase domain-containing protein 17 precursor </t>
  </si>
  <si>
    <t xml:space="preserve">disintegrin and metalloproteinase domain-containing protein 9 precursor </t>
  </si>
  <si>
    <t>disintegrin and metalloproteinase domain-containing protein 9 isoform 1</t>
  </si>
  <si>
    <t xml:space="preserve">ADAM metallopeptidase with thrombospondin type 1 motif, 17 precursor </t>
  </si>
  <si>
    <t>ADAMTS-like protein 5 isoform 1 precursor</t>
  </si>
  <si>
    <t xml:space="preserve">centaurin, alpha 1 </t>
  </si>
  <si>
    <t xml:space="preserve">arf-GAP with dual PH domain-containing protein 2 </t>
  </si>
  <si>
    <t>double-stranded RNA-specific adenosine deaminase isoform 3</t>
  </si>
  <si>
    <t>double-stranded RNA-specific adenosine deaminase isoform 1</t>
  </si>
  <si>
    <t>double-stranded RNA-specific adenosine deaminase isoform 2</t>
  </si>
  <si>
    <t>tRNA-specific adenosine deaminase 1</t>
  </si>
  <si>
    <t>tRNA-specific adenosine deaminase 2</t>
  </si>
  <si>
    <t xml:space="preserve">tRNA-specific adenosine deaminase-like protein 3 </t>
  </si>
  <si>
    <t xml:space="preserve">uncharacterized aarF domain-containing protein kinase 1 precursor </t>
  </si>
  <si>
    <t>uncharacterized aarF domain-containing protein kinase 5</t>
  </si>
  <si>
    <t>adenylate cyclase type 5</t>
  </si>
  <si>
    <t>adenylate cyclase type 6</t>
  </si>
  <si>
    <t xml:space="preserve">alpha-adducin isoform 1 </t>
  </si>
  <si>
    <t xml:space="preserve">alpha-adducin isoform 3 </t>
  </si>
  <si>
    <t xml:space="preserve">alpha-adducin isoform 2 </t>
  </si>
  <si>
    <t xml:space="preserve">beta-adducin isoform 1 </t>
  </si>
  <si>
    <t xml:space="preserve">beta-adducin isoform 2 </t>
  </si>
  <si>
    <t xml:space="preserve">alcohol dehydrogenase 1 </t>
  </si>
  <si>
    <t xml:space="preserve">alcohol dehydrogenase class-3 </t>
  </si>
  <si>
    <t>alcohol dehydrogenase class 4 mu/sigma chain</t>
  </si>
  <si>
    <t>1,2-dihydroxy-3-keto-5-methylthiopentene dioxygenase</t>
  </si>
  <si>
    <t>adiponectin receptor protein 1</t>
  </si>
  <si>
    <t>adenosine kinase isoform 1</t>
  </si>
  <si>
    <t>adenosine kinase isoform 2</t>
  </si>
  <si>
    <t>activity-dependent neuroprotector homeobox protein</t>
  </si>
  <si>
    <t>2-aminoethanethiol dioxygenase</t>
  </si>
  <si>
    <t xml:space="preserve">ADP-dependent glucokinase precursor </t>
  </si>
  <si>
    <t xml:space="preserve">[Protein ADP-ribosylarginine] hydrolase </t>
  </si>
  <si>
    <t xml:space="preserve">poly(ADP-ribose) glycohydrolase ARH3 </t>
  </si>
  <si>
    <t>beta-adrenergic receptor kinase 1</t>
  </si>
  <si>
    <t>beta-adrenergic receptor kinase 2 isoform 1</t>
  </si>
  <si>
    <t>proteasomal ubiquitin receptor ADRM1</t>
  </si>
  <si>
    <t>adenylosuccinate lyase</t>
  </si>
  <si>
    <t>adenylosuccinate synthetase isozyme 2</t>
  </si>
  <si>
    <t>adenylosuccinate synthetase isozyme 1</t>
  </si>
  <si>
    <t>actin filament-associated protein 1</t>
  </si>
  <si>
    <t xml:space="preserve">actin filament-associated protein 1-like 2 isoform 3 </t>
  </si>
  <si>
    <t xml:space="preserve">actin filament-associated protein 1-like 2 isoform 1 </t>
  </si>
  <si>
    <t xml:space="preserve">actin filament-associated protein 1-like 2 isoform 2 </t>
  </si>
  <si>
    <t>AF4/FMR2 family member 4</t>
  </si>
  <si>
    <t xml:space="preserve">AFG3-like protein 1 </t>
  </si>
  <si>
    <t xml:space="preserve">AFG3-like protein 2 </t>
  </si>
  <si>
    <t>kynurenine formamidase</t>
  </si>
  <si>
    <t xml:space="preserve">aftiphilin isoform 1 </t>
  </si>
  <si>
    <t xml:space="preserve">aftiphilin isoform 2 </t>
  </si>
  <si>
    <t>N(4)-(beta-N-acetylglucosaminyl)-L-asparaginase isoform 2 precursor</t>
  </si>
  <si>
    <t>N(4)-(beta-N-acetylglucosaminyl)-L-asparaginase isoform 1 precursor</t>
  </si>
  <si>
    <t xml:space="preserve">cytosolic carboxypeptidase 4 </t>
  </si>
  <si>
    <t xml:space="preserve">arf-GAP domain and FG repeat-containing protein 1 </t>
  </si>
  <si>
    <t xml:space="preserve">arf-GAP domain and FG repeat-containing protein 2 isoform 1 </t>
  </si>
  <si>
    <t xml:space="preserve">arf-GAP domain and FG repeat-containing protein 2 isoform 2 </t>
  </si>
  <si>
    <t>acylglycerol kinase, mitochondrial precursor</t>
  </si>
  <si>
    <t xml:space="preserve">glycogen debranching enzyme </t>
  </si>
  <si>
    <t>protein argonaute-1</t>
  </si>
  <si>
    <t>protein argonaute-2</t>
  </si>
  <si>
    <t>protein argonaute-3</t>
  </si>
  <si>
    <t>protein argonaute-4</t>
  </si>
  <si>
    <t>1-acyl-sn-glycerol-3-phosphate acyltransferase beta precursor</t>
  </si>
  <si>
    <t xml:space="preserve">1-acyl-sn-glycerol-3-phosphate acyltransferase gamma </t>
  </si>
  <si>
    <t xml:space="preserve">1-acyl-sn-glycerol-3-phosphate acyltransferase delta </t>
  </si>
  <si>
    <t xml:space="preserve">1-acyl-sn-glycerol-3-phosphate acyltransferase epsilon </t>
  </si>
  <si>
    <t xml:space="preserve">alkyldihydroxyacetonephosphate synthase, peroxisomal </t>
  </si>
  <si>
    <t>agrin precursor</t>
  </si>
  <si>
    <t xml:space="preserve">adenosylhomocysteinase </t>
  </si>
  <si>
    <t xml:space="preserve">putative adenosylhomocysteinase 2 </t>
  </si>
  <si>
    <t xml:space="preserve">putative adenosylhomocysteinase 3 isoform 3 </t>
  </si>
  <si>
    <t xml:space="preserve">putative adenosylhomocysteinase 3 isoform 1 </t>
  </si>
  <si>
    <t xml:space="preserve">putative adenosylhomocysteinase 3 isoform 2 </t>
  </si>
  <si>
    <t>AHNAK nucleoprotein isoform 3</t>
  </si>
  <si>
    <t>AHNAK nucleoprotein isoform 1</t>
  </si>
  <si>
    <t>activator of 90 kDa heat shock protein ATPase homolog 1</t>
  </si>
  <si>
    <t>activator of 90 kDa heat shock protein ATPase homolog 2</t>
  </si>
  <si>
    <t>proteasome-associated protein ECM29 homolog</t>
  </si>
  <si>
    <t xml:space="preserve">UPF0723 protein C11orf83 homolog precursor </t>
  </si>
  <si>
    <t xml:space="preserve">UPF0444 transmembrane protein C12orf23 homolog </t>
  </si>
  <si>
    <t>uncharacterized protein C6orf132 homolog</t>
  </si>
  <si>
    <t>UPF0696 protein C11orf68 homolog isoform a</t>
  </si>
  <si>
    <t>axin interactor, dorsalization-associated protein</t>
  </si>
  <si>
    <t>allograft inflammatory factor 1-like</t>
  </si>
  <si>
    <t xml:space="preserve">apoptosis-inducing factor 1, mitochondrial precursor </t>
  </si>
  <si>
    <t xml:space="preserve">apoptosis-inducing factor 2 isoform 1 </t>
  </si>
  <si>
    <t xml:space="preserve">apoptosis-inducing factor 2 isoform 2 </t>
  </si>
  <si>
    <t xml:space="preserve">absent in melanoma 1 protein </t>
  </si>
  <si>
    <t xml:space="preserve">aminoacyl tRNA synthase complex-interacting multifunctional protein 1 </t>
  </si>
  <si>
    <t xml:space="preserve">aminoacyl tRNA synthase complex-interacting multifunctional protein 2 isoform 2 </t>
  </si>
  <si>
    <t xml:space="preserve">aminoacyl tRNA synthase complex-interacting multifunctional protein 2 isoform 1 </t>
  </si>
  <si>
    <t xml:space="preserve">AH receptor-interacting protein </t>
  </si>
  <si>
    <t>uncharacterized protein C14orf142 homolog</t>
  </si>
  <si>
    <t>adenylate kinase 2, mitochondrial isoform b</t>
  </si>
  <si>
    <t>adenylate kinase 2, mitochondrial isoform a</t>
  </si>
  <si>
    <t>GTP:AMP phosphotransferase AK3, mitochondrial</t>
  </si>
  <si>
    <t>A-kinase anchor protein 12</t>
  </si>
  <si>
    <t>A kinase (PRKA) anchor protein 13</t>
  </si>
  <si>
    <t>A-kinase anchor protein 2 isoform 3</t>
  </si>
  <si>
    <t>A-kinase anchor protein 2 isoform 2</t>
  </si>
  <si>
    <t>A-kinase anchor protein 2 isoform 1</t>
  </si>
  <si>
    <t>A-kinase anchor protein 8</t>
  </si>
  <si>
    <t>A-kinase anchor protein 9</t>
  </si>
  <si>
    <t xml:space="preserve">alcohol dehydrogenase [NADP(+)] </t>
  </si>
  <si>
    <t>aldo-keto reductase family 1, member B10</t>
  </si>
  <si>
    <t>aldose reductase</t>
  </si>
  <si>
    <t>aldose reductase-related protein 1</t>
  </si>
  <si>
    <t>aldose reductase-related protein 2</t>
  </si>
  <si>
    <t>aldo-keto reductase family 1, member C12</t>
  </si>
  <si>
    <t>aldo-keto reductase family 1 member C13</t>
  </si>
  <si>
    <t>aldo-keto reductase family 1, member C19</t>
  </si>
  <si>
    <t>1,5-anhydro-D-fructose reductase</t>
  </si>
  <si>
    <t>aflatoxin B1 aldehyde reductase member 2</t>
  </si>
  <si>
    <t xml:space="preserve">RAC-alpha serine/threonine-protein kinase isoform 2 </t>
  </si>
  <si>
    <t xml:space="preserve">RAC-alpha serine/threonine-protein kinase isoform 1 </t>
  </si>
  <si>
    <t>proline-rich AKT1 substrate 1</t>
  </si>
  <si>
    <t xml:space="preserve">RAC-beta serine/threonine-protein kinase </t>
  </si>
  <si>
    <t xml:space="preserve">RAC-gamma serine/threonine-protein kinase </t>
  </si>
  <si>
    <t>AKT-interacting protein</t>
  </si>
  <si>
    <t xml:space="preserve">delta-aminolevulinic acid dehydratase </t>
  </si>
  <si>
    <t xml:space="preserve">serum albumin precursor </t>
  </si>
  <si>
    <t xml:space="preserve">CD166 antigen precursor </t>
  </si>
  <si>
    <t>aldehyde dehydrogenase family 16 member A1</t>
  </si>
  <si>
    <t>delta-1-pyrroline-5-carboxylate synthase isoform 1</t>
  </si>
  <si>
    <t>delta-1-pyrroline-5-carboxylate synthase isoform 2</t>
  </si>
  <si>
    <t xml:space="preserve">retinal dehydrogenase 1 </t>
  </si>
  <si>
    <t>aldehyde dehydrogenase, cytosolic 1</t>
  </si>
  <si>
    <t>aldehyde dehydrogenase, mitochondrial precursor</t>
  </si>
  <si>
    <t>aldehyde dehydrogenase, dimeric NADP-preferring</t>
  </si>
  <si>
    <t xml:space="preserve">fatty aldehyde dehydrogenase </t>
  </si>
  <si>
    <t>aldehyde dehydrogenase family 3 member B1</t>
  </si>
  <si>
    <t>aldehyde dehydrogenase 3 family, member B2</t>
  </si>
  <si>
    <t>succinate-semialdehyde dehydrogenase, mitochondrial precursor</t>
  </si>
  <si>
    <t xml:space="preserve">methylmalonate-semialdehyde dehydrogenase [acylating], mitochondrial precursor </t>
  </si>
  <si>
    <t xml:space="preserve">alpha-aminoadipic semialdehyde dehydrogenase isoform b </t>
  </si>
  <si>
    <t xml:space="preserve">alpha-aminoadipic semialdehyde dehydrogenase isoform a </t>
  </si>
  <si>
    <t>4-trimethylaminobutyraldehyde dehydrogenase</t>
  </si>
  <si>
    <t>fructose-bisphosphate aldolase A isoform 1 precursor</t>
  </si>
  <si>
    <t xml:space="preserve">fructose-bisphosphate aldolase A isoform 2 </t>
  </si>
  <si>
    <t xml:space="preserve">aldolase 1 A retrogene 1 </t>
  </si>
  <si>
    <t xml:space="preserve">fructose-bisphosphate aldolase A-like </t>
  </si>
  <si>
    <t xml:space="preserve">fructose-bisphosphate aldolase B </t>
  </si>
  <si>
    <t xml:space="preserve">fructose-bisphosphate aldolase C </t>
  </si>
  <si>
    <t>dol-P-Man:Man(7)GlcNAc(2)-PP-Dol alpha-1,6-mannosyltransferase isoform 1</t>
  </si>
  <si>
    <t xml:space="preserve">UDP-N-acetylglucosamine transferase subunit ALG14 homolog </t>
  </si>
  <si>
    <t>dolichyl-phosphate beta-glucosyltransferase</t>
  </si>
  <si>
    <t xml:space="preserve">alpha-ketoglutarate-dependent dioxygenase alkB homolog 3 </t>
  </si>
  <si>
    <t xml:space="preserve">RNA demethylase ALKBH5 </t>
  </si>
  <si>
    <t xml:space="preserve">alsin isoform 2 </t>
  </si>
  <si>
    <t xml:space="preserve">alsin isoform 1 </t>
  </si>
  <si>
    <t>THO complex subunit 4</t>
  </si>
  <si>
    <t>aly/REF export factor 2</t>
  </si>
  <si>
    <t>alpha-methylacyl-CoA racemase</t>
  </si>
  <si>
    <t xml:space="preserve">putative N-acetylglucosamine-6-phosphate deacetylase </t>
  </si>
  <si>
    <t>E3 ubiquitin-protein ligase AMFR</t>
  </si>
  <si>
    <t xml:space="preserve">AMME syndrome candidate gene 1 protein homolog </t>
  </si>
  <si>
    <t>AMMECR1-like protein isoform 2</t>
  </si>
  <si>
    <t>AMMECR1-like protein isoform 1</t>
  </si>
  <si>
    <t xml:space="preserve">AMP deaminase 1 </t>
  </si>
  <si>
    <t xml:space="preserve">AMP deaminase 2 </t>
  </si>
  <si>
    <t xml:space="preserve">AMP deaminase 3 </t>
  </si>
  <si>
    <t>anaphase-promoting complex subunit 1</t>
  </si>
  <si>
    <t>anaphase-promoting complex subunit 11</t>
  </si>
  <si>
    <t>anaphase-promoting complex subunit 13</t>
  </si>
  <si>
    <t>anaphase-promoting complex subunit 16</t>
  </si>
  <si>
    <t>anaphase-promoting complex subunit 2</t>
  </si>
  <si>
    <t>anaphase-promoting complex subunit 4</t>
  </si>
  <si>
    <t>anaphase-promoting complex subunit 5 isoform a</t>
  </si>
  <si>
    <t>anaphase-promoting complex subunit 5 isoform b</t>
  </si>
  <si>
    <t>protein angel homolog 1</t>
  </si>
  <si>
    <t xml:space="preserve">ankyrin-3 isoform i </t>
  </si>
  <si>
    <t xml:space="preserve">ankyrin-3 isoform g </t>
  </si>
  <si>
    <t xml:space="preserve">ankyrin-3 isoform f </t>
  </si>
  <si>
    <t xml:space="preserve">ankyrin-3 isoform a </t>
  </si>
  <si>
    <t xml:space="preserve">ankyrin-3 isoform d </t>
  </si>
  <si>
    <t xml:space="preserve">ankyrin-3 isoform b </t>
  </si>
  <si>
    <t xml:space="preserve">ankyrin-3 isoform e </t>
  </si>
  <si>
    <t xml:space="preserve">ankyrin-3 isoform h </t>
  </si>
  <si>
    <t xml:space="preserve">ankyrin-3 isoform c </t>
  </si>
  <si>
    <t xml:space="preserve">ankyrin repeat and FYVE domain-containing protein 1 </t>
  </si>
  <si>
    <t xml:space="preserve">ankyrin repeat and KH domain-containing protein 1 </t>
  </si>
  <si>
    <t xml:space="preserve">ankyrin repeat and IBR domain-containing protein 1 </t>
  </si>
  <si>
    <t xml:space="preserve">ankyrin repeat and LEM domain containing 1 </t>
  </si>
  <si>
    <t xml:space="preserve">ankyrin repeat and MYND domain-containing protein 2 </t>
  </si>
  <si>
    <t xml:space="preserve">ankyrin repeat domain-containing protein 13A </t>
  </si>
  <si>
    <t xml:space="preserve">ankyrin repeat domain-containing protein 13D </t>
  </si>
  <si>
    <t xml:space="preserve">ankyrin repeat domain-containing protein 17 isoform b </t>
  </si>
  <si>
    <t xml:space="preserve">ankyrin repeat domain-containing protein 17 isoform a </t>
  </si>
  <si>
    <t xml:space="preserve">ankyrin repeat domain-containing protein 22 </t>
  </si>
  <si>
    <t>serine/threonine-protein phosphatase 6 regulatory ankyrin repeat subunit A</t>
  </si>
  <si>
    <t xml:space="preserve">ankyrin repeat domain-containing protein 40 isoform 1 </t>
  </si>
  <si>
    <t xml:space="preserve">ankyrin repeat domain-containing protein 40 isoform 2 </t>
  </si>
  <si>
    <t xml:space="preserve">ankyrin repeat domain-containing protein 46 </t>
  </si>
  <si>
    <t xml:space="preserve">ankyrin repeat and SAM domain-containing protein 1A </t>
  </si>
  <si>
    <t xml:space="preserve">ankyrin repeat and SAM domain-containing protein 3 </t>
  </si>
  <si>
    <t>ankyrin repeat and zinc finger domain-containing protein 1 isoform 1</t>
  </si>
  <si>
    <t xml:space="preserve">actin-binding protein anillin </t>
  </si>
  <si>
    <t xml:space="preserve">anoctamin-10 isoform 1 </t>
  </si>
  <si>
    <t xml:space="preserve">anoctamin-10 isoform 2 </t>
  </si>
  <si>
    <t xml:space="preserve">anoctamin-6 isoform 1 </t>
  </si>
  <si>
    <t xml:space="preserve">anoctamin-6 isoform 2 </t>
  </si>
  <si>
    <t>acidic leucine-rich nuclear phosphoprotein 32 family member A</t>
  </si>
  <si>
    <t>acidic leucine-rich nuclear phosphoprotein 32 family member B</t>
  </si>
  <si>
    <t>acidic leucine-rich nuclear phosphoprotein 32 family member E isoform 3</t>
  </si>
  <si>
    <t>acidic leucine-rich nuclear phosphoprotein 32 family member E isoform 1</t>
  </si>
  <si>
    <t>acidic leucine-rich nuclear phosphoprotein 32 family member E isoform 2</t>
  </si>
  <si>
    <t>aminopeptidase N</t>
  </si>
  <si>
    <t>annexin A1</t>
  </si>
  <si>
    <t>annexin A11</t>
  </si>
  <si>
    <t>annexin A2</t>
  </si>
  <si>
    <t>annexin A3</t>
  </si>
  <si>
    <t>annexin A4</t>
  </si>
  <si>
    <t>annexin A5</t>
  </si>
  <si>
    <t>annexin A6 isoform b</t>
  </si>
  <si>
    <t>annexin A6 isoform a</t>
  </si>
  <si>
    <t>annexin A7</t>
  </si>
  <si>
    <t>annexin A9</t>
  </si>
  <si>
    <t>retina-specific copper amine oxidase</t>
  </si>
  <si>
    <t>membrane primary amine oxidase</t>
  </si>
  <si>
    <t>AP-1 complex subunit beta-1 isoform 1</t>
  </si>
  <si>
    <t>AP-1 complex subunit beta-1 isoform 3</t>
  </si>
  <si>
    <t>AP-1 complex subunit beta-1 isoform 2</t>
  </si>
  <si>
    <t>AP-1 complex subunit gamma-1</t>
  </si>
  <si>
    <t xml:space="preserve">AP-1 complex subunit gamma-like 2 </t>
  </si>
  <si>
    <t>AP-1 complex subunit mu-1</t>
  </si>
  <si>
    <t>AP-1 complex subunit mu-2 isoform 1</t>
  </si>
  <si>
    <t>AP-1 complex subunit mu-2 isoform 2</t>
  </si>
  <si>
    <t>AP-1 complex subunit sigma-1A</t>
  </si>
  <si>
    <t>AP-1 complex subunit sigma-2</t>
  </si>
  <si>
    <t>AP-1 complex subunit sigma-3</t>
  </si>
  <si>
    <t>AP-2 complex subunit alpha-1 isoform b</t>
  </si>
  <si>
    <t>AP-2 complex subunit alpha-1 isoform a</t>
  </si>
  <si>
    <t>AP-2 complex subunit alpha-2</t>
  </si>
  <si>
    <t>AP-2 complex subunit beta isoform b</t>
  </si>
  <si>
    <t>AP-2 complex subunit beta isoform a</t>
  </si>
  <si>
    <t>AP-2 complex subunit mu</t>
  </si>
  <si>
    <t>AP-2 complex subunit sigma</t>
  </si>
  <si>
    <t>AP-3 complex subunit beta-1</t>
  </si>
  <si>
    <t>AP-3 complex subunit beta-2</t>
  </si>
  <si>
    <t>AP-3 complex subunit delta-1</t>
  </si>
  <si>
    <t>AP-3 complex subunit mu-1</t>
  </si>
  <si>
    <t>AP-3 complex subunit mu-2</t>
  </si>
  <si>
    <t>AP-3 complex subunit sigma-1</t>
  </si>
  <si>
    <t>AP-3 complex subunit sigma-2</t>
  </si>
  <si>
    <t>AP-4 complex subunit beta-1 isoform a</t>
  </si>
  <si>
    <t>AP-4 complex subunit beta-1 isoform b</t>
  </si>
  <si>
    <t>AP-4 complex subunit sigma-1</t>
  </si>
  <si>
    <t>AP-5 complex subunit beta-1</t>
  </si>
  <si>
    <t>AP-5 complex subunit mu-1</t>
  </si>
  <si>
    <t>AP-5 complex subunit sigma-1</t>
  </si>
  <si>
    <t>AP-5 complex subunit zeta-1</t>
  </si>
  <si>
    <t>apoptotic protease-activating factor 1</t>
  </si>
  <si>
    <t xml:space="preserve">protein APCDD1 precursor </t>
  </si>
  <si>
    <t>acylamino-acid-releasing enzyme</t>
  </si>
  <si>
    <t xml:space="preserve">DNA-(apurinic or apyrimidinic site) lyase </t>
  </si>
  <si>
    <t xml:space="preserve">gamma-secretase subunit APH-1A isoform 2 </t>
  </si>
  <si>
    <t xml:space="preserve">gamma-secretase subunit APH-1A isoform 1 </t>
  </si>
  <si>
    <t xml:space="preserve">apoptosis inhibitor 5 </t>
  </si>
  <si>
    <t>methylthioribulose-1-phosphate dehydratase</t>
  </si>
  <si>
    <t>aprataxin and PNK-like factor isoform 1</t>
  </si>
  <si>
    <t>aprataxin and PNK-like factor isoform 2</t>
  </si>
  <si>
    <t>amyloid-like protein 2 isoform a precursor</t>
  </si>
  <si>
    <t>amyloid-like protein 2 isoform b precursor</t>
  </si>
  <si>
    <t>amyloid-like protein 2 isoform c precursor</t>
  </si>
  <si>
    <t>adipocyte plasma membrane-associated protein</t>
  </si>
  <si>
    <t xml:space="preserve">NAD(P)H-hydrate epimerase precursor </t>
  </si>
  <si>
    <t>DNA dC-_dU-editing enzyme APOBEC-3 isoform 1</t>
  </si>
  <si>
    <t>DNA dC-_dU-editing enzyme APOBEC-3 isoform 2</t>
  </si>
  <si>
    <t xml:space="preserve">apolipoprotein L 10b </t>
  </si>
  <si>
    <t>apolipoprotein O isoform 1</t>
  </si>
  <si>
    <t>apolipoprotein O isoform 3</t>
  </si>
  <si>
    <t>apolipoprotein O isoform 2</t>
  </si>
  <si>
    <t xml:space="preserve">apolipoprotein O-like precursor </t>
  </si>
  <si>
    <t xml:space="preserve">amyloid beta A4 protein isoform 1 precursor </t>
  </si>
  <si>
    <t xml:space="preserve">amyloid beta A4 protein isoform 3 precursor </t>
  </si>
  <si>
    <t xml:space="preserve">amyloid beta A4 protein isoform 5 precursor </t>
  </si>
  <si>
    <t xml:space="preserve">amyloid beta A4 protein isoform 6 precursor </t>
  </si>
  <si>
    <t xml:space="preserve">amyloid beta A4 protein isoform 2 precursor </t>
  </si>
  <si>
    <t xml:space="preserve">DCC-interacting protein 13-alpha </t>
  </si>
  <si>
    <t xml:space="preserve">DCC-interacting protein 13-beta </t>
  </si>
  <si>
    <t>adenine phosphoribosyltransferase</t>
  </si>
  <si>
    <t xml:space="preserve">aquaporin-2 </t>
  </si>
  <si>
    <t xml:space="preserve">intron-binding protein aquarius </t>
  </si>
  <si>
    <t xml:space="preserve">serine/threonine-protein kinase A-Raf isoform 2 </t>
  </si>
  <si>
    <t xml:space="preserve">serine/threonine-protein kinase A-Raf isoform 1 </t>
  </si>
  <si>
    <t xml:space="preserve">coatomer subunit delta </t>
  </si>
  <si>
    <t xml:space="preserve">ADP-ribosylation factor 1 </t>
  </si>
  <si>
    <t xml:space="preserve">ADP-ribosylation factor 2 </t>
  </si>
  <si>
    <t xml:space="preserve">ADP-ribosylation factor 3 </t>
  </si>
  <si>
    <t xml:space="preserve">ADP-ribosylation factor 4 </t>
  </si>
  <si>
    <t xml:space="preserve">ADP-ribosylation factor 5 </t>
  </si>
  <si>
    <t xml:space="preserve">ADP-ribosylation factor 6 </t>
  </si>
  <si>
    <t xml:space="preserve">ADP-ribosylation factor GTPase-activating protein 1 isoform b </t>
  </si>
  <si>
    <t xml:space="preserve">ADP-ribosylation factor GTPase-activating protein 1 isoform c </t>
  </si>
  <si>
    <t xml:space="preserve">ADP-ribosylation factor GTPase-activating protein 1 isoform d </t>
  </si>
  <si>
    <t xml:space="preserve">ADP-ribosylation factor GTPase-activating protein 1 isoform a </t>
  </si>
  <si>
    <t xml:space="preserve">ADP-ribosylation factor GTPase-activating protein 2 isoform 1 </t>
  </si>
  <si>
    <t xml:space="preserve">ADP-ribosylation factor GTPase-activating protein 2 isoform 2 </t>
  </si>
  <si>
    <t xml:space="preserve">ADP-ribosylation factor GTPase-activating protein 3 </t>
  </si>
  <si>
    <t>brefeldin A-inhibited guanine nucleotide-exchange protein 1</t>
  </si>
  <si>
    <t>brefeldin A-inhibited guanine nucleotide-exchange protein 2</t>
  </si>
  <si>
    <t xml:space="preserve">arfaptin-1 </t>
  </si>
  <si>
    <t xml:space="preserve">arfaptin-2 </t>
  </si>
  <si>
    <t>ADP-ribosylation factor-related protein 1 isoform 1</t>
  </si>
  <si>
    <t>ADP-ribosylation factor-related protein 1 isoform 2</t>
  </si>
  <si>
    <t xml:space="preserve">arginase-1 </t>
  </si>
  <si>
    <t xml:space="preserve">arginase-2, mitochondrial precursor </t>
  </si>
  <si>
    <t xml:space="preserve">arginine and glutamate-rich protein 1 </t>
  </si>
  <si>
    <t>rho GTPase-activating protein 1 isoform 2</t>
  </si>
  <si>
    <t>rho GTPase-activating protein 1 isoform 1</t>
  </si>
  <si>
    <t>rho GTPase-activating protein 10</t>
  </si>
  <si>
    <t>rho GTPase-activating protein 17 isoform a</t>
  </si>
  <si>
    <t>rho GTPase-activating protein 17 isoform b</t>
  </si>
  <si>
    <t>rho GTPase-activating protein 17 isoform c</t>
  </si>
  <si>
    <t>rho GTPase-activating protein 17 isoform d</t>
  </si>
  <si>
    <t>rho GTPase-activating protein 17 isoform e</t>
  </si>
  <si>
    <t>rho GTPase-activating protein 18</t>
  </si>
  <si>
    <t>rho GTPase-activating protein 25 isoform a</t>
  </si>
  <si>
    <t>rho GTPase-activating protein 25 isoform b</t>
  </si>
  <si>
    <t>rho GTPase-activating protein 27 isoform 2</t>
  </si>
  <si>
    <t>rho GTPase-activating protein 27 isoform 3</t>
  </si>
  <si>
    <t>rho GTPase-activating protein 27 isoform 1</t>
  </si>
  <si>
    <t>rho GTPase-activating protein 29</t>
  </si>
  <si>
    <t>rho GTPase-activating protein 30</t>
  </si>
  <si>
    <t>rho GTPase-activating protein 33</t>
  </si>
  <si>
    <t>rho GTPase-activating protein 5</t>
  </si>
  <si>
    <t>rho GDP-dissociation inhibitor 1</t>
  </si>
  <si>
    <t>rho GDP-dissociation inhibitor 2</t>
  </si>
  <si>
    <t>rho guanine nucleotide exchange factor 1 isoform a</t>
  </si>
  <si>
    <t>rho guanine nucleotide exchange factor 1 isoform b</t>
  </si>
  <si>
    <t>rho guanine nucleotide exchange factor 1 isoform c</t>
  </si>
  <si>
    <t>rho guanine nucleotide exchange factor 1 isoform d</t>
  </si>
  <si>
    <t>rho guanine nucleotide exchange factor 10 isoform b</t>
  </si>
  <si>
    <t>rho guanine nucleotide exchange factor 10 isoform a</t>
  </si>
  <si>
    <t xml:space="preserve">rho guanine nucleotide exchange factor 10-like protein isoform b </t>
  </si>
  <si>
    <t xml:space="preserve">rho guanine nucleotide exchange factor 10-like protein isoform c </t>
  </si>
  <si>
    <t xml:space="preserve">rho guanine nucleotide exchange factor 10-like protein isoform a </t>
  </si>
  <si>
    <t>rho guanine nucleotide exchange factor 11</t>
  </si>
  <si>
    <t>rho guanine nucleotide exchange factor 12</t>
  </si>
  <si>
    <t>rho guanine nucleotide exchange factor 16</t>
  </si>
  <si>
    <t>rho guanine nucleotide exchange factor 18</t>
  </si>
  <si>
    <t>rho guanine nucleotide exchange factor 2 isoform 1</t>
  </si>
  <si>
    <t>rho guanine nucleotide exchange factor 2 isoform 2</t>
  </si>
  <si>
    <t>rho guanine nucleotide exchange factor 2 isoform 3</t>
  </si>
  <si>
    <t>rho guanine nucleotide exchange factor 2 isoform 4</t>
  </si>
  <si>
    <t>rho guanine nucleotide exchange factor 28</t>
  </si>
  <si>
    <t>rho guanine nucleotide exchange factor 37</t>
  </si>
  <si>
    <t>rho guanine nucleotide exchange factor 4</t>
  </si>
  <si>
    <t>rho guanine nucleotide exchange factor 40 isoform 1</t>
  </si>
  <si>
    <t>rho guanine nucleotide exchange factor 40 isoform 2</t>
  </si>
  <si>
    <t>rho guanine nucleotide exchange factor 40 isoform 3</t>
  </si>
  <si>
    <t>rho guanine nucleotide exchange factor 5</t>
  </si>
  <si>
    <t>rho guanine nucleotide exchange factor 6</t>
  </si>
  <si>
    <t>rho guanine nucleotide exchange factor 7 isoform a</t>
  </si>
  <si>
    <t>rho guanine nucleotide exchange factor 7 isoform b</t>
  </si>
  <si>
    <t>rho guanine nucleotide exchange factor 7 isoform c</t>
  </si>
  <si>
    <t>rho guanine nucleotide exchange factor 9</t>
  </si>
  <si>
    <t xml:space="preserve">AT-rich interactive domain-containing protein 1A </t>
  </si>
  <si>
    <t>E3 ubiquitin-protein ligase ARIH1</t>
  </si>
  <si>
    <t>E3 ubiquitin-protein ligase ARIH2</t>
  </si>
  <si>
    <t>ADP-ribosylation factor-like protein 1</t>
  </si>
  <si>
    <t>ADP-ribosylation factor-like protein 13B</t>
  </si>
  <si>
    <t>ADP-ribosylation factor-like protein 15</t>
  </si>
  <si>
    <t>ADP-ribosylation factor-like protein 2</t>
  </si>
  <si>
    <t xml:space="preserve">ADP-ribosylation factor-like protein 2-binding protein isoform 1 </t>
  </si>
  <si>
    <t xml:space="preserve">ADP-ribosylation factor-like protein 2-binding protein isoform 2 </t>
  </si>
  <si>
    <t>ADP-ribosylation factor-like protein 3</t>
  </si>
  <si>
    <t>ADP-ribosylation factor-like protein 4C</t>
  </si>
  <si>
    <t>ADP-ribosylation factor-like protein 5A</t>
  </si>
  <si>
    <t>ADP-ribosylation factor-like protein 5B</t>
  </si>
  <si>
    <t>ADP-ribosylation factor-like protein 5C</t>
  </si>
  <si>
    <t>ADP-ribosylation factor-like protein 6</t>
  </si>
  <si>
    <t>ADP-ribosylation factor-like protein 6-interacting protein 1</t>
  </si>
  <si>
    <t>ADP-ribosylation factor-like protein 6-interacting protein 4</t>
  </si>
  <si>
    <t>PRA1 family protein 3</t>
  </si>
  <si>
    <t>ADP-ribosylation factor-like protein 6-interacting protein 6</t>
  </si>
  <si>
    <t>ADP-ribosylation factor-like protein 8A</t>
  </si>
  <si>
    <t>ADP-ribosylation factor-like protein 8B</t>
  </si>
  <si>
    <t>armadillo repeat-containing protein 1</t>
  </si>
  <si>
    <t>armadillo repeat-containing protein 10</t>
  </si>
  <si>
    <t>armadillo repeat-containing protein 6</t>
  </si>
  <si>
    <t>armadillo repeat-containing protein 7</t>
  </si>
  <si>
    <t>armadillo repeat-containing protein 8 isoform 1</t>
  </si>
  <si>
    <t>armadillo repeat-containing protein 8 isoform 2</t>
  </si>
  <si>
    <t xml:space="preserve">aryl hydrocarbon receptor nuclear translocator isoform b </t>
  </si>
  <si>
    <t xml:space="preserve">aryl hydrocarbon receptor nuclear translocator isoform a </t>
  </si>
  <si>
    <t>aryl hydrocarbon receptor nuclear translocator 2</t>
  </si>
  <si>
    <t>actin-related protein 41673 complex subunit 1A</t>
  </si>
  <si>
    <t>actin-related protein 41673 complex subunit 1B</t>
  </si>
  <si>
    <t>actin-related protein 41673 complex subunit 2</t>
  </si>
  <si>
    <t>actin-related protein 41673 complex subunit 3</t>
  </si>
  <si>
    <t>actin-related protein 41673 complex subunit 4 isoform 1</t>
  </si>
  <si>
    <t>actin-related protein 41673 complex subunit 4 isoform 2</t>
  </si>
  <si>
    <t>actin-related protein 41673 complex subunit 4 isoform 3</t>
  </si>
  <si>
    <t>actin-related protein 41673 complex subunit 5</t>
  </si>
  <si>
    <t xml:space="preserve">actin-related protein 41673 complex subunit 5-like protein </t>
  </si>
  <si>
    <t xml:space="preserve">cAMP-regulated phosphoprotein 19 isoform 1 </t>
  </si>
  <si>
    <t xml:space="preserve">cAMP-regulated phosphoprotein 19 isoform 2 </t>
  </si>
  <si>
    <t>arrestin domain-containing protein 1 isoform a</t>
  </si>
  <si>
    <t>arrestin domain-containing protein 1 isoform b</t>
  </si>
  <si>
    <t xml:space="preserve">arylsulfatase A precursor </t>
  </si>
  <si>
    <t xml:space="preserve">arylsulfatase B precursor </t>
  </si>
  <si>
    <t>armadillo repeat protein deleted in velo-cardio-facial syndrome homolog isoform 1</t>
  </si>
  <si>
    <t>armadillo repeat protein deleted in velo-cardio-facial syndrome homolog isoform 3</t>
  </si>
  <si>
    <t>armadillo repeat protein deleted in velo-cardio-facial syndrome homolog isoform 4</t>
  </si>
  <si>
    <t>armadillo repeat protein deleted in velo-cardio-facial syndrome homolog isoform 2</t>
  </si>
  <si>
    <t xml:space="preserve">signal peptidase complex subunit 3 </t>
  </si>
  <si>
    <t xml:space="preserve">acid ceramidase precursor </t>
  </si>
  <si>
    <t>neutral ceramidase</t>
  </si>
  <si>
    <t xml:space="preserve">arf-GAP with SH3 domain, ANK repeat and PH domain-containing protein 1 isoform b </t>
  </si>
  <si>
    <t xml:space="preserve">arf-GAP with SH3 domain, ANK repeat and PH domain-containing protein 1 isoform c </t>
  </si>
  <si>
    <t xml:space="preserve">arf-GAP with SH3 domain, ANK repeat and PH domain-containing protein 1 isoform d </t>
  </si>
  <si>
    <t xml:space="preserve">arf-GAP with SH3 domain, ANK repeat and PH domain-containing protein 1 isoform e </t>
  </si>
  <si>
    <t xml:space="preserve">arf-GAP with SH3 domain, ANK repeat and PH domain-containing protein 1 </t>
  </si>
  <si>
    <t xml:space="preserve">arf-GAP with SH3 domain, ANK repeat and PH domain-containing protein 2 isoform b </t>
  </si>
  <si>
    <t xml:space="preserve">arf-GAP with SH3 domain, ANK repeat and PH domain-containing protein 2 isoform a </t>
  </si>
  <si>
    <t xml:space="preserve">arf-GAP with SH3 domain, ANK repeat and PH domain-containing protein 2 isoform c </t>
  </si>
  <si>
    <t xml:space="preserve">ankyrin repeat and SOCS box protein 14 isoform 2 </t>
  </si>
  <si>
    <t xml:space="preserve">ankyrin repeat and SOCS box protein 15 </t>
  </si>
  <si>
    <t xml:space="preserve">ankyrin repeat and SOCS box protein 4 </t>
  </si>
  <si>
    <t xml:space="preserve">activating signal cointegrator 1 complex subunit 1 </t>
  </si>
  <si>
    <t xml:space="preserve">activating signal cointegrator 1 complex subunit 2 </t>
  </si>
  <si>
    <t xml:space="preserve">activating signal cointegrator 1 complex subunit 3 </t>
  </si>
  <si>
    <t xml:space="preserve">histone chaperone ASF1A </t>
  </si>
  <si>
    <t xml:space="preserve">histone chaperone ASF1B </t>
  </si>
  <si>
    <t>set1/Ash2 histone methyltransferase complex subunit ASH2 isoform b</t>
  </si>
  <si>
    <t>set1/Ash2 histone methyltransferase complex subunit ASH2 isoform a</t>
  </si>
  <si>
    <t>argininosuccinate lyase</t>
  </si>
  <si>
    <t>ATPase Asna1</t>
  </si>
  <si>
    <t xml:space="preserve">asparagine synthetase [glutamine-hydrolyzing] </t>
  </si>
  <si>
    <t>aspartyl/asparaginyl beta-hydroxylase isoform 2</t>
  </si>
  <si>
    <t>aspartyl/asparaginyl beta-hydroxylase isoform 6</t>
  </si>
  <si>
    <t>aspartyl/asparaginyl beta-hydroxylase isoform 7</t>
  </si>
  <si>
    <t>aspartyl/asparaginyl beta-hydroxylase isoform 9</t>
  </si>
  <si>
    <t>aspartyl/asparaginyl beta-hydroxylase isoform 1</t>
  </si>
  <si>
    <t>aspartyl/asparaginyl beta-hydroxylase isoform 3</t>
  </si>
  <si>
    <t>aspartyl/asparaginyl beta-hydroxylase isoform 4</t>
  </si>
  <si>
    <t>aspartyl/asparaginyl beta-hydroxylase isoform 5</t>
  </si>
  <si>
    <t>aspartyl/asparaginyl beta-hydroxylase isoform 8</t>
  </si>
  <si>
    <t>aspartyl/asparaginyl beta-hydroxylase isoform 10</t>
  </si>
  <si>
    <t xml:space="preserve">abnormal spindle-like microcephaly-associated protein homolog </t>
  </si>
  <si>
    <t>tether containing UBX domain for GLUT4 isoform 3</t>
  </si>
  <si>
    <t>tether containing UBX domain for GLUT4 isoform 2</t>
  </si>
  <si>
    <t>tether containing UBX domain for GLUT4 isoform 1</t>
  </si>
  <si>
    <t>argininosuccinate synthase</t>
  </si>
  <si>
    <t>ATPase family AAA domain-containing protein 1</t>
  </si>
  <si>
    <t>ATPase family AAA domain-containing protein 2</t>
  </si>
  <si>
    <t>ATPase family AAA domain-containing protein 3</t>
  </si>
  <si>
    <t xml:space="preserve">arginyl-tRNA--protein transferase 1 isoform 4 </t>
  </si>
  <si>
    <t xml:space="preserve">arginyl-tRNA--protein transferase 1 isoform 1 </t>
  </si>
  <si>
    <t xml:space="preserve">arginyl-tRNA--protein transferase 1 isoform 2 </t>
  </si>
  <si>
    <t xml:space="preserve">arginyl-tRNA--protein transferase 1 isoform 3 </t>
  </si>
  <si>
    <t>cyclic AMP-dependent transcription factor ATF-6 alpha</t>
  </si>
  <si>
    <t>activating transcription factor 7-interacting protein 1</t>
  </si>
  <si>
    <t xml:space="preserve">autophagy-related protein 16-1 isoform 2 </t>
  </si>
  <si>
    <t xml:space="preserve">autophagy-related protein 16-1 isoform 1 </t>
  </si>
  <si>
    <t xml:space="preserve">autophagy-related protein 16-1 isoform 3 </t>
  </si>
  <si>
    <t xml:space="preserve">autophagy-related protein 2 homolog B </t>
  </si>
  <si>
    <t xml:space="preserve">ubiquitin-like-conjugating enzyme ATG3 </t>
  </si>
  <si>
    <t xml:space="preserve">cysteine protease ATG4B </t>
  </si>
  <si>
    <t xml:space="preserve">autophagy protein 5 </t>
  </si>
  <si>
    <t>ubiquitin-like modifier-activating enzyme ATG7</t>
  </si>
  <si>
    <t>ubiquitin-like modifier-activating enzyme ATG7 isoform 1</t>
  </si>
  <si>
    <t xml:space="preserve">bifunctional purine biosynthesis protein PURH </t>
  </si>
  <si>
    <t xml:space="preserve">atlastin-1 </t>
  </si>
  <si>
    <t xml:space="preserve">atlastin-2 isoform 3 </t>
  </si>
  <si>
    <t xml:space="preserve">atlastin-2 isoform 1 </t>
  </si>
  <si>
    <t xml:space="preserve">atlastin-2 isoform 2 </t>
  </si>
  <si>
    <t xml:space="preserve">atlastin-3 isoform 1 </t>
  </si>
  <si>
    <t xml:space="preserve">atlastin-3 isoform 2 </t>
  </si>
  <si>
    <t xml:space="preserve">serine-protein kinase ATM </t>
  </si>
  <si>
    <t>ATM interactor</t>
  </si>
  <si>
    <t>copper transport protein ATOX1</t>
  </si>
  <si>
    <t>probable phospholipid-transporting ATPase IH</t>
  </si>
  <si>
    <t xml:space="preserve">ATPase, class VI, type 11B </t>
  </si>
  <si>
    <t xml:space="preserve">potassium-transporting ATPase alpha chain 2 </t>
  </si>
  <si>
    <t>probable cation-transporting ATPase 13A1</t>
  </si>
  <si>
    <t>probable cation-transporting ATPase 13A3 isoform 2</t>
  </si>
  <si>
    <t>probable cation-transporting ATPase 13A3 isoform 1</t>
  </si>
  <si>
    <t xml:space="preserve">sodium/potassium-transporting ATPase subunit alpha-1 precursor </t>
  </si>
  <si>
    <t xml:space="preserve">sodium/potassium-transporting ATPase subunit alpha-2 precursor </t>
  </si>
  <si>
    <t>sodium/potassium-transporting ATPase subunit alpha-3</t>
  </si>
  <si>
    <t>sodium/potassium-transporting ATPase subunit alpha-4</t>
  </si>
  <si>
    <t>sodium/potassium-transporting ATPase subunit beta-1</t>
  </si>
  <si>
    <t>sodium/potassium-transporting ATPase subunit beta-3</t>
  </si>
  <si>
    <t xml:space="preserve">sarcoplasmic/endoplasmic reticulum calcium ATPase 1 </t>
  </si>
  <si>
    <t xml:space="preserve">sarcoplasmic/endoplasmic reticulum calcium ATPase 2 isoform a </t>
  </si>
  <si>
    <t xml:space="preserve">sarcoplasmic/endoplasmic reticulum calcium ATPase 2 isoform b </t>
  </si>
  <si>
    <t xml:space="preserve">sarcoplasmic/endoplasmic reticulum calcium ATPase 3 isoform a </t>
  </si>
  <si>
    <t xml:space="preserve">sarcoplasmic/endoplasmic reticulum calcium ATPase 3 isoform c </t>
  </si>
  <si>
    <t xml:space="preserve">sarcoplasmic/endoplasmic reticulum calcium ATPase 3 isoform b </t>
  </si>
  <si>
    <t xml:space="preserve">plasma membrane calcium ATPase 1 </t>
  </si>
  <si>
    <t xml:space="preserve">plasma membrane calcium-transporting ATPase 2 </t>
  </si>
  <si>
    <t xml:space="preserve">plasma membrane calcium ATPase 3 </t>
  </si>
  <si>
    <t xml:space="preserve">plasma membrane calcium ATPase 4 isoform a </t>
  </si>
  <si>
    <t xml:space="preserve">plasma membrane calcium ATPase 4 isoform b </t>
  </si>
  <si>
    <t>calcium-transporting ATPase type 2C member 1 isoform 2</t>
  </si>
  <si>
    <t>calcium-transporting ATPase type 2C member 1 isoform 1</t>
  </si>
  <si>
    <t>calcium-transporting ATPase type 2C member 1 isoform 3</t>
  </si>
  <si>
    <t xml:space="preserve">potassium-transporting ATPase alpha chain 1 </t>
  </si>
  <si>
    <t>ATP synthase subunit alpha, mitochondrial precursor</t>
  </si>
  <si>
    <t>ATP synthase subunit beta, mitochondrial precursor</t>
  </si>
  <si>
    <t xml:space="preserve">ATP synthase subunit gamma, mitochondrial isoform a </t>
  </si>
  <si>
    <t xml:space="preserve">ATP synthase subunit gamma, mitochondrial isoform b </t>
  </si>
  <si>
    <t>ATP synthase subunit delta, mitochondrial precursor</t>
  </si>
  <si>
    <t xml:space="preserve">ATP synthase subunit epsilon, mitochondrial </t>
  </si>
  <si>
    <t>ATP synthase subunit b, mitochondrial precursor</t>
  </si>
  <si>
    <t xml:space="preserve">ATP synthase subunit d, mitochondrial </t>
  </si>
  <si>
    <t>ATP synthase-coupling factor 6, mitochondrial precursor</t>
  </si>
  <si>
    <t xml:space="preserve">ATP synthase subunit f, mitochondrial </t>
  </si>
  <si>
    <t xml:space="preserve">ATP synthase subunit e, mitochondrial </t>
  </si>
  <si>
    <t xml:space="preserve">ATP synthase subunit g, mitochondrial </t>
  </si>
  <si>
    <t>ATP synthase subunit O, mitochondrial precursor</t>
  </si>
  <si>
    <t>ATP synthase subunit s, mitochondrial precursor</t>
  </si>
  <si>
    <t xml:space="preserve">renin receptor precursor </t>
  </si>
  <si>
    <t xml:space="preserve">V-type proton ATPase 116 kDa subunit a isoform 1 isoform 1 </t>
  </si>
  <si>
    <t xml:space="preserve">V-type proton ATPase 116 kDa subunit a isoform 1 isoform 2 </t>
  </si>
  <si>
    <t xml:space="preserve">V-type proton ATPase 116 kDa subunit a isoform 1 isoform 3 </t>
  </si>
  <si>
    <t xml:space="preserve">V-type proton ATPase 116 kDa subunit a isoform 1 isoform 4 </t>
  </si>
  <si>
    <t xml:space="preserve">V-type proton ATPase 116 kDa subunit a isoform 2 </t>
  </si>
  <si>
    <t xml:space="preserve">V-type proton ATPase 116 kDa subunit a isoform 4 </t>
  </si>
  <si>
    <t xml:space="preserve">V-type proton ATPase 16 kDa proteolipid subunit </t>
  </si>
  <si>
    <t>V-type proton ATPase subunit d 1</t>
  </si>
  <si>
    <t>V-type proton ATPase catalytic subunit A</t>
  </si>
  <si>
    <t xml:space="preserve">V-type proton ATPase subunit B, kidney isoform </t>
  </si>
  <si>
    <t xml:space="preserve">V-type proton ATPase subunit B, brain isoform </t>
  </si>
  <si>
    <t>V-type proton ATPase subunit C 1</t>
  </si>
  <si>
    <t>V-type proton ATPase subunit C 2 isoform 2</t>
  </si>
  <si>
    <t>V-type proton ATPase subunit C 2 isoform 1</t>
  </si>
  <si>
    <t xml:space="preserve">V-type proton ATPase subunit D </t>
  </si>
  <si>
    <t>V-type proton ATPase subunit E 1</t>
  </si>
  <si>
    <t>V-type proton ATPase subunit E 2</t>
  </si>
  <si>
    <t xml:space="preserve">V-type proton ATPase subunit F </t>
  </si>
  <si>
    <t>V-type proton ATPase subunit G 1</t>
  </si>
  <si>
    <t xml:space="preserve">V-type proton ATPase subunit H </t>
  </si>
  <si>
    <t xml:space="preserve">copper-transporting ATPase 1 isoform 2 </t>
  </si>
  <si>
    <t xml:space="preserve">copper-transporting ATPase 1 isoform 1 </t>
  </si>
  <si>
    <t xml:space="preserve">ATP synthase F0 subunit 8musculus </t>
  </si>
  <si>
    <t xml:space="preserve">ATP synthase F0 subunit 8 </t>
  </si>
  <si>
    <t>probable phospholipid-transporting ATPase IB</t>
  </si>
  <si>
    <t>probable phospholipid-transporting ATPase IC</t>
  </si>
  <si>
    <t>probable phospholipid-transporting ATPase IK</t>
  </si>
  <si>
    <t xml:space="preserve">ATPase, class I, type 8B, member 4 </t>
  </si>
  <si>
    <t>probable phospholipid-transporting ATPase IIA</t>
  </si>
  <si>
    <t>probable phospholipid-transporting ATPase IIB isoform 1</t>
  </si>
  <si>
    <t>probable phospholipid-transporting ATPase IIB isoform 2</t>
  </si>
  <si>
    <t>ATP synthase mitochondrial F1 complex assembly factor 1</t>
  </si>
  <si>
    <t>ATP synthase mitochondrial F1 complex assembly factor 2</t>
  </si>
  <si>
    <t>ATPase inhibitor, mitochondrial precursor</t>
  </si>
  <si>
    <t xml:space="preserve">serine/threonine-protein kinase ATR </t>
  </si>
  <si>
    <t>all-trans retinoic acid-induced differentiation factor isoform 1 precursor</t>
  </si>
  <si>
    <t xml:space="preserve">ataxin-10 </t>
  </si>
  <si>
    <t xml:space="preserve">ataxin-2 </t>
  </si>
  <si>
    <t>ataxin-2-like protein</t>
  </si>
  <si>
    <t xml:space="preserve">ataxin-3 isoform 1 </t>
  </si>
  <si>
    <t xml:space="preserve">ataxin-3 isoform 2 </t>
  </si>
  <si>
    <t>putative ataxin-7-like protein 3B</t>
  </si>
  <si>
    <t xml:space="preserve">uncharacterized protein LOC99169 </t>
  </si>
  <si>
    <t xml:space="preserve">uncharacterized protein LOC270156 </t>
  </si>
  <si>
    <t>methylglutaconyl-CoA hydratase, mitochondrial precursor</t>
  </si>
  <si>
    <t>ancient ubiquitous protein 1</t>
  </si>
  <si>
    <t xml:space="preserve">aurora kinase A </t>
  </si>
  <si>
    <t>cell death regulator Aven isoform 1</t>
  </si>
  <si>
    <t>cell death regulator Aven isoform 2</t>
  </si>
  <si>
    <t>late secretory pathway protein AVL9 homolog</t>
  </si>
  <si>
    <t>arginine vasopressin-induced protein 1</t>
  </si>
  <si>
    <t>UPF0415 protein C7orf25 homolog</t>
  </si>
  <si>
    <t>UPF0600 protein C5orf51 homolog</t>
  </si>
  <si>
    <t xml:space="preserve">BCSC-1 </t>
  </si>
  <si>
    <t xml:space="preserve">uncharacterized protein LOC278676 </t>
  </si>
  <si>
    <t xml:space="preserve">5-azacytidine-induced protein 1 </t>
  </si>
  <si>
    <t>beta-2-microglobulin precursor</t>
  </si>
  <si>
    <t>beta-1,3-galactosyltransferase 6</t>
  </si>
  <si>
    <t xml:space="preserve">galactosylgalactosylxylosylprotein 3-beta-glucuronosyltransferase 3 </t>
  </si>
  <si>
    <t>UDP-GlcNAc:betaGal beta-1,3-N-acetylglucosaminyltransferase 3 precursor</t>
  </si>
  <si>
    <t xml:space="preserve">beta-1,4 N-acetylgalactosaminyltransferase 1 isoform 2 </t>
  </si>
  <si>
    <t xml:space="preserve">beta-1,4 N-acetylgalactosaminyltransferase 1 isoform 3 </t>
  </si>
  <si>
    <t xml:space="preserve">beta-1,4 N-acetylgalactosaminyltransferase 1 isoform 4 </t>
  </si>
  <si>
    <t xml:space="preserve">beta-1,4 N-acetylgalactosaminyltransferase 1 isoform 1 </t>
  </si>
  <si>
    <t xml:space="preserve">beta-1,4 N-acetylgalactosaminyltransferase 2 </t>
  </si>
  <si>
    <t>beta-1,4-galactosyltransferase 1</t>
  </si>
  <si>
    <t xml:space="preserve">beta-1,4-galactosyltransferase 4 precursor </t>
  </si>
  <si>
    <t>beta-1,4-galactosyltransferase 5</t>
  </si>
  <si>
    <t>BRISC and BRCA1-A complex member 1</t>
  </si>
  <si>
    <t xml:space="preserve">bcl2 antagonist of cell death </t>
  </si>
  <si>
    <t>BAG family molecular chaperone regulator 1 isoform 1L</t>
  </si>
  <si>
    <t>BAG family molecular chaperone regulator 1 isoform 1S</t>
  </si>
  <si>
    <t>BAG family molecular chaperone regulator 2</t>
  </si>
  <si>
    <t>BAG family molecular chaperone regulator 4</t>
  </si>
  <si>
    <t>BAG family molecular chaperone regulator 5</t>
  </si>
  <si>
    <t>large proline-rich protein BAG6 isoform 1</t>
  </si>
  <si>
    <t>large proline-rich protein BAG6 isoform 2</t>
  </si>
  <si>
    <t>large proline-rich protein BAG6 isoform 3</t>
  </si>
  <si>
    <t>brain-specific angiogenesis inhibitor 1-associated protein 2 isoform a</t>
  </si>
  <si>
    <t>brain-specific angiogenesis inhibitor 1-associated protein 2 isoform b</t>
  </si>
  <si>
    <t>brain-specific angiogenesis inhibitor 1-associated protein 2 isoform c</t>
  </si>
  <si>
    <t>brain-specific angiogenesis inhibitor 1-associated protein 2-like protein 1</t>
  </si>
  <si>
    <t xml:space="preserve">bcl-2 homologous antagonist/killer </t>
  </si>
  <si>
    <t>barrier-to-autointegration factor</t>
  </si>
  <si>
    <t xml:space="preserve">brain acid soluble protein 1 </t>
  </si>
  <si>
    <t xml:space="preserve">apoptosis regulator BAX </t>
  </si>
  <si>
    <t xml:space="preserve">tyrosine-protein kinase BAZ1B </t>
  </si>
  <si>
    <t>eukaryotic translation initiation factor 1A-like 3</t>
  </si>
  <si>
    <t xml:space="preserve">BBSome-interacting protein 1 </t>
  </si>
  <si>
    <t xml:space="preserve">Bardet-Biedl syndrome 1 </t>
  </si>
  <si>
    <t xml:space="preserve">protein odr-4 homolog isoform 1 </t>
  </si>
  <si>
    <t xml:space="preserve">protein odr-4 homolog isoform 2 </t>
  </si>
  <si>
    <t xml:space="preserve">protein CCSMST1 precursor </t>
  </si>
  <si>
    <t xml:space="preserve">cDNA sequence BC005561 </t>
  </si>
  <si>
    <t>uncharacterized protein C9orf78 homolog</t>
  </si>
  <si>
    <t>uncharacterized protein C17orf62 homolog isoform 2</t>
  </si>
  <si>
    <t>uncharacterized protein C17orf62 homolog isoform 1</t>
  </si>
  <si>
    <t>uncharacterized protein C17orf62 homolog isoform 3</t>
  </si>
  <si>
    <t xml:space="preserve">glutathione S-transferase P-like </t>
  </si>
  <si>
    <t>mitogen-activated protein kinase kinase kinase MLK4</t>
  </si>
  <si>
    <t>protein FAM206A</t>
  </si>
  <si>
    <t xml:space="preserve">uncharacterized protein LOC212547 </t>
  </si>
  <si>
    <t xml:space="preserve">dynein light chain LC8-type 1-like </t>
  </si>
  <si>
    <t>testis specific basic protein isoform 1</t>
  </si>
  <si>
    <t xml:space="preserve">WD repeat-containing protein C2orf44 homolog isoform 1 </t>
  </si>
  <si>
    <t xml:space="preserve">WD repeat-containing protein C2orf44 homolog isoform 2 </t>
  </si>
  <si>
    <t>selenoprotein V</t>
  </si>
  <si>
    <t xml:space="preserve">basal cell adhesion molecule precursor </t>
  </si>
  <si>
    <t>B-cell receptor-associated protein 29</t>
  </si>
  <si>
    <t>B-cell receptor-associated protein 31</t>
  </si>
  <si>
    <t>breast cancer anti-estrogen resistance protein 1 isoform A</t>
  </si>
  <si>
    <t>breast cancer anti-estrogen resistance protein 1 isoform B</t>
  </si>
  <si>
    <t xml:space="preserve">pre-mRNA-splicing factor SPF27 </t>
  </si>
  <si>
    <t xml:space="preserve">branched-chain-amino-acid aminotransferase, cytosolic isoform 2 </t>
  </si>
  <si>
    <t xml:space="preserve">branched-chain-amino-acid aminotransferase, cytosolic isoform 1 </t>
  </si>
  <si>
    <t>branched-chain-amino-acid aminotransferase, mitochondrial isoform 1 precursor</t>
  </si>
  <si>
    <t xml:space="preserve">branched-chain-amino-acid aminotransferase, mitochondrial isoform 2 </t>
  </si>
  <si>
    <t>BRCA2 and CDKN1A-interacting protein</t>
  </si>
  <si>
    <t xml:space="preserve">2-oxoisovalerate dehydrogenase subunit alpha, mitochondrial </t>
  </si>
  <si>
    <t xml:space="preserve">2-oxoisovalerate dehydrogenase subunit beta, mitochondrial </t>
  </si>
  <si>
    <t xml:space="preserve">B-cell lymphoma/leukemia 10 </t>
  </si>
  <si>
    <t xml:space="preserve">bcl-2-like protein 1 </t>
  </si>
  <si>
    <t xml:space="preserve">bcl-2-like protein 11 isoform 1 </t>
  </si>
  <si>
    <t xml:space="preserve">bcl-2-like protein 13 </t>
  </si>
  <si>
    <t xml:space="preserve">apoptosis facilitator Bcl-2-like protein 14 </t>
  </si>
  <si>
    <t xml:space="preserve">B-cell CLL/lymphoma 7 protein family member A </t>
  </si>
  <si>
    <t>B-cell CLL/lymphoma 9-like protein</t>
  </si>
  <si>
    <t>bcl-2-associated transcription factor 1 isoform 2</t>
  </si>
  <si>
    <t>bcl-2-associated transcription factor 1 isoform 1</t>
  </si>
  <si>
    <t>bcl-2-associated transcription factor 1 isoform 3</t>
  </si>
  <si>
    <t>breakpoint cluster region protein</t>
  </si>
  <si>
    <t xml:space="preserve">mitochondrial chaperone BCS1 </t>
  </si>
  <si>
    <t>D-beta-hydroxybutyrate dehydrogenase, mitochondrial precursor</t>
  </si>
  <si>
    <t xml:space="preserve">beclin-1 </t>
  </si>
  <si>
    <t>BET1 homolog</t>
  </si>
  <si>
    <t>BET1-like protein</t>
  </si>
  <si>
    <t xml:space="preserve">protein bicaudal C homolog 1 </t>
  </si>
  <si>
    <t xml:space="preserve">protein bicaudal D homolog 1 isoform 2 </t>
  </si>
  <si>
    <t xml:space="preserve">protein bicaudal D homolog 1 isoform 1 </t>
  </si>
  <si>
    <t xml:space="preserve">protein bicaudal D homolog 2 isoform 2 </t>
  </si>
  <si>
    <t xml:space="preserve">protein bicaudal D homolog 2 isoform 1 </t>
  </si>
  <si>
    <t xml:space="preserve">protein bicaudal D homolog 2 isoform 3 </t>
  </si>
  <si>
    <t>BH3-interacting domain death agonist</t>
  </si>
  <si>
    <t>myc box-dependent-interacting protein 1 isoform 2</t>
  </si>
  <si>
    <t>myc box-dependent-interacting protein 1 isoform 1</t>
  </si>
  <si>
    <t xml:space="preserve">bridging integrator 3 </t>
  </si>
  <si>
    <t xml:space="preserve">baculoviral IAP repeat-containing protein 6 </t>
  </si>
  <si>
    <t xml:space="preserve">tyrosine-protein kinase Blk </t>
  </si>
  <si>
    <t>bleomycin hydrolase</t>
  </si>
  <si>
    <t xml:space="preserve">B-cell linker protein </t>
  </si>
  <si>
    <t>biogenesis of lysosome-related organelles complex 1 subunit 1</t>
  </si>
  <si>
    <t>protein cappuccino</t>
  </si>
  <si>
    <t>protein Muted</t>
  </si>
  <si>
    <t>biliverdin reductase A precursor</t>
  </si>
  <si>
    <t xml:space="preserve">flavin reductase (NADPH) </t>
  </si>
  <si>
    <t xml:space="preserve">bone morphogenetic protein 7 preproprotein </t>
  </si>
  <si>
    <t>vesicle transport protein SEC20</t>
  </si>
  <si>
    <t>biorientation of chromosomes in cell division protein 1</t>
  </si>
  <si>
    <t xml:space="preserve">biorientation of chromosomes in cell division 1-like </t>
  </si>
  <si>
    <t>bcl-2-related ovarian killer protein</t>
  </si>
  <si>
    <t xml:space="preserve">bolA-like protein 1 </t>
  </si>
  <si>
    <t xml:space="preserve">bolA-like protein 2 </t>
  </si>
  <si>
    <t>ribosome biogenesis protein BOP1</t>
  </si>
  <si>
    <t>bisphosphoglycerate mutase</t>
  </si>
  <si>
    <t xml:space="preserve">valacyclovir hydrolase precursor </t>
  </si>
  <si>
    <t xml:space="preserve">3'(2'),5'-bisphosphate nucleotidase 1 </t>
  </si>
  <si>
    <t xml:space="preserve">serine/threonine-protein kinase B-raf </t>
  </si>
  <si>
    <t>BRCA1-associated protein</t>
  </si>
  <si>
    <t>BRCA1-associated ATM activator 1 isoform 2</t>
  </si>
  <si>
    <t>BRCA1-associated ATM activator 1 isoform 3</t>
  </si>
  <si>
    <t xml:space="preserve">lys-63-specific deubiquitinase BRCC36 </t>
  </si>
  <si>
    <t xml:space="preserve">bromodomain-containing protein 2 </t>
  </si>
  <si>
    <t xml:space="preserve">bromodomain-containing protein 3 isoform 2 </t>
  </si>
  <si>
    <t xml:space="preserve">bromodomain-containing protein 3 isoform 1 </t>
  </si>
  <si>
    <t xml:space="preserve">bromodomain-containing protein 4 isoform 2 </t>
  </si>
  <si>
    <t xml:space="preserve">bromodomain-containing protein 4 isoform 1 </t>
  </si>
  <si>
    <t>BRCA1-A complex subunit BRE isoform V</t>
  </si>
  <si>
    <t>BRCA1-A complex subunit BRE isoform I</t>
  </si>
  <si>
    <t>BRCA1-A complex subunit BRE isoform III</t>
  </si>
  <si>
    <t>BRCA1-A complex subunit BRE isoform IV</t>
  </si>
  <si>
    <t>BRCA1-A complex subunit BRE isoform II</t>
  </si>
  <si>
    <t xml:space="preserve">brain protein I3 isoform 1 </t>
  </si>
  <si>
    <t xml:space="preserve">brain protein I3 isoform 2 </t>
  </si>
  <si>
    <t xml:space="preserve">BRI3-binding protein precursor </t>
  </si>
  <si>
    <t xml:space="preserve">ribosome biogenesis protein BRX1 homolog </t>
  </si>
  <si>
    <t>protein BRICK1</t>
  </si>
  <si>
    <t>BRO1 domain-containing protein BROX</t>
  </si>
  <si>
    <t xml:space="preserve">bombesin receptor subtype-3 </t>
  </si>
  <si>
    <t>BSD domain-containing protein 1</t>
  </si>
  <si>
    <t>basigin isoform 2 precursor</t>
  </si>
  <si>
    <t>basigin isoform 1 precursor</t>
  </si>
  <si>
    <t xml:space="preserve">barttin </t>
  </si>
  <si>
    <t>B box and SPRY domain-containing protein</t>
  </si>
  <si>
    <t>ADP-ribosyl cyclase 2 precursor</t>
  </si>
  <si>
    <t>bone marrow stromal antigen 2 precursor</t>
  </si>
  <si>
    <t>TATA-binding protein-associated factor 172</t>
  </si>
  <si>
    <t>BTB/POZ domain-containing protein 1</t>
  </si>
  <si>
    <t xml:space="preserve">BTB (POZ) domain containing 2 </t>
  </si>
  <si>
    <t>biotinidase precursor</t>
  </si>
  <si>
    <t xml:space="preserve">transcription factor BTF3 isoform 2 </t>
  </si>
  <si>
    <t xml:space="preserve">transcription factor BTF3 isoform 1 </t>
  </si>
  <si>
    <t xml:space="preserve">transcription factor BTF3 homolog 4 </t>
  </si>
  <si>
    <t>F-box/WD repeat-containing protein 1A isoform a</t>
  </si>
  <si>
    <t>F-box/WD repeat-containing protein 1A isoform b</t>
  </si>
  <si>
    <t xml:space="preserve">mitotic checkpoint serine/threonine-protein kinase BUB1 isoform 1 </t>
  </si>
  <si>
    <t xml:space="preserve">mitotic checkpoint serine/threonine-protein kinase BUB1 isoform 2 </t>
  </si>
  <si>
    <t>mitotic checkpoint serine/threonine-protein kinase BUB1 beta</t>
  </si>
  <si>
    <t>mitotic checkpoint protein BUB3</t>
  </si>
  <si>
    <t xml:space="preserve">protein BUD31 homolog </t>
  </si>
  <si>
    <t xml:space="preserve">bystin </t>
  </si>
  <si>
    <t xml:space="preserve">peripheral-type benzodiazepine receptor-associated protein 1 </t>
  </si>
  <si>
    <t>basic leucine zipper and W2 domain-containing protein 1</t>
  </si>
  <si>
    <t>basic leucine zipper and W2 domain-containing protein 2</t>
  </si>
  <si>
    <t>UPF0598 protein C8orf82 homolog isoform 2</t>
  </si>
  <si>
    <t>UPF0598 protein C8orf82 homolog isoform 1</t>
  </si>
  <si>
    <t xml:space="preserve">complement component 1 Q subcomponent-binding protein, mitochondrial </t>
  </si>
  <si>
    <t xml:space="preserve">uncharacterized protein KIAA0528 isoform 1 </t>
  </si>
  <si>
    <t xml:space="preserve">uncharacterized protein KIAA0528 isoform 2 </t>
  </si>
  <si>
    <t xml:space="preserve">uncharacterized protein KIAA0528 isoform 3 </t>
  </si>
  <si>
    <t>UPF0428 protein CXorf56 homolog</t>
  </si>
  <si>
    <t xml:space="preserve">uncharacterized protein KIAA1522 </t>
  </si>
  <si>
    <t>H-2 class I histocompatibility antigen-like precursor</t>
  </si>
  <si>
    <t xml:space="preserve">calcium-binding protein 39 </t>
  </si>
  <si>
    <t xml:space="preserve">calcium-binding protein 39-like </t>
  </si>
  <si>
    <t>calcium channel flower homolog isoform 1</t>
  </si>
  <si>
    <t xml:space="preserve">cactin </t>
  </si>
  <si>
    <t>CDK2-associated and cullin domain-containing protein 1 isoform 2</t>
  </si>
  <si>
    <t>CDK2-associated and cullin domain-containing protein 1 isoform 3</t>
  </si>
  <si>
    <t>CDK2-associated and cullin domain-containing protein 1 isoform 1</t>
  </si>
  <si>
    <t>calcyclin-binding protein</t>
  </si>
  <si>
    <t xml:space="preserve">carbamoyl-phosphate synthetase 2, aspartate transcarbamylase, and dihydroorotase </t>
  </si>
  <si>
    <t xml:space="preserve">cell adhesion molecule 1 isoform b precursor </t>
  </si>
  <si>
    <t xml:space="preserve">cell adhesion molecule 1 isoform a precursor </t>
  </si>
  <si>
    <t xml:space="preserve">cell adhesion molecule 1 isoform c precursor </t>
  </si>
  <si>
    <t xml:space="preserve">cell adhesion molecule 1 isoform d precursor </t>
  </si>
  <si>
    <t xml:space="preserve">cell adhesion molecule 4 precursor </t>
  </si>
  <si>
    <t>calcium-binding and coiled-coil domain-containing protein 1</t>
  </si>
  <si>
    <t>caldesmon 1</t>
  </si>
  <si>
    <t xml:space="preserve">calmodulin </t>
  </si>
  <si>
    <t xml:space="preserve">calmodulin-like protein 3 </t>
  </si>
  <si>
    <t>calreticulin precursor</t>
  </si>
  <si>
    <t xml:space="preserve">calumenin isoform 3 </t>
  </si>
  <si>
    <t>calumenin isoform 2 precursor</t>
  </si>
  <si>
    <t>calumenin isoform 1 precursor</t>
  </si>
  <si>
    <t xml:space="preserve">calcium/calmodulin-dependent protein kinase type 1 </t>
  </si>
  <si>
    <t xml:space="preserve">calcium/calmodulin-dependent protein kinase type II subunit alpha isoform 2 </t>
  </si>
  <si>
    <t xml:space="preserve">calcium/calmodulin-dependent protein kinase type II subunit beta isoform 2 </t>
  </si>
  <si>
    <t xml:space="preserve">calcium/calmodulin-dependent protein kinase type II subunit beta isoform 1 </t>
  </si>
  <si>
    <t xml:space="preserve">calcium/calmodulin-dependent protein kinase type II subunit beta isoform 3 </t>
  </si>
  <si>
    <t xml:space="preserve">calcium/calmodulin-dependent protein kinase type II subunit delta isoform 3 </t>
  </si>
  <si>
    <t xml:space="preserve">calcium/calmodulin-dependent protein kinase type II subunit delta isoform 2 </t>
  </si>
  <si>
    <t xml:space="preserve">calcium/calmodulin-dependent protein kinase type II subunit delta isoform 1 </t>
  </si>
  <si>
    <t xml:space="preserve">calcium/calmodulin-dependent protein kinase type II subunit gamma isoform 1 </t>
  </si>
  <si>
    <t xml:space="preserve">calcium/calmodulin-dependent protein kinase type II subunit gamma isoform 3 </t>
  </si>
  <si>
    <t xml:space="preserve">calcium/calmodulin-dependent protein kinase type II subunit gamma isoform 2 </t>
  </si>
  <si>
    <t xml:space="preserve">calcium/calmodulin-dependent protein kinase kinase 2 isoform 2 </t>
  </si>
  <si>
    <t xml:space="preserve">calcium/calmodulin-dependent protein kinase kinase 2 isoform 1 </t>
  </si>
  <si>
    <t>calmodulin-lysine N-methyltransferase</t>
  </si>
  <si>
    <t>cathelin-related antimicrobial peptide precursor</t>
  </si>
  <si>
    <t>calmodulin-regulated spectrin-associated protein 3 isoform 1</t>
  </si>
  <si>
    <t>calmodulin-regulated spectrin-associated protein 3 isoform 2</t>
  </si>
  <si>
    <t>cullin-associated NEDD8-dissociated protein 1</t>
  </si>
  <si>
    <t>cullin-associated NEDD8-dissociated protein 2</t>
  </si>
  <si>
    <t>calnexin precursor</t>
  </si>
  <si>
    <t>adenylyl cyclase-associated protein 1</t>
  </si>
  <si>
    <t>macrophage-capping protein</t>
  </si>
  <si>
    <t xml:space="preserve">calpain-1 catalytic subunit </t>
  </si>
  <si>
    <t xml:space="preserve">calpain-15 </t>
  </si>
  <si>
    <t xml:space="preserve">calpain-2 catalytic subunit </t>
  </si>
  <si>
    <t xml:space="preserve">calpain-5 </t>
  </si>
  <si>
    <t xml:space="preserve">calpain-8 isoform 1 </t>
  </si>
  <si>
    <t>calpain small subunit 1</t>
  </si>
  <si>
    <t>calpain small subunit 2</t>
  </si>
  <si>
    <t xml:space="preserve">caprin-1 isoform a </t>
  </si>
  <si>
    <t xml:space="preserve">caprin-1 isoform b </t>
  </si>
  <si>
    <t xml:space="preserve">caprin-1 isoform c </t>
  </si>
  <si>
    <t>F-actin-capping protein subunit alpha-1</t>
  </si>
  <si>
    <t>F-actin-capping protein subunit alpha-2</t>
  </si>
  <si>
    <t>F-actin-capping protein subunit alpha-3</t>
  </si>
  <si>
    <t>F-actin-capping protein subunit beta isoform d</t>
  </si>
  <si>
    <t>F-actin-capping protein subunit beta isoform c</t>
  </si>
  <si>
    <t>F-actin-capping protein subunit beta isoform b</t>
  </si>
  <si>
    <t>F-actin-capping protein subunit beta isoform a</t>
  </si>
  <si>
    <t xml:space="preserve">carbonic anhydrase 2 </t>
  </si>
  <si>
    <t xml:space="preserve">carbonic anhydrase 5B, mitochondrial precursor </t>
  </si>
  <si>
    <t xml:space="preserve">calcium-regulated heat stable protein 1 </t>
  </si>
  <si>
    <t xml:space="preserve">ATP-dependent (S)-NAD(P)H-hydrate dehydratase isoform 1 </t>
  </si>
  <si>
    <t xml:space="preserve">ATP-dependent (S)-NAD(P)H-hydrate dehydratase isoform 2 </t>
  </si>
  <si>
    <t xml:space="preserve">histone-arginine methyltransferase CARM1 isoform 2 </t>
  </si>
  <si>
    <t xml:space="preserve">histone-arginine methyltransferase CARM1 isoform 1 </t>
  </si>
  <si>
    <t xml:space="preserve">cysteine--tRNA ligase, cytoplasmic isoform 1 </t>
  </si>
  <si>
    <t xml:space="preserve">cysteine--tRNA ligase, cytoplasmic isoform 2 </t>
  </si>
  <si>
    <t xml:space="preserve">cancer susceptibility candidate protein 1 </t>
  </si>
  <si>
    <t xml:space="preserve">peripheral plasma membrane protein CASK </t>
  </si>
  <si>
    <t xml:space="preserve">caskin-2 </t>
  </si>
  <si>
    <t xml:space="preserve">caspase-14 </t>
  </si>
  <si>
    <t xml:space="preserve">caspase-2 </t>
  </si>
  <si>
    <t xml:space="preserve">caspase-3 </t>
  </si>
  <si>
    <t xml:space="preserve">caspase-6 </t>
  </si>
  <si>
    <t>caspase-7 precursor</t>
  </si>
  <si>
    <t xml:space="preserve">caspase-8 </t>
  </si>
  <si>
    <t xml:space="preserve">caspase-9 </t>
  </si>
  <si>
    <t xml:space="preserve">calpastatin </t>
  </si>
  <si>
    <t xml:space="preserve">catalase </t>
  </si>
  <si>
    <t xml:space="preserve">caveolin-1 isoform 2 </t>
  </si>
  <si>
    <t xml:space="preserve">caveolin-1 isoform 1 </t>
  </si>
  <si>
    <t xml:space="preserve">caveolin-2 </t>
  </si>
  <si>
    <t>core-binding factor subunit beta isoform 3</t>
  </si>
  <si>
    <t>core-binding factor subunit beta isoform 1</t>
  </si>
  <si>
    <t>core-binding factor subunit beta isoform 2</t>
  </si>
  <si>
    <t>core-binding factor subunit beta isoform 4</t>
  </si>
  <si>
    <t>E3 ubiquitin-protein ligase CBL</t>
  </si>
  <si>
    <t>carbonyl reductase [NADPH] 1</t>
  </si>
  <si>
    <t>carbonyl reductase [NADPH] 2</t>
  </si>
  <si>
    <t>carbonyl reductase [NADPH] 3</t>
  </si>
  <si>
    <t xml:space="preserve">carbonyl reductase family member 4 </t>
  </si>
  <si>
    <t>COBW domain-containing protein 1</t>
  </si>
  <si>
    <t>chromobox protein homolog 1</t>
  </si>
  <si>
    <t>chromobox protein homolog 3</t>
  </si>
  <si>
    <t>chromobox protein homolog 5</t>
  </si>
  <si>
    <t>chromobox protein homolog 6</t>
  </si>
  <si>
    <t>coiled-coil and C2 domain-containing protein 1A</t>
  </si>
  <si>
    <t>coiled-coil and C2 domain-containing protein 1B</t>
  </si>
  <si>
    <t>cell division cycle and apoptosis regulator protein 1</t>
  </si>
  <si>
    <t xml:space="preserve">DBIRD complex subunit KIAA1967 homolog </t>
  </si>
  <si>
    <t xml:space="preserve">kynurenine--oxoglutarate transaminase 1 </t>
  </si>
  <si>
    <t>coiled-coil domain-containing protein 104</t>
  </si>
  <si>
    <t>coiled-coil domain-containing protein 115</t>
  </si>
  <si>
    <t>coiled-coil domain-containing protein 117</t>
  </si>
  <si>
    <t>coiled-coil domain-containing protein 12</t>
  </si>
  <si>
    <t>coiled-coil domain-containing protein 124</t>
  </si>
  <si>
    <t>coiled-coil domain-containing protein 127 isoform 1</t>
  </si>
  <si>
    <t>coiled-coil domain-containing protein 127 isoform 2</t>
  </si>
  <si>
    <t>coiled-coil domain-containing protein 132 isoform 1</t>
  </si>
  <si>
    <t>coiled-coil domain-containing protein 132 isoform 2</t>
  </si>
  <si>
    <t>coiled-coil domain-containing protein 132 isoform 3</t>
  </si>
  <si>
    <t xml:space="preserve">coiled-coil domain-containing protein 134 precursor </t>
  </si>
  <si>
    <t>coiled-coil domain-containing protein 136 isoform 2</t>
  </si>
  <si>
    <t>coiled-coil domain-containing protein 136 isoform 1</t>
  </si>
  <si>
    <t>coiled-coil domain-containing protein 137</t>
  </si>
  <si>
    <t>coiled-coil domain-containing protein 14</t>
  </si>
  <si>
    <t>coiled-coil domain containing 141</t>
  </si>
  <si>
    <t>coiled-coil domain-containing protein 167 isoform 1</t>
  </si>
  <si>
    <t>coiled-coil domain-containing protein 167 isoform 2</t>
  </si>
  <si>
    <t>coiled-coil domain-containing protein 22</t>
  </si>
  <si>
    <t>coiled-coil domain-containing protein 25</t>
  </si>
  <si>
    <t>coiled-coil domain-containing protein 43</t>
  </si>
  <si>
    <t xml:space="preserve">coiled-coil domain-containing protein 47 precursor </t>
  </si>
  <si>
    <t>coiled-coil domain-containing protein 51</t>
  </si>
  <si>
    <t>WASH complex subunit CCDC53 isoform 3</t>
  </si>
  <si>
    <t>WASH complex subunit CCDC53 isoform 2</t>
  </si>
  <si>
    <t>WASH complex subunit CCDC53 isoform 1</t>
  </si>
  <si>
    <t>coiled-coil domain-containing protein 54</t>
  </si>
  <si>
    <t>nuclear speckle splicing regulatory protein 1</t>
  </si>
  <si>
    <t>coiled-coil domain-containing protein 58 isoform 2</t>
  </si>
  <si>
    <t>coiled-coil domain-containing protein 58 isoform 3</t>
  </si>
  <si>
    <t>coiled-coil domain-containing protein 58 isoform 1</t>
  </si>
  <si>
    <t>thyroid transcription factor 1-associated protein 26</t>
  </si>
  <si>
    <t>coiled-coil domain-containing protein 6</t>
  </si>
  <si>
    <t>coiled-coil domain-containing protein 69</t>
  </si>
  <si>
    <t>protein Daple</t>
  </si>
  <si>
    <t>coiled-coil domain-containing protein 93 isoform c</t>
  </si>
  <si>
    <t>coiled-coil domain-containing protein 93 isoform a</t>
  </si>
  <si>
    <t xml:space="preserve">coiled-coil alpha-helical rod protein 1 </t>
  </si>
  <si>
    <t xml:space="preserve">cyclin-H </t>
  </si>
  <si>
    <t xml:space="preserve">cyclin-K </t>
  </si>
  <si>
    <t xml:space="preserve">cyclin-L1 </t>
  </si>
  <si>
    <t xml:space="preserve">cyclin-T1 </t>
  </si>
  <si>
    <t xml:space="preserve">cyclin-Y </t>
  </si>
  <si>
    <t xml:space="preserve">cyclin Y-like 1 </t>
  </si>
  <si>
    <t xml:space="preserve">copper chaperone for superoxide dismutase </t>
  </si>
  <si>
    <t xml:space="preserve">T-complex protein 1 subunit beta </t>
  </si>
  <si>
    <t xml:space="preserve">T-complex protein 1 subunit gamma </t>
  </si>
  <si>
    <t xml:space="preserve">T-complex protein 1 subunit delta </t>
  </si>
  <si>
    <t xml:space="preserve">T-complex protein 1 subunit epsilon </t>
  </si>
  <si>
    <t xml:space="preserve">T-complex protein 1 subunit zeta </t>
  </si>
  <si>
    <t xml:space="preserve">T-complex protein 1 subunit zeta-2 </t>
  </si>
  <si>
    <t xml:space="preserve">T-complex protein 1 subunit eta </t>
  </si>
  <si>
    <t xml:space="preserve">T-complex protein 1 subunit theta </t>
  </si>
  <si>
    <t xml:space="preserve">vacuolar fusion protein CCZ1 homolog </t>
  </si>
  <si>
    <t xml:space="preserve">monocyte differentiation antigen CD14 precursor </t>
  </si>
  <si>
    <t>CD151 antigen</t>
  </si>
  <si>
    <t>CD2-associated protein</t>
  </si>
  <si>
    <t>CD2 antigen cytoplasmic tail-binding protein 2</t>
  </si>
  <si>
    <t xml:space="preserve">CD44 antigen isoform d precursor </t>
  </si>
  <si>
    <t xml:space="preserve">CD44 antigen isoform e precursor </t>
  </si>
  <si>
    <t xml:space="preserve">CD44 antigen isoform f precursor </t>
  </si>
  <si>
    <t xml:space="preserve">CD44 antigen isoform b precursor </t>
  </si>
  <si>
    <t xml:space="preserve">CD44 antigen isoform c precursor </t>
  </si>
  <si>
    <t xml:space="preserve">CD44 antigen isoform a precursor </t>
  </si>
  <si>
    <t xml:space="preserve">leukocyte surface antigen CD47 precursor </t>
  </si>
  <si>
    <t xml:space="preserve">CD59A glycoprotein precursor </t>
  </si>
  <si>
    <t>CD63 antigen</t>
  </si>
  <si>
    <t>CD81 antigen</t>
  </si>
  <si>
    <t>CD82 antigen</t>
  </si>
  <si>
    <t>CD9 antigen</t>
  </si>
  <si>
    <t>cytidine deaminase</t>
  </si>
  <si>
    <t>cell division cycle protein 123 homolog</t>
  </si>
  <si>
    <t>cell division cycle protein 16 homolog</t>
  </si>
  <si>
    <t>cell division cycle protein 23 homolog</t>
  </si>
  <si>
    <t>M-phase inducer phosphatase 2 isoform a</t>
  </si>
  <si>
    <t>M-phase inducer phosphatase 2 isoform b</t>
  </si>
  <si>
    <t>anaphase-promoting complex subunit CDC26</t>
  </si>
  <si>
    <t>ubiquitin-conjugating enzyme E2 R1</t>
  </si>
  <si>
    <t xml:space="preserve">hsp90 co-chaperone Cdc37 </t>
  </si>
  <si>
    <t xml:space="preserve">pre-mRNA-processing factor 17 </t>
  </si>
  <si>
    <t>cell division control protein 42 homolog isoform 2</t>
  </si>
  <si>
    <t xml:space="preserve">cell division control protein 42 homolog isoform 1 precursor </t>
  </si>
  <si>
    <t>serine/threonine-protein kinase MRCK alpha</t>
  </si>
  <si>
    <t>serine/threonine-protein kinase MRCK beta</t>
  </si>
  <si>
    <t>serine/threonine-protein kinase MRCK gamma</t>
  </si>
  <si>
    <t>cdc42 effector protein 4</t>
  </si>
  <si>
    <t>cdc42 effector protein 5</t>
  </si>
  <si>
    <t xml:space="preserve">CDC42 small effector protein 1 isoform 2 </t>
  </si>
  <si>
    <t xml:space="preserve">cell division cycle 5-like protein </t>
  </si>
  <si>
    <t xml:space="preserve">parafibromin </t>
  </si>
  <si>
    <t xml:space="preserve">CUB domain-containing protein 1 precursor </t>
  </si>
  <si>
    <t>cadherin-1 precursor</t>
  </si>
  <si>
    <t>cadherin-16 isoform 2 precursor</t>
  </si>
  <si>
    <t>cadherin-16 isoform 3 precursor</t>
  </si>
  <si>
    <t>cadherin-16 isoform 1 precursor</t>
  </si>
  <si>
    <t>cadherin-23 isoform 1 precursor</t>
  </si>
  <si>
    <t>cadherin-23 isoform 2 precursor</t>
  </si>
  <si>
    <t>cadherin-3 isoform b precursor</t>
  </si>
  <si>
    <t>cadherin-3 isoform a precursor</t>
  </si>
  <si>
    <t>CDP-diacylglycerol--inositol 3-phosphatidyltransferase</t>
  </si>
  <si>
    <t xml:space="preserve">cyclin-dependent kinase 1 </t>
  </si>
  <si>
    <t xml:space="preserve">cyclin-dependent kinase 11B </t>
  </si>
  <si>
    <t xml:space="preserve">cyclin-dependent kinase 12 isoform 1 </t>
  </si>
  <si>
    <t xml:space="preserve">cyclin-dependent kinase 12 isoform 2 </t>
  </si>
  <si>
    <t xml:space="preserve">cyclin-dependent kinase 12 isoform 3 </t>
  </si>
  <si>
    <t xml:space="preserve">cyclin-dependent kinase 13 isoform 1 </t>
  </si>
  <si>
    <t xml:space="preserve">cyclin-dependent kinase 13 isoform 2 </t>
  </si>
  <si>
    <t xml:space="preserve">cyclin-dependent kinase 14 </t>
  </si>
  <si>
    <t xml:space="preserve">cyclin-dependent kinase 15 </t>
  </si>
  <si>
    <t xml:space="preserve">cyclin-dependent kinase 16 </t>
  </si>
  <si>
    <t xml:space="preserve">cyclin-dependent kinase 17 </t>
  </si>
  <si>
    <t xml:space="preserve">cyclin-dependent kinase 18 </t>
  </si>
  <si>
    <t xml:space="preserve">cyclin-dependent kinase 2 isoform 1 </t>
  </si>
  <si>
    <t xml:space="preserve">cyclin-dependent kinase 2 isoform 2 </t>
  </si>
  <si>
    <t xml:space="preserve">cyclin-dependent kinase 20 </t>
  </si>
  <si>
    <t xml:space="preserve">cyclin-dependent kinase 4 </t>
  </si>
  <si>
    <t xml:space="preserve">cyclin-dependent kinase 5 </t>
  </si>
  <si>
    <t xml:space="preserve">CDK5 regulatory subunit-associated protein 2 </t>
  </si>
  <si>
    <t xml:space="preserve">CDK5 regulatory subunit-associated protein 3 </t>
  </si>
  <si>
    <t xml:space="preserve">cyclin-dependent kinase 6 </t>
  </si>
  <si>
    <t xml:space="preserve">cyclin-dependent kinase 7 </t>
  </si>
  <si>
    <t xml:space="preserve">cyclin-dependent kinase 9 </t>
  </si>
  <si>
    <t xml:space="preserve">threonylcarbamoyladenosine tRNA methylthiotransferase </t>
  </si>
  <si>
    <t xml:space="preserve">cyclin-dependent kinase-like 1 </t>
  </si>
  <si>
    <t>cyclin-dependent kinase inhibitor 1B</t>
  </si>
  <si>
    <t>cyclin-dependent kinase inhibitor 2A, isoform 3 isoform 1</t>
  </si>
  <si>
    <t>CDKN2A-interacting protein</t>
  </si>
  <si>
    <t xml:space="preserve">CDKN2AIP N-terminal-like protein </t>
  </si>
  <si>
    <t xml:space="preserve">cyclin-dependent kinase 4 inhibitor B </t>
  </si>
  <si>
    <t xml:space="preserve">cyclin-dependent kinase 4 inhibitor C </t>
  </si>
  <si>
    <t>cysteine dioxygenase type 1</t>
  </si>
  <si>
    <t>cysteine-rich DPF motif domain-containing protein 1</t>
  </si>
  <si>
    <t xml:space="preserve">phosphatidate cytidylyltransferase 2 </t>
  </si>
  <si>
    <t>DNA replication factor Cdt1</t>
  </si>
  <si>
    <t>protein CDV3 isoform c</t>
  </si>
  <si>
    <t>protein CDV3 isoform d</t>
  </si>
  <si>
    <t>protein CDV3 isoform a</t>
  </si>
  <si>
    <t>protein CDV3 isoform b</t>
  </si>
  <si>
    <t xml:space="preserve">cat eye syndrome critical region protein 5 homolog precursor </t>
  </si>
  <si>
    <t xml:space="preserve">CUGBP Elav-like family member 1 isoform 2 </t>
  </si>
  <si>
    <t xml:space="preserve">CUGBP Elav-like family member 1 isoform 1 </t>
  </si>
  <si>
    <t xml:space="preserve">CUGBP Elav-like family member 2 isoform 6 </t>
  </si>
  <si>
    <t xml:space="preserve">CUGBP Elav-like family member 2 isoform 2 </t>
  </si>
  <si>
    <t xml:space="preserve">CUGBP Elav-like family member 2 isoform 3 </t>
  </si>
  <si>
    <t xml:space="preserve">CUGBP Elav-like family member 2 isoform 4 </t>
  </si>
  <si>
    <t xml:space="preserve">CUGBP Elav-like family member 2 isoform 5 </t>
  </si>
  <si>
    <t xml:space="preserve">CUGBP Elav-like family member 2 isoform 7 </t>
  </si>
  <si>
    <t xml:space="preserve">CUGBP Elav-like family member 2 isoform 1 </t>
  </si>
  <si>
    <t>cadherin EGF LAG seven-pass G-type receptor 2 isoform 1 precursor</t>
  </si>
  <si>
    <t>cadherin EGF LAG seven-pass G-type receptor 2 isoform 2 precursor</t>
  </si>
  <si>
    <t xml:space="preserve">centromere-associated protein E </t>
  </si>
  <si>
    <t xml:space="preserve">centromere protein H </t>
  </si>
  <si>
    <t xml:space="preserve">centromere protein M isoform 3 </t>
  </si>
  <si>
    <t xml:space="preserve">centromere protein M isoform 1 </t>
  </si>
  <si>
    <t xml:space="preserve">centrosome-associated protein CEP250 isoform 1 </t>
  </si>
  <si>
    <t xml:space="preserve">centrosome-associated protein CEP250 isoform 3 </t>
  </si>
  <si>
    <t xml:space="preserve">centrosome-associated protein CEP250 isoform 2 </t>
  </si>
  <si>
    <t xml:space="preserve">centrosomal protein of 290 kDa </t>
  </si>
  <si>
    <t xml:space="preserve">centrosome-associated protein 350 </t>
  </si>
  <si>
    <t xml:space="preserve">centrosomal protein of 41 kDa </t>
  </si>
  <si>
    <t xml:space="preserve">centrosomal protein of 55 kDa isoform 2 </t>
  </si>
  <si>
    <t xml:space="preserve">centrosomal protein of 55 kDa isoform 1 </t>
  </si>
  <si>
    <t xml:space="preserve">centrosomal protein of 95 kDa isoform 1 </t>
  </si>
  <si>
    <t xml:space="preserve">centrosomal protein of 95 kDa isoform 2 </t>
  </si>
  <si>
    <t xml:space="preserve">centrosomal protein of 97 kDa isoform 1 </t>
  </si>
  <si>
    <t>choline/ethanolaminephosphotransferase 1</t>
  </si>
  <si>
    <t xml:space="preserve">ceramide synthase 2 </t>
  </si>
  <si>
    <t xml:space="preserve">carboxylesterase 1D precursor </t>
  </si>
  <si>
    <t xml:space="preserve">centrin-1 </t>
  </si>
  <si>
    <t xml:space="preserve">centrin-2 </t>
  </si>
  <si>
    <t xml:space="preserve">centrin-3 </t>
  </si>
  <si>
    <t>craniofacial development protein 1</t>
  </si>
  <si>
    <t xml:space="preserve">cofilin-1 </t>
  </si>
  <si>
    <t xml:space="preserve">cofilin-2 </t>
  </si>
  <si>
    <t xml:space="preserve">CASP8 and FADD-like apoptosis regulator isoform 1 </t>
  </si>
  <si>
    <t xml:space="preserve">CASP8 and FADD-like apoptosis regulator isoform 2 </t>
  </si>
  <si>
    <t xml:space="preserve">cystic fibrosis transmembrane conductance regulator </t>
  </si>
  <si>
    <t xml:space="preserve">CGG triplet repeat-binding protein 1 </t>
  </si>
  <si>
    <t xml:space="preserve">cingulin </t>
  </si>
  <si>
    <t xml:space="preserve">cation transport regulator-like protein 2 </t>
  </si>
  <si>
    <t>chromatin assembly factor 1 subunit A</t>
  </si>
  <si>
    <t>chromatin assembly factor 1 subunit B</t>
  </si>
  <si>
    <t>chromosome alignment-maintaining phosphoprotein 1</t>
  </si>
  <si>
    <t>coiled-coil-helix-coiled-coil-helix domain-containing protein 1</t>
  </si>
  <si>
    <t>coiled-coil-helix-coiled-coil-helix domain-containing protein 2, mitochondrial precursor</t>
  </si>
  <si>
    <t>coiled-coil-helix-coiled-coil-helix domain-containing protein 3, mitochondrial precursor</t>
  </si>
  <si>
    <t>mitochondrial intermembrane space import and assembly protein 40</t>
  </si>
  <si>
    <t>coiled-coil-helix-coiled-coil-helix domain-containing protein 5</t>
  </si>
  <si>
    <t xml:space="preserve">coiled-coil-helix-coiled-coil-helix domain-containing protein 6, mitochondrial isoform 1 </t>
  </si>
  <si>
    <t xml:space="preserve">coiled-coil-helix-coiled-coil-helix domain-containing protein 6, mitochondrial isoform 2 </t>
  </si>
  <si>
    <t>coiled-coil-helix-coiled-coil-helix domain-containing protein 7</t>
  </si>
  <si>
    <t>chromodomain helicase DNA binding protein 3</t>
  </si>
  <si>
    <t xml:space="preserve">chromodomain-helicase-DNA-binding protein 4 </t>
  </si>
  <si>
    <t>chromodomain helicase DNA binding protein 5 isoform 1</t>
  </si>
  <si>
    <t>chromodomain helicase DNA binding protein 5 isoform 2</t>
  </si>
  <si>
    <t xml:space="preserve">choline dehydrogenase, mitochondrial </t>
  </si>
  <si>
    <t xml:space="preserve">serine/threonine-protein kinase Chk1 </t>
  </si>
  <si>
    <t xml:space="preserve">calcium homeostasis endoplasmic reticulum protein </t>
  </si>
  <si>
    <t xml:space="preserve">chitinase domain-containing protein 1 isoform 1 precursor </t>
  </si>
  <si>
    <t xml:space="preserve">chitinase domain-containing protein 1 isoform 2 precursor </t>
  </si>
  <si>
    <t xml:space="preserve">choline kinase alpha isoform 3 </t>
  </si>
  <si>
    <t xml:space="preserve">choline kinase alpha isoform 1 </t>
  </si>
  <si>
    <t>choline/ethanolamine kinase</t>
  </si>
  <si>
    <t>rab proteins geranylgeranyltransferase component A 1</t>
  </si>
  <si>
    <t xml:space="preserve">charged multivesicular body protein 1a </t>
  </si>
  <si>
    <t xml:space="preserve">charged multivesicular body protein 2a </t>
  </si>
  <si>
    <t xml:space="preserve">charged multivesicular body protein 2b </t>
  </si>
  <si>
    <t xml:space="preserve">charged multivesicular body protein 3 </t>
  </si>
  <si>
    <t xml:space="preserve">charged multivesicular body protein 4b </t>
  </si>
  <si>
    <t xml:space="preserve">charged multivesicular body protein 5 </t>
  </si>
  <si>
    <t xml:space="preserve">charged multivesicular body protein 6 </t>
  </si>
  <si>
    <t>cysteine and histidine-rich domain-containing protein 1</t>
  </si>
  <si>
    <t xml:space="preserve">calcineurin B homologous protein 1 </t>
  </si>
  <si>
    <t>cholinephosphotransferase 1 isoform 2</t>
  </si>
  <si>
    <t>cholinephosphotransferase 1 isoform 1</t>
  </si>
  <si>
    <t xml:space="preserve">acetylcholine receptor subunit epsilon precursor </t>
  </si>
  <si>
    <t>chromosome transmission fidelity protein 18 homolog</t>
  </si>
  <si>
    <t>chromosome transmission fidelity protein 8 homolog</t>
  </si>
  <si>
    <t xml:space="preserve">chromatin target of PRMT1 protein </t>
  </si>
  <si>
    <t>protein Churchill</t>
  </si>
  <si>
    <t xml:space="preserve">probable cytosolic iron-sulfur protein assembly protein CIAO1 </t>
  </si>
  <si>
    <t xml:space="preserve">anamorsin </t>
  </si>
  <si>
    <t xml:space="preserve">cold-inducible RNA-binding protein </t>
  </si>
  <si>
    <t xml:space="preserve">CDGSH iron-sulfur domain-containing protein 1 </t>
  </si>
  <si>
    <t xml:space="preserve">CDGSH iron-sulfur domain-containing protein 2 </t>
  </si>
  <si>
    <t xml:space="preserve">CDGSH iron-sulfur domain-containing protein 3, mitochondrial precursor </t>
  </si>
  <si>
    <t xml:space="preserve">cytoskeleton-associated protein 4 </t>
  </si>
  <si>
    <t xml:space="preserve">cytoskeleton-associated protein 5 isoform 2 </t>
  </si>
  <si>
    <t xml:space="preserve">cytoskeleton-associated protein 5 isoform 1 </t>
  </si>
  <si>
    <t xml:space="preserve">creatine kinase U-type, mitochondrial precursor </t>
  </si>
  <si>
    <t xml:space="preserve">creatine kinase S-type, mitochondrial precursor </t>
  </si>
  <si>
    <t xml:space="preserve">cyclin-dependent kinases regulatory subunit 1 </t>
  </si>
  <si>
    <t xml:space="preserve">cyclin-dependent kinases regulatory subunit 2 </t>
  </si>
  <si>
    <t xml:space="preserve">CLIP-associating protein 1 isoform 1 </t>
  </si>
  <si>
    <t xml:space="preserve">CLIP-associating protein 1 isoform 3 </t>
  </si>
  <si>
    <t xml:space="preserve">CLIP-associating protein 1 isoform 2 </t>
  </si>
  <si>
    <t>chloride channel CLIC-like protein 1 isoform 1 precursor</t>
  </si>
  <si>
    <t>chloride channel CLIC-like protein 1 isoform 2 precursor</t>
  </si>
  <si>
    <t>H(+)/Cl(-) exchange transporter 3 isoform e</t>
  </si>
  <si>
    <t>H(+)/Cl(-) exchange transporter 3 isoform b</t>
  </si>
  <si>
    <t>H(+)/Cl(-) exchange transporter 3 isoform c</t>
  </si>
  <si>
    <t>H(+)/Cl(-) exchange transporter 3 isoform a</t>
  </si>
  <si>
    <t>H(+)/Cl(-) exchange transporter 4</t>
  </si>
  <si>
    <t>H(+)/Cl(-) exchange transporter 5 isoform 1</t>
  </si>
  <si>
    <t>H(+)/Cl(-) exchange transporter 5 isoform 2</t>
  </si>
  <si>
    <t>H(+)/Cl(-) exchange transporter 7</t>
  </si>
  <si>
    <t xml:space="preserve">claudin-1 </t>
  </si>
  <si>
    <t>claudin domain-containing protein 1 isoform 1</t>
  </si>
  <si>
    <t>claudin domain-containing protein 1 isoform 3</t>
  </si>
  <si>
    <t>claudin domain-containing protein 1 isoform 2</t>
  </si>
  <si>
    <t xml:space="preserve">claudin-3 </t>
  </si>
  <si>
    <t xml:space="preserve">claudin-4 </t>
  </si>
  <si>
    <t>claudin-6 precursor</t>
  </si>
  <si>
    <t xml:space="preserve">claudin-7 </t>
  </si>
  <si>
    <t>claudin-7 precursor</t>
  </si>
  <si>
    <t xml:space="preserve">claudin-8 </t>
  </si>
  <si>
    <t xml:space="preserve">claudin-9 </t>
  </si>
  <si>
    <t>protein CLEC16A isoform 2</t>
  </si>
  <si>
    <t>protein CLEC16A isoform 1</t>
  </si>
  <si>
    <t xml:space="preserve">chloride intracellular channel protein 1 </t>
  </si>
  <si>
    <t xml:space="preserve">chloride intracellular channel protein 3 </t>
  </si>
  <si>
    <t xml:space="preserve">chloride intracellular channel protein 4 </t>
  </si>
  <si>
    <t xml:space="preserve">chloride intracellular channel protein 5 </t>
  </si>
  <si>
    <t xml:space="preserve">clathrin interactor 1 </t>
  </si>
  <si>
    <t xml:space="preserve">CAP-Gly domain-containing linker protein 1 </t>
  </si>
  <si>
    <t xml:space="preserve">CAP-Gly domain-containing linker protein 2 isoform b </t>
  </si>
  <si>
    <t xml:space="preserve">CAP-Gly domain-containing linker protein 2 isoform a </t>
  </si>
  <si>
    <t xml:space="preserve">calmin isoform a </t>
  </si>
  <si>
    <t xml:space="preserve">calmin isoform b </t>
  </si>
  <si>
    <t xml:space="preserve">battenin </t>
  </si>
  <si>
    <t>ceroid-lipofuscinosis neuronal protein 5 homolog precursor</t>
  </si>
  <si>
    <t xml:space="preserve">ceroid-lipofuscinosis, neuronal 6 </t>
  </si>
  <si>
    <t xml:space="preserve">methylosome subunit pICln </t>
  </si>
  <si>
    <t xml:space="preserve">polyribonucleotide 5'-hydroxyl-kinase Clp1 </t>
  </si>
  <si>
    <t xml:space="preserve">caseinolytic peptidase B protein homolog </t>
  </si>
  <si>
    <t>putative ATP-dependent Clp protease proteolytic subunit, mitochondrial precursor</t>
  </si>
  <si>
    <t>cleft lip and palate transmembrane protein 1 homolog</t>
  </si>
  <si>
    <t>cleft lip and palate transmembrane protein 1-like protein</t>
  </si>
  <si>
    <t xml:space="preserve">ATP-dependent Clp protease ATP-binding subunit clpX-like, mitochondrial isoform 2 </t>
  </si>
  <si>
    <t xml:space="preserve">ATP-dependent Clp protease ATP-binding subunit clpX-like, mitochondrial isoform 1 </t>
  </si>
  <si>
    <t>clathrin light chain A isoform a</t>
  </si>
  <si>
    <t>clathrin light chain A isoform b</t>
  </si>
  <si>
    <t>clathrin light chain A isoform d</t>
  </si>
  <si>
    <t>clathrin light chain A isoform c</t>
  </si>
  <si>
    <t>clathrin light chain B</t>
  </si>
  <si>
    <t>clathrin heavy chain 1</t>
  </si>
  <si>
    <t>clusterin precursor</t>
  </si>
  <si>
    <t xml:space="preserve">clusterin-associated protein 1 </t>
  </si>
  <si>
    <t>clustered mitochondria protein homolog</t>
  </si>
  <si>
    <t xml:space="preserve">citrate lyase subunit beta-like protein, mitochondrial precursor </t>
  </si>
  <si>
    <t>N-acylneuraminate cytidylyltransferase</t>
  </si>
  <si>
    <t xml:space="preserve">COX assembly mitochondrial protein homolog </t>
  </si>
  <si>
    <t>COX assembly mitochondrial protein 2 homolog</t>
  </si>
  <si>
    <t>UMP-CMP kinase</t>
  </si>
  <si>
    <t>protein CMSS1</t>
  </si>
  <si>
    <t>CKLF-like MARVEL transmembrane domain-containing protein 4</t>
  </si>
  <si>
    <t>CKLF-like MARVEL transmembrane domain-containing protein 7 isoform 1</t>
  </si>
  <si>
    <t>CKLF-like MARVEL transmembrane domain-containing protein 7 isoform 2</t>
  </si>
  <si>
    <t>cap-specific mRNA (nucleoside-2'-O-)-methyltransferase 1</t>
  </si>
  <si>
    <t>cellular nucleic acid-binding protein isoform 2</t>
  </si>
  <si>
    <t>cellular nucleic acid-binding protein isoform 3</t>
  </si>
  <si>
    <t>cellular nucleic acid-binding protein isoform 1</t>
  </si>
  <si>
    <t xml:space="preserve">cytosolic non-specific dipeptidase </t>
  </si>
  <si>
    <t>protein cornichon homolog 4</t>
  </si>
  <si>
    <t>connector enhancer of kinase suppressor of ras 3</t>
  </si>
  <si>
    <t xml:space="preserve">calponin-2 </t>
  </si>
  <si>
    <t xml:space="preserve">calponin-3 </t>
  </si>
  <si>
    <t xml:space="preserve">metal transporter CNNM2 isoform a </t>
  </si>
  <si>
    <t xml:space="preserve">metal transporter CNNM2 isoform b </t>
  </si>
  <si>
    <t>metal transporter CNNM3 isoform 1 precursor</t>
  </si>
  <si>
    <t>metal transporter CNNM3 isoform 2 precursor</t>
  </si>
  <si>
    <t xml:space="preserve">CCR4-NOT transcription complex subunit 1 isoform 2 </t>
  </si>
  <si>
    <t xml:space="preserve">CCR4-NOT transcription complex subunit 1 isoform 1 </t>
  </si>
  <si>
    <t xml:space="preserve">CCR4-NOT transcription complex subunit 1 isoform 3 </t>
  </si>
  <si>
    <t xml:space="preserve">CCR4-NOT transcription complex subunit 10 </t>
  </si>
  <si>
    <t xml:space="preserve">CCR4-NOT transcription complex subunit 11 </t>
  </si>
  <si>
    <t xml:space="preserve">CCR4-NOT transcription complex subunit 2 isoform d </t>
  </si>
  <si>
    <t xml:space="preserve">CCR4-NOT transcription complex subunit 2 isoform b </t>
  </si>
  <si>
    <t xml:space="preserve">CCR4-NOT transcription complex subunit 2 isoform a </t>
  </si>
  <si>
    <t xml:space="preserve">CCR4-NOT transcription complex subunit 3 </t>
  </si>
  <si>
    <t xml:space="preserve">CCR4-NOT transcription complex subunit 6 </t>
  </si>
  <si>
    <t xml:space="preserve">CCR4-NOT transcription complex subunit 6-like isoform 2 </t>
  </si>
  <si>
    <t xml:space="preserve">CCR4-NOT transcription complex subunit 6-like isoform 1 </t>
  </si>
  <si>
    <t xml:space="preserve">CCR4-NOT transcription complex subunit 7 isoform 2 </t>
  </si>
  <si>
    <t xml:space="preserve">CCR4-NOT transcription complex subunit 7 isoform 1 </t>
  </si>
  <si>
    <t xml:space="preserve">CCR4-NOT transcription complex subunit 8 </t>
  </si>
  <si>
    <t>2',3'-cyclic-nucleotide 3'-phosphodiesterase isoform 2</t>
  </si>
  <si>
    <t>2',3'-cyclic-nucleotide 3'-phosphodiesterase isoform 1</t>
  </si>
  <si>
    <t xml:space="preserve">protein canopy homolog 2 precursor </t>
  </si>
  <si>
    <t xml:space="preserve">protein canopy homolog 3 precursor </t>
  </si>
  <si>
    <t xml:space="preserve">protein canopy homolog 4 precursor </t>
  </si>
  <si>
    <t>cytochrome C oxidase assembly factor 3 homolog, mitochondrial</t>
  </si>
  <si>
    <t xml:space="preserve">cytochrome c oxidase assembly factor 6 homolog </t>
  </si>
  <si>
    <t xml:space="preserve">bifunctional coenzyme A synthase precursor </t>
  </si>
  <si>
    <t>protein cordon-bleu</t>
  </si>
  <si>
    <t xml:space="preserve">cordon-bleu protein-like 1 isoform 2 </t>
  </si>
  <si>
    <t xml:space="preserve">cordon-bleu protein-like 1 isoform 1 </t>
  </si>
  <si>
    <t>conserved oligomeric Golgi complex subunit 1</t>
  </si>
  <si>
    <t>conserved oligomeric Golgi complex subunit 2</t>
  </si>
  <si>
    <t>conserved oligomeric Golgi complex subunit 3</t>
  </si>
  <si>
    <t>conserved oligomeric Golgi complex subunit 4</t>
  </si>
  <si>
    <t>conserved oligomeric Golgi complex subunit 5</t>
  </si>
  <si>
    <t>conserved oligomeric Golgi complex subunit 6</t>
  </si>
  <si>
    <t>conserved oligomeric Golgi complex subunit 7</t>
  </si>
  <si>
    <t>conserved oligomeric Golgi complex subunit 8</t>
  </si>
  <si>
    <t xml:space="preserve">coilin </t>
  </si>
  <si>
    <t>collagen alpha-1(XVIII) chain isoform 1 precursor</t>
  </si>
  <si>
    <t>collagen alpha-1(XVIII) chain isoform 2 precursor</t>
  </si>
  <si>
    <t xml:space="preserve">collagen type IV alpha-3-binding protein isoform 1 </t>
  </si>
  <si>
    <t xml:space="preserve">collagen type IV alpha-3-binding protein isoform 2 </t>
  </si>
  <si>
    <t>COMM domain-containing protein 1</t>
  </si>
  <si>
    <t>COMM domain-containing protein 10</t>
  </si>
  <si>
    <t>COMM domain-containing protein 2</t>
  </si>
  <si>
    <t>COMM domain-containing protein 3</t>
  </si>
  <si>
    <t>COMM domain-containing protein 4</t>
  </si>
  <si>
    <t>COMM domain-containing protein 5</t>
  </si>
  <si>
    <t>COMM domain-containing protein 6 isoform 2</t>
  </si>
  <si>
    <t>COMM domain-containing protein 6 isoform 1</t>
  </si>
  <si>
    <t>COMM domain-containing protein 7 isoform 1</t>
  </si>
  <si>
    <t>COMM domain-containing protein 7 isoform 2</t>
  </si>
  <si>
    <t>COMM domain-containing protein 9</t>
  </si>
  <si>
    <t>catechol O-methyltransferase</t>
  </si>
  <si>
    <t xml:space="preserve">catechol O-methyltransferase domain-containing protein 1 </t>
  </si>
  <si>
    <t xml:space="preserve">coatomer subunit alpha </t>
  </si>
  <si>
    <t xml:space="preserve">coatomer subunit beta </t>
  </si>
  <si>
    <t xml:space="preserve">coatomer subunit beta' </t>
  </si>
  <si>
    <t xml:space="preserve">coatomer subunit epsilon </t>
  </si>
  <si>
    <t xml:space="preserve">coatomer subunit gamma-1 isoform 2 </t>
  </si>
  <si>
    <t xml:space="preserve">coatomer subunit gamma-1 isoform 1 </t>
  </si>
  <si>
    <t xml:space="preserve">coatomer subunit gamma-2 </t>
  </si>
  <si>
    <t xml:space="preserve">COP9 signalosome complex subunit 2 </t>
  </si>
  <si>
    <t xml:space="preserve">COP9 signalosome complex subunit 3 </t>
  </si>
  <si>
    <t xml:space="preserve">COP9 signalosome complex subunit 4 </t>
  </si>
  <si>
    <t xml:space="preserve">COP9 signalosome complex subunit 5 isoform 2 </t>
  </si>
  <si>
    <t xml:space="preserve">COP9 signalosome complex subunit 5 isoform 1 </t>
  </si>
  <si>
    <t xml:space="preserve">COP9 signalosome complex subunit 6 </t>
  </si>
  <si>
    <t xml:space="preserve">COP9 signalosome complex subunit 7a isoform 2 </t>
  </si>
  <si>
    <t xml:space="preserve">COP9 signalosome complex subunit 7a isoform 1 </t>
  </si>
  <si>
    <t xml:space="preserve">COP9 signalosome complex subunit 7b </t>
  </si>
  <si>
    <t xml:space="preserve">COP9 signalosome complex subunit 8 </t>
  </si>
  <si>
    <t xml:space="preserve">coatomer subunit zeta-1 </t>
  </si>
  <si>
    <t xml:space="preserve">coatomer subunit zeta-2 </t>
  </si>
  <si>
    <t xml:space="preserve">hexaprenyldihydroxybenzoate methyltransferase, mitochondrial </t>
  </si>
  <si>
    <t xml:space="preserve">ubiquinone biosynthesis protein COQ4 homolog, mitochondrial precursor </t>
  </si>
  <si>
    <t>2-methoxy-6-polyprenyl-1,4-benzoquinol methylase, mitochondrial precursor</t>
  </si>
  <si>
    <t xml:space="preserve">ubiquinone biosynthesis monooxygenase COQ6 precursor </t>
  </si>
  <si>
    <t xml:space="preserve">ubiquinone biosynthesis protein COQ7 homolog </t>
  </si>
  <si>
    <t>ubiquinone biosynthesis protein COQ9, mitochondrial precursor</t>
  </si>
  <si>
    <t xml:space="preserve">coronin-1B </t>
  </si>
  <si>
    <t xml:space="preserve">coronin-1C </t>
  </si>
  <si>
    <t xml:space="preserve">coronin-2A isoform 2 </t>
  </si>
  <si>
    <t xml:space="preserve">coronin-2A isoform 1 </t>
  </si>
  <si>
    <t xml:space="preserve">coronin-7 </t>
  </si>
  <si>
    <t>coactosin-like protein</t>
  </si>
  <si>
    <t xml:space="preserve">cytochrome c oxidase subunit Imusculus </t>
  </si>
  <si>
    <t xml:space="preserve">cytochrome c oxidase subunit I </t>
  </si>
  <si>
    <t xml:space="preserve">cytochrome c oxidase assembly protein COX11, mitochondrial </t>
  </si>
  <si>
    <t xml:space="preserve">cytochrome c oxidase assembly protein COX15 homolog </t>
  </si>
  <si>
    <t>cytochrome c oxidase assembly protein COX16 homolog, mitochondrial</t>
  </si>
  <si>
    <t xml:space="preserve">cytochrome c oxidase copper chaperone </t>
  </si>
  <si>
    <t xml:space="preserve">cytochrome c oxidase subunit IImusculus </t>
  </si>
  <si>
    <t xml:space="preserve">cytochrome c oxidase subunit II </t>
  </si>
  <si>
    <t>cytochrome c oxidase protein 20 homolog</t>
  </si>
  <si>
    <t>cytochrome c oxidase subunit IIImusculus castaneus]</t>
  </si>
  <si>
    <t xml:space="preserve">cytochrome c oxidase subunit III </t>
  </si>
  <si>
    <t xml:space="preserve">cytochrome c oxidase subunit 4 isoform 1, mitochondrial precursor </t>
  </si>
  <si>
    <t xml:space="preserve">cytochrome c oxidase subunit 5A, mitochondrial precursor </t>
  </si>
  <si>
    <t xml:space="preserve">cytochrome c oxidase subunit 6B1 </t>
  </si>
  <si>
    <t xml:space="preserve">cytochrome c oxidase subunit 6C </t>
  </si>
  <si>
    <t xml:space="preserve">cytochrome c oxidase subunit 7A2, mitochondrial precursor </t>
  </si>
  <si>
    <t xml:space="preserve">cytochrome c oxidase subunit 7A-related protein, mitochondrial isoform 1 </t>
  </si>
  <si>
    <t xml:space="preserve">cytochrome c oxidase subunit 7A-related protein, mitochondrial isoform 2 </t>
  </si>
  <si>
    <t xml:space="preserve">cytochrome c oxidase subunit 7B, mitochondrial precursor </t>
  </si>
  <si>
    <t xml:space="preserve">carboxypeptidase D precursor </t>
  </si>
  <si>
    <t xml:space="preserve">carboxypeptidase E precursor </t>
  </si>
  <si>
    <t xml:space="preserve">cytoplasmic polyadenylation element-binding protein 2 isoform 1 </t>
  </si>
  <si>
    <t xml:space="preserve">cytoplasmic polyadenylation element-binding protein 2 isoform 2 </t>
  </si>
  <si>
    <t xml:space="preserve">cytoplasmic polyadenylation element-binding protein 3 </t>
  </si>
  <si>
    <t xml:space="preserve">cytoplasmic polyadenylation element-binding protein 4 </t>
  </si>
  <si>
    <t xml:space="preserve">carboxypeptidase M precursor </t>
  </si>
  <si>
    <t xml:space="preserve">copine-1 </t>
  </si>
  <si>
    <t xml:space="preserve">copine-2 </t>
  </si>
  <si>
    <t xml:space="preserve">copine-3 </t>
  </si>
  <si>
    <t xml:space="preserve">copine-4 </t>
  </si>
  <si>
    <t xml:space="preserve">copine-5 </t>
  </si>
  <si>
    <t xml:space="preserve">copine-6 isoform b </t>
  </si>
  <si>
    <t xml:space="preserve">copine-6 isoform a </t>
  </si>
  <si>
    <t xml:space="preserve">copine-7 </t>
  </si>
  <si>
    <t xml:space="preserve">copine-8 isoform 2 </t>
  </si>
  <si>
    <t xml:space="preserve">copine-8 isoform 1 </t>
  </si>
  <si>
    <t xml:space="preserve">copine-9 </t>
  </si>
  <si>
    <t>coproporphyrinogen-III oxidase, mitochondrial precursor</t>
  </si>
  <si>
    <t xml:space="preserve">calcineurin-like phosphoesterase domain-containing protein 1 </t>
  </si>
  <si>
    <t xml:space="preserve">carbamoyl-phosphate synthase [ammonia], mitochondrial precursor </t>
  </si>
  <si>
    <t xml:space="preserve">cleavage and polyadenylation specificity factor subunit 1 isoform 2 </t>
  </si>
  <si>
    <t xml:space="preserve">cleavage and polyadenylation specificity factor subunit 1 isoform 1 </t>
  </si>
  <si>
    <t xml:space="preserve">cleavage and polyadenylation specificity factor subunit 2 </t>
  </si>
  <si>
    <t xml:space="preserve">cleavage and polyadenylation specificity factor subunit 3 </t>
  </si>
  <si>
    <t>integrator complex subunit 11</t>
  </si>
  <si>
    <t xml:space="preserve">cleavage and polyadenylation specificity factor subunit 6 </t>
  </si>
  <si>
    <t xml:space="preserve">cleavage and polyadenylation specificity factor subunit 7 isoform 1 </t>
  </si>
  <si>
    <t xml:space="preserve">cleavage and polyadenylation specificity factor subunit 7 isoform 2 </t>
  </si>
  <si>
    <t xml:space="preserve">carnitine O-palmitoyltransferase 1, liver isoform </t>
  </si>
  <si>
    <t xml:space="preserve">carnitine O-palmitoyltransferase 1, muscle isoform </t>
  </si>
  <si>
    <t xml:space="preserve">carnitine O-palmitoyltransferase 2, mitochondrial precursor </t>
  </si>
  <si>
    <t xml:space="preserve">complement component receptor 1-like protein </t>
  </si>
  <si>
    <t xml:space="preserve">cellular retinoic acid-binding protein 1 </t>
  </si>
  <si>
    <t xml:space="preserve">cellular retinoic acid-binding protein 2 </t>
  </si>
  <si>
    <t>carnitine O-acetyltransferase</t>
  </si>
  <si>
    <t xml:space="preserve">crumbs protein homolog 3 precursor </t>
  </si>
  <si>
    <t>protein cereblon isoform 2</t>
  </si>
  <si>
    <t>protein cereblon isoform 1</t>
  </si>
  <si>
    <t>CREB-binding protein</t>
  </si>
  <si>
    <t xml:space="preserve">cysteine-rich with EGF-like domain protein 1 precursor </t>
  </si>
  <si>
    <t xml:space="preserve">cysteine-rich with EGF-like domain protein 2 precursor </t>
  </si>
  <si>
    <t xml:space="preserve">cysteine-rich protein 1 </t>
  </si>
  <si>
    <t xml:space="preserve">cysteine-rich protein 2 </t>
  </si>
  <si>
    <t xml:space="preserve">adapter molecule crk </t>
  </si>
  <si>
    <t>crk-like protein isoform 1</t>
  </si>
  <si>
    <t>cytokine receptor-like factor 3</t>
  </si>
  <si>
    <t>cardiolipin synthase isoform 1</t>
  </si>
  <si>
    <t xml:space="preserve">dihydropyrimidinase-related protein 1 isoform 1 </t>
  </si>
  <si>
    <t xml:space="preserve">dihydropyrimidinase-related protein 1 isoform 2 </t>
  </si>
  <si>
    <t>crooked neck-like protein 1</t>
  </si>
  <si>
    <t xml:space="preserve">rootletin isoform 1 </t>
  </si>
  <si>
    <t xml:space="preserve">rootletin isoform 2 </t>
  </si>
  <si>
    <t xml:space="preserve">peroxisomal carnitine O-octanoyltransferase </t>
  </si>
  <si>
    <t xml:space="preserve">cartilage-associated protein precursor </t>
  </si>
  <si>
    <t xml:space="preserve">cryptochrome-1 </t>
  </si>
  <si>
    <t xml:space="preserve">cryptochrome-2 </t>
  </si>
  <si>
    <t xml:space="preserve">alpha-crystallin B chain </t>
  </si>
  <si>
    <t>lambda-crystallin homolog</t>
  </si>
  <si>
    <t>quinone oxidoreductase</t>
  </si>
  <si>
    <t>quinone oxidoreductase-like protein 1 isoform 1</t>
  </si>
  <si>
    <t>quinone oxidoreductase-like protein 1 isoform 2</t>
  </si>
  <si>
    <t>citrate synthase, mitochondrial precursor</t>
  </si>
  <si>
    <t>cysteine sulfinic acid decarboxylase</t>
  </si>
  <si>
    <t xml:space="preserve">cold shock domain-containing protein E1 isoform 1 </t>
  </si>
  <si>
    <t xml:space="preserve">cold shock domain-containing protein E1 isoform 2 </t>
  </si>
  <si>
    <t xml:space="preserve">exportin-2 </t>
  </si>
  <si>
    <t>granulocyte colony-stimulating factor precursor</t>
  </si>
  <si>
    <t xml:space="preserve">tyrosine-protein kinase CSK </t>
  </si>
  <si>
    <t xml:space="preserve">citrate synthase-like protein </t>
  </si>
  <si>
    <t>kappa-casein precursor</t>
  </si>
  <si>
    <t xml:space="preserve">casein kinase I isoform alpha </t>
  </si>
  <si>
    <t xml:space="preserve">casein kinase I isoform delta isoform 2 </t>
  </si>
  <si>
    <t xml:space="preserve">casein kinase I isoform delta isoform 1 </t>
  </si>
  <si>
    <t xml:space="preserve">casein kinase I isoform epsilon </t>
  </si>
  <si>
    <t xml:space="preserve">casein kinase II subunit alpha </t>
  </si>
  <si>
    <t xml:space="preserve">casein kinase II subunit alpha' </t>
  </si>
  <si>
    <t xml:space="preserve">casein kinase II subunit beta </t>
  </si>
  <si>
    <t xml:space="preserve">cysteine and glycine-rich protein 1 </t>
  </si>
  <si>
    <t xml:space="preserve">cysteine and glycine-rich protein 2 </t>
  </si>
  <si>
    <t>cystatin-C precursor</t>
  </si>
  <si>
    <t xml:space="preserve">CSA-conditional, T cell activation-dependent protein </t>
  </si>
  <si>
    <t xml:space="preserve">cystatin-B </t>
  </si>
  <si>
    <t xml:space="preserve">cleavage stimulation factor subunit 1 </t>
  </si>
  <si>
    <t xml:space="preserve">cleavage stimulation factor subunit 2 </t>
  </si>
  <si>
    <t xml:space="preserve">cleavage stimulation factor subunit 3 isoform 1 </t>
  </si>
  <si>
    <t>cutaneous T-cell lymphoma-associated antigen 5 homolog isoform 1</t>
  </si>
  <si>
    <t>cutaneous T-cell lymphoma-associated antigen 5 homolog isoform 2</t>
  </si>
  <si>
    <t>cutaneous T-cell lymphoma-associated antigen 5 homolog isoform 3</t>
  </si>
  <si>
    <t xml:space="preserve">C-terminal-binding protein 1 isoform 1 </t>
  </si>
  <si>
    <t xml:space="preserve">C-terminal-binding protein 1 isoform 2 </t>
  </si>
  <si>
    <t xml:space="preserve">C-terminal-binding protein 1 isoform 4 </t>
  </si>
  <si>
    <t xml:space="preserve">C-terminal-binding protein 1 isoform 3 </t>
  </si>
  <si>
    <t xml:space="preserve">C-terminal-binding protein 2 isoform 1 </t>
  </si>
  <si>
    <t xml:space="preserve">C-terminal-binding protein 2 isoform 2 </t>
  </si>
  <si>
    <t>di-N-acetylchitobiase precursor</t>
  </si>
  <si>
    <t>CST complex subunit CTC1 isoform a</t>
  </si>
  <si>
    <t>CST complex subunit CTC1 isoform c</t>
  </si>
  <si>
    <t xml:space="preserve">transcriptional repressor CTCF </t>
  </si>
  <si>
    <t>RNA polymerase II subunit A C-terminal domain phosphatase</t>
  </si>
  <si>
    <t>carboxy-terminal domain RNA polymerase II polypeptide A small phosphatase 1</t>
  </si>
  <si>
    <t>carboxy-terminal domain RNA polymerase II polypeptide A small phosphatase 2 isoform a</t>
  </si>
  <si>
    <t>carboxy-terminal domain RNA polymerase II polypeptide A small phosphatase 2 isoform b</t>
  </si>
  <si>
    <t>CTD small phosphatase-like protein</t>
  </si>
  <si>
    <t xml:space="preserve">cardiotrophin-1 </t>
  </si>
  <si>
    <t>cardiotrophin-2 precursor</t>
  </si>
  <si>
    <t>cystathionine gamma-lyase</t>
  </si>
  <si>
    <t>catenin alpha-1</t>
  </si>
  <si>
    <t>catenin alpha-2 isoform 2</t>
  </si>
  <si>
    <t>catenin alpha-2 isoform 1</t>
  </si>
  <si>
    <t>catenin alpha-3 isoform 1</t>
  </si>
  <si>
    <t>catenin alpha-3 isoform 2</t>
  </si>
  <si>
    <t xml:space="preserve">alpha-catulin </t>
  </si>
  <si>
    <t>catenin beta-1</t>
  </si>
  <si>
    <t xml:space="preserve">beta-catenin-like protein 1 </t>
  </si>
  <si>
    <t>catenin delta-1 isoform 2</t>
  </si>
  <si>
    <t>catenin delta-1 isoform 3</t>
  </si>
  <si>
    <t>catenin delta-1 isoform 4</t>
  </si>
  <si>
    <t>catenin delta-1 isoform 1</t>
  </si>
  <si>
    <t xml:space="preserve">CTP synthase 1 </t>
  </si>
  <si>
    <t xml:space="preserve">CTP synthase 2 isoform a </t>
  </si>
  <si>
    <t xml:space="preserve">CTP synthase 2 isoform b </t>
  </si>
  <si>
    <t>lysosomal protective protein isoform b preproprotein</t>
  </si>
  <si>
    <t>lysosomal protective protein isoform a preproprotein</t>
  </si>
  <si>
    <t xml:space="preserve">cathepsin B preproprotein </t>
  </si>
  <si>
    <t>dipeptidyl peptidase 1 preproprotein</t>
  </si>
  <si>
    <t xml:space="preserve">cathepsin D precursor </t>
  </si>
  <si>
    <t xml:space="preserve">pro-cathepsin H preproprotein </t>
  </si>
  <si>
    <t xml:space="preserve">cathepsin L1 preproprotein </t>
  </si>
  <si>
    <t xml:space="preserve">cathepsin Z preproprotein </t>
  </si>
  <si>
    <t xml:space="preserve">src substrate cortactin isoform 2 </t>
  </si>
  <si>
    <t xml:space="preserve">src substrate cortactin isoform 1 </t>
  </si>
  <si>
    <t xml:space="preserve">CTTNBP2 N-terminal-like protein </t>
  </si>
  <si>
    <t xml:space="preserve">cytoplasmic tRNA 2-thiolation protein 1 </t>
  </si>
  <si>
    <t xml:space="preserve">cytoplasmic tRNA 2-thiolation protein 2 </t>
  </si>
  <si>
    <t>cubilin precursor</t>
  </si>
  <si>
    <t>CUE domain-containing protein 2 isoform a</t>
  </si>
  <si>
    <t>CUE domain-containing protein 2 isoform b</t>
  </si>
  <si>
    <t>CUE domain-containing protein 2 isoform c</t>
  </si>
  <si>
    <t xml:space="preserve">cullin-1 </t>
  </si>
  <si>
    <t xml:space="preserve">cullin-2 </t>
  </si>
  <si>
    <t xml:space="preserve">cullin-3 </t>
  </si>
  <si>
    <t xml:space="preserve">cullin-4A </t>
  </si>
  <si>
    <t xml:space="preserve">cullin-4B </t>
  </si>
  <si>
    <t xml:space="preserve">cullin-5 isoform 1 </t>
  </si>
  <si>
    <t xml:space="preserve">cullin-5 isoform 2 </t>
  </si>
  <si>
    <t xml:space="preserve">cullin-7 </t>
  </si>
  <si>
    <t xml:space="preserve">protein CutA isoform 1 precursor </t>
  </si>
  <si>
    <t>protein CutA isoform 2</t>
  </si>
  <si>
    <t xml:space="preserve">copper homeostasis protein cutC homolog isoform 2 </t>
  </si>
  <si>
    <t xml:space="preserve">copper homeostasis protein cutC homolog isoform 1 </t>
  </si>
  <si>
    <t>protein CASP isoform a</t>
  </si>
  <si>
    <t>protein CASP isoform b</t>
  </si>
  <si>
    <t>spliceosome-associated protein CWC15 homolog</t>
  </si>
  <si>
    <t>pre-mRNA-splicing factor CWC22 homolog isoform 1</t>
  </si>
  <si>
    <t>pre-mRNA-splicing factor CWC22 homolog isoform 2</t>
  </si>
  <si>
    <t>pre-mRNA-splicing factor CWC25 homolog</t>
  </si>
  <si>
    <t xml:space="preserve">peptidyl-prolyl cis-trans isomerase CWC27 homolog </t>
  </si>
  <si>
    <t xml:space="preserve">CWF19-like protein 1 </t>
  </si>
  <si>
    <t xml:space="preserve">CWF19-like protein 2 </t>
  </si>
  <si>
    <t>coxsackievirus and adenovirus receptor homolog isoform c precursor</t>
  </si>
  <si>
    <t>coxsackievirus and adenovirus receptor homolog isoform a precursor</t>
  </si>
  <si>
    <t>coxsackievirus and adenovirus receptor homolog isoform b precursor</t>
  </si>
  <si>
    <t>cpG-binding protein</t>
  </si>
  <si>
    <t>cytochrome b5</t>
  </si>
  <si>
    <t>cytochrome b561</t>
  </si>
  <si>
    <t xml:space="preserve">cytochrome b561 domain-containing protein 2 </t>
  </si>
  <si>
    <t xml:space="preserve">cytochrome b5 type B precursor </t>
  </si>
  <si>
    <t>NADH-cytochrome b5 reductase 1</t>
  </si>
  <si>
    <t>NADH-cytochrome b5 reductase 3</t>
  </si>
  <si>
    <t xml:space="preserve">cytochrome c1, heme protein, mitochondrial </t>
  </si>
  <si>
    <t xml:space="preserve">cytochrome c, somatic </t>
  </si>
  <si>
    <t>cytoplasmic FMR1-interacting protein 1 isoform a</t>
  </si>
  <si>
    <t>cytoplasmic FMR1-interacting protein 1 isoform b</t>
  </si>
  <si>
    <t>cytoplasmic FMR1-interacting protein 2</t>
  </si>
  <si>
    <t xml:space="preserve">cysteine and histidine-rich protein 1 isoform 2 </t>
  </si>
  <si>
    <t xml:space="preserve">cysteine and histidine-rich protein 1 isoform 3 </t>
  </si>
  <si>
    <t>cysteine and histidine-rich protein 1 isoform 1 precursor</t>
  </si>
  <si>
    <t xml:space="preserve">cytochrome P450 20A1 </t>
  </si>
  <si>
    <t>cytochrome P450 2S1 precursor</t>
  </si>
  <si>
    <t>24-hydroxycholesterol 7-alpha-hydroxylase</t>
  </si>
  <si>
    <t>cytochrome P450, family 4, subfamily f, polypeptide 16</t>
  </si>
  <si>
    <t xml:space="preserve">lanosterol 14-alpha demethylase </t>
  </si>
  <si>
    <t xml:space="preserve">cystin-1 </t>
  </si>
  <si>
    <t>cytochrome bmusculus</t>
  </si>
  <si>
    <t xml:space="preserve">cytochrome bmusculus castaneus] </t>
  </si>
  <si>
    <t>cytochrome b</t>
  </si>
  <si>
    <t xml:space="preserve">cytohesin-1 isoform 2 </t>
  </si>
  <si>
    <t xml:space="preserve">cytohesin-1 isoform 3 </t>
  </si>
  <si>
    <t xml:space="preserve">cytohesin-1 isoform 1 </t>
  </si>
  <si>
    <t xml:space="preserve">cytohesin-2 isoform 2 </t>
  </si>
  <si>
    <t xml:space="preserve">cytohesin-2 isoform 1 </t>
  </si>
  <si>
    <t>uncharacterized protein C9orf40 homolog</t>
  </si>
  <si>
    <t>brefeldin A-inhibited guanine nucleotide-exchange protein 3</t>
  </si>
  <si>
    <t>protein FAM208A isoform 2</t>
  </si>
  <si>
    <t>protein FAM208A isoform 1</t>
  </si>
  <si>
    <t>protein FAM91A1</t>
  </si>
  <si>
    <t>uncharacterized protein C6orf47 homolog</t>
  </si>
  <si>
    <t xml:space="preserve">UPF0556 protein C19orf10 homolog precursor </t>
  </si>
  <si>
    <t>UNC119-binding protein C5orf30 homolog</t>
  </si>
  <si>
    <t xml:space="preserve">putative ATP-dependent RNA helicase Pl10 </t>
  </si>
  <si>
    <t>D-2-hydroxyglutarate dehydrogenase, mitochondrial precursor</t>
  </si>
  <si>
    <t>uncharacterized protein C9orf114 homolog</t>
  </si>
  <si>
    <t>uncharacterized protein CXorf57 homolog</t>
  </si>
  <si>
    <t>UPF0462 protein C4orf33 homolog isoform a</t>
  </si>
  <si>
    <t>UPF0462 protein C4orf33 homolog isoform b</t>
  </si>
  <si>
    <t>uncharacterized protein C12orf4 homolog</t>
  </si>
  <si>
    <t xml:space="preserve">leydig cell tumor 10 kDa protein homolog </t>
  </si>
  <si>
    <t xml:space="preserve">tyrosine-protein kinase SgK223 </t>
  </si>
  <si>
    <t xml:space="preserve">disheveled-associated activator of morphogenesis 1 </t>
  </si>
  <si>
    <t>dolichyl-diphosphooligosaccharide--protein glycosyltransferase subunit DAD1</t>
  </si>
  <si>
    <t>dystroglycan precursor</t>
  </si>
  <si>
    <t>bifunctional ATP-dependent dihydroxyacetone kinase/FAD-AMP lyase (cyclizing)</t>
  </si>
  <si>
    <t>D-amino-acid oxidase</t>
  </si>
  <si>
    <t xml:space="preserve">28S ribosomal protein S29, mitochondrial isoform 2 </t>
  </si>
  <si>
    <t xml:space="preserve">28S ribosomal protein S29, mitochondrial isoform 1 </t>
  </si>
  <si>
    <t>death-associated protein kinase 3 isoform a</t>
  </si>
  <si>
    <t>death-associated protein kinase 3 isoform b</t>
  </si>
  <si>
    <t xml:space="preserve">aspartate--tRNA ligase, cytoplasmic isoform 2 </t>
  </si>
  <si>
    <t xml:space="preserve">aspartate--tRNA ligase, cytoplasmic isoform 1 </t>
  </si>
  <si>
    <t>aspartate--tRNA ligase, mitochondrial precursor</t>
  </si>
  <si>
    <t xml:space="preserve">DAZ-associated protein 1 isoform a </t>
  </si>
  <si>
    <t xml:space="preserve">DAZ-associated protein 1 isoform b </t>
  </si>
  <si>
    <t xml:space="preserve">DAZ-associated protein 1 isoform c </t>
  </si>
  <si>
    <t>dopamine beta-hydroxylase</t>
  </si>
  <si>
    <t>acyl-CoA-binding protein isoform 2</t>
  </si>
  <si>
    <t>acyl-CoA-binding protein isoform 1</t>
  </si>
  <si>
    <t>dysbindin domain-containing protein 2</t>
  </si>
  <si>
    <t>drebrin-like protein isoform 1</t>
  </si>
  <si>
    <t>drebrin-like protein isoform 3</t>
  </si>
  <si>
    <t>drebrin-like protein isoform 2</t>
  </si>
  <si>
    <t xml:space="preserve">lariat debranching enzyme </t>
  </si>
  <si>
    <t>lipoamide acyltransferase component of branched-chain alpha-keto acid dehydrogenase complex, mitochondrial</t>
  </si>
  <si>
    <t xml:space="preserve">DDB1- and CUL4-associated factor 11 </t>
  </si>
  <si>
    <t>DDB1 and CUL4 associated factor 4 isoform 2</t>
  </si>
  <si>
    <t>DDB1 and CUL4 associated factor 4 isoform 1</t>
  </si>
  <si>
    <t xml:space="preserve">DDB1- and CUL4-associated factor 5 </t>
  </si>
  <si>
    <t xml:space="preserve">DDB1- and CUL4-associated factor 7 </t>
  </si>
  <si>
    <t xml:space="preserve">DDB1- and CUL4-associated factor 8 </t>
  </si>
  <si>
    <t>dephospho-CoA kinase domain-containing protein</t>
  </si>
  <si>
    <t>deoxycytidine kinase</t>
  </si>
  <si>
    <t xml:space="preserve">mRNA-decapping enzyme 1A </t>
  </si>
  <si>
    <t>m7GpppX diphosphatase</t>
  </si>
  <si>
    <t>deoxycytidylate deaminase</t>
  </si>
  <si>
    <t xml:space="preserve">dynactin subunit 1 isoform 1 </t>
  </si>
  <si>
    <t xml:space="preserve">dynactin subunit 1 isoform 2 </t>
  </si>
  <si>
    <t xml:space="preserve">dynactin subunit 1 isoform 3 </t>
  </si>
  <si>
    <t xml:space="preserve">dynactin subunit 2 isoform 3 </t>
  </si>
  <si>
    <t xml:space="preserve">dynactin subunit 2 isoform 2 </t>
  </si>
  <si>
    <t xml:space="preserve">dynactin subunit 2 isoform 1 </t>
  </si>
  <si>
    <t xml:space="preserve">dynactin subunit 3 isoform A </t>
  </si>
  <si>
    <t xml:space="preserve">dynactin subunit 3 isoform B </t>
  </si>
  <si>
    <t xml:space="preserve">dynactin subunit 4 </t>
  </si>
  <si>
    <t xml:space="preserve">dynactin subunit 5 </t>
  </si>
  <si>
    <t xml:space="preserve">dynactin subunit 6 </t>
  </si>
  <si>
    <t xml:space="preserve">dCTP pyrophosphatase 1 </t>
  </si>
  <si>
    <t xml:space="preserve">DCN1-like protein 1 isoform 1 </t>
  </si>
  <si>
    <t xml:space="preserve">DCN1-like protein 1 isoform 2 </t>
  </si>
  <si>
    <t xml:space="preserve">DCN1-like protein 2 isoform c </t>
  </si>
  <si>
    <t xml:space="preserve">DCN1-like protein 2 isoform d </t>
  </si>
  <si>
    <t xml:space="preserve">DCN1-like protein 2 isoform a </t>
  </si>
  <si>
    <t xml:space="preserve">DCN1-like protein 2 isoform b </t>
  </si>
  <si>
    <t xml:space="preserve">DCN1-like protein 5 </t>
  </si>
  <si>
    <t>L-xylulose reductase</t>
  </si>
  <si>
    <t xml:space="preserve">DET1- and DDB1-associated protein 1 </t>
  </si>
  <si>
    <t xml:space="preserve">N(G),N(G)-dimethylarginine dimethylaminohydrolase 1 </t>
  </si>
  <si>
    <t xml:space="preserve">N(G),N(G)-dimethylarginine dimethylaminohydrolase 2 isoform 1 </t>
  </si>
  <si>
    <t xml:space="preserve">N(G),N(G)-dimethylarginine dimethylaminohydrolase 2 isoform 2 </t>
  </si>
  <si>
    <t>DNA damage-binding protein 1</t>
  </si>
  <si>
    <t>protein DDI1 homolog 2</t>
  </si>
  <si>
    <t>dolichyl-diphosphooligosaccharide--protein glycosyltransferase 48 kDa subunit precursor</t>
  </si>
  <si>
    <t xml:space="preserve">DDRGK domain-containing protein 1 precursor </t>
  </si>
  <si>
    <t>D-dopachrome decarboxylase</t>
  </si>
  <si>
    <t>ATP-dependent RNA helicase DDX1</t>
  </si>
  <si>
    <t xml:space="preserve">probable ATP-dependent RNA helicase DDX17 isoform 3 </t>
  </si>
  <si>
    <t xml:space="preserve">probable ATP-dependent RNA helicase DDX17 isoform 2 </t>
  </si>
  <si>
    <t xml:space="preserve">probable ATP-dependent RNA helicase DDX17 isoform 1 </t>
  </si>
  <si>
    <t xml:space="preserve">probable ATP-dependent RNA helicase DDX17 isoform 4 </t>
  </si>
  <si>
    <t>ATP-dependent RNA helicase DDX18</t>
  </si>
  <si>
    <t>ATP-dependent RNA helicase DDX19A</t>
  </si>
  <si>
    <t>ATP-dependent RNA helicase DDX19B isoform 2</t>
  </si>
  <si>
    <t>ATP-dependent RNA helicase DDX19B isoform 3</t>
  </si>
  <si>
    <t>ATP-dependent RNA helicase DDX19B isoform 1</t>
  </si>
  <si>
    <t>nucleolar RNA helicase 2</t>
  </si>
  <si>
    <t xml:space="preserve">probable ATP-dependent RNA helicase DDX23 </t>
  </si>
  <si>
    <t>ATP-dependent RNA helicase DDX24 isoform 1</t>
  </si>
  <si>
    <t>ATP-dependent RNA helicase DDX24 isoform 2</t>
  </si>
  <si>
    <t>ATP-dependent RNA helicase DDX25</t>
  </si>
  <si>
    <t xml:space="preserve">probable ATP-dependent RNA helicase DDX27 </t>
  </si>
  <si>
    <t xml:space="preserve">probable ATP-dependent RNA helicase DDX28 </t>
  </si>
  <si>
    <t xml:space="preserve">DEAD/H (Asp-Glu-Ala-Asp/His) box polypeptide 31 </t>
  </si>
  <si>
    <t>ATP-dependent RNA helicase DDX39A</t>
  </si>
  <si>
    <t>spliceosome RNA helicase Ddx39b</t>
  </si>
  <si>
    <t>ATP-dependent RNA helicase DDX3X</t>
  </si>
  <si>
    <t>ATP-dependent RNA helicase DDX3Y</t>
  </si>
  <si>
    <t xml:space="preserve">probable ATP-dependent RNA helicase DDX4 isoform 1 </t>
  </si>
  <si>
    <t xml:space="preserve">probable ATP-dependent RNA helicase DDX4 isoform 2 </t>
  </si>
  <si>
    <t xml:space="preserve">probable ATP-dependent RNA helicase DDX41 </t>
  </si>
  <si>
    <t>ATP-dependent RNA helicase DDX42</t>
  </si>
  <si>
    <t xml:space="preserve">probable ATP-dependent RNA helicase DDX46 </t>
  </si>
  <si>
    <t xml:space="preserve">probable ATP-dependent RNA helicase DDX47 </t>
  </si>
  <si>
    <t xml:space="preserve">probable ATP-dependent RNA helicase DDX49 </t>
  </si>
  <si>
    <t xml:space="preserve">probable ATP-dependent RNA helicase DDX5 </t>
  </si>
  <si>
    <t>ATP-dependent RNA helicase DDX50</t>
  </si>
  <si>
    <t>ATP-dependent RNA helicase DDX51</t>
  </si>
  <si>
    <t>ATP-dependent RNA helicase DDX55 isoform 1</t>
  </si>
  <si>
    <t>ATP-dependent RNA helicase DDX55 isoform 2</t>
  </si>
  <si>
    <t xml:space="preserve">probable ATP-dependent RNA helicase DDX56 </t>
  </si>
  <si>
    <t xml:space="preserve">probable ATP-dependent RNA helicase DDX58 </t>
  </si>
  <si>
    <t xml:space="preserve">probable ATP-dependent RNA helicase DDX6 </t>
  </si>
  <si>
    <t xml:space="preserve">probable ATP-dependent RNA helicase DDX60 </t>
  </si>
  <si>
    <t xml:space="preserve">SS18-like protein 2 </t>
  </si>
  <si>
    <t xml:space="preserve">peroxisomal 2,4-dienoyl-CoA reductase </t>
  </si>
  <si>
    <t xml:space="preserve">sphingolipid delta(4)-desaturase DES1 </t>
  </si>
  <si>
    <t>protein DEK</t>
  </si>
  <si>
    <t>DENN domain-containing protein 1C</t>
  </si>
  <si>
    <t>DENN domain-containing protein 2A</t>
  </si>
  <si>
    <t>DENN domain-containing protein 2C</t>
  </si>
  <si>
    <t>DENN domain-containing protein 2D isoform 1</t>
  </si>
  <si>
    <t>DENN domain-containing protein 2D isoform 2</t>
  </si>
  <si>
    <t xml:space="preserve">DENN domain-containing protein 3 precursor </t>
  </si>
  <si>
    <t>DENN domain-containing protein 4C isoform 2</t>
  </si>
  <si>
    <t>DENN domain-containing protein 4C isoform 1</t>
  </si>
  <si>
    <t>DENN domain-containing protein 5A</t>
  </si>
  <si>
    <t>protein FAM116A isoform a</t>
  </si>
  <si>
    <t>protein FAM116A isoform b</t>
  </si>
  <si>
    <t>density-regulated protein</t>
  </si>
  <si>
    <t>DEP domain-containing protein 7</t>
  </si>
  <si>
    <t xml:space="preserve">putative deoxyribose-phosphate aldolase </t>
  </si>
  <si>
    <t xml:space="preserve">derlin-1 </t>
  </si>
  <si>
    <t xml:space="preserve">derlin-2 </t>
  </si>
  <si>
    <t xml:space="preserve">desmin </t>
  </si>
  <si>
    <t xml:space="preserve">DNA fragmentation factor subunit alpha isoform a </t>
  </si>
  <si>
    <t xml:space="preserve">DNA fragmentation factor subunit alpha isoform b </t>
  </si>
  <si>
    <t>non-syndromic hearing impairment protein 5 homolog</t>
  </si>
  <si>
    <t>microprocessor complex subunit DGCR8</t>
  </si>
  <si>
    <t xml:space="preserve">diacylglycerol kinase alpha </t>
  </si>
  <si>
    <t xml:space="preserve">diacylglycerol kinase epsilon </t>
  </si>
  <si>
    <t xml:space="preserve">diacylglycerol kinase eta </t>
  </si>
  <si>
    <t xml:space="preserve">deoxyguanosine kinase, mitochondrial isoform 1 </t>
  </si>
  <si>
    <t xml:space="preserve">deoxyguanosine kinase, mitochondrial isoform 2 </t>
  </si>
  <si>
    <t xml:space="preserve">delta(24)-sterol reductase precursor </t>
  </si>
  <si>
    <t>7-dehydrocholesterol reductase</t>
  </si>
  <si>
    <t>dihydrofolate reductase</t>
  </si>
  <si>
    <t xml:space="preserve">dihydroorotate dehydrogenase (quinone), mitochondrial precursor </t>
  </si>
  <si>
    <t>deoxyhypusine synthase</t>
  </si>
  <si>
    <t xml:space="preserve">dehydrogenase/reductase SDR family member 1 </t>
  </si>
  <si>
    <t>dehydrogenase/reductase SDR family member 11 precursor</t>
  </si>
  <si>
    <t>dehydrogenase/reductase SDR family member 13 precursor</t>
  </si>
  <si>
    <t xml:space="preserve">short-chain dehydrogenase/reductase 3 isoform 2 </t>
  </si>
  <si>
    <t xml:space="preserve">short-chain dehydrogenase/reductase 3 isoform 1 </t>
  </si>
  <si>
    <t xml:space="preserve">dehydrogenase/reductase SDR family member 4 isoform 2 </t>
  </si>
  <si>
    <t xml:space="preserve">dehydrogenase/reductase SDR family member 4 isoform 1 </t>
  </si>
  <si>
    <t>dehydrogenase/reductase SDR family member 7 precursor</t>
  </si>
  <si>
    <t xml:space="preserve">dehydrogenase/reductase SDR family member 7B isoform 2 </t>
  </si>
  <si>
    <t xml:space="preserve">dehydrogenase/reductase SDR family member 7B isoform 1 </t>
  </si>
  <si>
    <t xml:space="preserve">putative pre-mRNA-splicing factor ATP-dependent RNA helicase DHX15 isoform 2 </t>
  </si>
  <si>
    <t xml:space="preserve">putative pre-mRNA-splicing factor ATP-dependent RNA helicase DHX15 isoform 1 </t>
  </si>
  <si>
    <t xml:space="preserve">DEAH (Asp-Glu-Ala-His) box polypeptide 16 </t>
  </si>
  <si>
    <t>ATP-dependent RNA helicase Dhx29</t>
  </si>
  <si>
    <t xml:space="preserve">putative ATP-dependent RNA helicase DHX30 isoform 2 </t>
  </si>
  <si>
    <t xml:space="preserve">putative ATP-dependent RNA helicase DHX30 isoform 1 </t>
  </si>
  <si>
    <t xml:space="preserve">putative ATP-dependent RNA helicase DHX30 isoform 3 </t>
  </si>
  <si>
    <t xml:space="preserve">probable ATP-dependent RNA helicase DHX35 </t>
  </si>
  <si>
    <t xml:space="preserve">probable ATP-dependent RNA helicase DHX36 </t>
  </si>
  <si>
    <t xml:space="preserve">probable ATP-dependent RNA helicase DHX37 </t>
  </si>
  <si>
    <t>pre-mRNA-splicing factor ATP-dependent RNA helicase PRP16</t>
  </si>
  <si>
    <t xml:space="preserve">probable ATP-dependent RNA helicase DHX40 </t>
  </si>
  <si>
    <t xml:space="preserve">putative ATP-dependent RNA helicase DHX57 isoform 2 </t>
  </si>
  <si>
    <t xml:space="preserve">putative ATP-dependent RNA helicase DHX57 isoform 1 </t>
  </si>
  <si>
    <t>ATP-dependent RNA helicase DHX8</t>
  </si>
  <si>
    <t>ATP-dependent RNA helicase A</t>
  </si>
  <si>
    <t>diablo homolog, mitochondrial precursor</t>
  </si>
  <si>
    <t>protein diaphanous homolog 1</t>
  </si>
  <si>
    <t>protein diaphanous homolog 2</t>
  </si>
  <si>
    <t>protein diaphanous homolog 3</t>
  </si>
  <si>
    <t>endoribonuclease Dicer</t>
  </si>
  <si>
    <t xml:space="preserve">death-inducer obliterator 1 isoform 2 </t>
  </si>
  <si>
    <t xml:space="preserve">death-inducer obliterator 1 isoform 3 </t>
  </si>
  <si>
    <t xml:space="preserve">probable dimethyladenosine transferase </t>
  </si>
  <si>
    <t xml:space="preserve">disco-interacting protein 2 homolog A </t>
  </si>
  <si>
    <t xml:space="preserve">disco-interacting protein 2 homolog B isoform 1 </t>
  </si>
  <si>
    <t xml:space="preserve">disco-interacting protein 2 homolog B isoform 2 </t>
  </si>
  <si>
    <t xml:space="preserve">GTP-binding protein Di-Ras1 </t>
  </si>
  <si>
    <t xml:space="preserve">GTP-binding protein Di-Ras2 </t>
  </si>
  <si>
    <t>exosome complex exonuclease RRP44</t>
  </si>
  <si>
    <t xml:space="preserve">DIS3-like exonuclease 1 isoform 2 </t>
  </si>
  <si>
    <t xml:space="preserve">DIS3-like exonuclease 1 isoform 1 </t>
  </si>
  <si>
    <t xml:space="preserve">DIS3-like exonuclease 2 isoform 2 </t>
  </si>
  <si>
    <t xml:space="preserve">DIS3-like exonuclease 2 isoform 1 </t>
  </si>
  <si>
    <t xml:space="preserve">H/ACA ribonucleoprotein complex subunit 4 </t>
  </si>
  <si>
    <t>dihydrolipoyllysine-residue acetyltransferase component of pyruvate dehydrogenase complex, mitochondrial</t>
  </si>
  <si>
    <t>rho GTPase-activating protein 7 isoform 2</t>
  </si>
  <si>
    <t>rho GTPase-activating protein 7 isoform 1</t>
  </si>
  <si>
    <t>rho GTPase-activating protein 7 isoform 3</t>
  </si>
  <si>
    <t>dihydrolipoyl dehydrogenase, mitochondrial precursor</t>
  </si>
  <si>
    <t>disks large homolog 1 isoform 3</t>
  </si>
  <si>
    <t>disks large homolog 1 isoform 4</t>
  </si>
  <si>
    <t>disks large homolog 1 isoform 5</t>
  </si>
  <si>
    <t>disks large homolog 1 isoform 2</t>
  </si>
  <si>
    <t>disks large homolog 1 isoform 1</t>
  </si>
  <si>
    <t>disks large homolog 2 isoform 1</t>
  </si>
  <si>
    <t>disks large homolog 2 isoform 2</t>
  </si>
  <si>
    <t>disks large homolog 2 isoform 3</t>
  </si>
  <si>
    <t>disks large homolog 3 isoform 4</t>
  </si>
  <si>
    <t>disks large homolog 3 isoform 2</t>
  </si>
  <si>
    <t>disks large homolog 3 isoform 3</t>
  </si>
  <si>
    <t>disks large homolog 3 isoform 1</t>
  </si>
  <si>
    <t>discs large homolog 5 isoform 1</t>
  </si>
  <si>
    <t>discs large homolog 5 isoform 2</t>
  </si>
  <si>
    <t>disks large-associated protein 4 isoform d</t>
  </si>
  <si>
    <t>disks large-associated protein 4 isoform e</t>
  </si>
  <si>
    <t>disks large-associated protein 4 isoform b</t>
  </si>
  <si>
    <t>disks large-associated protein 4 isoform c</t>
  </si>
  <si>
    <t>disks large-associated protein 4 isoform a</t>
  </si>
  <si>
    <t>disks large-associated protein 5</t>
  </si>
  <si>
    <t>dihydrolipoyllysine-residue succinyltransferase component of 2-oxoglutarate dehydrogenase complex, mitochondrial</t>
  </si>
  <si>
    <t xml:space="preserve">dystrophin </t>
  </si>
  <si>
    <t xml:space="preserve">DNA replication ATP-dependent helicase/nuclease DNA2 </t>
  </si>
  <si>
    <t xml:space="preserve">dynein assembly factor 1, axonemal </t>
  </si>
  <si>
    <t>protein kintoun</t>
  </si>
  <si>
    <t xml:space="preserve">dynein, axonemal, heavy chain 1 </t>
  </si>
  <si>
    <t xml:space="preserve">dynein heavy chain 10, axonemal </t>
  </si>
  <si>
    <t xml:space="preserve">dynein, axonemal, heavy chain 11 </t>
  </si>
  <si>
    <t xml:space="preserve">dynein heavy chain 17, axonemal </t>
  </si>
  <si>
    <t xml:space="preserve">dynein heavy chain 5, axonemal </t>
  </si>
  <si>
    <t xml:space="preserve">dynein heavy chain 8, axonemal </t>
  </si>
  <si>
    <t xml:space="preserve">dynein heavy chain 9, axonemal </t>
  </si>
  <si>
    <t>dnaJ homolog subfamily A member 1</t>
  </si>
  <si>
    <t>dnaJ homolog subfamily A member 2</t>
  </si>
  <si>
    <t xml:space="preserve">dnaJ homolog subfamily A member 3, mitochondrial isoform 1 </t>
  </si>
  <si>
    <t xml:space="preserve">dnaJ homolog subfamily A member 3, mitochondrial isoform 2 </t>
  </si>
  <si>
    <t>dnaJ homolog subfamily B member 1</t>
  </si>
  <si>
    <t xml:space="preserve">dnaJ homolog subfamily B member 11 precursor </t>
  </si>
  <si>
    <t>dnaJ homolog subfamily B member 12</t>
  </si>
  <si>
    <t>dnaJ homolog subfamily B member 2 isoform 2</t>
  </si>
  <si>
    <t>dnaJ homolog subfamily B member 2 isoform 1</t>
  </si>
  <si>
    <t>dnaJ homolog subfamily B member 2 isoform 3</t>
  </si>
  <si>
    <t>dnaJ homolog subfamily B member 4</t>
  </si>
  <si>
    <t>dnaJ homolog subfamily B member 6 isoform b</t>
  </si>
  <si>
    <t>dnaJ homolog subfamily B member 6 isoform d</t>
  </si>
  <si>
    <t>dnaJ homolog subfamily B member 6 isoform c</t>
  </si>
  <si>
    <t>dnaJ homolog subfamily B member 6 isoform a</t>
  </si>
  <si>
    <t>dnaJ homolog subfamily B member 7</t>
  </si>
  <si>
    <t xml:space="preserve">dnaJ homolog subfamily C member 1 precursor </t>
  </si>
  <si>
    <t xml:space="preserve">dnaJ homolog subfamily C member 10 precursor </t>
  </si>
  <si>
    <t>dnaJ homolog subfamily C member 11</t>
  </si>
  <si>
    <t xml:space="preserve">DnaJ (Hsp40) homolog, subfamily C, member 13 </t>
  </si>
  <si>
    <t xml:space="preserve">mitochondrial import inner membrane translocase subunit TIM14 isoform 2 </t>
  </si>
  <si>
    <t>dnaJ homolog subfamily C member 2</t>
  </si>
  <si>
    <t xml:space="preserve">DnaJ (Hsp40) homolog, subfamily C, member 21 </t>
  </si>
  <si>
    <t>dnaJ homolog subfamily C member 24</t>
  </si>
  <si>
    <t xml:space="preserve">dnaJ homolog subfamily C member 25 precursor </t>
  </si>
  <si>
    <t xml:space="preserve">dnaJ homolog subfamily C member 3 precursor </t>
  </si>
  <si>
    <t>dnaJ homolog subfamily C member 4</t>
  </si>
  <si>
    <t>dnaJ homolog subfamily C member 5</t>
  </si>
  <si>
    <t>dnaJ homolog subfamily C member 7</t>
  </si>
  <si>
    <t>dnaJ homolog subfamily C member 8</t>
  </si>
  <si>
    <t>dnaJ homolog subfamily C member 9</t>
  </si>
  <si>
    <t xml:space="preserve">dynein light chain 1, axonemal </t>
  </si>
  <si>
    <t xml:space="preserve">deoxyribonuclease-1-like 2 precursor </t>
  </si>
  <si>
    <t>deoxyribonuclease-2-alpha precursor</t>
  </si>
  <si>
    <t>DNL-type zinc finger protein isoform 1</t>
  </si>
  <si>
    <t>DNL-type zinc finger protein isoform 2</t>
  </si>
  <si>
    <t>DNL-type zinc finger protein isoform 3</t>
  </si>
  <si>
    <t xml:space="preserve">dynamin-1 </t>
  </si>
  <si>
    <t>dynamin-1-like protein isoform c</t>
  </si>
  <si>
    <t>dynamin-1-like protein isoform d</t>
  </si>
  <si>
    <t>dynamin-1-like protein isoform b</t>
  </si>
  <si>
    <t>dynamin-1-like protein isoform a</t>
  </si>
  <si>
    <t xml:space="preserve">dynamin-2 isoform 1 </t>
  </si>
  <si>
    <t xml:space="preserve">dynamin-2 isoform 3 </t>
  </si>
  <si>
    <t xml:space="preserve">dynamin-2 isoform 4 </t>
  </si>
  <si>
    <t xml:space="preserve">dynamin-2 isoform 2 </t>
  </si>
  <si>
    <t xml:space="preserve">dynamin-3 isoform 2 </t>
  </si>
  <si>
    <t xml:space="preserve">dynamin-3 isoform 1 </t>
  </si>
  <si>
    <t xml:space="preserve">DNA (cytosine-5)-methyltransferase 1 isoform 3 </t>
  </si>
  <si>
    <t xml:space="preserve">DNA (cytosine-5)-methyltransferase 1 isoform 4 </t>
  </si>
  <si>
    <t xml:space="preserve">DNA (cytosine-5)-methyltransferase 1 isoform 1 </t>
  </si>
  <si>
    <t xml:space="preserve">DNA (cytosine-5)-methyltransferase 1 isoform 2 </t>
  </si>
  <si>
    <t>aspartyl aminopeptidase isoform b</t>
  </si>
  <si>
    <t>aspartyl aminopeptidase isoform a</t>
  </si>
  <si>
    <t>2'-deoxynucleoside 5'-phosphate N-hydrolase 1</t>
  </si>
  <si>
    <t>deoxynucleotidyltransferase terminal-interacting protein 2</t>
  </si>
  <si>
    <t xml:space="preserve">dedicator of cytokinesis protein 1 </t>
  </si>
  <si>
    <t xml:space="preserve">dedicator of cytokinesis protein 3 </t>
  </si>
  <si>
    <t xml:space="preserve">dedicator of cytokinesis protein 5 </t>
  </si>
  <si>
    <t xml:space="preserve">dedicator of cytokinesis protein 7 </t>
  </si>
  <si>
    <t xml:space="preserve">dedicator of cytokinesis protein 8 </t>
  </si>
  <si>
    <t xml:space="preserve">dedicator of cytokinesis protein 9 isoform 1 </t>
  </si>
  <si>
    <t xml:space="preserve">dedicator of cytokinesis protein 9 isoform 2 </t>
  </si>
  <si>
    <t xml:space="preserve">dedicator of cytokinesis protein 9 isoform 3 </t>
  </si>
  <si>
    <t xml:space="preserve">dedicator of cytokinesis protein 9 isoform 4 </t>
  </si>
  <si>
    <t>deoxyhypusine hydroxylase</t>
  </si>
  <si>
    <t>protein dopey-1</t>
  </si>
  <si>
    <t>protein dopey-2 isoform 1</t>
  </si>
  <si>
    <t>protein DPCD</t>
  </si>
  <si>
    <t xml:space="preserve">dipeptidase 3 precursor </t>
  </si>
  <si>
    <t>zinc finger protein ubi-d4</t>
  </si>
  <si>
    <t>diphthamide biosynthesis protein 1</t>
  </si>
  <si>
    <t>diphthamide biosynthesis protein 2</t>
  </si>
  <si>
    <t>diphthine synthase</t>
  </si>
  <si>
    <t>ATP-binding domain-containing protein 4</t>
  </si>
  <si>
    <t>WD repeat-containing protein 85</t>
  </si>
  <si>
    <t>dolichol-phosphate mannosyltransferase</t>
  </si>
  <si>
    <t xml:space="preserve">dolichol-phosphate mannosyltransferase subunit 3 precursor </t>
  </si>
  <si>
    <t xml:space="preserve">dipeptidyl peptidase 3 </t>
  </si>
  <si>
    <t xml:space="preserve">dipeptidyl peptidase 4 isoform 2 </t>
  </si>
  <si>
    <t xml:space="preserve">dipeptidyl peptidase 4 isoform 1 </t>
  </si>
  <si>
    <t>dipeptidyl peptidase 2 precursor</t>
  </si>
  <si>
    <t xml:space="preserve">dipeptidyl peptidase 9 </t>
  </si>
  <si>
    <t xml:space="preserve">protein dpy-30 homolog </t>
  </si>
  <si>
    <t xml:space="preserve">dihydropyrimidinase-related protein 2 </t>
  </si>
  <si>
    <t xml:space="preserve">dihydropyrimidinase-related protein 3 isoform 1 </t>
  </si>
  <si>
    <t xml:space="preserve">dihydropyrimidinase-related protein 3 isoform 2 </t>
  </si>
  <si>
    <t xml:space="preserve">dihydropyrimidinase-related protein 5 </t>
  </si>
  <si>
    <t>protein Dr1</t>
  </si>
  <si>
    <t>DNA damage-regulated autophagy modulator protein 2 isoform 2</t>
  </si>
  <si>
    <t>DNA damage-regulated autophagy modulator protein 2 isoform 1</t>
  </si>
  <si>
    <t>dr1-associated corepressor</t>
  </si>
  <si>
    <t>developmentally-regulated GTP-binding protein 1</t>
  </si>
  <si>
    <t>developmentally-regulated GTP-binding protein 2</t>
  </si>
  <si>
    <t>ribonuclease 3</t>
  </si>
  <si>
    <t xml:space="preserve">sister chromatid cohesion protein DCC1 </t>
  </si>
  <si>
    <t xml:space="preserve">Down syndrome critical region protein 3 homolog </t>
  </si>
  <si>
    <t>desmoglein-1-alpha precursor</t>
  </si>
  <si>
    <t>desmoglein-1-beta precursor</t>
  </si>
  <si>
    <t>desmoglein-2 precursor</t>
  </si>
  <si>
    <t>kinetochore-associated protein DSN1 homolog</t>
  </si>
  <si>
    <t xml:space="preserve">desmoplakin </t>
  </si>
  <si>
    <t xml:space="preserve">dystonin isoform 1 </t>
  </si>
  <si>
    <t xml:space="preserve">dystonin isoform 2 </t>
  </si>
  <si>
    <t xml:space="preserve">dystonin isoform 3 </t>
  </si>
  <si>
    <t xml:space="preserve">destrin </t>
  </si>
  <si>
    <t xml:space="preserve">D-tyrosyl-tRNA(Tyr) deacylase 1 </t>
  </si>
  <si>
    <t>probable D-tyrosyl-tRNA(Tyr) deacylase 2</t>
  </si>
  <si>
    <t>dystrobrevin alpha isoform 1</t>
  </si>
  <si>
    <t>dystrobrevin beta isoform b</t>
  </si>
  <si>
    <t>dystrobrevin beta isoform a</t>
  </si>
  <si>
    <t>E3 ubiquitin-protein ligase DTX3L</t>
  </si>
  <si>
    <t>thymidylate kinase isoform 2</t>
  </si>
  <si>
    <t>thymidylate kinase isoform 1</t>
  </si>
  <si>
    <t xml:space="preserve">tRNA-dihydrouridine(16/17) synthase [NAD(P)(+)]-like </t>
  </si>
  <si>
    <t xml:space="preserve">tRNA-dihydrouridine(47) synthase [NAD(P)(+)]-like </t>
  </si>
  <si>
    <t xml:space="preserve">dual specificity protein phosphatase 22 isoform b </t>
  </si>
  <si>
    <t xml:space="preserve">dual specificity protein phosphatase 22 isoform a </t>
  </si>
  <si>
    <t>dual specificity phosphatase 28</t>
  </si>
  <si>
    <t xml:space="preserve">dual specificity protein phosphatase 3 </t>
  </si>
  <si>
    <t>deoxyuridine triphosphatase isoform 2</t>
  </si>
  <si>
    <t>deoxyuridine triphosphatase isoform 1</t>
  </si>
  <si>
    <t>segment polarity protein dishevelled homolog DVL-2</t>
  </si>
  <si>
    <t>segment polarity protein dishevelled homolog DVL-3</t>
  </si>
  <si>
    <t>protein Dom3Z</t>
  </si>
  <si>
    <t xml:space="preserve">dymeclin </t>
  </si>
  <si>
    <t>cytoplasmic dynein 1 heavy chain 1</t>
  </si>
  <si>
    <t>cytoplasmic dynein 1 intermediate chain 2 isoform 1</t>
  </si>
  <si>
    <t>cytoplasmic dynein 1 intermediate chain 2 isoform 2</t>
  </si>
  <si>
    <t>cytoplasmic dynein 1 intermediate chain 2 isoform 3</t>
  </si>
  <si>
    <t>cytoplasmic dynein 1 intermediate chain 2 isoform 4</t>
  </si>
  <si>
    <t>cytoplasmic dynein 1 intermediate chain 2 isoform 5</t>
  </si>
  <si>
    <t xml:space="preserve">cytoplasmic dynein 1 light intermediate chain 1 </t>
  </si>
  <si>
    <t xml:space="preserve">cytoplasmic dynein 1 light intermediate chain 2 </t>
  </si>
  <si>
    <t>cytoplasmic dynein 2 heavy chain 1</t>
  </si>
  <si>
    <t xml:space="preserve">cytoplasmic dynein 2 light intermediate chain 1 </t>
  </si>
  <si>
    <t xml:space="preserve">dynein light chain 1, cytoplasmic </t>
  </si>
  <si>
    <t xml:space="preserve">dynein light chain 2, cytoplasmic </t>
  </si>
  <si>
    <t xml:space="preserve">dynein light chain roadblock-type 1 </t>
  </si>
  <si>
    <t xml:space="preserve">dynein light chain Tctex-type 1A </t>
  </si>
  <si>
    <t xml:space="preserve">dynein light chain Tctex-type 1 </t>
  </si>
  <si>
    <t xml:space="preserve">dynein light chain Tctex-type 1F isoform 2 </t>
  </si>
  <si>
    <t xml:space="preserve">dynein light chain Tctex-type 3 </t>
  </si>
  <si>
    <t xml:space="preserve">dual specificity tyrosine-phosphorylation-regulated kinase 1A </t>
  </si>
  <si>
    <t xml:space="preserve">dual specificity tyrosine-phosphorylation-regulated kinase 1B isoform c </t>
  </si>
  <si>
    <t xml:space="preserve">dual specificity tyrosine-phosphorylation-regulated kinase 1B isoform a </t>
  </si>
  <si>
    <t xml:space="preserve">dual specificity tyrosine-phosphorylation-regulated kinase 1B isoform b </t>
  </si>
  <si>
    <t xml:space="preserve">dysferlin isoform 1 </t>
  </si>
  <si>
    <t xml:space="preserve">dysferlin isoform 2 </t>
  </si>
  <si>
    <t>E3 ubiquitin-protein ligase DZIP3 isoform 2</t>
  </si>
  <si>
    <t>E3 ubiquitin-protein ligase DZIP3 isoform 1</t>
  </si>
  <si>
    <t>uncharacterized protein C7orf26 homolog</t>
  </si>
  <si>
    <t>uncharacterized protein C3orf33 homolog</t>
  </si>
  <si>
    <t>ubiquitin-conjugating enzyme E2 Q2-like</t>
  </si>
  <si>
    <t>WASH complex subunit strumpellin</t>
  </si>
  <si>
    <t xml:space="preserve">probable glutamate--tRNA ligase, mitochondrial precursor </t>
  </si>
  <si>
    <t xml:space="preserve">receptor-binding cancer antigen expressed on SiSo cells </t>
  </si>
  <si>
    <t xml:space="preserve">3-beta-hydroxysteroid-Delta(8),Delta(7)-isomerase </t>
  </si>
  <si>
    <t>delta(3,5)-Delta(2,4)-dienoyl-CoA isomerase, mitochondrial precursor</t>
  </si>
  <si>
    <t>ethylmalonyl-CoA decarboxylase isoform a</t>
  </si>
  <si>
    <t>ethylmalonyl-CoA decarboxylase isoform b</t>
  </si>
  <si>
    <t xml:space="preserve">enoyl-CoA hydratase domain-containing protein 2, mitochondrial isoform 1 precursor </t>
  </si>
  <si>
    <t>enoyl-CoA hydratase domain-containing protein 2, mitochondrial isoform 2</t>
  </si>
  <si>
    <t xml:space="preserve">enoyl-CoA hydratase domain-containing protein 3, mitochondrial precursor </t>
  </si>
  <si>
    <t>enoyl-CoA hydratase, mitochondrial precursor</t>
  </si>
  <si>
    <t>enoyl-CoA delta isomerase 1, mitochondrial precursor</t>
  </si>
  <si>
    <t xml:space="preserve">enoyl-CoA delta isomerase 2, mitochondrial isoform a </t>
  </si>
  <si>
    <t xml:space="preserve">enoyl-CoA delta isomerase 2, mitochondrial isoform b </t>
  </si>
  <si>
    <t xml:space="preserve">enoyl-Coenzyme A delta isomerase 3 </t>
  </si>
  <si>
    <t xml:space="preserve">evolutionarily conserved signaling intermediate in Toll pathway, mitochondrial precursor </t>
  </si>
  <si>
    <t xml:space="preserve">enhancer of mRNA-decapping protein 3 </t>
  </si>
  <si>
    <t xml:space="preserve">enhancer of mRNA-decapping protein 4 </t>
  </si>
  <si>
    <t>endothelial differentiation-related factor 1</t>
  </si>
  <si>
    <t>early endosome antigen 1</t>
  </si>
  <si>
    <t>elongation factor 1-alpha 2</t>
  </si>
  <si>
    <t xml:space="preserve">elongation factor 1-beta </t>
  </si>
  <si>
    <t xml:space="preserve">elongation factor 1-delta isoform d </t>
  </si>
  <si>
    <t xml:space="preserve">elongation factor 1-delta isoform c </t>
  </si>
  <si>
    <t xml:space="preserve">elongation factor 1-delta isoform b </t>
  </si>
  <si>
    <t xml:space="preserve">elongation factor 1-delta isoform a </t>
  </si>
  <si>
    <t>eukaryotic translation elongation factor 1 epsilon-1</t>
  </si>
  <si>
    <t xml:space="preserve">elongation factor 1-gamma </t>
  </si>
  <si>
    <t xml:space="preserve">elongation factor 2 </t>
  </si>
  <si>
    <t xml:space="preserve">eukaryotic elongation factor 2 kinase </t>
  </si>
  <si>
    <t xml:space="preserve">selenocysteine-specific elongation factor </t>
  </si>
  <si>
    <t>EF-hand domain-containing protein D1</t>
  </si>
  <si>
    <t>EF-hand domain-containing protein D2</t>
  </si>
  <si>
    <t>ephrin-B2 precursor</t>
  </si>
  <si>
    <t>protein EFR3 homolog A</t>
  </si>
  <si>
    <t xml:space="preserve">elongation factor Tu GTP-binding domain-containing protein 1 </t>
  </si>
  <si>
    <t xml:space="preserve">116 kDa U5 small nuclear ribonucleoprotein component isoform b </t>
  </si>
  <si>
    <t xml:space="preserve">116 kDa U5 small nuclear ribonucleoprotein component isoform a </t>
  </si>
  <si>
    <t xml:space="preserve">epidermal growth factor receptor isoform 1 precursor </t>
  </si>
  <si>
    <t xml:space="preserve">epidermal growth factor receptor isoform 2 precursor </t>
  </si>
  <si>
    <t>egl nine homolog 1</t>
  </si>
  <si>
    <t>EH domain-binding protein 1-like protein 1 isoform a</t>
  </si>
  <si>
    <t>EH domain-containing protein 1</t>
  </si>
  <si>
    <t>EH domain-containing protein 2</t>
  </si>
  <si>
    <t>EH domain-containing protein 3</t>
  </si>
  <si>
    <t>EH domain-containing protein 4</t>
  </si>
  <si>
    <t xml:space="preserve">peroxisomal bifunctional enzyme </t>
  </si>
  <si>
    <t xml:space="preserve">etoposide-induced protein 2.4 </t>
  </si>
  <si>
    <t xml:space="preserve">eukaryotic translation initiation factor 1 </t>
  </si>
  <si>
    <t xml:space="preserve">eukaryotic translation initiation factor 1A </t>
  </si>
  <si>
    <t>probable RNA-binding protein EIF1AD</t>
  </si>
  <si>
    <t>eukaryotic translation initiation factor 1A, X-chromosomal</t>
  </si>
  <si>
    <t xml:space="preserve">eukaryotic translation initiation factor 1b </t>
  </si>
  <si>
    <t xml:space="preserve">eukaryotic translation initiation factor 2A </t>
  </si>
  <si>
    <t xml:space="preserve">interferon-induced, double-stranded RNA-activated protein kinase </t>
  </si>
  <si>
    <t xml:space="preserve">eukaryotic translation initiation factor 2-alpha kinase 4 isoform 1 </t>
  </si>
  <si>
    <t xml:space="preserve">eukaryotic translation initiation factor 2-alpha kinase 4 isoform 2 </t>
  </si>
  <si>
    <t>translation initiation factor eIF-2B subunit alpha</t>
  </si>
  <si>
    <t>translation initiation factor eIF-2B subunit beta</t>
  </si>
  <si>
    <t>eukaryotic translation initiation factor 2B, subunit 3 gamma isoform 2</t>
  </si>
  <si>
    <t>eukaryotic translation initiation factor 2B, subunit 3 gamma isoform 1</t>
  </si>
  <si>
    <t>translation initiation factor eIF-2B subunit delta isoform 2</t>
  </si>
  <si>
    <t>translation initiation factor eIF-2B subunit delta isoform 1</t>
  </si>
  <si>
    <t>translation initiation factor eIF-2B subunit epsilon</t>
  </si>
  <si>
    <t xml:space="preserve">eukaryotic translation initiation factor 2D isoform 1 </t>
  </si>
  <si>
    <t xml:space="preserve">eukaryotic translation initiation factor 2D isoform 2 </t>
  </si>
  <si>
    <t xml:space="preserve">eukaryotic translation initiation factor 2 subunit 1 </t>
  </si>
  <si>
    <t xml:space="preserve">eukaryotic translation initiation factor 2 subunit 2 </t>
  </si>
  <si>
    <t>eukaryotic translation initiation factor 2 subunit 3, X-linked</t>
  </si>
  <si>
    <t>eukaryotic translation initiation factor 2 subunit 3, Y-linked</t>
  </si>
  <si>
    <t xml:space="preserve">eukaryotic translation initiation factor 3 subunit A </t>
  </si>
  <si>
    <t xml:space="preserve">eukaryotic translation initiation factor 3 subunit B </t>
  </si>
  <si>
    <t xml:space="preserve">eukaryotic translation initiation factor 3 subunit C </t>
  </si>
  <si>
    <t xml:space="preserve">eukaryotic translation initiation factor 3 subunit D </t>
  </si>
  <si>
    <t xml:space="preserve">eukaryotic translation initiation factor 3 subunit E </t>
  </si>
  <si>
    <t xml:space="preserve">eukaryotic translation initiation factor 3 subunit F </t>
  </si>
  <si>
    <t xml:space="preserve">eukaryotic translation initiation factor 3 subunit G </t>
  </si>
  <si>
    <t xml:space="preserve">eukaryotic translation initiation factor 3 subunit H </t>
  </si>
  <si>
    <t xml:space="preserve">eukaryotic translation initiation factor 3 subunit I </t>
  </si>
  <si>
    <t xml:space="preserve">eukaryotic translation initiation factor 3 subunit J </t>
  </si>
  <si>
    <t xml:space="preserve">eukaryotic translation initiation factor 3 subunit J-B </t>
  </si>
  <si>
    <t xml:space="preserve">eukaryotic translation initiation factor 3 subunit K isoform 3 </t>
  </si>
  <si>
    <t xml:space="preserve">eukaryotic translation initiation factor 3 subunit K isoform 2 </t>
  </si>
  <si>
    <t xml:space="preserve">eukaryotic translation initiation factor 3 subunit K </t>
  </si>
  <si>
    <t xml:space="preserve">eukaryotic translation initiation factor 3 subunit L </t>
  </si>
  <si>
    <t xml:space="preserve">eukaryotic translation initiation factor 3 subunit M </t>
  </si>
  <si>
    <t>eukaryotic initiation factor 4A-I isoform 1</t>
  </si>
  <si>
    <t>eukaryotic initiation factor 4A-I isoform 2</t>
  </si>
  <si>
    <t>eukaryotic initiation factor 4A-II isoform a</t>
  </si>
  <si>
    <t>eukaryotic initiation factor 4A-II isoform b</t>
  </si>
  <si>
    <t>eukaryotic initiation factor 4A-II isoform c</t>
  </si>
  <si>
    <t>eukaryotic initiation factor 4A-III</t>
  </si>
  <si>
    <t xml:space="preserve">eukaryotic translation initiation factor 4B </t>
  </si>
  <si>
    <t xml:space="preserve">eukaryotic translation initiation factor 4E </t>
  </si>
  <si>
    <t xml:space="preserve">eukaryotic translation initiation factor 4E type 2 isoform 3 </t>
  </si>
  <si>
    <t xml:space="preserve">eukaryotic translation initiation factor 4E type 2 isoform 2 </t>
  </si>
  <si>
    <t xml:space="preserve">eukaryotic translation initiation factor 4E type 2 isoform 1 </t>
  </si>
  <si>
    <t xml:space="preserve">eukaryotic translation initiation factor 4E-binding protein 2 </t>
  </si>
  <si>
    <t xml:space="preserve">eukaryotic translation initiation factor 4 gamma 1 isoform a </t>
  </si>
  <si>
    <t xml:space="preserve">eukaryotic translation initiation factor 4 gamma 1 isoform b </t>
  </si>
  <si>
    <t xml:space="preserve">eukaryotic translation initiation factor 4 gamma 2 isoform 2 </t>
  </si>
  <si>
    <t xml:space="preserve">eukaryotic translation initiation factor 4 gamma 2 isoform 1 </t>
  </si>
  <si>
    <t xml:space="preserve">eukaryotic translation initiation factor 4 gamma 3 isoform 2 </t>
  </si>
  <si>
    <t xml:space="preserve">eukaryotic translation initiation factor 4 gamma 3 isoform 3 </t>
  </si>
  <si>
    <t xml:space="preserve">eukaryotic translation initiation factor 4 gamma 3 isoform 1 </t>
  </si>
  <si>
    <t xml:space="preserve">eukaryotic translation initiation factor 4H </t>
  </si>
  <si>
    <t xml:space="preserve">eukaryotic translation initiation factor 5A-1 </t>
  </si>
  <si>
    <t xml:space="preserve">eukaryotic translation initiation factor 5A-2 </t>
  </si>
  <si>
    <t xml:space="preserve">eukaryotic translation initiation factor 5B </t>
  </si>
  <si>
    <t xml:space="preserve">eukaryotic translation initiation factor 6 </t>
  </si>
  <si>
    <t xml:space="preserve">zinc phosphodiesterase ELAC protein 2 </t>
  </si>
  <si>
    <t xml:space="preserve">ELAV-like protein 1 </t>
  </si>
  <si>
    <t>RNA polymerase II elongation factor ELL</t>
  </si>
  <si>
    <t>engulfment and cell motility protein 2 isoform 3</t>
  </si>
  <si>
    <t>engulfment and cell motility protein 2 isoform 1</t>
  </si>
  <si>
    <t>engulfment and cell motility protein 2 isoform 2</t>
  </si>
  <si>
    <t>engulfment and cell motility protein 3</t>
  </si>
  <si>
    <t>ELMO domain-containing protein 2</t>
  </si>
  <si>
    <t xml:space="preserve">transcription elongation factor 1 homolog </t>
  </si>
  <si>
    <t xml:space="preserve">elongation of very long chain fatty acids protein 1 isoform 2 </t>
  </si>
  <si>
    <t xml:space="preserve">elongation of very long chain fatty acids protein 1 isoform 1 </t>
  </si>
  <si>
    <t xml:space="preserve">elongation of very long chain fatty acids protein 7 </t>
  </si>
  <si>
    <t>elongator complex protein 2</t>
  </si>
  <si>
    <t>elongator complex protein 3 isoform 2</t>
  </si>
  <si>
    <t>elongator complex protein 3 isoform 1</t>
  </si>
  <si>
    <t>elongator complex protein 4</t>
  </si>
  <si>
    <t>elongator complex protein 5 isoform 1</t>
  </si>
  <si>
    <t>elongator complex protein 5 isoform 2</t>
  </si>
  <si>
    <t>elongator complex protein 6</t>
  </si>
  <si>
    <t xml:space="preserve">ER membrane protein complex subunit 1 isoform 1 precursor </t>
  </si>
  <si>
    <t xml:space="preserve">ER membrane protein complex subunit 1 isoform 2 precursor </t>
  </si>
  <si>
    <t>ER membrane protein complex subunit 2</t>
  </si>
  <si>
    <t>ER membrane protein complex subunit 3</t>
  </si>
  <si>
    <t>ER membrane protein complex subunit 4</t>
  </si>
  <si>
    <t>ER membrane protein complex subunit 6</t>
  </si>
  <si>
    <t xml:space="preserve">ER membrane protein complex subunit 7 precursor </t>
  </si>
  <si>
    <t>ER membrane protein complex subunit 8</t>
  </si>
  <si>
    <t xml:space="preserve">emerin </t>
  </si>
  <si>
    <t>ribosomal RNA small subunit methyltransferase NEP1</t>
  </si>
  <si>
    <t>echinoderm microtubule-associated protein-like 2 isoform 1</t>
  </si>
  <si>
    <t>echinoderm microtubule-associated protein-like 2 isoform 2</t>
  </si>
  <si>
    <t>echinoderm microtubule-associated protein-like 3</t>
  </si>
  <si>
    <t>echinoderm microtubule-associated protein-like 4 isoform 3</t>
  </si>
  <si>
    <t>echinoderm microtubule-associated protein-like 4 isoform 1</t>
  </si>
  <si>
    <t>echinoderm microtubule-associated protein-like 4 isoform 2</t>
  </si>
  <si>
    <t xml:space="preserve">protein enabled homolog isoform 1 </t>
  </si>
  <si>
    <t xml:space="preserve">protein enabled homolog isoform 2 </t>
  </si>
  <si>
    <t xml:space="preserve">protein enabled homolog isoform 4 </t>
  </si>
  <si>
    <t xml:space="preserve">protein enabled homolog isoform 3 </t>
  </si>
  <si>
    <t xml:space="preserve">endonuclease domain-containing 1 protein precursor </t>
  </si>
  <si>
    <t>cytosolic endo-beta-N-acetylglucosaminidase</t>
  </si>
  <si>
    <t xml:space="preserve">alpha-enolase </t>
  </si>
  <si>
    <t xml:space="preserve">gamma-enolase </t>
  </si>
  <si>
    <t xml:space="preserve">beta-enolase </t>
  </si>
  <si>
    <t xml:space="preserve">beta-enolase isoform 2 </t>
  </si>
  <si>
    <t>enolase-phosphatase E1</t>
  </si>
  <si>
    <t>ectonucleotide pyrophosphatase/phosphodiesterase family member 4 precursor</t>
  </si>
  <si>
    <t>ectonucleotide pyrophosphatase/phosphodiesterase family member 5 precursor</t>
  </si>
  <si>
    <t>ectonucleotide pyrophosphatase/phosphodiesterase family member 7 precursor</t>
  </si>
  <si>
    <t xml:space="preserve">alpha-endosulfine isoform b </t>
  </si>
  <si>
    <t xml:space="preserve">alpha-endosulfine isoform a </t>
  </si>
  <si>
    <t xml:space="preserve">ectonucleoside triphosphate diphosphohydrolase 2 precursor </t>
  </si>
  <si>
    <t>ectonucleoside triphosphate diphosphohydrolase 5 isoform a</t>
  </si>
  <si>
    <t xml:space="preserve">ectonucleoside triphosphate diphosphohydrolase 5 isoform b precursor </t>
  </si>
  <si>
    <t xml:space="preserve">enhancer of yellow 2 transcription factor homolog </t>
  </si>
  <si>
    <t xml:space="preserve">histone acetyltransferase p300 </t>
  </si>
  <si>
    <t>protein 4.1 isoform 1</t>
  </si>
  <si>
    <t>protein 4.1 isoform 3</t>
  </si>
  <si>
    <t>protein 4.1 isoform 2</t>
  </si>
  <si>
    <t>band 4.1-like protein 1 isoform b</t>
  </si>
  <si>
    <t>band 4.1-like protein 1 isoform a</t>
  </si>
  <si>
    <t>band 4.1-like protein 2</t>
  </si>
  <si>
    <t>band 4.1-like protein 3</t>
  </si>
  <si>
    <t>band 4.1-like protein 4A</t>
  </si>
  <si>
    <t>band 4.1-like protein 4B</t>
  </si>
  <si>
    <t>band 4.1-like protein 5 isoform 2</t>
  </si>
  <si>
    <t>band 4.1-like protein 5 isoform 1</t>
  </si>
  <si>
    <t xml:space="preserve">epithelial cell adhesion molecule precursor </t>
  </si>
  <si>
    <t xml:space="preserve">mammalian ependymin-related protein 1 precursor </t>
  </si>
  <si>
    <t xml:space="preserve">ephrin type-A receptor 2 precursor </t>
  </si>
  <si>
    <t xml:space="preserve">ephrin type-A receptor 4 precursor </t>
  </si>
  <si>
    <t>ephrin type-A receptor 6</t>
  </si>
  <si>
    <t xml:space="preserve">ephrin type-A receptor 7 isoform 1 precursor </t>
  </si>
  <si>
    <t xml:space="preserve">ephrin type-B receptor 1 isoform 1 precursor </t>
  </si>
  <si>
    <t xml:space="preserve">ephrin type-B receptor 1 isoform 2 precursor </t>
  </si>
  <si>
    <t xml:space="preserve">ephrin type-B receptor 2 precursor </t>
  </si>
  <si>
    <t xml:space="preserve">ephrin type-B receptor 3 precursor </t>
  </si>
  <si>
    <t xml:space="preserve">ephrin type-B receptor 4 isoform b precursor </t>
  </si>
  <si>
    <t xml:space="preserve">ephrin type-B receptor 4 isoform a precursor </t>
  </si>
  <si>
    <t xml:space="preserve">ephrin type-B receptor 6 precursor </t>
  </si>
  <si>
    <t>epoxide hydrolase 1 precursor</t>
  </si>
  <si>
    <t xml:space="preserve">EPM2A-interacting protein 1 </t>
  </si>
  <si>
    <t xml:space="preserve">epsin-1 </t>
  </si>
  <si>
    <t xml:space="preserve">epsin-2 isoform 2 </t>
  </si>
  <si>
    <t xml:space="preserve">epsin-2 isoform 1 </t>
  </si>
  <si>
    <t xml:space="preserve">epsin-2 isoform 3 </t>
  </si>
  <si>
    <t xml:space="preserve">epsin-3 </t>
  </si>
  <si>
    <t xml:space="preserve">bifunctional glutamate/proline--tRNA ligase </t>
  </si>
  <si>
    <t>epidermal growth factor receptor substrate 15 isoform B</t>
  </si>
  <si>
    <t>epidermal growth factor receptor substrate 15 isoform A</t>
  </si>
  <si>
    <t xml:space="preserve">epidermal growth factor receptor substrate 15-like 1 isoform a </t>
  </si>
  <si>
    <t xml:space="preserve">epidermal growth factor receptor substrate 15-like 1 isoform b </t>
  </si>
  <si>
    <t xml:space="preserve">epidermal growth factor receptor kinase substrate 8-like protein 1 </t>
  </si>
  <si>
    <t xml:space="preserve">epidermal growth factor receptor kinase substrate 8-like protein 2 </t>
  </si>
  <si>
    <t xml:space="preserve">epidermal growth factor receptor kinase substrate 8-like protein 3 </t>
  </si>
  <si>
    <t xml:space="preserve">GTPase Era, mitochondrial </t>
  </si>
  <si>
    <t>endoplasmic reticulum aminopeptidase 1</t>
  </si>
  <si>
    <t xml:space="preserve">receptor tyrosine-protein kinase erbB-2 precursor </t>
  </si>
  <si>
    <t>protein LAP2 isoform 2</t>
  </si>
  <si>
    <t>protein LAP2 isoform 1</t>
  </si>
  <si>
    <t xml:space="preserve">receptor tyrosine-protein kinase erbB-4 precursor </t>
  </si>
  <si>
    <t>ELKS/Rab6-interacting/CAST family member 1 isoform 1</t>
  </si>
  <si>
    <t>ELKS/Rab6-interacting/CAST family member 1 isoform 2</t>
  </si>
  <si>
    <t xml:space="preserve">ERC protein 2 </t>
  </si>
  <si>
    <t>TFIIH basal transcription factor complex helicase XPD subunit</t>
  </si>
  <si>
    <t>DNA repair endonuclease XPF</t>
  </si>
  <si>
    <t xml:space="preserve">DNA excision repair protein ERCC-6-like </t>
  </si>
  <si>
    <t>endoplasmic reticulum-Golgi intermediate compartment protein 1</t>
  </si>
  <si>
    <t>endoplasmic reticulum-Golgi intermediate compartment protein 2 isoform 1</t>
  </si>
  <si>
    <t>endoplasmic reticulum-Golgi intermediate compartment protein 2 isoform 2</t>
  </si>
  <si>
    <t>endoplasmic reticulum-Golgi intermediate compartment protein 3</t>
  </si>
  <si>
    <t>enhancer of rudimentary homolog</t>
  </si>
  <si>
    <t xml:space="preserve">3'-5' exoribonuclease 1 </t>
  </si>
  <si>
    <t xml:space="preserve">endoplasmic reticulum lectin 1 precursor </t>
  </si>
  <si>
    <t xml:space="preserve">erlin-1 </t>
  </si>
  <si>
    <t xml:space="preserve">erlin-2 </t>
  </si>
  <si>
    <t>endoplasmic reticulum metallopeptidase 1</t>
  </si>
  <si>
    <t>ERO1-like protein alpha precursor</t>
  </si>
  <si>
    <t>ERO1-like protein beta precursor</t>
  </si>
  <si>
    <t>endoplasmic reticulum resident protein 29 precursor</t>
  </si>
  <si>
    <t>endoplasmic reticulum resident protein 44 precursor</t>
  </si>
  <si>
    <t>S-formylglutathione hydrolase isoform 1</t>
  </si>
  <si>
    <t>S-formylglutathione hydrolase</t>
  </si>
  <si>
    <t xml:space="preserve">epithelial splicing regulatory protein 1 </t>
  </si>
  <si>
    <t xml:space="preserve">epithelial splicing regulatory protein 2 </t>
  </si>
  <si>
    <t>steroid hormone receptor ERR1</t>
  </si>
  <si>
    <t>steroid hormone receptor ERR2 isoform 1</t>
  </si>
  <si>
    <t>steroid hormone receptor ERR2 isoform 2</t>
  </si>
  <si>
    <t xml:space="preserve">estrogen-related receptor gamma isoform 2 </t>
  </si>
  <si>
    <t>estrogen-related receptor gamma isoform1</t>
  </si>
  <si>
    <t>extended synaptotagmin-1</t>
  </si>
  <si>
    <t>extended synaptotagmin-2</t>
  </si>
  <si>
    <t xml:space="preserve">eukaryotic peptide chain release factor subunit 1 </t>
  </si>
  <si>
    <t>electron transfer flavoprotein subunit alpha, mitochondrial</t>
  </si>
  <si>
    <t xml:space="preserve">electron transfer flavoprotein subunit beta </t>
  </si>
  <si>
    <t>electron transfer flavoprotein-ubiquinone oxidoreductase, mitochondrial precursor</t>
  </si>
  <si>
    <t xml:space="preserve">persulfide dioxygenase ETHE1, mitochondrial precursor </t>
  </si>
  <si>
    <t xml:space="preserve">ethanolamine kinase 1 </t>
  </si>
  <si>
    <t xml:space="preserve">transcription factor ETV6 </t>
  </si>
  <si>
    <t>ena/VASP-like protein isoform 1</t>
  </si>
  <si>
    <t>ena/VASP-like protein isoform 2</t>
  </si>
  <si>
    <t>ena/VASP-like protein isoform 3</t>
  </si>
  <si>
    <t>ena/VASP-like protein isoform 4</t>
  </si>
  <si>
    <t xml:space="preserve">envoplakin </t>
  </si>
  <si>
    <t xml:space="preserve">RNA-binding protein EWS isoform 1 </t>
  </si>
  <si>
    <t xml:space="preserve">RNA-binding protein EWS isoform 3 </t>
  </si>
  <si>
    <t xml:space="preserve">RNA-binding protein EWS </t>
  </si>
  <si>
    <t xml:space="preserve">exonuclease 3'-5' domain-containing protein 2 </t>
  </si>
  <si>
    <t>exocyst complex component 1</t>
  </si>
  <si>
    <t>exocyst complex component 2</t>
  </si>
  <si>
    <t>exocyst complex component 3</t>
  </si>
  <si>
    <t>exocyst complex component 4</t>
  </si>
  <si>
    <t>exocyst complex component 5</t>
  </si>
  <si>
    <t>exocyst complex component 6</t>
  </si>
  <si>
    <t>exocyst complex component 6B</t>
  </si>
  <si>
    <t>exocyst complex component 7 isoform 1</t>
  </si>
  <si>
    <t>exocyst complex component 7 isoform 2</t>
  </si>
  <si>
    <t>exocyst complex component 8</t>
  </si>
  <si>
    <t>nuclease EXOG, mitochondrial isoform 2 precursor</t>
  </si>
  <si>
    <t>nuclease EXOG, mitochondrial isoform 1 precursor</t>
  </si>
  <si>
    <t>exosome complex component CSL4 isoform 1</t>
  </si>
  <si>
    <t>exosome complex component CSL4 isoform 2</t>
  </si>
  <si>
    <t xml:space="preserve">exosome component 10 </t>
  </si>
  <si>
    <t>exosome complex component RRP4</t>
  </si>
  <si>
    <t>exosome complex component RRP40</t>
  </si>
  <si>
    <t>exosome complex component RRP41</t>
  </si>
  <si>
    <t>exosome complex component RRP46</t>
  </si>
  <si>
    <t>exosome complex component MTR3</t>
  </si>
  <si>
    <t>exosome complex exonuclease RRP42</t>
  </si>
  <si>
    <t>exosome complex component RRP43 isoform 1</t>
  </si>
  <si>
    <t>exosome complex component RRP43 isoform 2</t>
  </si>
  <si>
    <t>exosome complex component RRP45</t>
  </si>
  <si>
    <t>exostosin-like 2 isoform a</t>
  </si>
  <si>
    <t xml:space="preserve">exostosin-like 2 isoform b precursor </t>
  </si>
  <si>
    <t>eyes absent homolog 3 isoform 2</t>
  </si>
  <si>
    <t>eyes absent homolog 3 isoform 1</t>
  </si>
  <si>
    <t>eyes absent homolog 3 isoform 3</t>
  </si>
  <si>
    <t xml:space="preserve">ezrin </t>
  </si>
  <si>
    <t xml:space="preserve">junctional adhesion molecule A precursor </t>
  </si>
  <si>
    <t>prothrombin precursor</t>
  </si>
  <si>
    <t xml:space="preserve">tissue factor precursor </t>
  </si>
  <si>
    <t xml:space="preserve">factor VIII intron 22 protein </t>
  </si>
  <si>
    <t>fatty-acid amide hydrolase 1</t>
  </si>
  <si>
    <t>fatty acid desaturase 1</t>
  </si>
  <si>
    <t>fatty acid desaturase 2</t>
  </si>
  <si>
    <t xml:space="preserve">FAS-associated factor 1 </t>
  </si>
  <si>
    <t xml:space="preserve">FAS-associated factor 2 </t>
  </si>
  <si>
    <t xml:space="preserve">fumarylacetoacetase </t>
  </si>
  <si>
    <t xml:space="preserve">acylpyruvase FAHD1, mitochondrial </t>
  </si>
  <si>
    <t xml:space="preserve">fumarylacetoacetate hydrolase domain-containing protein 2A </t>
  </si>
  <si>
    <t>fas apoptotic inhibitory molecule 1 Faim-S</t>
  </si>
  <si>
    <t>fas apoptotic inhibitory molecule 1 Faim-L</t>
  </si>
  <si>
    <t>protein FAM102B</t>
  </si>
  <si>
    <t xml:space="preserve">uncharacterized protein LOC28081 </t>
  </si>
  <si>
    <t>protein FAM107B</t>
  </si>
  <si>
    <t>protein Noxp20</t>
  </si>
  <si>
    <t>protein FAM114A2 isoform 2</t>
  </si>
  <si>
    <t>protein FAM114A2 isoform 1</t>
  </si>
  <si>
    <t>protein FAM118A isoform a</t>
  </si>
  <si>
    <t>protein FAM118B isoform 2</t>
  </si>
  <si>
    <t>protein FAM118B isoform 1</t>
  </si>
  <si>
    <t>constitutive coactivator of PPAR-gamma-like protein 1</t>
  </si>
  <si>
    <t>constitutive coactivator of PPAR-gamma-like protein 2</t>
  </si>
  <si>
    <t xml:space="preserve">hyccin </t>
  </si>
  <si>
    <t>protein Niban</t>
  </si>
  <si>
    <t xml:space="preserve">niban-like protein 1 </t>
  </si>
  <si>
    <t>protein FAM133B</t>
  </si>
  <si>
    <t>protein FAM134C isoform 2</t>
  </si>
  <si>
    <t>protein FAM134C isoform 1</t>
  </si>
  <si>
    <t>protein FAM136A</t>
  </si>
  <si>
    <t>protein FAM160A1</t>
  </si>
  <si>
    <t>protein FAM160B1</t>
  </si>
  <si>
    <t>protein FAM160B2</t>
  </si>
  <si>
    <t>protein FAM162A</t>
  </si>
  <si>
    <t>protein FAM173A</t>
  </si>
  <si>
    <t>protein FAM173B</t>
  </si>
  <si>
    <t>BRISC complex subunit Abro1</t>
  </si>
  <si>
    <t>protein FAM177A1</t>
  </si>
  <si>
    <t>protein FAM179B</t>
  </si>
  <si>
    <t>protein FAM188A</t>
  </si>
  <si>
    <t>protein FAM192A</t>
  </si>
  <si>
    <t>protein FAM195B</t>
  </si>
  <si>
    <t>protein FAM203A</t>
  </si>
  <si>
    <t>protein FAM207A</t>
  </si>
  <si>
    <t>glycosaminoglycan xylosylkinase</t>
  </si>
  <si>
    <t>extracellular serine/threonine protein kinase FAM20C precursor</t>
  </si>
  <si>
    <t>WASH complex subunit FAM21</t>
  </si>
  <si>
    <t>protein FAM210A</t>
  </si>
  <si>
    <t>protein FAM210B</t>
  </si>
  <si>
    <t xml:space="preserve">redox-regulatory protein FAM213A </t>
  </si>
  <si>
    <t>protein FAM32A</t>
  </si>
  <si>
    <t xml:space="preserve">protein FAM3A precursor </t>
  </si>
  <si>
    <t xml:space="preserve">protein FAM3C precursor </t>
  </si>
  <si>
    <t>protein FAM45A isoform 1</t>
  </si>
  <si>
    <t>protein FAM45A isoform 2</t>
  </si>
  <si>
    <t>protein FAM49A</t>
  </si>
  <si>
    <t>protein FAM49B</t>
  </si>
  <si>
    <t>protein FAM50A</t>
  </si>
  <si>
    <t>protein FAM50B</t>
  </si>
  <si>
    <t>protein FAM63A isoform 1</t>
  </si>
  <si>
    <t>protein FAM63A isoform 2</t>
  </si>
  <si>
    <t>protein FAM63B</t>
  </si>
  <si>
    <t>protein FAM65A</t>
  </si>
  <si>
    <t>protein FAM76B</t>
  </si>
  <si>
    <t>protein FAM83H</t>
  </si>
  <si>
    <t xml:space="preserve">uncharacterized protein LOC399603 </t>
  </si>
  <si>
    <t>protein FAM86A</t>
  </si>
  <si>
    <t xml:space="preserve">MIP18 family protein FAM96A precursor </t>
  </si>
  <si>
    <t>mitotic spindle-associated MMXD complex subunit MIP18</t>
  </si>
  <si>
    <t>protein FAM98A</t>
  </si>
  <si>
    <t>protein FAM98B</t>
  </si>
  <si>
    <t xml:space="preserve">uncharacterized protein LOC73833 </t>
  </si>
  <si>
    <t xml:space="preserve">fanconi-associated nuclease 1 </t>
  </si>
  <si>
    <t>Fanconi anemia group I protein homolog</t>
  </si>
  <si>
    <t>fatty acyl-CoA reductase 1</t>
  </si>
  <si>
    <t xml:space="preserve">FERMRhoGEF (Arhgef) and pleckstrin domain protein 1 </t>
  </si>
  <si>
    <t xml:space="preserve">FERM, RhoGEF and pleckstrin domain-containing protein 2 </t>
  </si>
  <si>
    <t>phenylalanine--tRNA ligase alpha subunit</t>
  </si>
  <si>
    <t>phenylalanine--tRNA ligase beta subunit</t>
  </si>
  <si>
    <t xml:space="preserve">fatty acid synthase </t>
  </si>
  <si>
    <t xml:space="preserve">FAST kinase domain-containing protein 2 </t>
  </si>
  <si>
    <t>FAT tumor suppressor homolog 1 precursor</t>
  </si>
  <si>
    <t xml:space="preserve">40S ribosomal protein S30 precursor </t>
  </si>
  <si>
    <t xml:space="preserve">fas-binding factor 1 </t>
  </si>
  <si>
    <t>filamin-binding LIM protein 1</t>
  </si>
  <si>
    <t xml:space="preserve">rRNA/tRNA 2'-O-methyltransferase fibrillarin-like protein 1 </t>
  </si>
  <si>
    <t xml:space="preserve">fructose-1,6-bisphosphatase isozyme 2 </t>
  </si>
  <si>
    <t>fibrosin-like 1 isoform 2</t>
  </si>
  <si>
    <t>fibrosin-like 1 isoform 1</t>
  </si>
  <si>
    <t xml:space="preserve">F-box/LRR-repeat protein 15 </t>
  </si>
  <si>
    <t>F-box and leucine-rich repeat protein 18</t>
  </si>
  <si>
    <t xml:space="preserve">F-box/LRR-repeat protein 20 </t>
  </si>
  <si>
    <t xml:space="preserve">F-box/LRR-repeat protein 8 </t>
  </si>
  <si>
    <t>F-box only protein 2</t>
  </si>
  <si>
    <t>F-box only protein 21</t>
  </si>
  <si>
    <t>F-box only protein 22</t>
  </si>
  <si>
    <t>F-box only protein 28</t>
  </si>
  <si>
    <t>F-box only protein 3 isoform 2</t>
  </si>
  <si>
    <t>F-box only protein 3 isoform 1</t>
  </si>
  <si>
    <t>F-box only protein 32</t>
  </si>
  <si>
    <t>F-box only protein 4</t>
  </si>
  <si>
    <t>F-box only protein 41</t>
  </si>
  <si>
    <t>F-box/SPRY domain-containing protein 1</t>
  </si>
  <si>
    <t>F-box only protein 6</t>
  </si>
  <si>
    <t>F-box/WD repeat-containing protein 11 isoform a</t>
  </si>
  <si>
    <t>F-box/WD repeat-containing protein 11 isoform b</t>
  </si>
  <si>
    <t>F-box/WD repeat-containing protein 11 isoform c</t>
  </si>
  <si>
    <t>F-box/WD repeat-containing protein 11 isoform d</t>
  </si>
  <si>
    <t>F-box and WD-40 domain protein 13</t>
  </si>
  <si>
    <t>F-box and WD-40 domain protein 14</t>
  </si>
  <si>
    <t>F-box and WD-40 domain protein 22</t>
  </si>
  <si>
    <t>F-box and WD-40 domain protein 28 isoform 1</t>
  </si>
  <si>
    <t>F-box and WD-40 domain protein 28 isoform 2</t>
  </si>
  <si>
    <t>F-box/WD repeat-containing protein 4</t>
  </si>
  <si>
    <t>F-box/WD repeat-containing protein 8</t>
  </si>
  <si>
    <t>low affinity immunoglobulin epsilon Fc receptor isoform C</t>
  </si>
  <si>
    <t>low affinity immunoglobulin epsilon Fc receptor isoform A</t>
  </si>
  <si>
    <t>low affinity immunoglobulin epsilon Fc receptor isoform E</t>
  </si>
  <si>
    <t>low affinity immunoglobulin epsilon Fc receptor isoform F</t>
  </si>
  <si>
    <t>low affinity immunoglobulin epsilon Fc receptor isoform G</t>
  </si>
  <si>
    <t>low affinity immunoglobulin epsilon Fc receptor isoform B</t>
  </si>
  <si>
    <t>rRNA-processing protein FCF1 homolog</t>
  </si>
  <si>
    <t xml:space="preserve">Fc fragment of IgG binding protein precursor </t>
  </si>
  <si>
    <t xml:space="preserve">FCH domain only protein 2 </t>
  </si>
  <si>
    <t>squalene synthase</t>
  </si>
  <si>
    <t xml:space="preserve">farnesyl pyrophosphate synthase isoform 2 </t>
  </si>
  <si>
    <t>farnesyl pyrophosphate synthase isoform 1 precursor</t>
  </si>
  <si>
    <t xml:space="preserve">adrenodoxin, mitochondrial precursor </t>
  </si>
  <si>
    <t>adrenodoxin-like protein, mitochondrial precursor</t>
  </si>
  <si>
    <t>NADPH:adrenodoxin oxidoreductase, mitochondrial precursor</t>
  </si>
  <si>
    <t>ferrochelatase, mitochondrial</t>
  </si>
  <si>
    <t>protein fem-1 homolog B</t>
  </si>
  <si>
    <t>protein fem-1 homolog C</t>
  </si>
  <si>
    <t xml:space="preserve">flap endonuclease 1 </t>
  </si>
  <si>
    <t>fermitin family homolog 1</t>
  </si>
  <si>
    <t>fermitin family homolog 2</t>
  </si>
  <si>
    <t xml:space="preserve">fasciculation and elongation protein zeta-2 </t>
  </si>
  <si>
    <t xml:space="preserve">FYVE, RhoGEF and PH domain-containing protein 1 </t>
  </si>
  <si>
    <t xml:space="preserve">FYVE, RhoGEF and PH domain-containing protein 3 </t>
  </si>
  <si>
    <t xml:space="preserve">FYVE, RhoGEF and PH domain-containing protein 4 isoform beta </t>
  </si>
  <si>
    <t xml:space="preserve">FYVE, RhoGEF and PH domain-containing protein 4 isoform gamma </t>
  </si>
  <si>
    <t xml:space="preserve">FYVE, RhoGEF and PH domain-containing protein 4 isoform alpha </t>
  </si>
  <si>
    <t xml:space="preserve">fibroblast growth factor 1 precursor </t>
  </si>
  <si>
    <t xml:space="preserve">fibroblast growth factor receptor 1 isoform 3 </t>
  </si>
  <si>
    <t>fibroblast growth factor receptor 1 isoform 1 precursor</t>
  </si>
  <si>
    <t>fibroblast growth factor receptor 1 isoform 2 precursor</t>
  </si>
  <si>
    <t xml:space="preserve">fibroblast growth factor receptor 2 isoform IIIc </t>
  </si>
  <si>
    <t xml:space="preserve">fibroblast growth factor receptor 2 isoform IIIb </t>
  </si>
  <si>
    <t>fibroblast growth factor receptor 3 isoform 2 precursor</t>
  </si>
  <si>
    <t>fibroblast growth factor receptor 3 isoform 3 precursor</t>
  </si>
  <si>
    <t>fibroblast growth factor receptor 3 isoform 4 precursor</t>
  </si>
  <si>
    <t>fibroblast growth factor receptor 3 isoform 1 precursor</t>
  </si>
  <si>
    <t>fibroblast growth factor receptor 4 precursor</t>
  </si>
  <si>
    <t xml:space="preserve">tyrosine-protein kinase Fgr </t>
  </si>
  <si>
    <t>fumarate hydratase, mitochondrial precursor</t>
  </si>
  <si>
    <t>forkhead-associated domain-containing protein 1</t>
  </si>
  <si>
    <t>four and a half LIM domains protein 1 isoform 3</t>
  </si>
  <si>
    <t>four and a half LIM domains protein 1 isoform 2</t>
  </si>
  <si>
    <t>four and a half LIM domains protein 1 isoform 1</t>
  </si>
  <si>
    <t>four and a half LIM domains protein 2</t>
  </si>
  <si>
    <t>four and a half LIM domains protein 3</t>
  </si>
  <si>
    <t>FH1/FH2 domain-containing protein 1</t>
  </si>
  <si>
    <t>FH1/FH2 domain-containing protein 3</t>
  </si>
  <si>
    <t>polyphosphoinositide phosphatase</t>
  </si>
  <si>
    <t xml:space="preserve">fidgetin-like protein 1 </t>
  </si>
  <si>
    <t>pre-mRNA 3'-end-processing factor FIP1 isoform 1</t>
  </si>
  <si>
    <t>pre-mRNA 3'-end-processing factor FIP1 isoform 3</t>
  </si>
  <si>
    <t>pre-mRNA 3'-end-processing factor FIP1 isoform 2</t>
  </si>
  <si>
    <t>mitochondrial fission 1 protein isoform 1</t>
  </si>
  <si>
    <t>mitochondrial fission 1 protein isoform 2</t>
  </si>
  <si>
    <t xml:space="preserve">fat storage-inducing transmembrane protein 2 </t>
  </si>
  <si>
    <t xml:space="preserve">flt3-interacting zinc finger protein 1 </t>
  </si>
  <si>
    <t xml:space="preserve">FK506-binding protein 15 </t>
  </si>
  <si>
    <t>peptidyl-prolyl cis-trans isomerase FKBP1A</t>
  </si>
  <si>
    <t>peptidyl-prolyl cis-trans isomerase FKBP1B</t>
  </si>
  <si>
    <t xml:space="preserve">peptidyl-prolyl cis-trans isomerase FKBP2 precursor </t>
  </si>
  <si>
    <t>peptidyl-prolyl cis-trans isomerase FKBP3</t>
  </si>
  <si>
    <t>peptidyl-prolyl cis-trans isomerase FKBP4</t>
  </si>
  <si>
    <t>peptidyl-prolyl cis-trans isomerase FKBP5</t>
  </si>
  <si>
    <t>peptidyl-prolyl cis-trans isomerase FKBP8 isoform b</t>
  </si>
  <si>
    <t>peptidyl-prolyl cis-trans isomerase FKBP8 isoform a</t>
  </si>
  <si>
    <t xml:space="preserve">peptidyl-prolyl cis-trans isomerase FKBP9 precursor </t>
  </si>
  <si>
    <t>FAD synthase</t>
  </si>
  <si>
    <t xml:space="preserve">folliculin </t>
  </si>
  <si>
    <t xml:space="preserve">filaggrin-2 </t>
  </si>
  <si>
    <t xml:space="preserve">protein flightless-1 homolog </t>
  </si>
  <si>
    <t xml:space="preserve">filamin-A </t>
  </si>
  <si>
    <t xml:space="preserve">filamin-B </t>
  </si>
  <si>
    <t xml:space="preserve">filamin-C </t>
  </si>
  <si>
    <t xml:space="preserve">flotillin-1 </t>
  </si>
  <si>
    <t xml:space="preserve">flotillin-2 isoform 2 </t>
  </si>
  <si>
    <t xml:space="preserve">flotillin-2 isoform 1 </t>
  </si>
  <si>
    <t xml:space="preserve">vascular endothelial growth factor receptor 1 precursor </t>
  </si>
  <si>
    <t>receptor-type tyrosine-protein kinase FLT3</t>
  </si>
  <si>
    <t xml:space="preserve">vascular endothelial growth factor receptor 3 precursor </t>
  </si>
  <si>
    <t>FLYWCH family member 2</t>
  </si>
  <si>
    <t xml:space="preserve">formin-1 isoform 1 </t>
  </si>
  <si>
    <t xml:space="preserve">formin-1 isoform 2 </t>
  </si>
  <si>
    <t xml:space="preserve">formin-like protein 1 isoform 2 </t>
  </si>
  <si>
    <t xml:space="preserve">formin-like protein 1 isoform 1 </t>
  </si>
  <si>
    <t xml:space="preserve">formin-like protein 2 </t>
  </si>
  <si>
    <t xml:space="preserve">formin-like protein 3 </t>
  </si>
  <si>
    <t>dimethylaniline monooxygenase [N-oxide-forming] 2</t>
  </si>
  <si>
    <t xml:space="preserve">fragile X mental retardation protein 1 homolog </t>
  </si>
  <si>
    <t>fibronectin isoform b precursor</t>
  </si>
  <si>
    <t>fibronectin isoform c precursor</t>
  </si>
  <si>
    <t>fibronectin isoform d precursor</t>
  </si>
  <si>
    <t>fibronectin isoform e precursor</t>
  </si>
  <si>
    <t>fibronectin isoform f precursor</t>
  </si>
  <si>
    <t>fibronectin isoform g precursor</t>
  </si>
  <si>
    <t>fibronectin precursor</t>
  </si>
  <si>
    <t xml:space="preserve">fructosamine-3-kinase isoform a </t>
  </si>
  <si>
    <t xml:space="preserve">fructosamine-3-kinase isoform b </t>
  </si>
  <si>
    <t xml:space="preserve">ketosamine-3-kinase </t>
  </si>
  <si>
    <t xml:space="preserve">formin-binding protein 1 isoform c </t>
  </si>
  <si>
    <t xml:space="preserve">formin-binding protein 1 isoform d </t>
  </si>
  <si>
    <t xml:space="preserve">formin-binding protein 1 isoform e </t>
  </si>
  <si>
    <t xml:space="preserve">formin-binding protein 1 isoform a </t>
  </si>
  <si>
    <t xml:space="preserve">formin-binding protein 1-like isoform 2 </t>
  </si>
  <si>
    <t xml:space="preserve">formin-binding protein 1-like isoform 1 </t>
  </si>
  <si>
    <t xml:space="preserve">formin-binding protein 4 </t>
  </si>
  <si>
    <t>fibronectin type III domain-containing protein 3B</t>
  </si>
  <si>
    <t xml:space="preserve">protein farnesyltransferase/geranylgeranyltransferase type-1 subunit alpha </t>
  </si>
  <si>
    <t>protein farnesyltransferase subunit beta</t>
  </si>
  <si>
    <t xml:space="preserve">focadhesin </t>
  </si>
  <si>
    <t>lisH domain-containing protein FOPNL</t>
  </si>
  <si>
    <t>forkhead box protein E1</t>
  </si>
  <si>
    <t>folylpolyglutamate synthase, mitochondrial precursor</t>
  </si>
  <si>
    <t xml:space="preserve">extracellular matrix protein FRAS1 precursor </t>
  </si>
  <si>
    <t>FRAS1-related extracellular matrix protein 2 precursor</t>
  </si>
  <si>
    <t>protein FRG1</t>
  </si>
  <si>
    <t xml:space="preserve">tyrosine-protein kinase FRK </t>
  </si>
  <si>
    <t>FERM domain-containing protein 8</t>
  </si>
  <si>
    <t>FERM and PDZ domain-containing protein 1</t>
  </si>
  <si>
    <t>FERM and PDZ domain-containing protein 4</t>
  </si>
  <si>
    <t>ferric-chelate reductase 1 precursor</t>
  </si>
  <si>
    <t>fibroblast growth factor receptor substrate 2</t>
  </si>
  <si>
    <t xml:space="preserve">protein furry homolog-like </t>
  </si>
  <si>
    <t>follistatin-related protein 1 precursor</t>
  </si>
  <si>
    <t xml:space="preserve">formimidoyltransferase-cyclodeaminase </t>
  </si>
  <si>
    <t xml:space="preserve">ferritin heavy chain </t>
  </si>
  <si>
    <t xml:space="preserve">alpha-ketoglutarate-dependent dioxygenase FTO </t>
  </si>
  <si>
    <t>Ftsj homolog</t>
  </si>
  <si>
    <t xml:space="preserve">far upstream element-binding protein 1 </t>
  </si>
  <si>
    <t xml:space="preserve">far upstream element (FUSE) binding protein 3 </t>
  </si>
  <si>
    <t xml:space="preserve">tissue alpha-L-fucosidase precursor </t>
  </si>
  <si>
    <t xml:space="preserve">plasma alpha-L-fucosidase precursor </t>
  </si>
  <si>
    <t>L-fucose kinase</t>
  </si>
  <si>
    <t>FUN14 domain-containing protein 2</t>
  </si>
  <si>
    <t>fucose mutarotase</t>
  </si>
  <si>
    <t xml:space="preserve">RNA-binding protein FUS </t>
  </si>
  <si>
    <t xml:space="preserve">alpha-(1,6)-fucosyltransferase isoform 1 </t>
  </si>
  <si>
    <t xml:space="preserve">frataxin, mitochondrial precursor </t>
  </si>
  <si>
    <t xml:space="preserve">fragile X mental retardation syndrome-related protein 1 isoform 3 </t>
  </si>
  <si>
    <t xml:space="preserve">fragile X mental retardation syndrome-related protein 1 isoform 1 </t>
  </si>
  <si>
    <t xml:space="preserve">fragile X mental retardation syndrome-related protein 1 isoform 2 </t>
  </si>
  <si>
    <t xml:space="preserve">fragile X mental retardation syndrome-related protein 2 </t>
  </si>
  <si>
    <t>sodium/potassium-transporting ATPase subunit gamma isoform a</t>
  </si>
  <si>
    <t>sodium/potassium-transporting ATPase subunit gamma isoform b</t>
  </si>
  <si>
    <t xml:space="preserve">FXYD domain-containing ion transport regulator 4 precursor </t>
  </si>
  <si>
    <t>FYVE and coiled-coil domain-containing protein 1</t>
  </si>
  <si>
    <t xml:space="preserve">tyrosine-protein kinase Fyn isoform b </t>
  </si>
  <si>
    <t xml:space="preserve">tyrosine-protein kinase Fyn isoform a </t>
  </si>
  <si>
    <t>UAP56-interacting factor isoform 2</t>
  </si>
  <si>
    <t>UAP56-interacting factor isoform 1</t>
  </si>
  <si>
    <t xml:space="preserve">ras GTPase-activating protein-binding protein 1 </t>
  </si>
  <si>
    <t xml:space="preserve">ras GTPase-activating protein-binding protein 2 isoform b </t>
  </si>
  <si>
    <t xml:space="preserve">ras GTPase-activating protein-binding protein 2 isoform a </t>
  </si>
  <si>
    <t xml:space="preserve">glucose-6-phosphate 1-dehydrogenase 2 </t>
  </si>
  <si>
    <t xml:space="preserve">glucose-6-phosphate 1-dehydrogenase X </t>
  </si>
  <si>
    <t xml:space="preserve">lysosomal alpha-glucosidase precursor </t>
  </si>
  <si>
    <t xml:space="preserve">GRB2-associated-binding protein 1 </t>
  </si>
  <si>
    <t>gamma-aminobutyric acid receptor-associated protein</t>
  </si>
  <si>
    <t xml:space="preserve">gamma-aminobutyric acid receptor-associated protein-like 1 </t>
  </si>
  <si>
    <t xml:space="preserve">gamma-aminobutyric acid receptor-associated protein-like 2 </t>
  </si>
  <si>
    <t>GA-binding protein alpha chain</t>
  </si>
  <si>
    <t>GA-binding protein subunit beta-1 isoform d</t>
  </si>
  <si>
    <t>GA-binding protein subunit beta-1 isoform a</t>
  </si>
  <si>
    <t>growth arrest and DNA damage-inducible protein GADD45 beta</t>
  </si>
  <si>
    <t>growth arrest and DNA damage-inducible proteins-interacting protein 1</t>
  </si>
  <si>
    <t>cyclin-G-associated kinase</t>
  </si>
  <si>
    <t>galactocerebrosidase precursor</t>
  </si>
  <si>
    <t>UDP-glucose 4-epimerase</t>
  </si>
  <si>
    <t xml:space="preserve">galactokinase </t>
  </si>
  <si>
    <t>N-acetylgalactosamine kinase</t>
  </si>
  <si>
    <t>aldose 1-epimerase</t>
  </si>
  <si>
    <t>N-acetylgalactosamine-6-sulfatase isoform 2 precursor</t>
  </si>
  <si>
    <t>N-acetylgalactosamine-6-sulfatase isoform 1 precursor</t>
  </si>
  <si>
    <t xml:space="preserve">polypeptide N-acetylgalactosaminyltransferase 1 </t>
  </si>
  <si>
    <t xml:space="preserve">polypeptide N-acetylgalactosaminyltransferase 13 </t>
  </si>
  <si>
    <t>polypeptide N-acetylgalactosaminyltransferase 2 precursor</t>
  </si>
  <si>
    <t xml:space="preserve">polypeptide N-acetylgalactosaminyltransferase 3 </t>
  </si>
  <si>
    <t xml:space="preserve">polypeptide N-acetylgalactosaminyltransferase 4 </t>
  </si>
  <si>
    <t>N-acetylgalactosaminyltransferase 7 isoform 1</t>
  </si>
  <si>
    <t>N-acetylgalactosaminyltransferase 7 isoform 2</t>
  </si>
  <si>
    <t>guanidinoacetate N-methyltransferase</t>
  </si>
  <si>
    <t xml:space="preserve">neutral alpha-glucosidase AB </t>
  </si>
  <si>
    <t xml:space="preserve">glyceraldehyde-3-phosphate dehydrogenase, testis-specific </t>
  </si>
  <si>
    <t xml:space="preserve">GTPase-activating protein and VPS9 domain-containing protein 1 </t>
  </si>
  <si>
    <t xml:space="preserve">H/ACA ribonucleoprotein complex subunit 1 </t>
  </si>
  <si>
    <t>glycine--tRNA ligase</t>
  </si>
  <si>
    <t xml:space="preserve">trifunctional purine biosynthetic protein adenosine-3 </t>
  </si>
  <si>
    <t>growth arrest-specific protein 2</t>
  </si>
  <si>
    <t xml:space="preserve">GAS2-like protein 3 </t>
  </si>
  <si>
    <t xml:space="preserve">transcriptional repressor p66-beta </t>
  </si>
  <si>
    <t>glucosylceramidase isoform 2 precursor</t>
  </si>
  <si>
    <t>glucosylceramidase isoform 1 precursor</t>
  </si>
  <si>
    <t>protein NipSnap homolog 2</t>
  </si>
  <si>
    <t>1,4-alpha-glucan-branching enzyme</t>
  </si>
  <si>
    <t>Golgi-specific brefeldin A-resistance guanine nucleotide exchange factor 1</t>
  </si>
  <si>
    <t xml:space="preserve">guanylate-binding protein 10 </t>
  </si>
  <si>
    <t>guanylate binding protein 11</t>
  </si>
  <si>
    <t xml:space="preserve">guanylate-binding protein 4 </t>
  </si>
  <si>
    <t xml:space="preserve">macrophage activation 2 isoform 2 </t>
  </si>
  <si>
    <t xml:space="preserve">macrophage activation 2 isoform 1 </t>
  </si>
  <si>
    <t>guanylate binding protein 6</t>
  </si>
  <si>
    <t>guanylate binding protein 7</t>
  </si>
  <si>
    <t>guanylate binding protein 8</t>
  </si>
  <si>
    <t>guanylate binding protein family, member 9</t>
  </si>
  <si>
    <t xml:space="preserve">grancalcin </t>
  </si>
  <si>
    <t xml:space="preserve">2-amino-3-ketobutyrate coenzyme A ligase, mitochondrial isoform a </t>
  </si>
  <si>
    <t xml:space="preserve">2-amino-3-ketobutyrate coenzyme A ligase, mitochondrial isoform b </t>
  </si>
  <si>
    <t>GRIP and coiled-coil domain-containing protein 1</t>
  </si>
  <si>
    <t>GRIP and coiled-coil domain-containing protein 2</t>
  </si>
  <si>
    <t xml:space="preserve">glutaryl-CoA dehydrogenase, mitochondrial </t>
  </si>
  <si>
    <t>glutamate--cysteine ligase catalytic subunit</t>
  </si>
  <si>
    <t>glutamate--cysteine ligase regulatory subunit</t>
  </si>
  <si>
    <t>GCN1 general control of amino-acid synthesis 1-like 1</t>
  </si>
  <si>
    <t>beta-1,3-galactosyl-O-glycosyl-glycoprotein beta-1,6-N-acetylglucosaminyltransferase</t>
  </si>
  <si>
    <t xml:space="preserve">glycine cleavage system H protein, mitochondrial precursor </t>
  </si>
  <si>
    <t>ganglioside-induced differentiation-associated protein 2</t>
  </si>
  <si>
    <t xml:space="preserve">glycerophosphodiester phosphodiesterase 1 </t>
  </si>
  <si>
    <t>growth/differentiation factor 3 precursor</t>
  </si>
  <si>
    <t xml:space="preserve">rab GDP dissociation inhibitor alpha </t>
  </si>
  <si>
    <t xml:space="preserve">rab GDP dissociation inhibitor beta </t>
  </si>
  <si>
    <t xml:space="preserve">glycerophosphodiester phosphodiesterase domain-containing protein 1 </t>
  </si>
  <si>
    <t xml:space="preserve">glycerophosphodiester phosphodiesterase domain-containing protein 3 </t>
  </si>
  <si>
    <t xml:space="preserve">gem-associated protein 2 </t>
  </si>
  <si>
    <t>gemin 4</t>
  </si>
  <si>
    <t xml:space="preserve">gem-associated protein 5 isoform 2 </t>
  </si>
  <si>
    <t xml:space="preserve">gem-associated protein 5 isoform 1 </t>
  </si>
  <si>
    <t xml:space="preserve">gem-associated protein 5 isoform 3 </t>
  </si>
  <si>
    <t xml:space="preserve">gem-associated protein 5 isoform 4 </t>
  </si>
  <si>
    <t xml:space="preserve">gem-associated protein 6 </t>
  </si>
  <si>
    <t xml:space="preserve">gem-associated protein 7 </t>
  </si>
  <si>
    <t xml:space="preserve">Golgi to ER traffic protein 4 homolog isoform 2 </t>
  </si>
  <si>
    <t xml:space="preserve">Golgi to ER traffic protein 4 homolog isoform 1 </t>
  </si>
  <si>
    <t>glial fibrillary acidic protein isoform 1</t>
  </si>
  <si>
    <t>glial fibrillary acidic protein isoform 2</t>
  </si>
  <si>
    <t>FAD-linked sulfhydryl oxidase ALR</t>
  </si>
  <si>
    <t>elongation factor G, mitochondrial</t>
  </si>
  <si>
    <t>ribosome-releasing factor 2, mitochondrial isoform 1</t>
  </si>
  <si>
    <t>ribosome-releasing factor 2, mitochondrial isoform 2</t>
  </si>
  <si>
    <t>ribosome-releasing factor 2, mitochondrial isoform 3</t>
  </si>
  <si>
    <t>ribosome-releasing factor 2, mitochondrial isoform 4</t>
  </si>
  <si>
    <t>glucose-fructose oxidoreductase domain-containing protein 2 precursor</t>
  </si>
  <si>
    <t>glutamine--fructose-6-phosphate aminotransferase [isomerizing] 1</t>
  </si>
  <si>
    <t>glucosamine--fructose-6-phosphate aminotransferase [isomerizing] 2</t>
  </si>
  <si>
    <t>ADP-ribosylation factor-binding protein GGA1</t>
  </si>
  <si>
    <t xml:space="preserve">gamma-glutamylaminecyclotransferase </t>
  </si>
  <si>
    <t xml:space="preserve">gamma-glutamylcyclotransferase </t>
  </si>
  <si>
    <t xml:space="preserve">vitamin K-dependent gamma-carboxylase </t>
  </si>
  <si>
    <t xml:space="preserve">geranylgeranyl pyrophosphate synthase </t>
  </si>
  <si>
    <t xml:space="preserve">gamma-glutamyltranspeptidase 1 precursor </t>
  </si>
  <si>
    <t>somatotropin precursor</t>
  </si>
  <si>
    <t>growth hormone-inducible transmembrane protein</t>
  </si>
  <si>
    <t xml:space="preserve">glucose-induced degradation protein 4 homolog </t>
  </si>
  <si>
    <t xml:space="preserve">glucose-induced degradation protein 8 homolog </t>
  </si>
  <si>
    <t>PERQ amino acid-rich with GYF domain-containing protein 2 isoform a</t>
  </si>
  <si>
    <t>PERQ amino acid-rich with GYF domain-containing protein 2 isoform b</t>
  </si>
  <si>
    <t>DNA replication complex GINS protein PSF1 isoform 1</t>
  </si>
  <si>
    <t>DNA replication complex GINS protein PSF1 isoform 2</t>
  </si>
  <si>
    <t>DNA replication complex GINS protein PSF2</t>
  </si>
  <si>
    <t>DNA replication complex GINS protein PSF3</t>
  </si>
  <si>
    <t>DNA replication complex GINS protein SLD5</t>
  </si>
  <si>
    <t>PDZ domain-containing protein GIPC1</t>
  </si>
  <si>
    <t>PDZ domain-containing protein GIPC2</t>
  </si>
  <si>
    <t>PDZ domain-containing protein GIPC3</t>
  </si>
  <si>
    <t>ARF GTPase-activating protein GIT1</t>
  </si>
  <si>
    <t>ARF GTPase-activating protein GIT2 isoform 2</t>
  </si>
  <si>
    <t>ARF GTPase-activating protein GIT2 isoform 3</t>
  </si>
  <si>
    <t>ARF GTPase-activating protein GIT2 isoform 1</t>
  </si>
  <si>
    <t xml:space="preserve">glycerol kinase 2 </t>
  </si>
  <si>
    <t>G kinase-anchoring protein 1</t>
  </si>
  <si>
    <t>alpha-galactosidase A</t>
  </si>
  <si>
    <t>beta-galactosidase precursor</t>
  </si>
  <si>
    <t>D-glucuronyl C5-epimerase</t>
  </si>
  <si>
    <t>nucleoporin GLE1</t>
  </si>
  <si>
    <t xml:space="preserve">Golgi apparatus protein 1 precursor </t>
  </si>
  <si>
    <t xml:space="preserve">Golgi-associated plant pathogenesis-related protein 1 </t>
  </si>
  <si>
    <t xml:space="preserve">glomulin isoform a </t>
  </si>
  <si>
    <t xml:space="preserve">glomulin isoform b </t>
  </si>
  <si>
    <t>lactoylglutathione lyase</t>
  </si>
  <si>
    <t>glyoxalase domain-containing protein 4</t>
  </si>
  <si>
    <t xml:space="preserve">glutaredoxin-1 </t>
  </si>
  <si>
    <t xml:space="preserve">glutaredoxin-3 </t>
  </si>
  <si>
    <t>glutaredoxin-related protein 5, mitochondrial</t>
  </si>
  <si>
    <t>glutaminase kidney isoform, mitochondrial isoform 1</t>
  </si>
  <si>
    <t>glutaminase kidney isoform, mitochondrial isoform 2</t>
  </si>
  <si>
    <t>procollagen galactosyltransferase 1 precursor</t>
  </si>
  <si>
    <t xml:space="preserve">glycolipid transfer protein </t>
  </si>
  <si>
    <t xml:space="preserve">glioma tumor suppressor candidate region gene 2 </t>
  </si>
  <si>
    <t xml:space="preserve">glutamate dehydrogenase 1, mitochondrial precursor </t>
  </si>
  <si>
    <t xml:space="preserve">putative oxidoreductase GLYR1 isoform 2 </t>
  </si>
  <si>
    <t xml:space="preserve">putative oxidoreductase GLYR1 isoform 1 </t>
  </si>
  <si>
    <t xml:space="preserve">Sin3-associated polypeptide 18-like </t>
  </si>
  <si>
    <t xml:space="preserve">uncharacterized protein LOC100042314 </t>
  </si>
  <si>
    <t xml:space="preserve">predicted gene 12657 </t>
  </si>
  <si>
    <t>uncharacterized protein C1orf87 homolog</t>
  </si>
  <si>
    <t>uncharacterized protein ZMYM6NB precursor</t>
  </si>
  <si>
    <t xml:space="preserve">uncharacterized protein LOC667373 isoform 2 </t>
  </si>
  <si>
    <t xml:space="preserve">uncharacterized protein LOC667373 isoform 1 </t>
  </si>
  <si>
    <t>probable E3 ubiquitin-protein ligase C12orf51 homolog</t>
  </si>
  <si>
    <t>protein GTLF3B</t>
  </si>
  <si>
    <t xml:space="preserve">predicted gene 1966 </t>
  </si>
  <si>
    <t xml:space="preserve">uncharacterized protein LOC100039042 </t>
  </si>
  <si>
    <t xml:space="preserve">Eif1a-like </t>
  </si>
  <si>
    <t>AK010878-Moap1 protein</t>
  </si>
  <si>
    <t xml:space="preserve">eukaryotic translation initiation factor 1A-like </t>
  </si>
  <si>
    <t>ganglioside GM2 activator precursor</t>
  </si>
  <si>
    <t xml:space="preserve">transcription elongation factor SPT4 2 </t>
  </si>
  <si>
    <t xml:space="preserve">predicted gene 3776 </t>
  </si>
  <si>
    <t>eukaryotic translation initiation factor 1A-like 1</t>
  </si>
  <si>
    <t xml:space="preserve">interferon-induced very large GTPase 1 </t>
  </si>
  <si>
    <t xml:space="preserve">uncharacterized protein LOC215895 </t>
  </si>
  <si>
    <t>40S ribosomal protein S24-like</t>
  </si>
  <si>
    <t xml:space="preserve">flavin-containing monooxygenase 13 </t>
  </si>
  <si>
    <t xml:space="preserve">flavin-containing monooxygenase 12 </t>
  </si>
  <si>
    <t xml:space="preserve">ribosomal protein S12-like </t>
  </si>
  <si>
    <t xml:space="preserve">predicted gene 4975 </t>
  </si>
  <si>
    <t>sentrin 14</t>
  </si>
  <si>
    <t xml:space="preserve">uncharacterized protein LOC433182 </t>
  </si>
  <si>
    <t xml:space="preserve">uncharacterized protein LOC228715 </t>
  </si>
  <si>
    <t xml:space="preserve">predicted gene 5803 </t>
  </si>
  <si>
    <t>uncharacterized protein CXorf65 homolog</t>
  </si>
  <si>
    <t xml:space="preserve">ribosomal protein L32-like </t>
  </si>
  <si>
    <t xml:space="preserve">fas apoptotic inhibitory molecule 1-like </t>
  </si>
  <si>
    <t xml:space="preserve">predicted gene 6531 </t>
  </si>
  <si>
    <t xml:space="preserve">uncharacterized protein LOC665574 </t>
  </si>
  <si>
    <t>uncharacterized protein LOC667977 precursor</t>
  </si>
  <si>
    <t xml:space="preserve">predicted gene, EG668137 </t>
  </si>
  <si>
    <t>sentrin 15</t>
  </si>
  <si>
    <t xml:space="preserve">GDP-mannose 4,6 dehydratase </t>
  </si>
  <si>
    <t>glia maturation factor beta</t>
  </si>
  <si>
    <t>glia maturation factor gamma isoform 1</t>
  </si>
  <si>
    <t>GEM-interacting protein</t>
  </si>
  <si>
    <t xml:space="preserve">mannose-1-phosphate guanyltransferase alpha </t>
  </si>
  <si>
    <t xml:space="preserve">mannose-1-phosphate guanyltransferase beta </t>
  </si>
  <si>
    <t xml:space="preserve">GMP reductase 1 </t>
  </si>
  <si>
    <t xml:space="preserve">GMP reductase 2 </t>
  </si>
  <si>
    <t xml:space="preserve">GMP synthase [glutamine-hydrolyzing] </t>
  </si>
  <si>
    <t xml:space="preserve">guanine nucleotide-binding protein subunit alpha-11 </t>
  </si>
  <si>
    <t xml:space="preserve">guanine nucleotide-binding protein subunit alpha-12 </t>
  </si>
  <si>
    <t xml:space="preserve">guanine nucleotide-binding protein subunit alpha-13 </t>
  </si>
  <si>
    <t xml:space="preserve">guanine nucleotide-binding protein subunit alpha-14 </t>
  </si>
  <si>
    <t>guanine nucleotide-binding protein G(i) subunit alpha-1</t>
  </si>
  <si>
    <t>guanine nucleotide-binding protein G(i) subunit alpha-2</t>
  </si>
  <si>
    <t>guanine nucleotide-binding protein G(k) subunit alpha</t>
  </si>
  <si>
    <t>guanine nucleotide-binding protein G(olf) subunit alpha isoform 1</t>
  </si>
  <si>
    <t>guanine nucleotide-binding protein G(olf) subunit alpha isoform 2</t>
  </si>
  <si>
    <t>guanine nucleotide-binding protein G(o) subunit alpha isoform B</t>
  </si>
  <si>
    <t>guanine nucleotide-binding protein G(o) subunit alpha isoform A</t>
  </si>
  <si>
    <t>guanine nucleotide-binding protein G(q) subunit alpha</t>
  </si>
  <si>
    <t>protein GNAS isoform f</t>
  </si>
  <si>
    <t>protein GNAS isoform GNASS</t>
  </si>
  <si>
    <t>protein GNAS isoform GNASL</t>
  </si>
  <si>
    <t>protein GNAS isoform XLas</t>
  </si>
  <si>
    <t>guanine nucleotide-binding protein G(t) subunit alpha-1</t>
  </si>
  <si>
    <t>guanine nucleotide-binding protein G(t) subunit alpha-2</t>
  </si>
  <si>
    <t>guanine nucleotide-binding protein G(t) subunit alpha-3</t>
  </si>
  <si>
    <t>guanine nucleotide-binding protein G(z) subunit alpha</t>
  </si>
  <si>
    <t>guanine nucleotide-binding protein G(I)/G(S)/G(T) subunit beta-1</t>
  </si>
  <si>
    <t>guanine nucleotide-binding protein G(I)/G(S)/G(T) subunit beta-2</t>
  </si>
  <si>
    <t>guanine nucleotide-binding protein subunit beta-2-like 1</t>
  </si>
  <si>
    <t>guanine nucleotide-binding protein G(I)/G(S)/G(T) subunit beta-3</t>
  </si>
  <si>
    <t xml:space="preserve">guanine nucleotide-binding protein subunit beta-4 </t>
  </si>
  <si>
    <t xml:space="preserve">guanine nucleotide-binding protein G(I)/G(S)/G(O) subunit gamma-10 precursor </t>
  </si>
  <si>
    <t>guanine nucleotide-binding protein G(I)/G(S)/G(O) subunit gamma-12</t>
  </si>
  <si>
    <t>guanine nucleotide-binding protein G(I)/G(S)/G(O) subunit gamma-7</t>
  </si>
  <si>
    <t>guanine nucleotide-binding protein-like 1</t>
  </si>
  <si>
    <t>nucleolar GTP-binding protein 2</t>
  </si>
  <si>
    <t>guanine nucleotide-binding protein-like 3 long isoform</t>
  </si>
  <si>
    <t xml:space="preserve">dihydroxyacetone phosphate acyltransferase </t>
  </si>
  <si>
    <t xml:space="preserve">glucosamine-6-phosphate isomerase 1 </t>
  </si>
  <si>
    <t xml:space="preserve">glucosamine-6-phosphate isomerase 2 </t>
  </si>
  <si>
    <t xml:space="preserve">glucosamine 6-phosphate N-acetyltransferase </t>
  </si>
  <si>
    <t>N-acetylglucosamine-6-sulfatase precursor</t>
  </si>
  <si>
    <t xml:space="preserve">Golgin subfamily A member 1 </t>
  </si>
  <si>
    <t xml:space="preserve">Golgin subfamily A member 2 isoform b </t>
  </si>
  <si>
    <t xml:space="preserve">Golgin subfamily A member 2 isoform a </t>
  </si>
  <si>
    <t xml:space="preserve">Golgin subfamily A member 3 </t>
  </si>
  <si>
    <t xml:space="preserve">Golgin subfamily A member 4 </t>
  </si>
  <si>
    <t xml:space="preserve">Golgin subfamily A member 5 </t>
  </si>
  <si>
    <t xml:space="preserve">Golgin subfamily A member 7 </t>
  </si>
  <si>
    <t xml:space="preserve">golgi autoantigen, golgin subfamily b, macrogolgin 1 </t>
  </si>
  <si>
    <t xml:space="preserve">Golgi integral membrane protein 4 </t>
  </si>
  <si>
    <t>Golgi membrane protein 1</t>
  </si>
  <si>
    <t xml:space="preserve">Golgi phosphoprotein 3 </t>
  </si>
  <si>
    <t xml:space="preserve">Golgi phosphoprotein 3-like isoform 1 </t>
  </si>
  <si>
    <t xml:space="preserve">Golgi phosphoprotein 3-like isoform 2 </t>
  </si>
  <si>
    <t xml:space="preserve">Golgi phosphoprotein 3-like isoform 3 </t>
  </si>
  <si>
    <t>vesicle transport protein GOT1B</t>
  </si>
  <si>
    <t>Golgi-associated PDZ and coiled-coil motif-containing protein isoform a</t>
  </si>
  <si>
    <t>Golgi-associated PDZ and coiled-coil motif-containing protein isoform b</t>
  </si>
  <si>
    <t>Golgi reassembly-stacking protein 1</t>
  </si>
  <si>
    <t>Golgi reassembly-stacking protein 2</t>
  </si>
  <si>
    <t>Golgi SNAP receptor complex member 1</t>
  </si>
  <si>
    <t>Golgi SNAP receptor complex member 2</t>
  </si>
  <si>
    <t xml:space="preserve">aspartate aminotransferase, cytoplasmic </t>
  </si>
  <si>
    <t xml:space="preserve">aspartate aminotransferase, mitochondrial </t>
  </si>
  <si>
    <t xml:space="preserve">glycosylphosphatidylinositol anchor attachment 1 protein </t>
  </si>
  <si>
    <t xml:space="preserve">uncharacterized protein KIAA1704 </t>
  </si>
  <si>
    <t>coiled-coil domain-containing protein 75</t>
  </si>
  <si>
    <t xml:space="preserve">G patch domain-containing protein 3 </t>
  </si>
  <si>
    <t xml:space="preserve">G patch domain-containing protein 4 </t>
  </si>
  <si>
    <t xml:space="preserve">G patch domain-containing protein 8 </t>
  </si>
  <si>
    <t>glypican-4 precursor</t>
  </si>
  <si>
    <t>glypican-6 isoform 1 precursor</t>
  </si>
  <si>
    <t>glypican-6 isoform 2 precursor</t>
  </si>
  <si>
    <t xml:space="preserve">glycerophosphocholine phosphodiesterase GPCPD1 isoform 2 </t>
  </si>
  <si>
    <t xml:space="preserve">glycerophosphocholine phosphodiesterase GPCPD1 isoform 3 </t>
  </si>
  <si>
    <t>glycerol-3-phosphate dehydrogenase [NAD(+)], cytoplasmic</t>
  </si>
  <si>
    <t>glycerol-3-phosphate dehydrogenase 1-like protein</t>
  </si>
  <si>
    <t>glycerol-3-phosphate dehydrogenase, mitochondrial precursor</t>
  </si>
  <si>
    <t xml:space="preserve">gephyrin isoform 2 </t>
  </si>
  <si>
    <t xml:space="preserve">gephyrin isoform 1 </t>
  </si>
  <si>
    <t>glucose-6-phosphate isomerase</t>
  </si>
  <si>
    <t xml:space="preserve">GPN-loop GTPase 1 </t>
  </si>
  <si>
    <t xml:space="preserve">GPN-loop GTPase 3 </t>
  </si>
  <si>
    <t xml:space="preserve">protein GPR107 precursor </t>
  </si>
  <si>
    <t xml:space="preserve">G-protein coupled receptor 126 precursor </t>
  </si>
  <si>
    <t>G-protein coupled receptor 39</t>
  </si>
  <si>
    <t xml:space="preserve">G-protein coupled receptor 56 precursor </t>
  </si>
  <si>
    <t xml:space="preserve">Golgi pH regulator </t>
  </si>
  <si>
    <t xml:space="preserve">G-protein coupled receptor 98 precursor </t>
  </si>
  <si>
    <t>retinoic acid-induced protein 3</t>
  </si>
  <si>
    <t>G-protein coupled receptor family C group 5 member C isoform a precursor</t>
  </si>
  <si>
    <t>G-protein coupled receptor family C group 5 member C isoform b precursor</t>
  </si>
  <si>
    <t xml:space="preserve">COP9 signalosome complex subunit 1 isoform 1 </t>
  </si>
  <si>
    <t xml:space="preserve">COP9 signalosome complex subunit 1 isoform 2 </t>
  </si>
  <si>
    <t xml:space="preserve">alanine aminotransferase 1 </t>
  </si>
  <si>
    <t xml:space="preserve">glutathione peroxidase 1 </t>
  </si>
  <si>
    <t xml:space="preserve">phospholipid hydroperoxide glutathione peroxidase, nuclear isoform 1 </t>
  </si>
  <si>
    <t>phospholipid hydroperoxide glutathione peroxidase, nuclear isoform 2 precursor</t>
  </si>
  <si>
    <t>GRAM domain-containing protein 4 isoform 1</t>
  </si>
  <si>
    <t>GRAM domain-containing protein 4 isoform 2</t>
  </si>
  <si>
    <t xml:space="preserve">growth factor receptor-bound protein 2 </t>
  </si>
  <si>
    <t xml:space="preserve">growth factor receptor-bound protein 7 </t>
  </si>
  <si>
    <t>protein C10</t>
  </si>
  <si>
    <t>grainyhead-like protein 2 homolog</t>
  </si>
  <si>
    <t xml:space="preserve">glyoxylate reductase/hydroxypyruvate reductase </t>
  </si>
  <si>
    <t xml:space="preserve">glutamate receptor delta-2 subunit precursor </t>
  </si>
  <si>
    <t>glutamate receptor ionotropic, NMDA 2D precursor</t>
  </si>
  <si>
    <t xml:space="preserve">GRIP1-associated protein 1 </t>
  </si>
  <si>
    <t>rho GTPase-activating protein 35</t>
  </si>
  <si>
    <t>granulins precursor</t>
  </si>
  <si>
    <t>grpE protein homolog 1, mitochondrial precursor</t>
  </si>
  <si>
    <t>grpE protein homolog 2, mitochondrial precursor</t>
  </si>
  <si>
    <t>G-rich sequence factor 1 isoform 1</t>
  </si>
  <si>
    <t>G-rich sequence factor 1 isoform 2</t>
  </si>
  <si>
    <t xml:space="preserve">glutamate-rich WD repeat-containing protein 1 </t>
  </si>
  <si>
    <t xml:space="preserve">gasdermin-C </t>
  </si>
  <si>
    <t xml:space="preserve">gasdermin-C2 </t>
  </si>
  <si>
    <t xml:space="preserve">gasdermin-C3 </t>
  </si>
  <si>
    <t xml:space="preserve">gasdermin-C4 </t>
  </si>
  <si>
    <t>glycogen synthase kinase-3 alpha</t>
  </si>
  <si>
    <t>glycogen synthase kinase-3 beta</t>
  </si>
  <si>
    <t xml:space="preserve">GSK3-beta interaction protein </t>
  </si>
  <si>
    <t xml:space="preserve">gelsolin isoform 2 </t>
  </si>
  <si>
    <t>gelsolin isoform 1 precursor</t>
  </si>
  <si>
    <t>eukaryotic peptide chain release factor GTP-binding subunit ERF3A isoform 1</t>
  </si>
  <si>
    <t>eukaryotic peptide chain release factor GTP-binding subunit ERF3A isoform 2</t>
  </si>
  <si>
    <t>eukaryotic peptide chain release factor GTP-binding subunit ERF3B</t>
  </si>
  <si>
    <t>glutathione reductase, mitochondrial precursor</t>
  </si>
  <si>
    <t>glutathione synthetase</t>
  </si>
  <si>
    <t xml:space="preserve">glutathione S-transferase A1 </t>
  </si>
  <si>
    <t xml:space="preserve">glutathione S-transferase A2 </t>
  </si>
  <si>
    <t xml:space="preserve">glutathione S-transferase A3 </t>
  </si>
  <si>
    <t xml:space="preserve">glutathione S-transferase A4 </t>
  </si>
  <si>
    <t>glutathione S-transferase kappa 1</t>
  </si>
  <si>
    <t>glutathione S-transferase Mu 1</t>
  </si>
  <si>
    <t>glutathione S-transferase Mu 2</t>
  </si>
  <si>
    <t>glutathione S-transferase Mu 3</t>
  </si>
  <si>
    <t>glutathione S-transferase mu 4 isoform 2</t>
  </si>
  <si>
    <t>glutathione S-transferase mu 4 isoform 1</t>
  </si>
  <si>
    <t>glutathione S-transferase Mu 5</t>
  </si>
  <si>
    <t>glutathione S-transferase Mu 6</t>
  </si>
  <si>
    <t>glutathione S-transferase Mu 7</t>
  </si>
  <si>
    <t xml:space="preserve">glutathione S-transferase omega-1 </t>
  </si>
  <si>
    <t xml:space="preserve">glutathione S-transferase omega-2 </t>
  </si>
  <si>
    <t>glutathione S-transferase P 1</t>
  </si>
  <si>
    <t>glutathione S-transferase P 2</t>
  </si>
  <si>
    <t xml:space="preserve">glutathione S-transferase theta-1 </t>
  </si>
  <si>
    <t xml:space="preserve">glutathione S-transferase theta-2 </t>
  </si>
  <si>
    <t>glutathione S-transferase, theta 3</t>
  </si>
  <si>
    <t>maleylacetoacetate isomerase isoform 2</t>
  </si>
  <si>
    <t>maleylacetoacetate isomerase isoform 1</t>
  </si>
  <si>
    <t>transcription initiation factor IIA subunit 1 isoform 1</t>
  </si>
  <si>
    <t>transcription initiation factor IIA subunit 1 isoform 2</t>
  </si>
  <si>
    <t>transcription initiation factor IIA subunit 2 isoform 2</t>
  </si>
  <si>
    <t>transcription initiation factor IIA subunit 2 isoform 1</t>
  </si>
  <si>
    <t>transcription initiation factor IIB</t>
  </si>
  <si>
    <t>general transcription factor IIE subunit 1</t>
  </si>
  <si>
    <t>general transcription factor IIE subunit 2</t>
  </si>
  <si>
    <t>general transcription factor IIF subunit 1</t>
  </si>
  <si>
    <t>general transcription factor IIF subunit 2</t>
  </si>
  <si>
    <t>general transcription factor IIH subunit 4</t>
  </si>
  <si>
    <t>general transcription factor II-I isoform 4</t>
  </si>
  <si>
    <t>general transcription factor II-I isoform 2</t>
  </si>
  <si>
    <t>general transcription factor II-I isoform 1</t>
  </si>
  <si>
    <t>general transcription factor II-I isoform 3</t>
  </si>
  <si>
    <t>general transcription factor II-I isoform 5</t>
  </si>
  <si>
    <t>general transcription factor 3C polypeptide 3</t>
  </si>
  <si>
    <t>general transcription factor 3C polypeptide 4 isoform 1</t>
  </si>
  <si>
    <t>general transcription factor 3C polypeptide 4 isoform 2</t>
  </si>
  <si>
    <t>UPF0468 protein C16orf80 homolog</t>
  </si>
  <si>
    <t xml:space="preserve">GTP-binding protein 1 </t>
  </si>
  <si>
    <t xml:space="preserve">GTP-binding protein 2 isoform 1 </t>
  </si>
  <si>
    <t xml:space="preserve">GTP-binding protein 2 isoform 2 </t>
  </si>
  <si>
    <t>tRNA modification GTPase GTPBP3, mitochondrial precursor</t>
  </si>
  <si>
    <t>nucleolar GTP-binding protein 1</t>
  </si>
  <si>
    <t>putative GTP-binding protein 6</t>
  </si>
  <si>
    <t xml:space="preserve">GTP-binding protein 8 isoform 1 </t>
  </si>
  <si>
    <t>G2 and S phase-expressed protein 1</t>
  </si>
  <si>
    <t>olfactory guanylyl cyclase GC-D</t>
  </si>
  <si>
    <t xml:space="preserve">retinal guanylyl cyclase 2 precursor </t>
  </si>
  <si>
    <t>guanylate kinase isoform 1</t>
  </si>
  <si>
    <t>guanylate kinase isoform 2</t>
  </si>
  <si>
    <t>beta-glucuronidase precursor</t>
  </si>
  <si>
    <t xml:space="preserve">glucoside xylosyltransferase 1 </t>
  </si>
  <si>
    <t>glycerol kinase isoform 2</t>
  </si>
  <si>
    <t>glycerol kinase isoform 1</t>
  </si>
  <si>
    <t xml:space="preserve">glycerol kinase-like 1 </t>
  </si>
  <si>
    <t>glycosyltransferase-like protein LARGE2 isoform 1 precursor</t>
  </si>
  <si>
    <t>glycosyltransferase-like protein LARGE2 isoform 2 precursor</t>
  </si>
  <si>
    <t>glycogen [starch] synthase, muscle</t>
  </si>
  <si>
    <t xml:space="preserve">GDNF-inducible zinc finger protein 1 </t>
  </si>
  <si>
    <t>minor histocompatibility antigen H13 isoform 1</t>
  </si>
  <si>
    <t>minor histocompatibility antigen H13 isoform 3</t>
  </si>
  <si>
    <t>minor histocompatibility antigen H13 isoform 4</t>
  </si>
  <si>
    <t>minor histocompatibility antigen H13 isoform 2</t>
  </si>
  <si>
    <t>histone H1.0</t>
  </si>
  <si>
    <t xml:space="preserve">testis-specific H1 histone </t>
  </si>
  <si>
    <t>histone H2A.J</t>
  </si>
  <si>
    <t>histone H2A.V</t>
  </si>
  <si>
    <t>histone H2A.x</t>
  </si>
  <si>
    <t xml:space="preserve">core histone macro-H2A.1 isoform 2 </t>
  </si>
  <si>
    <t xml:space="preserve">core histone macro-H2A.1 isoform 3 </t>
  </si>
  <si>
    <t xml:space="preserve">core histone macro-H2A.1 isoform 4 </t>
  </si>
  <si>
    <t xml:space="preserve">core histone macro-H2A.1 isoform 1 </t>
  </si>
  <si>
    <t xml:space="preserve">core histone macro-H2A.2 </t>
  </si>
  <si>
    <t>histone H2A.Z</t>
  </si>
  <si>
    <t xml:space="preserve">H-2 class I histocompatibility antigen, D-B alpha chain precursor </t>
  </si>
  <si>
    <t xml:space="preserve">H-2 class I histocompatibility antigen, K-W28 alpha chain isoform 1 precursor </t>
  </si>
  <si>
    <t xml:space="preserve">prefoldin subunit 6 </t>
  </si>
  <si>
    <t xml:space="preserve">estradiol 17-beta-dehydrogenase 8 </t>
  </si>
  <si>
    <t>histocompatibility 2, D region locus L</t>
  </si>
  <si>
    <t xml:space="preserve">histocompatibility 2, Q region locus 1 precursor </t>
  </si>
  <si>
    <t xml:space="preserve">H-2 class I histocompatibility antigen, Q10 alpha chain precursor </t>
  </si>
  <si>
    <t xml:space="preserve">histocompatibility 2, Q region locus 2 precursor </t>
  </si>
  <si>
    <t xml:space="preserve">histocompatibility 2, Q region locus 4 precursor </t>
  </si>
  <si>
    <t xml:space="preserve">histocompatibility 2, Q region locus 6 precursor </t>
  </si>
  <si>
    <t xml:space="preserve">H-2 class I histocompatibility antigen, Q7 alpha chain isoform 1 precursor </t>
  </si>
  <si>
    <t xml:space="preserve">H-2 class I histocompatibility antigen, Q7 alpha chain isoform 2 precursor </t>
  </si>
  <si>
    <t xml:space="preserve">H-2 class I histocompatibility antigen, Q7 alpha chain isoform 3 precursor </t>
  </si>
  <si>
    <t xml:space="preserve">H-2 class I histocompatibility antigen, Q8 alpha chain precursor </t>
  </si>
  <si>
    <t xml:space="preserve">H-2 class I histocompatibility antigen, Q9 alpha chain precursor </t>
  </si>
  <si>
    <t xml:space="preserve">H-2 class I histocompatibility antigen, D-37 alpha chain precursor </t>
  </si>
  <si>
    <t>histone H3.3</t>
  </si>
  <si>
    <t xml:space="preserve">GDH/6PGL endoplasmic bifunctional protein precursor </t>
  </si>
  <si>
    <t>E3 ubiquitin-protein ligase HACE1</t>
  </si>
  <si>
    <t xml:space="preserve">2-hydroxyacyl-CoA lyase 1 </t>
  </si>
  <si>
    <t xml:space="preserve">hydroxyacyl-coenzyme A dehydrogenase, mitochondrial precursor </t>
  </si>
  <si>
    <t>trifunctional enzyme subunit alpha, mitochondrial precursor</t>
  </si>
  <si>
    <t>trifunctional enzyme subunit beta, mitochondrial precursor</t>
  </si>
  <si>
    <t>hydroxyacylglutathione hydrolase, mitochondrial isoform 1 precursor</t>
  </si>
  <si>
    <t xml:space="preserve">hydroxyacylglutathione hydrolase, mitochondrial isoform 2 </t>
  </si>
  <si>
    <t xml:space="preserve">hydroxyacylglutathione hydrolase-like protein isoform b </t>
  </si>
  <si>
    <t xml:space="preserve">histidine--tRNA ligase, cytoplasmic </t>
  </si>
  <si>
    <t xml:space="preserve">probable histidine--tRNA ligase, mitochondrial precursor </t>
  </si>
  <si>
    <t xml:space="preserve">hyaluronan synthase 1 </t>
  </si>
  <si>
    <t>histone acetyltransferase type B catalytic subunit</t>
  </si>
  <si>
    <t xml:space="preserve">HAUS augmin-like complex subunit 3 </t>
  </si>
  <si>
    <t xml:space="preserve">HAUS augmin-like complex subunit 5 </t>
  </si>
  <si>
    <t xml:space="preserve">hemoglobin subunit beta-1 </t>
  </si>
  <si>
    <t xml:space="preserve">hemoglobin, beta adult t chain </t>
  </si>
  <si>
    <t xml:space="preserve">proheparin-binding EGF-like growth factor precursor </t>
  </si>
  <si>
    <t>HBS1-like protein isoform 3</t>
  </si>
  <si>
    <t>HBS1-like protein isoform 1</t>
  </si>
  <si>
    <t>HBS1-like protein isoform 2</t>
  </si>
  <si>
    <t>cytochrome c-type heme lyase</t>
  </si>
  <si>
    <t>host cell factor 1</t>
  </si>
  <si>
    <t xml:space="preserve">tyrosine-protein kinase HCK isoform p56Hck </t>
  </si>
  <si>
    <t xml:space="preserve">tyrosine-protein kinase HCK isoform p59Hck </t>
  </si>
  <si>
    <t>potassium/sodium hyperpolarization-activated cyclic nucleotide-gated channel 3</t>
  </si>
  <si>
    <t xml:space="preserve">histone deacetylase 1 </t>
  </si>
  <si>
    <t xml:space="preserve">histone deacetylase 10 </t>
  </si>
  <si>
    <t xml:space="preserve">histone deacetylase 2 </t>
  </si>
  <si>
    <t xml:space="preserve">histone deacetylase 3 </t>
  </si>
  <si>
    <t xml:space="preserve">histone deacetylase 4 </t>
  </si>
  <si>
    <t xml:space="preserve">histone deacetylase 6 </t>
  </si>
  <si>
    <t xml:space="preserve">histone deacetylase 8 </t>
  </si>
  <si>
    <t>HD domain-containing protein 2</t>
  </si>
  <si>
    <t xml:space="preserve">guanosine-3',5'-bis(diphosphate) 3'-pyrophosphohydrolase MESH1 </t>
  </si>
  <si>
    <t xml:space="preserve">hepatoma-derived growth factor </t>
  </si>
  <si>
    <t xml:space="preserve">hepatoma-derived growth factor-related protein 2 </t>
  </si>
  <si>
    <t>haloacid dehalogenase-like hydrolase domain-containing protein 2 isoform 1</t>
  </si>
  <si>
    <t>haloacid dehalogenase-like hydrolase domain-containing protein 3</t>
  </si>
  <si>
    <t xml:space="preserve">vigilin </t>
  </si>
  <si>
    <t>BAP28 protein</t>
  </si>
  <si>
    <t>HEAT repeat-containing protein 2</t>
  </si>
  <si>
    <t>HEAT repeat-containing protein 3</t>
  </si>
  <si>
    <t>HEAT repeat-containing protein 5A</t>
  </si>
  <si>
    <t>HEAT repeat-containing protein 5B</t>
  </si>
  <si>
    <t>HEAT repeat-containing protein 6</t>
  </si>
  <si>
    <t xml:space="preserve">heme-binding protein 1 </t>
  </si>
  <si>
    <t xml:space="preserve">heme-binding protein 2 </t>
  </si>
  <si>
    <t>E3 ubiquitin-protein ligase HECTD1</t>
  </si>
  <si>
    <t>E3 ubiquitin-protein ligase HECTD3</t>
  </si>
  <si>
    <t>E3 ubiquitin-protein ligase HECW1</t>
  </si>
  <si>
    <t xml:space="preserve">DNA helicase B </t>
  </si>
  <si>
    <t>lymphocyte-specific helicase</t>
  </si>
  <si>
    <t>probable helicase with zinc finger domain</t>
  </si>
  <si>
    <t xml:space="preserve">PPAR gamma-DNA-binding domain interacting protein1 </t>
  </si>
  <si>
    <t>hect domain and RCC1-like domain 1</t>
  </si>
  <si>
    <t>E3 ubiquitin-protein ligase HERC2</t>
  </si>
  <si>
    <t xml:space="preserve">probable E3 ubiquitin-protein ligase HERC4 isoform 1 </t>
  </si>
  <si>
    <t xml:space="preserve">probable E3 ubiquitin-protein ligase HERC4 isoform 2 </t>
  </si>
  <si>
    <t>homocysteine-responsive endoplasmic reticulum-resident ubiquitin-like domain member 1 protein</t>
  </si>
  <si>
    <t>beta-hexosaminidase subunit alpha precursor</t>
  </si>
  <si>
    <t>beta-hexosaminidase subunit beta precursor</t>
  </si>
  <si>
    <t>protein HEXIM1</t>
  </si>
  <si>
    <t>hepatocyte growth factor-regulated tyrosine kinase substrate isoform 1</t>
  </si>
  <si>
    <t>hepatocyte growth factor-regulated tyrosine kinase substrate isoform 2</t>
  </si>
  <si>
    <t>heparan-alpha-glucosaminide N-acetyltransferase</t>
  </si>
  <si>
    <t xml:space="preserve">hedgehog-interacting protein precursor </t>
  </si>
  <si>
    <t>3-hydroxyisobutyrate dehydrogenase, mitochondrial precursor</t>
  </si>
  <si>
    <t>3-hydroxyisobutyryl-CoA hydrolase, mitochondrial precursor</t>
  </si>
  <si>
    <t xml:space="preserve">hypermethylated in cancer 2 protein </t>
  </si>
  <si>
    <t>protein HID1</t>
  </si>
  <si>
    <t>hypoxia-inducible factor 1-alpha inhibitor</t>
  </si>
  <si>
    <t>HIG1 domain family member 1A, mitochondrial</t>
  </si>
  <si>
    <t>hypoxia-inducible lipid droplet-associated protein isoform 2</t>
  </si>
  <si>
    <t>hypoxia-inducible lipid droplet-associated protein isoform 1</t>
  </si>
  <si>
    <t xml:space="preserve">histidine triad nucleotide-binding protein 1 </t>
  </si>
  <si>
    <t xml:space="preserve">histidine triad nucleotide-binding protein 2, mitochondrial precursor </t>
  </si>
  <si>
    <t xml:space="preserve">histidine triad nucleotide-binding protein 3 </t>
  </si>
  <si>
    <t xml:space="preserve">huntingtin-interacting protein 1 </t>
  </si>
  <si>
    <t>huntingtin-interacting protein 1-related protein</t>
  </si>
  <si>
    <t xml:space="preserve">HIRA-interacting protein 3 </t>
  </si>
  <si>
    <t>histone H1.1</t>
  </si>
  <si>
    <t>histone H1.5</t>
  </si>
  <si>
    <t>histone H1.2</t>
  </si>
  <si>
    <t>histone H1.3</t>
  </si>
  <si>
    <t>histone H1.4</t>
  </si>
  <si>
    <t>histone H1t</t>
  </si>
  <si>
    <t>histone cluster 1, H2aa</t>
  </si>
  <si>
    <t>histone H2A type 1-F</t>
  </si>
  <si>
    <t>histone H2A type 1-H</t>
  </si>
  <si>
    <t>histone H2A type 1-K</t>
  </si>
  <si>
    <t>histone H2A type 1</t>
  </si>
  <si>
    <t>histone H2B type 1-A</t>
  </si>
  <si>
    <t>histone H2B type 1-B</t>
  </si>
  <si>
    <t>histone H2B type 1-C/E/G</t>
  </si>
  <si>
    <t>histone H2B type 1-F/J/L</t>
  </si>
  <si>
    <t>histone H2B type 1-H</t>
  </si>
  <si>
    <t>histone H2B type 1-K</t>
  </si>
  <si>
    <t>histone H2B type 1-M</t>
  </si>
  <si>
    <t>histone H2B type 1-P</t>
  </si>
  <si>
    <t xml:space="preserve">H2b histone family, member A </t>
  </si>
  <si>
    <t>histone cluster 1 H2br</t>
  </si>
  <si>
    <t>histone H3.2</t>
  </si>
  <si>
    <t>histone H3.1</t>
  </si>
  <si>
    <t>histone H4</t>
  </si>
  <si>
    <t>histone H2A type 2-A</t>
  </si>
  <si>
    <t>histone H2A type 2-B</t>
  </si>
  <si>
    <t>histone H2A type 2-C</t>
  </si>
  <si>
    <t>histone H2B type 2-B</t>
  </si>
  <si>
    <t>histone H2B type 2-E</t>
  </si>
  <si>
    <t>histone H2A type 3</t>
  </si>
  <si>
    <t>histone H2B type 3-A</t>
  </si>
  <si>
    <t>histone H2B type 3-B</t>
  </si>
  <si>
    <t xml:space="preserve">hexokinase-1 isoform HK1-sb </t>
  </si>
  <si>
    <t xml:space="preserve">hexokinase-1 isoform HK1 </t>
  </si>
  <si>
    <t xml:space="preserve">hexokinase-2 </t>
  </si>
  <si>
    <t xml:space="preserve">hexokinase-3 isoform 2 </t>
  </si>
  <si>
    <t xml:space="preserve">hexokinase-3 isoform 3 </t>
  </si>
  <si>
    <t xml:space="preserve">hexokinase-3 isoform 1 </t>
  </si>
  <si>
    <t xml:space="preserve">putative hexokinase HKDC1 </t>
  </si>
  <si>
    <t>biotin--protein ligase</t>
  </si>
  <si>
    <t xml:space="preserve">helicase-like transcription factor isoform 1 </t>
  </si>
  <si>
    <t>porphobilinogen deaminase isoform 1</t>
  </si>
  <si>
    <t>porphobilinogen deaminase isoform 2</t>
  </si>
  <si>
    <t xml:space="preserve">hemicentin 1 precursor </t>
  </si>
  <si>
    <t xml:space="preserve">high mobility group protein HMG-I/HMG-Y isoform b </t>
  </si>
  <si>
    <t xml:space="preserve">high mobility group protein HMG-I/HMG-Y isoform d </t>
  </si>
  <si>
    <t xml:space="preserve">high mobility group protein HMG-I/HMG-Y isoform c </t>
  </si>
  <si>
    <t xml:space="preserve">high mobility group protein HMG-I/HMG-Y isoform e </t>
  </si>
  <si>
    <t xml:space="preserve">high mobility group protein HMG-I/HMG-Y isoform 2 </t>
  </si>
  <si>
    <t xml:space="preserve">high mobility group protein HMG-I/HMG-Y isoform 1 </t>
  </si>
  <si>
    <t xml:space="preserve">high mobility group protein HMGI-C </t>
  </si>
  <si>
    <t xml:space="preserve">high mobility group protein B2 </t>
  </si>
  <si>
    <t xml:space="preserve">high mobility group protein B3 </t>
  </si>
  <si>
    <t>hydroxymethylglutaryl-CoA lyase, mitochondrial precursor</t>
  </si>
  <si>
    <t xml:space="preserve">hydroxymethylglutaryl-CoA synthase, cytoplasmic </t>
  </si>
  <si>
    <t>hydroxymethylglutaryl-CoA synthase, mitochondrial precursor</t>
  </si>
  <si>
    <t xml:space="preserve">high mobility group nucleosome-binding domain-containing protein 3 isoform Hmgn3a </t>
  </si>
  <si>
    <t xml:space="preserve">high mobility group nucleosome-binding domain-containing protein 5 </t>
  </si>
  <si>
    <t xml:space="preserve">heme oxygenase 2 </t>
  </si>
  <si>
    <t>hematological and neurological expressed 1 protein</t>
  </si>
  <si>
    <t>hematological and neurological expressed 1-like protein</t>
  </si>
  <si>
    <t>heterogeneous nuclear ribonucleoprotein A0</t>
  </si>
  <si>
    <t>heterogeneous nuclear ribonucleoprotein A1 isoform a</t>
  </si>
  <si>
    <t>heterogeneous nuclear ribonucleoprotein A1 isoform b</t>
  </si>
  <si>
    <t>heterogeneous nuclear ribonucleoproteins A2/B1 isoform 1</t>
  </si>
  <si>
    <t>heterogeneous nuclear ribonucleoproteins A2/B1 isoform 2</t>
  </si>
  <si>
    <t>heterogeneous nuclear ribonucleoprotein A3 isoform c</t>
  </si>
  <si>
    <t>heterogeneous nuclear ribonucleoprotein A3 isoform a</t>
  </si>
  <si>
    <t>heterogeneous nuclear ribonucleoprotein A/B isoform 1</t>
  </si>
  <si>
    <t>heterogeneous nuclear ribonucleoprotein A/B isoform 2</t>
  </si>
  <si>
    <t>heterogeneous nuclear ribonucleoproteins C1/C2 isoform 2</t>
  </si>
  <si>
    <t>heterogeneous nuclear ribonucleoproteins C1/C2 isoform 3</t>
  </si>
  <si>
    <t>heterogeneous nuclear ribonucleoproteins C1/C2 isoform 4</t>
  </si>
  <si>
    <t>heterogeneous nuclear ribonucleoproteins C1/C2 isoform 1</t>
  </si>
  <si>
    <t>heterogeneous nuclear ribonucleoprotein D0 isoform a</t>
  </si>
  <si>
    <t>heterogeneous nuclear ribonucleoprotein D0 isoform c</t>
  </si>
  <si>
    <t>heterogeneous nuclear ribonucleoprotein D0 isoform d</t>
  </si>
  <si>
    <t>heterogeneous nuclear ribonucleoprotein D0 isoform b</t>
  </si>
  <si>
    <t>heterogeneous nuclear ribonucleoprotein D-like</t>
  </si>
  <si>
    <t>heterogeneous nuclear ribonucleoprotein F</t>
  </si>
  <si>
    <t>heterogeneous nuclear ribonucleoprotein H</t>
  </si>
  <si>
    <t>heterogeneous nuclear ribonucleoprotein H2</t>
  </si>
  <si>
    <t>heterogeneous nuclear ribonucleoprotein H3</t>
  </si>
  <si>
    <t>heterogeneous nuclear ribonucleoprotein K</t>
  </si>
  <si>
    <t>heterogeneous nuclear ribonucleoprotein L</t>
  </si>
  <si>
    <t>heterogeneous nuclear ribonucleoprotein L-like</t>
  </si>
  <si>
    <t>heterogeneous nuclear ribonucleoprotein M isoform b</t>
  </si>
  <si>
    <t>heterogeneous nuclear ribonucleoprotein M isoform a</t>
  </si>
  <si>
    <t>heterogeneous nuclear ribonucleoprotein R isoform b</t>
  </si>
  <si>
    <t>heterogeneous nuclear ribonucleoprotein R isoform a</t>
  </si>
  <si>
    <t>heterogeneous nuclear ribonucleoprotein U</t>
  </si>
  <si>
    <t>heterogeneous nuclear ribonucleoprotein U-like protein 1 isoform 2</t>
  </si>
  <si>
    <t>heterogeneous nuclear ribonucleoprotein U-like protein 1 isoform 1</t>
  </si>
  <si>
    <t>heterogeneous nuclear ribonucleoprotein U-like protein 2</t>
  </si>
  <si>
    <t xml:space="preserve">probable 4-hydroxy-2-oxoglutarate aldolase, mitochondrial precursor </t>
  </si>
  <si>
    <t>homer protein homolog 3 isoform 2</t>
  </si>
  <si>
    <t>homer protein homolog 3 isoform 1</t>
  </si>
  <si>
    <t>protein Hook homolog 1</t>
  </si>
  <si>
    <t>protein Hook homolog 2 isoform 1</t>
  </si>
  <si>
    <t>protein Hook homolog 2 isoform 2</t>
  </si>
  <si>
    <t>protein Hook homolog 3</t>
  </si>
  <si>
    <t xml:space="preserve">homeobox protein Hox-A5 </t>
  </si>
  <si>
    <t xml:space="preserve">homeobox protein Hox-B7 </t>
  </si>
  <si>
    <t xml:space="preserve">homeobox protein Hox-D8 </t>
  </si>
  <si>
    <t xml:space="preserve">heterochromatin protein 1-binding protein 3 isoform 4 </t>
  </si>
  <si>
    <t xml:space="preserve">heterochromatin protein 1-binding protein 3 isoform 5 </t>
  </si>
  <si>
    <t xml:space="preserve">heterochromatin protein 1-binding protein 3 isoform 3 </t>
  </si>
  <si>
    <t xml:space="preserve">heterochromatin protein 1-binding protein 3 isoform 1 </t>
  </si>
  <si>
    <t xml:space="preserve">heterochromatin protein 1-binding protein 3 isoform 2 </t>
  </si>
  <si>
    <t>neuron-specific calcium-binding protein hippocalcin</t>
  </si>
  <si>
    <t xml:space="preserve">hippocalcin-like protein 1 </t>
  </si>
  <si>
    <t>hypoxanthine-guanine phosphoribosyltransferase</t>
  </si>
  <si>
    <t xml:space="preserve">Hermansky-Pudlak syndrome 5 protein homolog isoform 1 </t>
  </si>
  <si>
    <t xml:space="preserve">Hermansky-Pudlak syndrome 5 protein homolog isoform 2 </t>
  </si>
  <si>
    <t>GTPase HRas isoform 1</t>
  </si>
  <si>
    <t>GTPase HRas isoform 2</t>
  </si>
  <si>
    <t>ribonuclease UK114</t>
  </si>
  <si>
    <t xml:space="preserve">HCLS1-binding protein 3 </t>
  </si>
  <si>
    <t>heparan sulfate 2-O-sulfotransferase 1</t>
  </si>
  <si>
    <t>heparan sulfate glucosamine 3-O-sulfotransferase 1 precursor</t>
  </si>
  <si>
    <t xml:space="preserve">heparan sulfate glucosamine 3-O-sulfotransferase 5 </t>
  </si>
  <si>
    <t xml:space="preserve">heat shock factor-binding protein 1 </t>
  </si>
  <si>
    <t xml:space="preserve">iron-sulfur cluster co-chaperone protein HscB, mitochondrial precursor </t>
  </si>
  <si>
    <t>corticosteroid 11-beta-dehydrogenase isozyme 2</t>
  </si>
  <si>
    <t xml:space="preserve">3-hydroxyacyl-CoA dehydrogenase type-2 </t>
  </si>
  <si>
    <t>estradiol 17-beta-dehydrogenase 11 precursor</t>
  </si>
  <si>
    <t xml:space="preserve">estradiol 17-beta-dehydrogenase 12 </t>
  </si>
  <si>
    <t>17-beta-hydroxysteroid dehydrogenase 13 isoform 2 precursor</t>
  </si>
  <si>
    <t>17-beta-hydroxysteroid dehydrogenase 13 isoform 1 precursor</t>
  </si>
  <si>
    <t xml:space="preserve">dehydrogenase/reductase (SDR family) member 10 </t>
  </si>
  <si>
    <t xml:space="preserve">peroxisomal multifunctional enzyme type 2 </t>
  </si>
  <si>
    <t>3-keto-steroid reductase</t>
  </si>
  <si>
    <t xml:space="preserve">inactive hydroxysteroid dehydrogenase-like protein 1 </t>
  </si>
  <si>
    <t>hydroxysteroid dehydrogenase-like protein 2</t>
  </si>
  <si>
    <t xml:space="preserve">heat shock protein HSP 90-alpha </t>
  </si>
  <si>
    <t xml:space="preserve">heat shock protein HSP 90-beta </t>
  </si>
  <si>
    <t>endoplasmin precursor</t>
  </si>
  <si>
    <t xml:space="preserve">heat shock 70 kDa protein 13 precursor </t>
  </si>
  <si>
    <t>heat shock 70 kDa protein 14 isoform 1</t>
  </si>
  <si>
    <t>heat shock 70 kDa protein 1A</t>
  </si>
  <si>
    <t>heat shock 70 kDa protein 1B</t>
  </si>
  <si>
    <t>heat shock 70 kDa protein 1-like</t>
  </si>
  <si>
    <t>heat shock-related 70 kDa protein 2</t>
  </si>
  <si>
    <t>heat shock 70 kDa protein 4</t>
  </si>
  <si>
    <t>heat shock 70 kDa protein 4L</t>
  </si>
  <si>
    <t xml:space="preserve">78 kDa glucose-regulated protein precursor </t>
  </si>
  <si>
    <t>heat shock cognate 71 kDa protein</t>
  </si>
  <si>
    <t xml:space="preserve">stress-70 protein, mitochondrial </t>
  </si>
  <si>
    <t>heat shock protein beta-1</t>
  </si>
  <si>
    <t>heat shock protein beta-11</t>
  </si>
  <si>
    <t xml:space="preserve">HSPB1-associated protein 1 </t>
  </si>
  <si>
    <t xml:space="preserve">hsp70-binding protein 1 </t>
  </si>
  <si>
    <t>60 kDa heat shock protein, mitochondrial</t>
  </si>
  <si>
    <t>10 kDa heat shock protein, mitochondrial</t>
  </si>
  <si>
    <t>basement membrane-specific heparan sulfate proteoglycan core protein precursor</t>
  </si>
  <si>
    <t xml:space="preserve">heat shock protein 105 kDa </t>
  </si>
  <si>
    <t xml:space="preserve">oxidoreductase HTATIP2 isoform a precursor </t>
  </si>
  <si>
    <t>oxidoreductase HTATIP2 isoform b</t>
  </si>
  <si>
    <t xml:space="preserve">HIV Tat-specific factor 1 homolog </t>
  </si>
  <si>
    <t xml:space="preserve">5-hydroxytryptamine receptor 6 </t>
  </si>
  <si>
    <t>serine protease HTRA1 precursor</t>
  </si>
  <si>
    <t>serine protease HTRA2, mitochondrial</t>
  </si>
  <si>
    <t xml:space="preserve">huntingtin </t>
  </si>
  <si>
    <t xml:space="preserve">checkpoint protein HUS1 </t>
  </si>
  <si>
    <t>E3 ubiquitin-protein ligase HUWE1</t>
  </si>
  <si>
    <t xml:space="preserve">hyaluronidase-4 </t>
  </si>
  <si>
    <t>hydrocephalus-inducing protein</t>
  </si>
  <si>
    <t xml:space="preserve">hypoxia up-regulated protein 1 precursor </t>
  </si>
  <si>
    <t xml:space="preserve">huntingtin-interacting protein K </t>
  </si>
  <si>
    <t>interferon-induced protein with tetratricopeptide repeats 3-like</t>
  </si>
  <si>
    <t xml:space="preserve">isoamyl acetate-hydrolyzing esterase 1 homolog </t>
  </si>
  <si>
    <t xml:space="preserve">isoleucine--tRNA ligase, cytoplasmic </t>
  </si>
  <si>
    <t>isoleucine--tRNA ligase, mitochondrial precursor</t>
  </si>
  <si>
    <t xml:space="preserve">inhibitor of Bruton tyrosine kinase </t>
  </si>
  <si>
    <t xml:space="preserve">serine/threonine-protein kinase ICK </t>
  </si>
  <si>
    <t xml:space="preserve">ICOS ligand precursor </t>
  </si>
  <si>
    <t>peptidyl-tRNA hydrolase ICT1, mitochondrial</t>
  </si>
  <si>
    <t>insulin-degrading enzyme</t>
  </si>
  <si>
    <t>isocitrate dehydrogenase [NADP] cytoplasmic</t>
  </si>
  <si>
    <t xml:space="preserve">isocitrate dehydrogenase [NADP], mitochondrial precursor </t>
  </si>
  <si>
    <t xml:space="preserve">isocitrate dehydrogenase [NAD] subunit alpha, mitochondrial precursor </t>
  </si>
  <si>
    <t xml:space="preserve">isocitrate dehydrogenase 3, beta subunit </t>
  </si>
  <si>
    <t>isocitrate dehydrogenase [NAD] subunit gamma 1, mitochondrial precursor</t>
  </si>
  <si>
    <t xml:space="preserve">isopentenyl-diphosphate Delta-isomerase 1 </t>
  </si>
  <si>
    <t xml:space="preserve">indoleamine 2,3-dioxygenase 2 </t>
  </si>
  <si>
    <t xml:space="preserve">immediate early response 3-interacting protein 1 precursor </t>
  </si>
  <si>
    <t xml:space="preserve">interferon-activable protein 204 </t>
  </si>
  <si>
    <t xml:space="preserve">gamma-interferon-inducible lysosomal thiol reductase precursor </t>
  </si>
  <si>
    <t xml:space="preserve">interferon-induced 35 kDa protein homolog </t>
  </si>
  <si>
    <t xml:space="preserve">interferon gamma inducible protein 47 </t>
  </si>
  <si>
    <t>interferon-induced helicase C domain-containing protein 1 isoform 1</t>
  </si>
  <si>
    <t>interferon-induced helicase C domain-containing protein 1 isoform 2</t>
  </si>
  <si>
    <t>interferon-induced protein with tetratricopeptide repeats 1</t>
  </si>
  <si>
    <t>interferon-induced protein with tetratricopeptide repeats 2</t>
  </si>
  <si>
    <t>interferon-induced protein with tetratricopeptide repeats 3</t>
  </si>
  <si>
    <t>interferon-induced transmembrane protein 2</t>
  </si>
  <si>
    <t>interferon-induced transmembrane protein 3</t>
  </si>
  <si>
    <t>interferon-related developmental regulator 1</t>
  </si>
  <si>
    <t xml:space="preserve">intraflagellar transport protein 122 homolog isoform 1 </t>
  </si>
  <si>
    <t xml:space="preserve">intraflagellar transport protein 122 homolog isoform 2 </t>
  </si>
  <si>
    <t xml:space="preserve">intraflagellar transport 140 </t>
  </si>
  <si>
    <t xml:space="preserve">intraflagellar transport protein 172 homolog </t>
  </si>
  <si>
    <t xml:space="preserve">intraflagellar transport protein 20 homolog </t>
  </si>
  <si>
    <t xml:space="preserve">intraflagellar transport protein 27 homolog </t>
  </si>
  <si>
    <t xml:space="preserve">intraflagellar transport protein 52 homolog </t>
  </si>
  <si>
    <t xml:space="preserve">intraflagellar transport protein 80 homolog </t>
  </si>
  <si>
    <t xml:space="preserve">intraflagellar transport protein 81 homolog </t>
  </si>
  <si>
    <t xml:space="preserve">immunoglobulin-binding protein 1 </t>
  </si>
  <si>
    <t xml:space="preserve">immunoglobulin-binding protein 1b </t>
  </si>
  <si>
    <t>insulin-like growth factor 1 receptor precursor</t>
  </si>
  <si>
    <t xml:space="preserve">insulin-like growth factor 2 mRNA-binding protein 1 </t>
  </si>
  <si>
    <t xml:space="preserve">insulin-like growth factor 2 mRNA-binding protein 2 </t>
  </si>
  <si>
    <t xml:space="preserve">insulin-like growth factor 2 mRNA-binding protein 3 </t>
  </si>
  <si>
    <t>cation-independent mannose-6-phosphate receptor precursor</t>
  </si>
  <si>
    <t>insulin-like growth factor-binding protein 7 isoform 2 precursor</t>
  </si>
  <si>
    <t>insulin-like growth factor-binding protein 7 isoform 1 precursor</t>
  </si>
  <si>
    <t xml:space="preserve">DNA-binding protein SMUBP-2 </t>
  </si>
  <si>
    <t xml:space="preserve">immunoglobulin superfamily member 1 isoform 3 precursor </t>
  </si>
  <si>
    <t xml:space="preserve">immunoglobulin superfamily member 1 isoform short precursor </t>
  </si>
  <si>
    <t xml:space="preserve">immunoglobulin superfamily member 1 isoform long precursor </t>
  </si>
  <si>
    <t>interferon gamma induced GTPase</t>
  </si>
  <si>
    <t>elongator complex protein 1</t>
  </si>
  <si>
    <t>inhibitor of nuclear factor kappa-B kinase subunit beta isoform 1</t>
  </si>
  <si>
    <t>inhibitor of nuclear factor kappa-B kinase subunit beta isoform 2</t>
  </si>
  <si>
    <t xml:space="preserve">NF-kappa-B essential modulator isoform 3 </t>
  </si>
  <si>
    <t xml:space="preserve">NF-kappa-B essential modulator isoform 4 </t>
  </si>
  <si>
    <t xml:space="preserve">NF-kappa-B essential modulator isoform 5 </t>
  </si>
  <si>
    <t xml:space="preserve">NF-kappa-B essential modulator isoform 1 </t>
  </si>
  <si>
    <t xml:space="preserve">NF-kappa-B essential modulator isoform 2 </t>
  </si>
  <si>
    <t xml:space="preserve">interleukin-10 receptor subunit beta precursor </t>
  </si>
  <si>
    <t xml:space="preserve">interleukin-18 receptor accessory protein precursor </t>
  </si>
  <si>
    <t>interleukin-1 receptor antagonist protein isoform 1</t>
  </si>
  <si>
    <t>interleukin-1 receptor antagonist protein isoform 3</t>
  </si>
  <si>
    <t xml:space="preserve">interleukin-1 receptor antagonist protein isoform 2 precursor </t>
  </si>
  <si>
    <t>interleukin enhancer-binding factor 2</t>
  </si>
  <si>
    <t>interleukin enhancer-binding factor 3 isoform 1</t>
  </si>
  <si>
    <t>interleukin enhancer-binding factor 3 isoform 5</t>
  </si>
  <si>
    <t>interleukin enhancer-binding factor 3 isoform 2</t>
  </si>
  <si>
    <t>interleukin enhancer-binding factor 3 isoform 3</t>
  </si>
  <si>
    <t>interleukin enhancer-binding factor 3 isoform 4</t>
  </si>
  <si>
    <t xml:space="preserve">integrin-linked protein kinase </t>
  </si>
  <si>
    <t xml:space="preserve">integrin-linked kinase-associated serine/threonine phosphatase 2C </t>
  </si>
  <si>
    <t xml:space="preserve">acetolactate synthase-like protein </t>
  </si>
  <si>
    <t>mitochondrial inner membrane protein isoform 2</t>
  </si>
  <si>
    <t>mitochondrial inner membrane protein isoform 3</t>
  </si>
  <si>
    <t>mitochondrial inner membrane protein isoform 4</t>
  </si>
  <si>
    <t>mitochondrial inner membrane protein isoform 5</t>
  </si>
  <si>
    <t>mitochondrial inner membrane protein isoform 6</t>
  </si>
  <si>
    <t>mitochondrial inner membrane protein isoform 1</t>
  </si>
  <si>
    <t>U3 small nucleolar ribonucleoprotein protein IMP3</t>
  </si>
  <si>
    <t xml:space="preserve">inositol monophosphatase 1 </t>
  </si>
  <si>
    <t xml:space="preserve">inositol monophosphatase 2 </t>
  </si>
  <si>
    <t xml:space="preserve">inositol monophosphatase 3 </t>
  </si>
  <si>
    <t xml:space="preserve">inosine-5'-monophosphate dehydrogenase 1 </t>
  </si>
  <si>
    <t xml:space="preserve">inosine-5'-monophosphate dehydrogenase 2 </t>
  </si>
  <si>
    <t>inaD-like protein isoform 4</t>
  </si>
  <si>
    <t>inaD-like protein isoform 2</t>
  </si>
  <si>
    <t>inaD-like protein isoform 3</t>
  </si>
  <si>
    <t>inaD-like protein isoform 1</t>
  </si>
  <si>
    <t>inverted formin-2</t>
  </si>
  <si>
    <t>indolethylamine N-methyltransferase</t>
  </si>
  <si>
    <t xml:space="preserve">inositol polyphosphate 1-phosphatase </t>
  </si>
  <si>
    <t>phosphatidylinositol 3,4,5-trisphosphate 5-phosphatase 1 isoform 1</t>
  </si>
  <si>
    <t>phosphatidylinositol 3,4,5-trisphosphate 5-phosphatase 1 isoform 2</t>
  </si>
  <si>
    <t>phosphatidylinositol 3,4,5-trisphosphate 5-phosphatase 1 isoform 3</t>
  </si>
  <si>
    <t>phosphatidylinositol 3,4,5-trisphosphate 5-phosphatase 2</t>
  </si>
  <si>
    <t xml:space="preserve">insulin receptor precursor </t>
  </si>
  <si>
    <t>insulin receptor-related protein precursor</t>
  </si>
  <si>
    <t>integrator complex subunit 1</t>
  </si>
  <si>
    <t>integrator complex subunit 12</t>
  </si>
  <si>
    <t>integrator complex subunit 3</t>
  </si>
  <si>
    <t>integrator complex subunit 4</t>
  </si>
  <si>
    <t>integrator complex subunit 5</t>
  </si>
  <si>
    <t>integrator complex subunit 7</t>
  </si>
  <si>
    <t>integrator complex subunit 9 isoform 1</t>
  </si>
  <si>
    <t>integrator complex subunit 9 isoform 2</t>
  </si>
  <si>
    <t xml:space="preserve">inversin </t>
  </si>
  <si>
    <t xml:space="preserve">importin-11 </t>
  </si>
  <si>
    <t xml:space="preserve">importin-4 </t>
  </si>
  <si>
    <t xml:space="preserve">importin-5 </t>
  </si>
  <si>
    <t xml:space="preserve">importin-7 </t>
  </si>
  <si>
    <t xml:space="preserve">importin-8 </t>
  </si>
  <si>
    <t xml:space="preserve">importin-9 </t>
  </si>
  <si>
    <t>ras GTPase-activating-like protein IQGAP1</t>
  </si>
  <si>
    <t>ras GTPase-activating-like protein IQGAP2</t>
  </si>
  <si>
    <t xml:space="preserve">IQ motif containing GTPase activating protein 3 </t>
  </si>
  <si>
    <t>interleukin-1 receptor-associated kinase 4</t>
  </si>
  <si>
    <t>iron-responsive element-binding protein 2</t>
  </si>
  <si>
    <t>interferon regulatory factor 2-binding protein 1</t>
  </si>
  <si>
    <t>interferon regulatory factor 2-binding protein 2</t>
  </si>
  <si>
    <t xml:space="preserve">interferon regulatory factor 2-binding protein-like </t>
  </si>
  <si>
    <t>interferon regulatory factor 3</t>
  </si>
  <si>
    <t>interferon regulatory factor 6</t>
  </si>
  <si>
    <t xml:space="preserve">interferon-inducible GTPase 5 </t>
  </si>
  <si>
    <t>immunity-related GTPase family M protein 1</t>
  </si>
  <si>
    <t xml:space="preserve">immunity-related GTPase family Q protein </t>
  </si>
  <si>
    <t xml:space="preserve">iron-sulfur cluster assembly 1 homolog, mitochondrial precursor </t>
  </si>
  <si>
    <t xml:space="preserve">iron-sulfur cluster assembly 2 homolog, mitochondrial precursor </t>
  </si>
  <si>
    <t xml:space="preserve">iron-sulfur cluster assembly enzyme ISCU, mitochondrial precursor </t>
  </si>
  <si>
    <t>ubiquitin-like protein ISG15 precursor</t>
  </si>
  <si>
    <t xml:space="preserve">interferon-stimulated gene 20 kDa protein </t>
  </si>
  <si>
    <t xml:space="preserve">interferon-stimulated 20 kDa exonuclease-like 2 </t>
  </si>
  <si>
    <t>isochorismatase domain-containing protein 1</t>
  </si>
  <si>
    <t>isochorismatase domain-containing protein 2A, mitochondrial precursor</t>
  </si>
  <si>
    <t>IST1 homolog</t>
  </si>
  <si>
    <t>pre-mRNA-splicing factor ISY1 homolog</t>
  </si>
  <si>
    <t xml:space="preserve">inositol-3-phosphate synthase 1 </t>
  </si>
  <si>
    <t>E3 ubiquitin-protein ligase Itchy</t>
  </si>
  <si>
    <t>T-cell immunomodulatory protein precursor</t>
  </si>
  <si>
    <t xml:space="preserve">integrin-alpha FG-GAP repeat-containing protein 2 </t>
  </si>
  <si>
    <t>protein ITFG3</t>
  </si>
  <si>
    <t xml:space="preserve">integrin alpha-1 precursor </t>
  </si>
  <si>
    <t xml:space="preserve">integrin alpha-2 precursor </t>
  </si>
  <si>
    <t xml:space="preserve">integrin alpha-3 precursor </t>
  </si>
  <si>
    <t xml:space="preserve">integrin alpha-5 preproprotein </t>
  </si>
  <si>
    <t xml:space="preserve">integrin alpha-6 isoform 2 precursor </t>
  </si>
  <si>
    <t xml:space="preserve">integrin alpha-6 isoform 1 precursor </t>
  </si>
  <si>
    <t>integrin alpha-D</t>
  </si>
  <si>
    <t xml:space="preserve">integrin alpha-V precursor </t>
  </si>
  <si>
    <t xml:space="preserve">integrin beta-1 precursor </t>
  </si>
  <si>
    <t>integrin beta-1-binding protein 1</t>
  </si>
  <si>
    <t xml:space="preserve">integrin beta-2 precursor </t>
  </si>
  <si>
    <t xml:space="preserve">integrin beta-4 isoform 1 precursor </t>
  </si>
  <si>
    <t xml:space="preserve">integrin beta-4 isoform 2 precursor </t>
  </si>
  <si>
    <t xml:space="preserve">integrin beta-5 isoform 2 precursor </t>
  </si>
  <si>
    <t xml:space="preserve">integrin beta-5 isoform 1 precursor </t>
  </si>
  <si>
    <t xml:space="preserve">integrin beta-6 precursor </t>
  </si>
  <si>
    <t xml:space="preserve">integrin beta-7 precursor </t>
  </si>
  <si>
    <t>integral membrane protein 2B</t>
  </si>
  <si>
    <t>integral membrane protein 2C</t>
  </si>
  <si>
    <t xml:space="preserve">inosine triphosphate pyrophosphatase </t>
  </si>
  <si>
    <t>inositol-tetrakisphosphate 1-kinase</t>
  </si>
  <si>
    <t xml:space="preserve">inositol 1,4,5-trisphosphate receptor type 1 </t>
  </si>
  <si>
    <t xml:space="preserve">inositol 1,4,5-trisphosphate receptor type 2 isoform 2 </t>
  </si>
  <si>
    <t xml:space="preserve">inositol 1,4,5-trisphosphate receptor type 2 isoform 1 </t>
  </si>
  <si>
    <t xml:space="preserve">inositol 1,4,5-trisphosphate receptor type 3 </t>
  </si>
  <si>
    <t xml:space="preserve">intersectin-1 isoform 2 </t>
  </si>
  <si>
    <t xml:space="preserve">intersectin-1 isoform 3 </t>
  </si>
  <si>
    <t xml:space="preserve">intersectin-1 isoform 1 </t>
  </si>
  <si>
    <t xml:space="preserve">intersectin-2 isoform 3 </t>
  </si>
  <si>
    <t xml:space="preserve">intersectin-2 isoform 1 </t>
  </si>
  <si>
    <t xml:space="preserve">intersectin-2 isoform 2 </t>
  </si>
  <si>
    <t>isovaleryl-CoA dehydrogenase, mitochondrial precursor</t>
  </si>
  <si>
    <t xml:space="preserve">involucrin </t>
  </si>
  <si>
    <t xml:space="preserve">influenza virus NS1A-binding protein homolog isoform 2 </t>
  </si>
  <si>
    <t xml:space="preserve">influenza virus NS1A-binding protein homolog isoform 1 </t>
  </si>
  <si>
    <t xml:space="preserve">influenza virus NS1A-binding protein homolog isoform 3 </t>
  </si>
  <si>
    <t xml:space="preserve">protein IWS1 homolog </t>
  </si>
  <si>
    <t>protein jagunal homolog 1 isoform 3</t>
  </si>
  <si>
    <t>protein jagunal homolog 1 isoform 1</t>
  </si>
  <si>
    <t>protein jagunal homolog 1 isoform 2</t>
  </si>
  <si>
    <t xml:space="preserve">tyrosine-protein kinase JAK1 </t>
  </si>
  <si>
    <t xml:space="preserve">tyrosine-protein kinase JAK2 </t>
  </si>
  <si>
    <t>janus kinase and microtubule-interacting protein 3</t>
  </si>
  <si>
    <t>protein Jumonji</t>
  </si>
  <si>
    <t xml:space="preserve">probable JmjC domain-containing histone demethylation protein 2C isoform 1 </t>
  </si>
  <si>
    <t xml:space="preserve">probable JmjC domain-containing histone demethylation protein 2C isoform 2 </t>
  </si>
  <si>
    <t>jmjC domain-containing protein 7</t>
  </si>
  <si>
    <t xml:space="preserve">Josephin-2 </t>
  </si>
  <si>
    <t xml:space="preserve">protein JTB precursor </t>
  </si>
  <si>
    <t xml:space="preserve">transcription factor jun-D </t>
  </si>
  <si>
    <t>junction plakoglobin</t>
  </si>
  <si>
    <t xml:space="preserve">kalirin isoform 2 </t>
  </si>
  <si>
    <t xml:space="preserve">kalirin isoform 1 </t>
  </si>
  <si>
    <t>KN motif and ankyrin repeat domain-containing protein 1</t>
  </si>
  <si>
    <t>lysine--tRNA ligase isoform 2</t>
  </si>
  <si>
    <t>lysine--tRNA ligase isoform 1</t>
  </si>
  <si>
    <t xml:space="preserve">histone acetyltransferase KAT6A </t>
  </si>
  <si>
    <t>katanin p60 ATPase-containing subunit A-like 2</t>
  </si>
  <si>
    <t>katanin p80 WD40 repeat-containing subunit B1</t>
  </si>
  <si>
    <t>kelch repeat and BTB (POZ) domain containing 2</t>
  </si>
  <si>
    <t xml:space="preserve">kelch repeat and BTB domain-containing protein 3 </t>
  </si>
  <si>
    <t>E3 ubiquitin-protein ligase KCMF1</t>
  </si>
  <si>
    <t xml:space="preserve">voltage-gated potassium channel subunit beta-2 isoform 2 </t>
  </si>
  <si>
    <t xml:space="preserve">voltage-gated potassium channel subunit beta-2 isoform 1 </t>
  </si>
  <si>
    <t xml:space="preserve">potassium voltage-gated channel subfamily G member 4 </t>
  </si>
  <si>
    <t>potassium channel subfamily K member 12</t>
  </si>
  <si>
    <t xml:space="preserve">BTB/POZ domain-containing adapter for CUL3-mediated RhoA degradation protein 1 </t>
  </si>
  <si>
    <t>BTB/POZ domain-containing protein KCTD7</t>
  </si>
  <si>
    <t xml:space="preserve">KDEL motif-containing protein 1 precursor </t>
  </si>
  <si>
    <t>KDEL (Lys-Asp-Glu-Leu) containing 2 protein precursor</t>
  </si>
  <si>
    <t>ER lumen protein retaining receptor 1</t>
  </si>
  <si>
    <t>ER lumen protein retaining receptor 2</t>
  </si>
  <si>
    <t>lysine-specific histone demethylase 1A</t>
  </si>
  <si>
    <t>lysine-specific histone demethylase 1B</t>
  </si>
  <si>
    <t xml:space="preserve">lysine-specific demethylase 3B </t>
  </si>
  <si>
    <t xml:space="preserve">lysine-specific demethylase 5C </t>
  </si>
  <si>
    <t xml:space="preserve">vascular endothelial growth factor receptor 2 precursor </t>
  </si>
  <si>
    <t xml:space="preserve">3-ketodihydrosphingosine reductase precursor </t>
  </si>
  <si>
    <t>kelch-like ECH-associated protein 1</t>
  </si>
  <si>
    <t xml:space="preserve">KH domain-containing, RNA-binding, signal transduction-associated protein 1 </t>
  </si>
  <si>
    <t xml:space="preserve">KH domain-containing, RNA-binding, signal transduction-associated protein 2 </t>
  </si>
  <si>
    <t xml:space="preserve">KH domain-containing, RNA-binding, signal transduction-associated protein 3 </t>
  </si>
  <si>
    <t xml:space="preserve">ketohexokinase </t>
  </si>
  <si>
    <t xml:space="preserve">far upstream element-binding protein 2 </t>
  </si>
  <si>
    <t>kinase D-interacting substrate of 220 kDa</t>
  </si>
  <si>
    <t xml:space="preserve">kinesin-like protein KIF11 </t>
  </si>
  <si>
    <t xml:space="preserve">kinesin-like protein KIF13A </t>
  </si>
  <si>
    <t xml:space="preserve">kinesin-like protein KIF13B </t>
  </si>
  <si>
    <t xml:space="preserve">kinesin-like protein KIF14 </t>
  </si>
  <si>
    <t xml:space="preserve">kinesin-like protein KIF15 </t>
  </si>
  <si>
    <t xml:space="preserve">kinesin-like protein KIF16B </t>
  </si>
  <si>
    <t xml:space="preserve">kinesin-like protein KIF17 isoform 1 </t>
  </si>
  <si>
    <t xml:space="preserve">kinesin-like protein KIF17 isoform 2 </t>
  </si>
  <si>
    <t xml:space="preserve">kinesin-like protein KIF1A isoform b </t>
  </si>
  <si>
    <t xml:space="preserve">kinesin-like protein KIF1A isoform a </t>
  </si>
  <si>
    <t xml:space="preserve">kinesin-like protein KIF1B isoform a </t>
  </si>
  <si>
    <t xml:space="preserve">kinesin-like protein KIF1B isoform b </t>
  </si>
  <si>
    <t xml:space="preserve">kinesin-like protein KIF1C </t>
  </si>
  <si>
    <t xml:space="preserve">kinesin-like protein KIF21A isoform 3 </t>
  </si>
  <si>
    <t xml:space="preserve">kinesin-like protein KIF21A isoform 1 </t>
  </si>
  <si>
    <t xml:space="preserve">kinesin-like protein KIF21A isoform 2 </t>
  </si>
  <si>
    <t xml:space="preserve">kinesin-like protein KIF21A isoform 4 </t>
  </si>
  <si>
    <t xml:space="preserve">kinesin-like protein KIF22 </t>
  </si>
  <si>
    <t xml:space="preserve">kinesin-like protein KIF27 </t>
  </si>
  <si>
    <t xml:space="preserve">kinesin-like protein KIF2A isoform 1 </t>
  </si>
  <si>
    <t xml:space="preserve">kinesin-like protein KIF2A isoform 2 </t>
  </si>
  <si>
    <t xml:space="preserve">kinesin-like protein KIF2B </t>
  </si>
  <si>
    <t xml:space="preserve">kinesin-like protein KIF3A </t>
  </si>
  <si>
    <t xml:space="preserve">kinesin-like protein KIF3B </t>
  </si>
  <si>
    <t xml:space="preserve">kinesin-like protein KIF3C </t>
  </si>
  <si>
    <t xml:space="preserve">kinesin heavy chain isoform 5A </t>
  </si>
  <si>
    <t xml:space="preserve">kinesin-1 heavy chain </t>
  </si>
  <si>
    <t xml:space="preserve">kinesin heavy chain isoform 5C </t>
  </si>
  <si>
    <t xml:space="preserve">kinesin-like protein KIF9 isoform 2 </t>
  </si>
  <si>
    <t xml:space="preserve">kinesin-like protein KIF9 isoform 1 </t>
  </si>
  <si>
    <t xml:space="preserve">kinesin-like protein KIFC3 isoform a </t>
  </si>
  <si>
    <t xml:space="preserve">kinesin-like protein KIFC3 isoform b </t>
  </si>
  <si>
    <t xml:space="preserve">kinesin-like protein KIFC3 isoform c </t>
  </si>
  <si>
    <t xml:space="preserve">DNA/RNA-binding protein KIN17 </t>
  </si>
  <si>
    <t>kin of IRRE-like protein 1 precursor</t>
  </si>
  <si>
    <t>mast/stem cell growth factor receptor Kit isoform 2</t>
  </si>
  <si>
    <t>mast/stem cell growth factor receptor Kit isoform 1</t>
  </si>
  <si>
    <t>klotho precursor</t>
  </si>
  <si>
    <t>kinesin light chain 1 isoform 1D</t>
  </si>
  <si>
    <t>kinesin light chain 1 isoform 1A</t>
  </si>
  <si>
    <t>kinesin light chain 1 isoform 1H</t>
  </si>
  <si>
    <t>kinesin light chain 2</t>
  </si>
  <si>
    <t>kinesin light chain 3</t>
  </si>
  <si>
    <t>kinesin light chain 4</t>
  </si>
  <si>
    <t>kelch domain-containing protein 10</t>
  </si>
  <si>
    <t>kelch domain-containing protein 2</t>
  </si>
  <si>
    <t>kelch domain-containing protein 4</t>
  </si>
  <si>
    <t>kelch domain containing 7B</t>
  </si>
  <si>
    <t>kelch-like 15 isoform a</t>
  </si>
  <si>
    <t xml:space="preserve">kelch-like protein 22 </t>
  </si>
  <si>
    <t xml:space="preserve">kinetochore-associated protein 1 </t>
  </si>
  <si>
    <t xml:space="preserve">importin subunit alpha-1 </t>
  </si>
  <si>
    <t xml:space="preserve">importin subunit alpha-3 </t>
  </si>
  <si>
    <t xml:space="preserve">importin subunit alpha-7 </t>
  </si>
  <si>
    <t xml:space="preserve">importin subunit beta-1 </t>
  </si>
  <si>
    <t xml:space="preserve">kaptin </t>
  </si>
  <si>
    <t>GTPase KRas</t>
  </si>
  <si>
    <t xml:space="preserve">krev interaction trapped protein 1 isoform 2 </t>
  </si>
  <si>
    <t xml:space="preserve">krev interaction trapped protein 1 isoform 1 </t>
  </si>
  <si>
    <t>KRR1 small subunit processome component homolog</t>
  </si>
  <si>
    <t xml:space="preserve">protein KTI12 homolog </t>
  </si>
  <si>
    <t xml:space="preserve">kinectin </t>
  </si>
  <si>
    <t>neural cell adhesion molecule L1 precursor</t>
  </si>
  <si>
    <t>L-2-hydroxyglutarate dehydrogenase, mitochondrial precursor</t>
  </si>
  <si>
    <t>protein Hikeshi</t>
  </si>
  <si>
    <t>lactation elevated protein 1</t>
  </si>
  <si>
    <t>serine beta-lactamase-like protein LACTB, mitochondrial precursor</t>
  </si>
  <si>
    <t xml:space="preserve">beta-lactamase-like protein 2 </t>
  </si>
  <si>
    <t xml:space="preserve">ladinin-1 </t>
  </si>
  <si>
    <t xml:space="preserve">L antigen family member 3 </t>
  </si>
  <si>
    <t>laminin subunit alpha-5 precursor</t>
  </si>
  <si>
    <t xml:space="preserve">laminin subunit beta-1 </t>
  </si>
  <si>
    <t>laminin subunit beta-2 precursor</t>
  </si>
  <si>
    <t>laminin subunit gamma-1 precursor</t>
  </si>
  <si>
    <t>laminin subunit gamma-2 precursor</t>
  </si>
  <si>
    <t xml:space="preserve">lysosome-associated membrane glycoprotein 1 precursor </t>
  </si>
  <si>
    <t>lysosome-associated membrane glycoprotein 2 isoform 2</t>
  </si>
  <si>
    <t xml:space="preserve">lysosome-associated membrane glycoprotein 2 isoform 1 precursor </t>
  </si>
  <si>
    <t>ragulator complex protein LAMTOR1</t>
  </si>
  <si>
    <t>ragulator complex protein LAMTOR2</t>
  </si>
  <si>
    <t>ragulator complex protein LAMTOR3</t>
  </si>
  <si>
    <t>hepatitis B virus X-interacting protein homolog</t>
  </si>
  <si>
    <t xml:space="preserve">lanC-like protein 1 </t>
  </si>
  <si>
    <t xml:space="preserve">lanC-like protein 2 </t>
  </si>
  <si>
    <t>cytosol aminopeptidase</t>
  </si>
  <si>
    <t>lysosomal-associated transmembrane protein 4A</t>
  </si>
  <si>
    <t xml:space="preserve">la-related protein 1 </t>
  </si>
  <si>
    <t xml:space="preserve">la-related protein 4 isoform 2 </t>
  </si>
  <si>
    <t xml:space="preserve">la-related protein 4 isoform 1 </t>
  </si>
  <si>
    <t xml:space="preserve">la-related protein 4B </t>
  </si>
  <si>
    <t xml:space="preserve">la-related protein 7 </t>
  </si>
  <si>
    <t xml:space="preserve">leucine--tRNA ligase, cytoplasmic </t>
  </si>
  <si>
    <t>probable leucine--tRNA ligase, mitochondrial</t>
  </si>
  <si>
    <t>ribosomal biogenesis protein LAS1L</t>
  </si>
  <si>
    <t>LIM and SH3 domain protein 1</t>
  </si>
  <si>
    <t>lamin-B receptor</t>
  </si>
  <si>
    <t>proto-oncogene tyrosine-protein kinase LCK isoform a</t>
  </si>
  <si>
    <t>proto-oncogene tyrosine-protein kinase LCK isoform b</t>
  </si>
  <si>
    <t xml:space="preserve">lysocardiolipin acyltransferase 1 </t>
  </si>
  <si>
    <t>leucine carboxyl methyltransferase 1</t>
  </si>
  <si>
    <t>neutrophil gelatinase-associated lipocalin precursor</t>
  </si>
  <si>
    <t xml:space="preserve">plastin-2 </t>
  </si>
  <si>
    <t>L-lactate dehydrogenase A chain isoform 2</t>
  </si>
  <si>
    <t>L-lactate dehydrogenase A chain isoform 1</t>
  </si>
  <si>
    <t>L-lactate dehydrogenase A-like 6B</t>
  </si>
  <si>
    <t>L-lactate dehydrogenase B chain</t>
  </si>
  <si>
    <t>L-lactate dehydrogenase C chain</t>
  </si>
  <si>
    <t>probable D-lactate dehydrogenase, mitochondrial</t>
  </si>
  <si>
    <t>low-density lipoprotein receptor isoform 1 precursor</t>
  </si>
  <si>
    <t xml:space="preserve">low-density lipoprotein receptor isoform 2 </t>
  </si>
  <si>
    <t xml:space="preserve">low-density lipoprotein receptor isoform 3 presursor precursor </t>
  </si>
  <si>
    <t xml:space="preserve">low density lipoprotein receptor adapter protein 1 </t>
  </si>
  <si>
    <t>leukocyte cell-derived chemotaxin 1</t>
  </si>
  <si>
    <t xml:space="preserve">inner nuclear membrane protein Man1 </t>
  </si>
  <si>
    <t>RNA polymerase-associated protein LEO1</t>
  </si>
  <si>
    <t>leptin receptor gene-related protein</t>
  </si>
  <si>
    <t xml:space="preserve">leptin receptor overlapping transcript-like 1 </t>
  </si>
  <si>
    <t>LETM1 and EF-hand domain-containing protein 1, mitochondrial precursor</t>
  </si>
  <si>
    <t xml:space="preserve">galectin-1 </t>
  </si>
  <si>
    <t xml:space="preserve">galectin-12 </t>
  </si>
  <si>
    <t xml:space="preserve">galectin-3 </t>
  </si>
  <si>
    <t xml:space="preserve">galectin-8 </t>
  </si>
  <si>
    <t xml:space="preserve">galectin-9 isoform 1 </t>
  </si>
  <si>
    <t xml:space="preserve">galectin-9 isoform 2 </t>
  </si>
  <si>
    <t xml:space="preserve">galectin-related protein A </t>
  </si>
  <si>
    <t>legumain precursor</t>
  </si>
  <si>
    <t>lipoyl synthase, mitochondrial precursor</t>
  </si>
  <si>
    <t xml:space="preserve">DNA ligase 1 </t>
  </si>
  <si>
    <t>LIM domain and actin-binding protein 1 isoform b</t>
  </si>
  <si>
    <t>LIM domain and actin-binding protein 1 isoform a</t>
  </si>
  <si>
    <t>LIM domain-containing protein 1</t>
  </si>
  <si>
    <t>LIM domain kinase 2 isoform a</t>
  </si>
  <si>
    <t>LIM domain kinase 2 isoform b</t>
  </si>
  <si>
    <t>LIM domain kinase 2 isoform c</t>
  </si>
  <si>
    <t>LIM and senescent cell antigen-like-containing domain protein 1 isoform 2</t>
  </si>
  <si>
    <t>LIM and senescent cell antigen-like-containing domain protein 1 isoform 3</t>
  </si>
  <si>
    <t>LIM and senescent cell antigen-like-containing domain protein 1 isoform 1</t>
  </si>
  <si>
    <t>LIM and senescent cell antigen-like-containing domain protein 2</t>
  </si>
  <si>
    <t>protein lin-7 homolog A isoform 2</t>
  </si>
  <si>
    <t>protein lin-7 homolog A isoform 1</t>
  </si>
  <si>
    <t>protein lin-7 homolog B</t>
  </si>
  <si>
    <t>protein lin-7 homolog C</t>
  </si>
  <si>
    <t>lysosomal acid lipase/cholesteryl ester hydrolase precursor</t>
  </si>
  <si>
    <t>hormone-sensitive lipase isoform 1</t>
  </si>
  <si>
    <t>hormone-sensitive lipase isoform 2</t>
  </si>
  <si>
    <t>lethal(2) giant larvae protein homolog 1 isoform 3</t>
  </si>
  <si>
    <t>lethal(2) giant larvae protein homolog 1 isoform 1</t>
  </si>
  <si>
    <t>lethal(2) giant larvae protein homolog 1 isoform 2</t>
  </si>
  <si>
    <t>lethal(2) giant larvae protein homolog 2 isoform 1</t>
  </si>
  <si>
    <t>lethal(2) giant larvae protein homolog 2 isoform 2</t>
  </si>
  <si>
    <t xml:space="preserve">protein LLP homolog </t>
  </si>
  <si>
    <t xml:space="preserve">protein ERGIC-53 precursor </t>
  </si>
  <si>
    <t xml:space="preserve">vesicular integral-membrane protein VIP36 precursor </t>
  </si>
  <si>
    <t xml:space="preserve">VIP36-like protein precursor </t>
  </si>
  <si>
    <t>probable lysosomal cobalamin transporter</t>
  </si>
  <si>
    <t>lipase maturation factor 1</t>
  </si>
  <si>
    <t>lipase maturation factor 2</t>
  </si>
  <si>
    <t xml:space="preserve">prelamin-A/C isoform C2 </t>
  </si>
  <si>
    <t xml:space="preserve">prelamin-A/C isoform C </t>
  </si>
  <si>
    <t>prelamin-A/C isoform A precursor</t>
  </si>
  <si>
    <t xml:space="preserve">lamin-B1 </t>
  </si>
  <si>
    <t xml:space="preserve">lamin-B2 </t>
  </si>
  <si>
    <t>LIM domain only 7</t>
  </si>
  <si>
    <t>serine/threonine-protein kinase LMTK2 precursor</t>
  </si>
  <si>
    <t>leucyl-cystinyl aminopeptidase</t>
  </si>
  <si>
    <t>MHC class I family member precursor</t>
  </si>
  <si>
    <t xml:space="preserve">loss of heterozygosity 12 chromosomal region 1 protein homolog isoform 2 </t>
  </si>
  <si>
    <t xml:space="preserve">loss of heterozygosity 12 chromosomal region 1 protein homolog isoform 1 </t>
  </si>
  <si>
    <t xml:space="preserve">lon protease homolog, mitochondrial precursor </t>
  </si>
  <si>
    <t xml:space="preserve">lon protease homolog 2, peroxisomal isoform 1 </t>
  </si>
  <si>
    <t xml:space="preserve">lon protease homolog 2, peroxisomal isoform 2 </t>
  </si>
  <si>
    <t>lysophosphatidic acid receptor 2</t>
  </si>
  <si>
    <t xml:space="preserve">lysophosphatidylcholine acyltransferase 1 </t>
  </si>
  <si>
    <t xml:space="preserve">lysophosphatidylcholine acyltransferase 2 </t>
  </si>
  <si>
    <t xml:space="preserve">lysophospholipid acyltransferase 5 </t>
  </si>
  <si>
    <t xml:space="preserve">lysophospholipid acyltransferase LPCAT4 </t>
  </si>
  <si>
    <t xml:space="preserve">acyl-CoA:lysophosphatidylglycerol acyltransferase 1 isoform 1 </t>
  </si>
  <si>
    <t xml:space="preserve">acyl-CoA:lysophosphatidylglycerol acyltransferase 1 isoform 2 </t>
  </si>
  <si>
    <t>latrophilin-2 precursor</t>
  </si>
  <si>
    <t xml:space="preserve">lipoma-preferred partner homolog isoform 1 </t>
  </si>
  <si>
    <t xml:space="preserve">lipoma-preferred partner homolog isoform 2 </t>
  </si>
  <si>
    <t xml:space="preserve">lipopolysaccharide-responsive and beige-like anchor protein isoform gamma </t>
  </si>
  <si>
    <t xml:space="preserve">lipopolysaccharide-responsive and beige-like anchor protein isoform beta </t>
  </si>
  <si>
    <t xml:space="preserve">lipopolysaccharide-responsive and beige-like anchor protein isoform alpha </t>
  </si>
  <si>
    <t>leucine-rich repeat and calponin homology domain-containing protein 1 isoform 2</t>
  </si>
  <si>
    <t>leucine-rich repeat and calponin homology domain-containing protein 1 isoform 1</t>
  </si>
  <si>
    <t>leucine-rich repeat and calponin homology domain-containing protein 4 isoform 1</t>
  </si>
  <si>
    <t>leucine-rich repeat and calponin homology domain-containing protein 4 isoform 2</t>
  </si>
  <si>
    <t xml:space="preserve">leucine-rich repeat and guanylate kinase domain-containing protein </t>
  </si>
  <si>
    <t>prolow-density lipoprotein receptor-related protein 1 precursor</t>
  </si>
  <si>
    <t>low-density lipoprotein receptor-related protein 1B precursor</t>
  </si>
  <si>
    <t>low-density lipoprotein receptor-related protein 2 precursor</t>
  </si>
  <si>
    <t>low-density lipoprotein receptor-related protein 6 precursor</t>
  </si>
  <si>
    <t>alpha-2-macroglobulin receptor-associated protein precursor</t>
  </si>
  <si>
    <t>leucine-rich PPR motif-containing protein, mitochondrial precursor</t>
  </si>
  <si>
    <t>leucine-rich repeat-containing protein 1 isoform 2</t>
  </si>
  <si>
    <t>leucine-rich repeat-containing protein 1 isoform 1</t>
  </si>
  <si>
    <t>leucine-rich repeat-containing protein 14</t>
  </si>
  <si>
    <t>leucine-rich repeat-containing protein 16A</t>
  </si>
  <si>
    <t>leucine-rich repeat-containing protein 20</t>
  </si>
  <si>
    <t>leucine-rich repeat-containing protein 40</t>
  </si>
  <si>
    <t>leucine-rich repeat-containing protein 47</t>
  </si>
  <si>
    <t>leucine-rich repeat-containing protein 57 isoform b</t>
  </si>
  <si>
    <t>leucine-rich repeat-containing protein 57 isoform a</t>
  </si>
  <si>
    <t>leucine-rich repeat-containing protein 57 isoform c</t>
  </si>
  <si>
    <t>leucine-rich repeat-containing protein 58</t>
  </si>
  <si>
    <t>leucine-rich repeat-containing protein 59</t>
  </si>
  <si>
    <t>leucine-rich repeat-containing protein 63</t>
  </si>
  <si>
    <t>leucine-rich repeat-containing protein 7</t>
  </si>
  <si>
    <t>leucine-rich repeat-containing protein 8A</t>
  </si>
  <si>
    <t xml:space="preserve">leucine-rich repeat and coiled-coil domain-containing protein 1 isoform 3 </t>
  </si>
  <si>
    <t xml:space="preserve">leucine-rich repeat and coiled-coil domain-containing protein 1 isoform 1 </t>
  </si>
  <si>
    <t xml:space="preserve">leucine-rich repeat and coiled-coil domain-containing protein 1 isoform 2 </t>
  </si>
  <si>
    <t xml:space="preserve">leucine-rich repeat flightless-interacting protein 1 isoform 1 </t>
  </si>
  <si>
    <t xml:space="preserve">leucine-rich repeat flightless-interacting protein 1 isoform 3 </t>
  </si>
  <si>
    <t xml:space="preserve">leucine-rich repeat flightless-interacting protein 1 isoform 2 </t>
  </si>
  <si>
    <t xml:space="preserve">leucine-rich repeat flightless-interacting protein 2 isoform 2 </t>
  </si>
  <si>
    <t xml:space="preserve">leucine-rich repeat flightless-interacting protein 2 isoform 1 </t>
  </si>
  <si>
    <t xml:space="preserve">leucine-rich repeat serine/threonine-protein kinase 1 </t>
  </si>
  <si>
    <t xml:space="preserve">leucine-rich repeat serine/threonine-protein kinase 2 </t>
  </si>
  <si>
    <t xml:space="preserve">U6 snRNA-associated Sm-like protein LSm1 </t>
  </si>
  <si>
    <t xml:space="preserve">U7 snRNA-associated Sm-like protein LSm10 </t>
  </si>
  <si>
    <t xml:space="preserve">protein LSM12 homolog </t>
  </si>
  <si>
    <t>protein LSM14 homolog A</t>
  </si>
  <si>
    <t>protein LSM14 homolog B</t>
  </si>
  <si>
    <t xml:space="preserve">U6 snRNA-associated Sm-like protein LSm2 isoform 3 </t>
  </si>
  <si>
    <t xml:space="preserve">U6 snRNA-associated Sm-like protein LSm2 isoform 1 </t>
  </si>
  <si>
    <t xml:space="preserve">U6 snRNA-associated Sm-like protein LSm2 isoform 2 </t>
  </si>
  <si>
    <t xml:space="preserve">U6 snRNA-associated Sm-like protein LSm2 isoform 4 </t>
  </si>
  <si>
    <t xml:space="preserve">U6 snRNA-associated Sm-like protein LSm3 </t>
  </si>
  <si>
    <t xml:space="preserve">U6 snRNA-associated Sm-like protein LSm4 </t>
  </si>
  <si>
    <t xml:space="preserve">U6 snRNA-associated Sm-like protein LSm6 </t>
  </si>
  <si>
    <t xml:space="preserve">U6 snRNA-associated Sm-like protein LSm7 </t>
  </si>
  <si>
    <t>LSM domain-containing protein 1</t>
  </si>
  <si>
    <t>lipolysis-stimulated lipoprotein receptor isoform 2 precursor</t>
  </si>
  <si>
    <t>lipolysis-stimulated lipoprotein receptor isoform 3 precursor</t>
  </si>
  <si>
    <t>lipolysis-stimulated lipoprotein receptor isoform 1 precursor</t>
  </si>
  <si>
    <t>lanosterol synthase</t>
  </si>
  <si>
    <t xml:space="preserve">leukotriene A-4 hydrolase </t>
  </si>
  <si>
    <t>E3 ubiquitin-protein ligase listerin</t>
  </si>
  <si>
    <t xml:space="preserve">protein LTV1 homolog </t>
  </si>
  <si>
    <t xml:space="preserve">putative RNA-binding protein Luc7-like 1 isoform 2 </t>
  </si>
  <si>
    <t xml:space="preserve">putative RNA-binding protein Luc7-like 1 isoform 1 </t>
  </si>
  <si>
    <t xml:space="preserve">putative RNA-binding protein Luc7-like 2 isoform 1 </t>
  </si>
  <si>
    <t xml:space="preserve">putative RNA-binding protein Luc7-like 2 isoform 2 </t>
  </si>
  <si>
    <t xml:space="preserve">putative RNA-binding protein Luc7-like 2 isoform 3 </t>
  </si>
  <si>
    <t xml:space="preserve">luc7-like protein 3 </t>
  </si>
  <si>
    <t>leucine zipper protein 1</t>
  </si>
  <si>
    <t xml:space="preserve">latexin </t>
  </si>
  <si>
    <t>lymphocyte antigen 6E precursor</t>
  </si>
  <si>
    <t>lymphocyte antigen 75 precursor</t>
  </si>
  <si>
    <t>cell growth-regulating nucleolar protein</t>
  </si>
  <si>
    <t xml:space="preserve">tyrosine-protein kinase Lyn isoform B </t>
  </si>
  <si>
    <t xml:space="preserve">tyrosine-protein kinase Lyn isoform A </t>
  </si>
  <si>
    <t xml:space="preserve">acyl-protein thioesterase 1 </t>
  </si>
  <si>
    <t xml:space="preserve">acyl-protein thioesterase 2 </t>
  </si>
  <si>
    <t xml:space="preserve">lysophospholipase-like protein 1 </t>
  </si>
  <si>
    <t>LYR motif-containing protein 4</t>
  </si>
  <si>
    <t>LYR motif-containing protein 5</t>
  </si>
  <si>
    <t>lysosomal-trafficking regulator</t>
  </si>
  <si>
    <t>protein LZIC</t>
  </si>
  <si>
    <t>leucine zipper transcription factor-like protein 1</t>
  </si>
  <si>
    <t>leucine-zipper-like transcriptional regulator 1</t>
  </si>
  <si>
    <t>cation-dependent mannose-6-phosphate receptor precursor</t>
  </si>
  <si>
    <t>metastasis associated in colon cancer 1</t>
  </si>
  <si>
    <t>microtubule-actin cross-linking factor 1 isoform 1</t>
  </si>
  <si>
    <t>microtubule-actin cross-linking factor 1 isoform 2</t>
  </si>
  <si>
    <t xml:space="preserve">O-acetyl-ADP-ribose deacetylase MACROD1 </t>
  </si>
  <si>
    <t>mitotic spindle assembly checkpoint protein MAD1</t>
  </si>
  <si>
    <t>mitotic spindle assembly checkpoint protein MAD2A</t>
  </si>
  <si>
    <t xml:space="preserve">macrophage erythroblast attacher </t>
  </si>
  <si>
    <t xml:space="preserve">melanoma-associated antigen 10 </t>
  </si>
  <si>
    <t xml:space="preserve">melanoma-associated antigen D1 </t>
  </si>
  <si>
    <t xml:space="preserve">melanoma-associated antigen D2 </t>
  </si>
  <si>
    <t xml:space="preserve">membrane-associated guanylate kinase, WW and PDZ domain-containing protein 1 isoform d </t>
  </si>
  <si>
    <t xml:space="preserve">membrane-associated guanylate kinase, WW and PDZ domain-containing protein 1 isoform b </t>
  </si>
  <si>
    <t xml:space="preserve">membrane-associated guanylate kinase, WW and PDZ domain-containing protein 1 isoform a </t>
  </si>
  <si>
    <t xml:space="preserve">membrane-associated guanylate kinase, WW and PDZ domain-containing protein 1 isoform c </t>
  </si>
  <si>
    <t xml:space="preserve">membrane-associated guanylate kinase, WW and PDZ domain-containing protein 3 isoform 2 </t>
  </si>
  <si>
    <t xml:space="preserve">membrane-associated guanylate kinase, WW and PDZ domain-containing protein 3 isoform 1 </t>
  </si>
  <si>
    <t>protein mago nashi homolog</t>
  </si>
  <si>
    <t xml:space="preserve">protein mago nashi homolog 2 </t>
  </si>
  <si>
    <t>magnesium transporter protein 1</t>
  </si>
  <si>
    <t xml:space="preserve">serine/threonine-protein kinase MAK isoform 2 </t>
  </si>
  <si>
    <t xml:space="preserve">serine/threonine-protein kinase MAK isoform 3 </t>
  </si>
  <si>
    <t xml:space="preserve">serine/threonine-protein kinase MAK isoform 1 </t>
  </si>
  <si>
    <t>protein MAL2</t>
  </si>
  <si>
    <t>mitochondrial assembly of ribosomal large subunit protein 1</t>
  </si>
  <si>
    <t xml:space="preserve">mannosyl-oligosaccharide 1,2-alpha-mannosidase IB </t>
  </si>
  <si>
    <t>endoplasmic reticulum mannosyl-oligosaccharide 1,2-alpha-mannosidase</t>
  </si>
  <si>
    <t>alpha-mannosidase 2</t>
  </si>
  <si>
    <t xml:space="preserve">lysosomal alpha-mannosidase precursor </t>
  </si>
  <si>
    <t xml:space="preserve">epididymis-specific alpha-mannosidase precursor </t>
  </si>
  <si>
    <t>alpha-mannosidase 2C1</t>
  </si>
  <si>
    <t>beta-mannosidase precursor</t>
  </si>
  <si>
    <t>protein MANBAL</t>
  </si>
  <si>
    <t xml:space="preserve">mesencephalic astrocyte-derived neurotrophic factor precursor </t>
  </si>
  <si>
    <t>amine oxidase [flavin-containing] A</t>
  </si>
  <si>
    <t xml:space="preserve">microtubule-associated protein 1A isoform 1 </t>
  </si>
  <si>
    <t xml:space="preserve">microtubule-associated protein 1A isoform 2 </t>
  </si>
  <si>
    <t xml:space="preserve">microtubule-associated protein 1B </t>
  </si>
  <si>
    <t>microtubule-associated proteins 1A/1B light chain 3A</t>
  </si>
  <si>
    <t>microtubule-associated proteins 1A/1B light chain 3B</t>
  </si>
  <si>
    <t xml:space="preserve">microtubule-associated protein 1S </t>
  </si>
  <si>
    <t xml:space="preserve">microtubule-associated protein 2 isoform 2 </t>
  </si>
  <si>
    <t xml:space="preserve">microtubule-associated protein 2 isoform 1 </t>
  </si>
  <si>
    <t xml:space="preserve">dual specificity mitogen-activated protein kinase kinase 1 </t>
  </si>
  <si>
    <t xml:space="preserve">dual specificity mitogen-activated protein kinase kinase 2 </t>
  </si>
  <si>
    <t xml:space="preserve">dual specificity mitogen-activated protein kinase kinase 3 </t>
  </si>
  <si>
    <t xml:space="preserve">dual specificity mitogen-activated protein kinase kinase 4 </t>
  </si>
  <si>
    <t xml:space="preserve">dual specificity mitogen-activated protein kinase kinase 7 isoform 1 </t>
  </si>
  <si>
    <t xml:space="preserve">dual specificity mitogen-activated protein kinase kinase 7 isoform 2 </t>
  </si>
  <si>
    <t xml:space="preserve">dual specificity mitogen-activated protein kinase kinase 7 isoform 3 </t>
  </si>
  <si>
    <t>mitogen-activated protein kinase kinase kinase 10</t>
  </si>
  <si>
    <t>mitogen-activated protein kinase kinase kinase 11</t>
  </si>
  <si>
    <t>mitogen-activated protein kinase kinase kinase 14</t>
  </si>
  <si>
    <t>mitogen-activated protein kinase kinase kinase 15</t>
  </si>
  <si>
    <t>mitogen-activated protein kinase kinase kinase 2</t>
  </si>
  <si>
    <t>mitogen-activated protein kinase kinase kinase 3</t>
  </si>
  <si>
    <t>mitogen-activated protein kinase kinase kinase 4</t>
  </si>
  <si>
    <t>mitogen-activated protein kinase kinase kinase 5</t>
  </si>
  <si>
    <t>mitogen-activated protein kinase kinase kinase 9 isoform 1</t>
  </si>
  <si>
    <t>mitogen-activated protein kinase kinase kinase 9 isoform 2</t>
  </si>
  <si>
    <t xml:space="preserve">microtubule-associated protein 4 isoform 3 </t>
  </si>
  <si>
    <t xml:space="preserve">microtubule-associated protein 4 isoform 4 </t>
  </si>
  <si>
    <t xml:space="preserve">microtubule-associated protein 4 isoform 2 </t>
  </si>
  <si>
    <t xml:space="preserve">microtubule-associated protein 4 isoform 1 </t>
  </si>
  <si>
    <t xml:space="preserve">mitogen-activated protein kinase kinase kinase kinase 2 </t>
  </si>
  <si>
    <t xml:space="preserve">mitogen-activated protein kinase kinase kinase kinase 3 </t>
  </si>
  <si>
    <t xml:space="preserve">mitogen-activated protein kinase kinase kinase kinase 4 isoform 2 </t>
  </si>
  <si>
    <t xml:space="preserve">mitogen-activated protein kinase kinase kinase kinase 4 isoform 1 </t>
  </si>
  <si>
    <t xml:space="preserve">mitogen-activated protein kinase kinase kinase kinase 4 isoform 3 </t>
  </si>
  <si>
    <t xml:space="preserve">mitogen-activated protein kinase kinase kinase kinase 4 isoform 4 </t>
  </si>
  <si>
    <t xml:space="preserve">mitogen-activated protein kinase kinase kinase kinase 5 </t>
  </si>
  <si>
    <t xml:space="preserve">microtubule-associated protein 6 isoform 1 </t>
  </si>
  <si>
    <t xml:space="preserve">microtubule-associated protein 6 isoform 2 </t>
  </si>
  <si>
    <t xml:space="preserve">microtubule-associated protein 6 isoform 3 </t>
  </si>
  <si>
    <t xml:space="preserve">ensconsin isoform 2 </t>
  </si>
  <si>
    <t xml:space="preserve">ensconsin isoform 1 </t>
  </si>
  <si>
    <t>MAP7 domain-containing protein 1 isoform 1</t>
  </si>
  <si>
    <t>MAP7 domain-containing protein 1 isoform 2</t>
  </si>
  <si>
    <t xml:space="preserve">microtubule-associated protein 9 </t>
  </si>
  <si>
    <t>mitogen-activated protein kinase 1</t>
  </si>
  <si>
    <t>mitogen-activated protein kinase 10 isoform 2</t>
  </si>
  <si>
    <t>mitogen-activated protein kinase 10 isoform 1</t>
  </si>
  <si>
    <t>mitogen-activated protein kinase 11</t>
  </si>
  <si>
    <t>mitogen-activated protein kinase 12</t>
  </si>
  <si>
    <t>mitogen-activated protein kinase 13</t>
  </si>
  <si>
    <t>mitogen-activated protein kinase 14 isoform 1</t>
  </si>
  <si>
    <t>mitogen-activated protein kinase 14 isoform 2</t>
  </si>
  <si>
    <t>mitogen-activated protein kinase 14 isoform 3</t>
  </si>
  <si>
    <t>mitogen-activated protein kinase 15</t>
  </si>
  <si>
    <t>mitogen-activated protein kinase 3</t>
  </si>
  <si>
    <t>mitogen-activated protein kinase 4</t>
  </si>
  <si>
    <t>mitogen-activated protein kinase 6</t>
  </si>
  <si>
    <t>mitogen-activated protein kinase 7</t>
  </si>
  <si>
    <t>mitogen-activated protein kinase 8</t>
  </si>
  <si>
    <t>C-Jun-amino-terminal kinase-interacting protein 3 isoform a</t>
  </si>
  <si>
    <t>C-Jun-amino-terminal kinase-interacting protein 3 isoform b</t>
  </si>
  <si>
    <t>C-Jun-amino-terminal kinase-interacting protein 3 isoform c</t>
  </si>
  <si>
    <t>C-Jun-amino-terminal kinase-interacting protein 3 isoform d</t>
  </si>
  <si>
    <t>C-Jun-amino-terminal kinase-interacting protein 3 isoform e</t>
  </si>
  <si>
    <t>C-Jun-amino-terminal kinase-interacting protein 3 isoform f</t>
  </si>
  <si>
    <t>C-Jun-amino-terminal kinase-interacting protein 3 isoform g</t>
  </si>
  <si>
    <t>mitogen-activated protein kinase 9 isoform alpha2</t>
  </si>
  <si>
    <t>mitogen-activated protein kinase 9 isoform beta2</t>
  </si>
  <si>
    <t>mitogen-activated protein kinase 9 isoform alpha1</t>
  </si>
  <si>
    <t>mitogen-activated protein kinase 9 isoform beta1</t>
  </si>
  <si>
    <t xml:space="preserve">target of rapamycin complex 2 subunit MAPKAP1 </t>
  </si>
  <si>
    <t xml:space="preserve">MAP kinase-activated protein kinase 2 </t>
  </si>
  <si>
    <t xml:space="preserve">MAP kinase-activated protein kinase 3 </t>
  </si>
  <si>
    <t xml:space="preserve">MAP kinase-activated protein kinase 5 </t>
  </si>
  <si>
    <t>microtubule-associated protein RP/EB family member 1</t>
  </si>
  <si>
    <t>microtubule-associated protein RP/EB family member 2 isoform 1</t>
  </si>
  <si>
    <t>microtubule-associated protein RP/EB family member 2 isoform 2</t>
  </si>
  <si>
    <t>microtubule-associated protein RP/EB family member 2 isoform 3</t>
  </si>
  <si>
    <t>microtubule-associated protein RP/EB family member 3</t>
  </si>
  <si>
    <t>MOSC domain-containing protein 2, mitochondrial precursor</t>
  </si>
  <si>
    <t>E3 ubiquitin-protein ligase 41703 isoform 1</t>
  </si>
  <si>
    <t>E3 ubiquitin-protein ligase 41703 isoform 2</t>
  </si>
  <si>
    <t>E3 ubiquitin-protein ligase 41703 isoform 3</t>
  </si>
  <si>
    <t>myristoylated alanine-rich C-kinase substrate</t>
  </si>
  <si>
    <t>MARCKS-related protein</t>
  </si>
  <si>
    <t xml:space="preserve">meiosis arrest female protein 1 </t>
  </si>
  <si>
    <t xml:space="preserve">serine/threonine-protein kinase MARK1 </t>
  </si>
  <si>
    <t xml:space="preserve">serine/threonine-protein kinase MARK2 isoform 2 </t>
  </si>
  <si>
    <t xml:space="preserve">serine/threonine-protein kinase MARK2 isoform 4 </t>
  </si>
  <si>
    <t xml:space="preserve">serine/threonine-protein kinase MARK2 isoform 1 </t>
  </si>
  <si>
    <t xml:space="preserve">serine/threonine-protein kinase MARK2 isoform 3 </t>
  </si>
  <si>
    <t>MAP/microtubule affinity-regulating kinase 3 isoform 1</t>
  </si>
  <si>
    <t>MAP/microtubule affinity-regulating kinase 3 isoform 2</t>
  </si>
  <si>
    <t>MAP/microtubule affinity-regulating kinase 4</t>
  </si>
  <si>
    <t xml:space="preserve">methionine--tRNA ligase, cytoplasmic isoform 1 </t>
  </si>
  <si>
    <t xml:space="preserve">methionine--tRNA ligase, cytoplasmic isoform 2 </t>
  </si>
  <si>
    <t>methionine--tRNA ligase, mitochondrial precursor</t>
  </si>
  <si>
    <t>S-adenosylmethionine synthase isoform type-2</t>
  </si>
  <si>
    <t xml:space="preserve">methionine adenosyltransferase 2 subunit beta isoform 1 </t>
  </si>
  <si>
    <t xml:space="preserve">methionine adenosyltransferase 2 subunit beta isoform 2 </t>
  </si>
  <si>
    <t xml:space="preserve">megakaryocyte-associated tyrosine-protein kinase </t>
  </si>
  <si>
    <t xml:space="preserve">matrin-3 </t>
  </si>
  <si>
    <t xml:space="preserve">MAU2 chromatid cohesion factor homolog isoform 2 </t>
  </si>
  <si>
    <t xml:space="preserve">MAU2 chromatid cohesion factor homolog isoform 1 </t>
  </si>
  <si>
    <t xml:space="preserve">mitochondrial antiviral-signaling protein isoform 1 </t>
  </si>
  <si>
    <t xml:space="preserve">mitochondrial antiviral-signaling protein isoform 2 </t>
  </si>
  <si>
    <t>protein max isoform 1</t>
  </si>
  <si>
    <t>protein max isoform 2</t>
  </si>
  <si>
    <t>protein MB21D1</t>
  </si>
  <si>
    <t>methyl-CpG-binding domain protein 3</t>
  </si>
  <si>
    <t>metallo-beta-lactamase domain-containing protein 1</t>
  </si>
  <si>
    <t xml:space="preserve">muscleblind-like protein 1 isoform 2 </t>
  </si>
  <si>
    <t xml:space="preserve">muscleblind-like protein 1 isoform 1 </t>
  </si>
  <si>
    <t xml:space="preserve">muscleblind-like protein 2 isoform 1 </t>
  </si>
  <si>
    <t xml:space="preserve">muscleblind-like protein 2 isoform 2 </t>
  </si>
  <si>
    <t xml:space="preserve">muscleblind-like protein 3 </t>
  </si>
  <si>
    <t xml:space="preserve">lysophospholipid acyltransferase 1 </t>
  </si>
  <si>
    <t xml:space="preserve">lysophospholipid acyltransferase 7 </t>
  </si>
  <si>
    <t xml:space="preserve">malonyl-CoA-acyl carrier protein transacylase, mitochondrial </t>
  </si>
  <si>
    <t xml:space="preserve">methylcrotonoyl-CoA carboxylase subunit alpha, mitochondrial </t>
  </si>
  <si>
    <t xml:space="preserve">methylcrotonoyl-CoA carboxylase beta chain, mitochondrial </t>
  </si>
  <si>
    <t>mcf.2 transforming</t>
  </si>
  <si>
    <t>multiple coagulation factor deficiency protein 2 homolog precursor</t>
  </si>
  <si>
    <t>induced myeloid leukemia cell differentiation protein Mcl-1 homolog</t>
  </si>
  <si>
    <t xml:space="preserve">DNA replication licensing factor MCM2 </t>
  </si>
  <si>
    <t xml:space="preserve">DNA replication licensing factor MCM3 </t>
  </si>
  <si>
    <t xml:space="preserve">DNA replication licensing factor MCM4 </t>
  </si>
  <si>
    <t xml:space="preserve">DNA replication licensing factor MCM5 </t>
  </si>
  <si>
    <t xml:space="preserve">DNA replication licensing factor MCM6 </t>
  </si>
  <si>
    <t xml:space="preserve">DNA replication licensing factor MCM7 </t>
  </si>
  <si>
    <t>mini-chromosome maintenance complex-binding protein</t>
  </si>
  <si>
    <t xml:space="preserve">mucolipin-2 isoform 1 </t>
  </si>
  <si>
    <t xml:space="preserve">mucolipin-2 isoform 2 </t>
  </si>
  <si>
    <t>malignant T-cell-amplified sequence 1</t>
  </si>
  <si>
    <t>malignant T-cell-amplified sequence 2</t>
  </si>
  <si>
    <t xml:space="preserve">calcium uniporter protein, mitochondrial precursor </t>
  </si>
  <si>
    <t>coiled-coil domain-containing protein 90A, mitochondrial precursor</t>
  </si>
  <si>
    <t xml:space="preserve">mediator of DNA damage checkpoint protein 1 </t>
  </si>
  <si>
    <t xml:space="preserve">MAM domain-containing glycosylphosphatidylinositol anchor protein 1 precursor </t>
  </si>
  <si>
    <t xml:space="preserve">malate dehydrogenase, cytoplasmic </t>
  </si>
  <si>
    <t>malate dehydrogenase, mitochondrial precursor</t>
  </si>
  <si>
    <t>protein Mdm4</t>
  </si>
  <si>
    <t xml:space="preserve">midasin </t>
  </si>
  <si>
    <t xml:space="preserve">magnesium-dependent phosphatase 1 </t>
  </si>
  <si>
    <t xml:space="preserve">NADP-dependent malic enzyme isoform 1 </t>
  </si>
  <si>
    <t xml:space="preserve">NADP-dependent malic enzyme isoform 2 </t>
  </si>
  <si>
    <t xml:space="preserve">NAD-dependent malic enzyme, mitochondrial precursor </t>
  </si>
  <si>
    <t>trans-2-enoyl-CoA reductase, mitochondrial precursor</t>
  </si>
  <si>
    <t>mediator of RNA polymerase II transcription subunit 1 isoform 3</t>
  </si>
  <si>
    <t>mediator of RNA polymerase II transcription subunit 1 isoform 1</t>
  </si>
  <si>
    <t>mediator of RNA polymerase II transcription subunit 1 isoform 2</t>
  </si>
  <si>
    <t>mediator of RNA polymerase II transcription subunit 12</t>
  </si>
  <si>
    <t xml:space="preserve">mediator of RNA polymerase II transcription subunit 12-like protein </t>
  </si>
  <si>
    <t>mediator of RNA polymerase II transcription subunit 14 isoform b</t>
  </si>
  <si>
    <t>mediator of RNA polymerase II transcription subunit 14 isoform a</t>
  </si>
  <si>
    <t>mediator of RNA polymerase II transcription subunit 15 isoform a</t>
  </si>
  <si>
    <t>mediator of RNA polymerase II transcription subunit 15 isoform b</t>
  </si>
  <si>
    <t>mediator of RNA polymerase II transcription subunit 17</t>
  </si>
  <si>
    <t>mediator of RNA polymerase II transcription subunit 18</t>
  </si>
  <si>
    <t>mediator of RNA polymerase II transcription subunit 19</t>
  </si>
  <si>
    <t>mediator of RNA polymerase II transcription subunit 20</t>
  </si>
  <si>
    <t>mediator of RNA polymerase II transcription subunit 21</t>
  </si>
  <si>
    <t>mediator of RNA polymerase II transcription subunit 22 isoform 1</t>
  </si>
  <si>
    <t>mediator of RNA polymerase II transcription subunit 22 isoform 2</t>
  </si>
  <si>
    <t>mediator of RNA polymerase II transcription subunit 23 isoform 1</t>
  </si>
  <si>
    <t>mediator of RNA polymerase II transcription subunit 23 isoform 2</t>
  </si>
  <si>
    <t>mediator of RNA polymerase II transcription subunit 24</t>
  </si>
  <si>
    <t>mediator of RNA polymerase II transcription subunit 27</t>
  </si>
  <si>
    <t>mediator of RNA polymerase II transcription subunit 28</t>
  </si>
  <si>
    <t>mediator of RNA polymerase II transcription subunit 30</t>
  </si>
  <si>
    <t>mediator of RNA polymerase II transcription subunit 31</t>
  </si>
  <si>
    <t>mediator of RNA polymerase II transcription subunit 7</t>
  </si>
  <si>
    <t>meiosis inhibitor protein 1</t>
  </si>
  <si>
    <t>protein MEMO1</t>
  </si>
  <si>
    <t xml:space="preserve">7SK snRNA methylphosphate capping enzyme </t>
  </si>
  <si>
    <t>LDLR chaperone MESD precursor</t>
  </si>
  <si>
    <t xml:space="preserve">hepatocyte growth factor receptor precursor </t>
  </si>
  <si>
    <t xml:space="preserve">methionine aminopeptidase 1 </t>
  </si>
  <si>
    <t xml:space="preserve">methionine aminopeptidase 1D, mitochondrial precursor </t>
  </si>
  <si>
    <t xml:space="preserve">methionine aminopeptidase 2 </t>
  </si>
  <si>
    <t>tRNA (guanine-N(7)-)-methyltransferase</t>
  </si>
  <si>
    <t xml:space="preserve">methyltransferase-like protein 10 </t>
  </si>
  <si>
    <t xml:space="preserve">methyltransferase-like protein 13 </t>
  </si>
  <si>
    <t xml:space="preserve">methyltransferase-like protein 16 </t>
  </si>
  <si>
    <t xml:space="preserve">methyltransferase-like protein 2 </t>
  </si>
  <si>
    <t>N6-adenosine-methyltransferase 70 kDa subunit</t>
  </si>
  <si>
    <t xml:space="preserve">methyltransferase-like protein 7A </t>
  </si>
  <si>
    <t xml:space="preserve">methyltransferase like 7A2 </t>
  </si>
  <si>
    <t xml:space="preserve">Mettl7a2-Higd1c readthrough transcript </t>
  </si>
  <si>
    <t>UbiE3 protein</t>
  </si>
  <si>
    <t>methyltransferase-like protein 9 precursor</t>
  </si>
  <si>
    <t xml:space="preserve">microfibrillar-associated protein 1B </t>
  </si>
  <si>
    <t>lactadherin isoform 2 precursor</t>
  </si>
  <si>
    <t>lactadherin isoform 1 precursor</t>
  </si>
  <si>
    <t>malignant fibrous histiocytoma-amplified sequence 1 homolog</t>
  </si>
  <si>
    <t xml:space="preserve">mitofusin-1 </t>
  </si>
  <si>
    <t>major facilitator superfamily domain-containing protein 1</t>
  </si>
  <si>
    <t>major facilitator superfamily domain-containing protein 10</t>
  </si>
  <si>
    <t>major facilitator superfamily domain-containing protein 12</t>
  </si>
  <si>
    <t xml:space="preserve">major facilitator superfamily domain-containing protein 5 precursor </t>
  </si>
  <si>
    <t>major facilitator superfamily domain-containing protein 6 isoform 1</t>
  </si>
  <si>
    <t>major facilitator superfamily domain-containing protein 8</t>
  </si>
  <si>
    <t>alpha-1,3-mannosyl-glycoprotein 2-beta-N-acetylglucosaminyltransferase</t>
  </si>
  <si>
    <t>alpha-1,6-mannosyl-glycoprotein 2-beta-N-acetylglucosaminyltransferase</t>
  </si>
  <si>
    <t>alpha-1,3-mannosyl-glycoprotein 4-beta-N-acetylglucosaminyltransferase B precursor</t>
  </si>
  <si>
    <t xml:space="preserve">alpha-1,3-mannosyl-glycoprotein 4-beta-N-acetylglucosaminyltransferase C </t>
  </si>
  <si>
    <t xml:space="preserve">bifunctional protein NCOAT </t>
  </si>
  <si>
    <t>uncharacterized protein C20orf72 homolog</t>
  </si>
  <si>
    <t>E3 ubiquitin-protein ligase MGRN1 isoform 2</t>
  </si>
  <si>
    <t>E3 ubiquitin-protein ligase MGRN1 isoform 1</t>
  </si>
  <si>
    <t>microsomal glutathione S-transferase 1</t>
  </si>
  <si>
    <t>microsomal glutathione S-transferase 3</t>
  </si>
  <si>
    <t>melanoma inhibitory activity protein 3 precursor</t>
  </si>
  <si>
    <t>E3 ubiquitin-protein ligase MIB1</t>
  </si>
  <si>
    <t>protein-methionine sulfoxide oxidase MICAL3 isoform 2</t>
  </si>
  <si>
    <t>protein-methionine sulfoxide oxidase MICAL3 isoform 1</t>
  </si>
  <si>
    <t xml:space="preserve">MICAL-like protein 1 </t>
  </si>
  <si>
    <t xml:space="preserve">calcium uptake protein 1, mitochondrial </t>
  </si>
  <si>
    <t xml:space="preserve">calcium uptake protein 2, mitochondrial </t>
  </si>
  <si>
    <t xml:space="preserve">midnolin </t>
  </si>
  <si>
    <t xml:space="preserve">migration and invasion enhancer 1 </t>
  </si>
  <si>
    <t>mesoderm induction early response protein 1 isoform d</t>
  </si>
  <si>
    <t xml:space="preserve">mesoderm induction early response protein 1 isoform c precursor </t>
  </si>
  <si>
    <t>mesoderm induction early response protein 1 isoform b</t>
  </si>
  <si>
    <t xml:space="preserve">mesoderm induction early response protein 1 isoform a precursor </t>
  </si>
  <si>
    <t>macrophage migration inhibitory factor</t>
  </si>
  <si>
    <t xml:space="preserve">MIF4G domain-containing protein isoform 1 </t>
  </si>
  <si>
    <t xml:space="preserve">MIF4G domain-containing protein isoform 2 </t>
  </si>
  <si>
    <t>bifunctional lysine-specific demethylase and histidyl-hydroxylase MINA</t>
  </si>
  <si>
    <t xml:space="preserve">misshapen-like kinase 1 isoform 4 </t>
  </si>
  <si>
    <t xml:space="preserve">misshapen-like kinase 1 isoform 2 </t>
  </si>
  <si>
    <t xml:space="preserve">misshapen-like kinase 1 isoform 1 </t>
  </si>
  <si>
    <t xml:space="preserve">misshapen-like kinase 1 isoform 3 </t>
  </si>
  <si>
    <t xml:space="preserve">mitochondrial inner membrane organizing system protein 1 </t>
  </si>
  <si>
    <t>multiple inositol polyphosphate phosphatase 1 precursor</t>
  </si>
  <si>
    <t>WD repeat-containing protein mio</t>
  </si>
  <si>
    <t>mirror-image polydactyly gene 1 protein homolog</t>
  </si>
  <si>
    <t>protein Mis18-alpha</t>
  </si>
  <si>
    <t>MIT domain-containing protein 1</t>
  </si>
  <si>
    <t xml:space="preserve">MKL/myocardin-like protein 1 isoform 1 </t>
  </si>
  <si>
    <t xml:space="preserve">MKL/myocardin-like protein 1 isoform 2 </t>
  </si>
  <si>
    <t xml:space="preserve">MKL/myocardin-like protein 2 isoform 3 </t>
  </si>
  <si>
    <t xml:space="preserve">MKL/myocardin-like protein 2 isoform 1 </t>
  </si>
  <si>
    <t xml:space="preserve">muskelin </t>
  </si>
  <si>
    <t xml:space="preserve">MAP kinase-interacting serine/threonine-protein kinase 2 </t>
  </si>
  <si>
    <t xml:space="preserve">probable E3 ubiquitin-protein ligase makorin-2 </t>
  </si>
  <si>
    <t>malectin precursor</t>
  </si>
  <si>
    <t>myeloid leukemia factor 2</t>
  </si>
  <si>
    <t xml:space="preserve">mixed lineage kinase domain-like protein </t>
  </si>
  <si>
    <t>protein ENL</t>
  </si>
  <si>
    <t xml:space="preserve">afadin </t>
  </si>
  <si>
    <t>target of rapamycin complex subunit LST8 isoform 1</t>
  </si>
  <si>
    <t>target of rapamycin complex subunit LST8 isoform 2</t>
  </si>
  <si>
    <t xml:space="preserve">malonyl-CoA decarboxylase, mitochondrial </t>
  </si>
  <si>
    <t>cob(I)yrinic acid a,c-diamide adenosyltransferase, mitochondrial precursor</t>
  </si>
  <si>
    <t xml:space="preserve">neprilysin </t>
  </si>
  <si>
    <t xml:space="preserve">membrane magnesium transporter 1 precursor </t>
  </si>
  <si>
    <t xml:space="preserve">matrix metalloproteinase-14 precursor </t>
  </si>
  <si>
    <t xml:space="preserve">matrix metalloproteinase-21 precursor </t>
  </si>
  <si>
    <t>MMS19 nucleotide excision repair protein homolog</t>
  </si>
  <si>
    <t>protein MMS22-like</t>
  </si>
  <si>
    <t xml:space="preserve">CDK-activating kinase assembly factor MAT1 </t>
  </si>
  <si>
    <t xml:space="preserve">interferon-activable protein 205-B </t>
  </si>
  <si>
    <t>MOB kinase activator 1A</t>
  </si>
  <si>
    <t>MOB kinase activator 1B</t>
  </si>
  <si>
    <t>MOB kinase activator 2</t>
  </si>
  <si>
    <t xml:space="preserve">MOB-like protein phocein </t>
  </si>
  <si>
    <t xml:space="preserve">molybdenum cofactor biosynthesis protein 1 isoform 1 </t>
  </si>
  <si>
    <t>adenylyltransferase and sulfurtransferase MOCS3</t>
  </si>
  <si>
    <t>mannosyl-oligosaccharide glucosidase</t>
  </si>
  <si>
    <t>vacuolar fusion protein MON1 homolog A</t>
  </si>
  <si>
    <t>vacuolar fusion protein MON1 homolog B</t>
  </si>
  <si>
    <t xml:space="preserve">protein MON2 homolog isoform 3 </t>
  </si>
  <si>
    <t xml:space="preserve">protein MON2 homolog isoform 1 </t>
  </si>
  <si>
    <t xml:space="preserve">protein MON2 homolog isoform 2 </t>
  </si>
  <si>
    <t xml:space="preserve">mortality factor 4-like protein 1 isoform b </t>
  </si>
  <si>
    <t xml:space="preserve">mortality factor 4-like protein 1 isoform a </t>
  </si>
  <si>
    <t xml:space="preserve">motile sperm domain-containing protein 2 </t>
  </si>
  <si>
    <t xml:space="preserve">putative helicase MOV-10 isoform b </t>
  </si>
  <si>
    <t xml:space="preserve">putative helicase MOV-10 isoform a </t>
  </si>
  <si>
    <t>mitochondrial pyruvate carrier 1</t>
  </si>
  <si>
    <t>mitochondrial pyruvate carrier 2</t>
  </si>
  <si>
    <t xml:space="preserve">mannose-P-dolichol utilization defect 1 protein </t>
  </si>
  <si>
    <t>multiple PDZ domain protein</t>
  </si>
  <si>
    <t>DNA-3-methyladenine glycosylase</t>
  </si>
  <si>
    <t xml:space="preserve">M-phase phosphoprotein 6 </t>
  </si>
  <si>
    <t>mannose-6-phosphate isomerase</t>
  </si>
  <si>
    <t xml:space="preserve">MAGUK p55 subfamily member 2 </t>
  </si>
  <si>
    <t xml:space="preserve">MAGUK p55 subfamily member 3 </t>
  </si>
  <si>
    <t xml:space="preserve">MAGUK p55 subfamily member 5 </t>
  </si>
  <si>
    <t xml:space="preserve">MAGUK p55 subfamily member 6 isoform a </t>
  </si>
  <si>
    <t xml:space="preserve">MAGUK p55 subfamily member 6 isoform b </t>
  </si>
  <si>
    <t xml:space="preserve">MAGUK p55 subfamily member 7 isoform 1 </t>
  </si>
  <si>
    <t xml:space="preserve">MAGUK p55 subfamily member 7 isoform 2 </t>
  </si>
  <si>
    <t>3-mercaptopyruvate sulfurtransferase</t>
  </si>
  <si>
    <t>protein Mpv17</t>
  </si>
  <si>
    <t>myelin protein zero-like protein 2 precursor</t>
  </si>
  <si>
    <t>ras-related protein M-Ras precursor</t>
  </si>
  <si>
    <t xml:space="preserve">double-strand break repair protein MRE11A </t>
  </si>
  <si>
    <t>MORF4 family-associated protein 1</t>
  </si>
  <si>
    <t>methylthioribose-1-phosphate isomerase</t>
  </si>
  <si>
    <t xml:space="preserve">rRNA methyltransferase 1, mitochondrial precursor </t>
  </si>
  <si>
    <t>HEAT repeat containing 7A isoform 2</t>
  </si>
  <si>
    <t>HEAT repeat containing 7A isoform 1</t>
  </si>
  <si>
    <t xml:space="preserve">maestro heat-like repeat-containing protein family member 2A </t>
  </si>
  <si>
    <t xml:space="preserve">uncharacterized protein LOC69439 </t>
  </si>
  <si>
    <t xml:space="preserve">uncharacterized protein LOC78258 </t>
  </si>
  <si>
    <t>ribosomal protein 63, mitochondrial</t>
  </si>
  <si>
    <t xml:space="preserve">39S ribosomal protein L1, mitochondrial isoform 1 </t>
  </si>
  <si>
    <t xml:space="preserve">39S ribosomal protein L1, mitochondrial isoform 2 </t>
  </si>
  <si>
    <t>39S ribosomal protein L10, mitochondrial precursor</t>
  </si>
  <si>
    <t xml:space="preserve">39S ribosomal protein L11, mitochondrial </t>
  </si>
  <si>
    <t>39S ribosomal protein L12, mitochondrial precursor</t>
  </si>
  <si>
    <t xml:space="preserve">39S ribosomal protein L13, mitochondrial </t>
  </si>
  <si>
    <t>39S ribosomal protein L14, mitochondrial precursor</t>
  </si>
  <si>
    <t>39S ribosomal protein L15, mitochondrial isoform 1 precursor</t>
  </si>
  <si>
    <t>39S ribosomal protein L15, mitochondrial isoform 2 precursor</t>
  </si>
  <si>
    <t>39S ribosomal protein L16, mitochondrial precursor</t>
  </si>
  <si>
    <t>39S ribosomal protein L17, mitochondrial precursor</t>
  </si>
  <si>
    <t xml:space="preserve">39S ribosomal protein L18, mitochondrial </t>
  </si>
  <si>
    <t xml:space="preserve">39S ribosomal protein L19, mitochondrial </t>
  </si>
  <si>
    <t>39S ribosomal protein L2, mitochondrial precursor</t>
  </si>
  <si>
    <t>39S ribosomal protein L20, mitochondrial precursor</t>
  </si>
  <si>
    <t xml:space="preserve">39S ribosomal protein L21, mitochondrial </t>
  </si>
  <si>
    <t>39S ribosomal protein L22, mitochondrial precursor</t>
  </si>
  <si>
    <t xml:space="preserve">39S ribosomal protein L23, mitochondrial </t>
  </si>
  <si>
    <t>39S ribosomal protein L24, mitochondrial precursor</t>
  </si>
  <si>
    <t xml:space="preserve">39S ribosomal protein L27, mitochondrial </t>
  </si>
  <si>
    <t xml:space="preserve">39S ribosomal protein L28, mitochondrial </t>
  </si>
  <si>
    <t xml:space="preserve">39S ribosomal protein L3, mitochondrial </t>
  </si>
  <si>
    <t>39S ribosomal protein L30, mitochondrial precursor</t>
  </si>
  <si>
    <t xml:space="preserve">39S ribosomal protein L32, mitochondrial </t>
  </si>
  <si>
    <t xml:space="preserve">39S ribosomal protein L33, mitochondrial </t>
  </si>
  <si>
    <t xml:space="preserve">39S ribosomal protein L34, mitochondrial </t>
  </si>
  <si>
    <t>39S ribosomal protein L37, mitochondrial precursor</t>
  </si>
  <si>
    <t>39S ribosomal protein L38, mitochondrial precursor</t>
  </si>
  <si>
    <t xml:space="preserve">39S ribosomal protein L39, mitochondrial </t>
  </si>
  <si>
    <t xml:space="preserve">39S ribosomal protein L4, mitochondrial </t>
  </si>
  <si>
    <t>39S ribosomal protein L40, mitochondrial precursor</t>
  </si>
  <si>
    <t>39S ribosomal protein L41, mitochondrial precursor</t>
  </si>
  <si>
    <t>39S ribosomal protein L42, mitochondrial precursor</t>
  </si>
  <si>
    <t xml:space="preserve">39S ribosomal protein L43, mitochondrial </t>
  </si>
  <si>
    <t>39S ribosomal protein L44, mitochondrial precursor</t>
  </si>
  <si>
    <t xml:space="preserve">39S ribosomal protein L45, mitochondrial </t>
  </si>
  <si>
    <t xml:space="preserve">39S ribosomal protein L46, mitochondrial </t>
  </si>
  <si>
    <t xml:space="preserve">39S ribosomal protein L47, mitochondrial </t>
  </si>
  <si>
    <t>39S ribosomal protein L48, mitochondrial precursor</t>
  </si>
  <si>
    <t xml:space="preserve">39S ribosomal protein L49, mitochondrial </t>
  </si>
  <si>
    <t xml:space="preserve">39S ribosomal protein L50, mitochondrial </t>
  </si>
  <si>
    <t>39S ribosomal protein L51, mitochondrial precursor</t>
  </si>
  <si>
    <t xml:space="preserve">39S ribosomal protein L53, mitochondrial </t>
  </si>
  <si>
    <t>39S ribosomal protein L55, mitochondrial precursor</t>
  </si>
  <si>
    <t xml:space="preserve">39S ribosomal protein L9, mitochondrial </t>
  </si>
  <si>
    <t xml:space="preserve">28S ribosomal protein S10, mitochondrial isoform 3 </t>
  </si>
  <si>
    <t xml:space="preserve">28S ribosomal protein S10, mitochondrial isoform 2 </t>
  </si>
  <si>
    <t xml:space="preserve">28S ribosomal protein S10, mitochondrial isoform 1 </t>
  </si>
  <si>
    <t xml:space="preserve">28S ribosomal protein S11, mitochondrial </t>
  </si>
  <si>
    <t>28S ribosomal protein S12, mitochondrial precursor</t>
  </si>
  <si>
    <t xml:space="preserve">28S ribosomal protein S14, mitochondrial </t>
  </si>
  <si>
    <t>28S ribosomal protein S15, mitochondrial precursor</t>
  </si>
  <si>
    <t>28S ribosomal protein S16, mitochondrial precursor</t>
  </si>
  <si>
    <t>28S ribosomal protein S17, mitochondrial precursor</t>
  </si>
  <si>
    <t>28S ribosomal protein S18a, mitochondrial precursor</t>
  </si>
  <si>
    <t xml:space="preserve">28S ribosomal protein S18b, mitochondrial </t>
  </si>
  <si>
    <t xml:space="preserve">28S ribosomal protein S2, mitochondrial isoform 1 </t>
  </si>
  <si>
    <t xml:space="preserve">28S ribosomal protein S2, mitochondrial isoform 2 </t>
  </si>
  <si>
    <t xml:space="preserve">28S ribosomal protein S21, mitochondrial </t>
  </si>
  <si>
    <t xml:space="preserve">28S ribosomal protein S22, mitochondrial </t>
  </si>
  <si>
    <t xml:space="preserve">28S ribosomal protein S23, mitochondrial </t>
  </si>
  <si>
    <t>28S ribosomal protein S24, mitochondrial precursor</t>
  </si>
  <si>
    <t xml:space="preserve">28S ribosomal protein S25, mitochondrial </t>
  </si>
  <si>
    <t>28S ribosomal protein S26, mitochondrial precursor</t>
  </si>
  <si>
    <t xml:space="preserve">28S ribosomal protein S27, mitochondrial </t>
  </si>
  <si>
    <t xml:space="preserve">28S ribosomal protein S28, mitochondrial </t>
  </si>
  <si>
    <t xml:space="preserve">28S ribosomal protein S30, mitochondrial </t>
  </si>
  <si>
    <t>28S ribosomal protein S31, mitochondrial precursor</t>
  </si>
  <si>
    <t xml:space="preserve">28S ribosomal protein S33, mitochondrial isoform 1 </t>
  </si>
  <si>
    <t xml:space="preserve">28S ribosomal protein S34, mitochondrial </t>
  </si>
  <si>
    <t xml:space="preserve">28S ribosomal protein S35, mitochondrial </t>
  </si>
  <si>
    <t xml:space="preserve">28S ribosomal protein S36, mitochondrial isoform 1 </t>
  </si>
  <si>
    <t xml:space="preserve">28S ribosomal protein S36, mitochondrial isoform 2 </t>
  </si>
  <si>
    <t xml:space="preserve">28S ribosomal protein S5, mitochondrial </t>
  </si>
  <si>
    <t xml:space="preserve">28S ribosomal protein S6, mitochondrial </t>
  </si>
  <si>
    <t>28S ribosomal protein S7, mitochondrial precursor</t>
  </si>
  <si>
    <t>28S ribosomal protein S9, mitochondrial precursor</t>
  </si>
  <si>
    <t>ribosome-recycling factor, mitochondrial precursor</t>
  </si>
  <si>
    <t xml:space="preserve">mRNA turnover protein 4 homolog </t>
  </si>
  <si>
    <t xml:space="preserve">DNA mismatch repair protein Msh2 </t>
  </si>
  <si>
    <t xml:space="preserve">DNA mismatch repair protein Msh6 </t>
  </si>
  <si>
    <t xml:space="preserve">RNA-binding protein Musashi homolog 1 </t>
  </si>
  <si>
    <t xml:space="preserve">RNA-binding protein Musashi homolog 2 isoform 1 </t>
  </si>
  <si>
    <t xml:space="preserve">RNA-binding protein Musashi homolog 2 isoform 2 </t>
  </si>
  <si>
    <t xml:space="preserve">moesin </t>
  </si>
  <si>
    <t xml:space="preserve">mitochondrial peptide methionine sulfoxide reductase isoform 1 </t>
  </si>
  <si>
    <t xml:space="preserve">mitochondrial peptide methionine sulfoxide reductase isoform 2 </t>
  </si>
  <si>
    <t xml:space="preserve">mitochondrial peptide methionine sulfoxide reductase isoform 3 </t>
  </si>
  <si>
    <t xml:space="preserve">mitochondrial peptide methionine sulfoxide reductase isoform 4 </t>
  </si>
  <si>
    <t>macrophage-stimulating protein receptor precursor</t>
  </si>
  <si>
    <t>protein misato homolog 1</t>
  </si>
  <si>
    <t xml:space="preserve">metallothionein-1 </t>
  </si>
  <si>
    <t xml:space="preserve">metallothionein-2 </t>
  </si>
  <si>
    <t xml:space="preserve">metastasis-associated protein MTA2 </t>
  </si>
  <si>
    <t>S-methyl-5'-thioadenosine phosphorylase</t>
  </si>
  <si>
    <t>mitochondrial carrier homolog 1</t>
  </si>
  <si>
    <t>mitochondrial carrier homolog 2</t>
  </si>
  <si>
    <t>protein LYRIC</t>
  </si>
  <si>
    <t>mTERF domain-containing protein 3, mitochondrial precursor</t>
  </si>
  <si>
    <t xml:space="preserve">metal-response element-binding transcription factor 2 isoform 1 </t>
  </si>
  <si>
    <t xml:space="preserve">C-1-tetrahydrofolate synthase, cytoplasmic </t>
  </si>
  <si>
    <t xml:space="preserve">monofunctional C1-tetrahydrofolate synthase, mitochondrial precursor </t>
  </si>
  <si>
    <t>methenyltetrahydrofolate synthase domain-containing protein isoform 1</t>
  </si>
  <si>
    <t>methenyltetrahydrofolate synthase domain-containing protein isoform 2</t>
  </si>
  <si>
    <t>translation initiation factor IF-2, mitochondrial precursor</t>
  </si>
  <si>
    <t xml:space="preserve">myotubularin isoform 1 </t>
  </si>
  <si>
    <t xml:space="preserve">myotubularin isoform 2 </t>
  </si>
  <si>
    <t xml:space="preserve">myotubularin-related protein 10 </t>
  </si>
  <si>
    <t xml:space="preserve">myotubularin-related protein 12 </t>
  </si>
  <si>
    <t xml:space="preserve">myotubularin-related protein 14 </t>
  </si>
  <si>
    <t xml:space="preserve">myotubularin-related protein 2 </t>
  </si>
  <si>
    <t xml:space="preserve">myotubularin-related protein 6 </t>
  </si>
  <si>
    <t xml:space="preserve">protein MTO1 homolog, mitochondrial precursor </t>
  </si>
  <si>
    <t xml:space="preserve">serine/threonine-protein kinase mTOR </t>
  </si>
  <si>
    <t xml:space="preserve">myotrophin </t>
  </si>
  <si>
    <t xml:space="preserve">metaxin-1 isoform 1 </t>
  </si>
  <si>
    <t xml:space="preserve">metaxin-1 isoform 2 </t>
  </si>
  <si>
    <t xml:space="preserve">metaxin-2 </t>
  </si>
  <si>
    <t>mucin-1 precursor</t>
  </si>
  <si>
    <t>mucin-4 precursor</t>
  </si>
  <si>
    <t>murinoglobulin-1 precursor</t>
  </si>
  <si>
    <t>murinoglobulin-2 precursor</t>
  </si>
  <si>
    <t xml:space="preserve">major urinary protein 1 isoform b precursor </t>
  </si>
  <si>
    <t xml:space="preserve">major urinary protein 1 isoform a precursor </t>
  </si>
  <si>
    <t xml:space="preserve">major urinary protein 12 precursor </t>
  </si>
  <si>
    <t xml:space="preserve">major urinary protein 15 precursor </t>
  </si>
  <si>
    <t xml:space="preserve">major urinary protein 7 precursor </t>
  </si>
  <si>
    <t>methylmalonyl-CoA mutase, mitochondrial precursor</t>
  </si>
  <si>
    <t>multivesicular body subunit 12A</t>
  </si>
  <si>
    <t>diphosphomevalonate decarboxylase</t>
  </si>
  <si>
    <t>mevalonate kinase</t>
  </si>
  <si>
    <t xml:space="preserve">major vault protein </t>
  </si>
  <si>
    <t xml:space="preserve">myeloid-associated differentiation marker </t>
  </si>
  <si>
    <t xml:space="preserve">myb-binding protein 1A </t>
  </si>
  <si>
    <t>C-Myc-binding protein</t>
  </si>
  <si>
    <t xml:space="preserve">probable E3 ubiquitin-protein ligase MYCBP2 </t>
  </si>
  <si>
    <t>MYCBP-associated protein</t>
  </si>
  <si>
    <t>myeloid differentiation primary response protein MyD88</t>
  </si>
  <si>
    <t>myelin expression factor 2 isoform 1</t>
  </si>
  <si>
    <t>myelin expression factor 2 isoform 2</t>
  </si>
  <si>
    <t>myelin expression factor 2 isoform 3</t>
  </si>
  <si>
    <t xml:space="preserve">UPF0160 protein MYG1, mitochondrial precursor </t>
  </si>
  <si>
    <t xml:space="preserve">myosin-1 </t>
  </si>
  <si>
    <t xml:space="preserve">myosin-10 </t>
  </si>
  <si>
    <t xml:space="preserve">myosin-11 isoform 1 </t>
  </si>
  <si>
    <t xml:space="preserve">myosin-11 isoform 2 </t>
  </si>
  <si>
    <t xml:space="preserve">myosin-13 </t>
  </si>
  <si>
    <t xml:space="preserve">myosin-14 isoform 3 </t>
  </si>
  <si>
    <t xml:space="preserve">myosin-14 isoform 1 </t>
  </si>
  <si>
    <t xml:space="preserve">myosin-14 isoform 2 </t>
  </si>
  <si>
    <t xml:space="preserve">myosin-15 </t>
  </si>
  <si>
    <t>myosin heavy chain IIa</t>
  </si>
  <si>
    <t xml:space="preserve">myosin-3 </t>
  </si>
  <si>
    <t xml:space="preserve">myosin-4 </t>
  </si>
  <si>
    <t xml:space="preserve">myosin-6 </t>
  </si>
  <si>
    <t xml:space="preserve">myosin-7 </t>
  </si>
  <si>
    <t xml:space="preserve">myosin-7B </t>
  </si>
  <si>
    <t xml:space="preserve">myosin-8 </t>
  </si>
  <si>
    <t xml:space="preserve">myosin-9 isoform 1 </t>
  </si>
  <si>
    <t xml:space="preserve">myosin light chain 1/3, skeletal muscle isoform isoform 3f </t>
  </si>
  <si>
    <t xml:space="preserve">myosin light chain 1/3, skeletal muscle isoform isoform 1f </t>
  </si>
  <si>
    <t xml:space="preserve">myosin regulatory light chain 10 isoform 1 </t>
  </si>
  <si>
    <t xml:space="preserve">myosin light chain, regulatory B-like </t>
  </si>
  <si>
    <t xml:space="preserve">myosin regulatory light chain 12B </t>
  </si>
  <si>
    <t>myosin light chain 3</t>
  </si>
  <si>
    <t>myosin light polypeptide 6</t>
  </si>
  <si>
    <t>myosin light chain 6B</t>
  </si>
  <si>
    <t xml:space="preserve">myosin regulatory light polypeptide 9 </t>
  </si>
  <si>
    <t>myosin light chain kinase, smooth muscle</t>
  </si>
  <si>
    <t xml:space="preserve">myosin light chain kinase 2, skeletal/cardiac muscle </t>
  </si>
  <si>
    <t>putative myosin light chain kinase 3</t>
  </si>
  <si>
    <t xml:space="preserve">myosin light chain kinase family member 4 </t>
  </si>
  <si>
    <t>unconventional myosin-X</t>
  </si>
  <si>
    <t>unconventional myosin-XV isoform 1</t>
  </si>
  <si>
    <t>unconventional myosin-XV isoform 2a</t>
  </si>
  <si>
    <t>unconventional myosin-XV isoform 3</t>
  </si>
  <si>
    <t>unconventional myosin-XVIIIa</t>
  </si>
  <si>
    <t>unconventional myosin-XIX</t>
  </si>
  <si>
    <t>unconventional myosin-Ia</t>
  </si>
  <si>
    <t>unconventional myosin-Ib isoform 1</t>
  </si>
  <si>
    <t>unconventional myosin-Ib isoform 2</t>
  </si>
  <si>
    <t>unconventional myosin-Ic isoform b</t>
  </si>
  <si>
    <t>unconventional myosin-Ic isoform a</t>
  </si>
  <si>
    <t>unconventional myosin-Id</t>
  </si>
  <si>
    <t>unconventional myosin-Ie</t>
  </si>
  <si>
    <t>unconventional myosin-If</t>
  </si>
  <si>
    <t>unconventional myosin-Ig</t>
  </si>
  <si>
    <t xml:space="preserve">myosin-IIIb </t>
  </si>
  <si>
    <t>unconventional myosin-Va</t>
  </si>
  <si>
    <t>unconventional myosin-Vb</t>
  </si>
  <si>
    <t xml:space="preserve">myosin-Vc </t>
  </si>
  <si>
    <t>unconventional myosin-VI</t>
  </si>
  <si>
    <t>unconventional myosin-VIIa isoform 2</t>
  </si>
  <si>
    <t>unconventional myosin-VIIa isoform 1</t>
  </si>
  <si>
    <t>unconventional myosin-VIIa isoform 3</t>
  </si>
  <si>
    <t>unconventional myosin-VIIa isoform 4</t>
  </si>
  <si>
    <t>unconventional myosin-IXb isoform 3</t>
  </si>
  <si>
    <t>unconventional myosin-IXb isoform 1</t>
  </si>
  <si>
    <t>unconventional myosin-IXb isoform 2</t>
  </si>
  <si>
    <t xml:space="preserve">myoferlin </t>
  </si>
  <si>
    <t xml:space="preserve">myocardial zonula adherens protein precursor </t>
  </si>
  <si>
    <t>mitotic-spindle organizing protein 1</t>
  </si>
  <si>
    <t>mitotic-spindle organizing protein 2</t>
  </si>
  <si>
    <t>Nedd4 binding protein 2</t>
  </si>
  <si>
    <t>NEDD4-binding protein 2-like 2</t>
  </si>
  <si>
    <t xml:space="preserve">N6-DNA methyltransferase A isoform 1 </t>
  </si>
  <si>
    <t>N(6)-adenine-specific DNA methyltransferase 2</t>
  </si>
  <si>
    <t>N-alpha-acetyltransferase 10 isoform 1</t>
  </si>
  <si>
    <t>N-alpha-acetyltransferase 10 isoform 2</t>
  </si>
  <si>
    <t>N-alpha-acetyltransferase 11</t>
  </si>
  <si>
    <t xml:space="preserve">N-alpha-acetyltransferase 15, NatA auxiliary subunit </t>
  </si>
  <si>
    <t xml:space="preserve">N-alpha-acetyltransferase 16, NatA auxiliary subunit </t>
  </si>
  <si>
    <t>N-alpha-acetyltransferase 20 isoform 2</t>
  </si>
  <si>
    <t>N-alpha-acetyltransferase 20 isoform 1</t>
  </si>
  <si>
    <t xml:space="preserve">N-alpha-acetyltransferase 25, NatB auxiliary subunit </t>
  </si>
  <si>
    <t>N-alpha-acetyltransferase 30</t>
  </si>
  <si>
    <t xml:space="preserve">N-alpha-acetyltransferase 35, NatC auxiliary subunit </t>
  </si>
  <si>
    <t xml:space="preserve">N-alpha-acetyltransferase 38, NatC auxiliary subunit </t>
  </si>
  <si>
    <t>N-alpha-acetyltransferase 40</t>
  </si>
  <si>
    <t>N-alpha-acetyltransferase 50</t>
  </si>
  <si>
    <t>N-acylethanolamine-hydrolyzing acid amidase isoform 1 precursor</t>
  </si>
  <si>
    <t>N-acylethanolamine-hydrolyzing acid amidase isoform 2 precursor</t>
  </si>
  <si>
    <t>SOSS complex subunit B1</t>
  </si>
  <si>
    <t xml:space="preserve">nascent polypeptide-associated complex subunit alpha isoform a </t>
  </si>
  <si>
    <t xml:space="preserve">nascent polypeptide-associated complex subunit alpha isoform b </t>
  </si>
  <si>
    <t xml:space="preserve">NAD kinase domain-containing protein 1 isoform 1 </t>
  </si>
  <si>
    <t xml:space="preserve">NAD kinase domain-containing protein 1 isoform 2 </t>
  </si>
  <si>
    <t xml:space="preserve">glutamine-dependent NAD(+) synthetase </t>
  </si>
  <si>
    <t xml:space="preserve">NEDD8-activating enzyme E1 regulatory subunit </t>
  </si>
  <si>
    <t>alpha-N-acetylgalactosaminidase precursor</t>
  </si>
  <si>
    <t>N-acetyl-D-glucosamine kinase isoform 2</t>
  </si>
  <si>
    <t>N-acetyl-D-glucosamine kinase isoform 1</t>
  </si>
  <si>
    <t>alpha-N-acetylglucosaminidase precursor</t>
  </si>
  <si>
    <t xml:space="preserve">baculoviral IAP repeat-containing protein 1b </t>
  </si>
  <si>
    <t>nicotinamide phosphoribosyltransferase</t>
  </si>
  <si>
    <t xml:space="preserve">N-acylneuraminate-9-phosphatase </t>
  </si>
  <si>
    <t xml:space="preserve">sialic acid synthase </t>
  </si>
  <si>
    <t xml:space="preserve">nucleosome assembly protein 1-like 1 isoform 1 </t>
  </si>
  <si>
    <t xml:space="preserve">nucleosome assembly protein 1-like 1 isoform 2 </t>
  </si>
  <si>
    <t xml:space="preserve">nucleosome assembly protein 1-like 4 </t>
  </si>
  <si>
    <t>alpha-soluble NSF attachment protein</t>
  </si>
  <si>
    <t>beta-soluble NSF attachment protein</t>
  </si>
  <si>
    <t>gamma-soluble NSF attachment protein</t>
  </si>
  <si>
    <t>napsin-A precursor</t>
  </si>
  <si>
    <t xml:space="preserve">nuclear prelamin A recognition factor </t>
  </si>
  <si>
    <t>cytosolic Fe-S cluster assembly factor NARFL</t>
  </si>
  <si>
    <t xml:space="preserve">asparagine--tRNA ligase, cytoplasmic isoform 2 </t>
  </si>
  <si>
    <t xml:space="preserve">asparagine--tRNA ligase, cytoplasmic isoform 1 </t>
  </si>
  <si>
    <t>nuclear autoantigenic sperm protein isoform 2</t>
  </si>
  <si>
    <t>nuclear autoantigenic sperm protein isoform 1</t>
  </si>
  <si>
    <t>N-acetyltransferase 10</t>
  </si>
  <si>
    <t xml:space="preserve">arylamine N-acetyltransferase 2 </t>
  </si>
  <si>
    <t>N-acetyltransferase 9</t>
  </si>
  <si>
    <t xml:space="preserve">neuron navigator 2 isoform 1 </t>
  </si>
  <si>
    <t xml:space="preserve">neuron navigator 2 isoform 2 </t>
  </si>
  <si>
    <t>neuroblastoma-amplified protein</t>
  </si>
  <si>
    <t xml:space="preserve">neurobeachin </t>
  </si>
  <si>
    <t xml:space="preserve">neurobeachin like 1 </t>
  </si>
  <si>
    <t xml:space="preserve">neurobeachin-like protein 2 </t>
  </si>
  <si>
    <t xml:space="preserve">neurocalcin-delta </t>
  </si>
  <si>
    <t>condensin complex subunit 1</t>
  </si>
  <si>
    <t>condensin-2 complex subunit D3</t>
  </si>
  <si>
    <t>condensin complex subunit 3</t>
  </si>
  <si>
    <t>condensin-2 complex subunit G2</t>
  </si>
  <si>
    <t>condensin complex subunit 2</t>
  </si>
  <si>
    <t>condensin-2 complex subunit H2 isoform a</t>
  </si>
  <si>
    <t>condensin-2 complex subunit H2 isoform d</t>
  </si>
  <si>
    <t>condensin-2 complex subunit H2 isoform c</t>
  </si>
  <si>
    <t xml:space="preserve">nuclear cap-binding protein subunit 1 </t>
  </si>
  <si>
    <t xml:space="preserve">nuclear cap-binding protein subunit 2 </t>
  </si>
  <si>
    <t xml:space="preserve">neurochondrin </t>
  </si>
  <si>
    <t xml:space="preserve">neutral cholesterol ester hydrolase 1 </t>
  </si>
  <si>
    <t xml:space="preserve">cytoplasmic protein NCK1 </t>
  </si>
  <si>
    <t xml:space="preserve">cytoplasmic protein NCK2 </t>
  </si>
  <si>
    <t xml:space="preserve">nck-associated protein 1 </t>
  </si>
  <si>
    <t xml:space="preserve">nck-associated protein 1-like </t>
  </si>
  <si>
    <t xml:space="preserve">NCK-interacting protein with SH3 domain </t>
  </si>
  <si>
    <t xml:space="preserve">nucleolin </t>
  </si>
  <si>
    <t>nicalin precursor</t>
  </si>
  <si>
    <t>nuclear receptor coactivator 2 isoform a</t>
  </si>
  <si>
    <t>nuclear receptor coactivator 2 isoform b</t>
  </si>
  <si>
    <t>nuclear receptor coactivator 3</t>
  </si>
  <si>
    <t>nuclear receptor coactivator 5</t>
  </si>
  <si>
    <t>nicastrin precursor</t>
  </si>
  <si>
    <t xml:space="preserve">NADH dehydrogenase subunit 1musculus castaneus] </t>
  </si>
  <si>
    <t>NADH dehydrogenase subunit 1musculus</t>
  </si>
  <si>
    <t>NADH dehydrogenase subunit 1</t>
  </si>
  <si>
    <t xml:space="preserve">NADH dehydrogenase subunit 1musculus molossinus] </t>
  </si>
  <si>
    <t>NADH dehydrogenase subunit 2musculus</t>
  </si>
  <si>
    <t xml:space="preserve">NADH dehydrogenase subunit 2musculus castaneus] </t>
  </si>
  <si>
    <t>NADH dehydrogenase subunit 2</t>
  </si>
  <si>
    <t xml:space="preserve">NADH dehydrogenase subunit 2musculus molossinus] </t>
  </si>
  <si>
    <t xml:space="preserve">NADH dehydrogenase subunit 3musculus castaneus] </t>
  </si>
  <si>
    <t>NADH dehydrogenase subunit 3</t>
  </si>
  <si>
    <t>NADH dehydrogenase subunit 4musculus</t>
  </si>
  <si>
    <t xml:space="preserve">NADH dehydrogenase subunit 4musculus castaneus] </t>
  </si>
  <si>
    <t>NADH dehydrogenase subunit 4</t>
  </si>
  <si>
    <t xml:space="preserve">NADH dehydrogenase subunit 4musculus molossinus] </t>
  </si>
  <si>
    <t>NADH dehydrogenase subunit 5musculus</t>
  </si>
  <si>
    <t xml:space="preserve">NADH dehydrogenase subunit 5musculus castaneus] </t>
  </si>
  <si>
    <t>NADH dehydrogenase subunit 5</t>
  </si>
  <si>
    <t xml:space="preserve">NADH dehydrogenase subunit 5musculus molossinus] </t>
  </si>
  <si>
    <t>nuclear distribution protein nudE homolog 1 isoform a</t>
  </si>
  <si>
    <t>nuclear distribution protein nudE homolog 1 isoform b</t>
  </si>
  <si>
    <t xml:space="preserve">nuclear distribution protein nudE-like 1 </t>
  </si>
  <si>
    <t xml:space="preserve">melanoma-associated antigen G1 </t>
  </si>
  <si>
    <t>protein NDRG1</t>
  </si>
  <si>
    <t>protein NDRG3 isoform 1</t>
  </si>
  <si>
    <t>protein NDRG3 isoform 2</t>
  </si>
  <si>
    <t>NADH dehydrogenase [ubiquinone] 1 alpha subcomplex subunit 1</t>
  </si>
  <si>
    <t>NADH dehydrogenase [ubiquinone] 1 alpha subcomplex subunit 10, mitochondrial precursor</t>
  </si>
  <si>
    <t>NADH dehydrogenase [ubiquinone] 1 alpha subcomplex subunit 11</t>
  </si>
  <si>
    <t>NADH dehydrogenase [ubiquinone] 1 alpha subcomplex subunit 12</t>
  </si>
  <si>
    <t>NADH dehydrogenase [ubiquinone] 1 alpha subcomplex subunit 13</t>
  </si>
  <si>
    <t>NADH dehydrogenase [ubiquinone] 1 alpha subcomplex subunit 2</t>
  </si>
  <si>
    <t>NADH dehydrogenase [ubiquinone] 1 alpha subcomplex subunit 3</t>
  </si>
  <si>
    <t>NADH dehydrogenase [ubiquinone] 1 alpha subcomplex subunit 4</t>
  </si>
  <si>
    <t>NADH dehydrogenase [ubiquinone] 1 alpha subcomplex subunit 5</t>
  </si>
  <si>
    <t>NADH dehydrogenase [ubiquinone] 1 alpha subcomplex subunit 6</t>
  </si>
  <si>
    <t>NADH dehydrogenase [ubiquinone] 1 alpha subcomplex subunit 7</t>
  </si>
  <si>
    <t>NADH dehydrogenase [ubiquinone] 1 alpha subcomplex subunit 8</t>
  </si>
  <si>
    <t>NADH dehydrogenase [ubiquinone] 1 alpha subcomplex subunit 9, mitochondrial precursor</t>
  </si>
  <si>
    <t xml:space="preserve">acyl carrier protein, mitochondrial precursor </t>
  </si>
  <si>
    <t>mimitin, mitochondrial</t>
  </si>
  <si>
    <t xml:space="preserve">NADH dehydrogenase [ubiquinone] 1 alpha subcomplex assembly factor 3 </t>
  </si>
  <si>
    <t xml:space="preserve">NADH dehydrogenase [ubiquinone] 1 alpha subcomplex assembly factor 4 </t>
  </si>
  <si>
    <t>NADH dehydrogenase [ubiquinone] 1 alpha subcomplex assembly factor 5 precursor</t>
  </si>
  <si>
    <t xml:space="preserve">protein midA homolog, mitochondrial precursor </t>
  </si>
  <si>
    <t>NADH dehydrogenase [ubiquinone] 1 beta subcomplex subunit 10</t>
  </si>
  <si>
    <t xml:space="preserve">NADH dehydrogenase [ubiquinone] 1 beta subcomplex subunit 11, mitochondrial </t>
  </si>
  <si>
    <t>NADH dehydrogenase [ubiquinone] 1 beta subcomplex subunit 3</t>
  </si>
  <si>
    <t>NADH dehydrogenase [ubiquinone] 1 beta subcomplex subunit 5, mitochondrial precursor</t>
  </si>
  <si>
    <t>NADH dehydrogenase [ubiquinone] 1 beta subcomplex subunit 6</t>
  </si>
  <si>
    <t>NADH dehydrogenase [ubiquinone] 1 beta subcomplex subunit 7</t>
  </si>
  <si>
    <t>NADH dehydrogenase [ubiquinone] 1 beta subcomplex subunit 8, mitochondrial precursor</t>
  </si>
  <si>
    <t>NADH dehydrogenase [ubiquinone] 1 beta subcomplex subunit 9</t>
  </si>
  <si>
    <t>NADH dehydrogenase [ubiquinone] 1 subunit C2</t>
  </si>
  <si>
    <t xml:space="preserve">NADH-ubiquinone oxidoreductase 75 kDa subunit, mitochondrial precursor </t>
  </si>
  <si>
    <t>NADH dehydrogenase [ubiquinone] iron-sulfur protein 2, mitochondrial precursor</t>
  </si>
  <si>
    <t>NADH dehydrogenase [ubiquinone] iron-sulfur protein 3, mitochondrial precursor</t>
  </si>
  <si>
    <t xml:space="preserve">NADH dehydrogenase [ubiquinone] iron-sulfur protein 4, mitochondrial </t>
  </si>
  <si>
    <t>NADH dehydrogenase [ubiquinone] iron-sulfur protein 6, mitochondrial precursor</t>
  </si>
  <si>
    <t>NADH dehydrogenase [ubiquinone] iron-sulfur protein 7, mitochondrial precursor</t>
  </si>
  <si>
    <t xml:space="preserve">NADH dehydrogenase [ubiquinone] iron-sulfur protein 8, mitochondrial </t>
  </si>
  <si>
    <t xml:space="preserve">NADH dehydrogenase [ubiquinone] flavoprotein 1, mitochondrial precursor </t>
  </si>
  <si>
    <t>NADH dehydrogenase [ubiquinone] flavoprotein 2, mitochondrial isoform 2</t>
  </si>
  <si>
    <t xml:space="preserve">NADH dehydrogenase [ubiquinone] flavoprotein 2, mitochondrial isoform 1 precursor </t>
  </si>
  <si>
    <t>NADH dehydrogenase [ubiquinone] flavoprotein 3, mitochondrial isoform 2</t>
  </si>
  <si>
    <t>NADH dehydrogenase [ubiquinone] flavoprotein 3, mitochondrial isoform 1</t>
  </si>
  <si>
    <t xml:space="preserve">nebulette </t>
  </si>
  <si>
    <t xml:space="preserve">adaptin ear-binding coat-associated protein 1 </t>
  </si>
  <si>
    <t xml:space="preserve">adaptin ear-binding coat-associated protein 2 </t>
  </si>
  <si>
    <t>protein NEDD1</t>
  </si>
  <si>
    <t>E3 ubiquitin-protein ligase NEDD4</t>
  </si>
  <si>
    <t>E3 ubiquitin-protein ligase NEDD4-like isoform 2</t>
  </si>
  <si>
    <t>E3 ubiquitin-protein ligase NEDD4-like isoform 1</t>
  </si>
  <si>
    <t>NEDD8 precursor</t>
  </si>
  <si>
    <t xml:space="preserve">endonuclease 8-like 1 </t>
  </si>
  <si>
    <t xml:space="preserve">serine/threonine-protein kinase Nek1 </t>
  </si>
  <si>
    <t xml:space="preserve">serine/threonine-protein kinase Nek6 </t>
  </si>
  <si>
    <t xml:space="preserve">serine/threonine-protein kinase Nek7 </t>
  </si>
  <si>
    <t xml:space="preserve">serine/threonine-protein kinase Nek9 </t>
  </si>
  <si>
    <t>negative elongation factor A</t>
  </si>
  <si>
    <t>negative elongation factor B</t>
  </si>
  <si>
    <t>negative elongation factor D</t>
  </si>
  <si>
    <t>negative elongation factor E</t>
  </si>
  <si>
    <t xml:space="preserve">nuclear export mediator factor Nemf </t>
  </si>
  <si>
    <t>neudesin precursor</t>
  </si>
  <si>
    <t>neogenin isoform 1 precursor</t>
  </si>
  <si>
    <t>neogenin isoform 2 precursor</t>
  </si>
  <si>
    <t xml:space="preserve">nestin </t>
  </si>
  <si>
    <t>sialidase-1 precursor</t>
  </si>
  <si>
    <t xml:space="preserve">nexilin </t>
  </si>
  <si>
    <t xml:space="preserve">neurofibromin </t>
  </si>
  <si>
    <t xml:space="preserve">nuclear factor NF-kappa-B p105 subunit </t>
  </si>
  <si>
    <t xml:space="preserve">nuclear factor NF-kappa-B p100 subunit isoform b </t>
  </si>
  <si>
    <t xml:space="preserve">nuclear factor NF-kappa-B p100 subunit isoform a </t>
  </si>
  <si>
    <t xml:space="preserve">NF-kappa-B inhibitor alpha </t>
  </si>
  <si>
    <t xml:space="preserve">NF-kappa-B inhibitor beta </t>
  </si>
  <si>
    <t xml:space="preserve">cysteine desulfurase, mitochondrial </t>
  </si>
  <si>
    <t xml:space="preserve">NFU1 iron-sulfur cluster scaffold homolog, mitochondrial isoform 2 precursor </t>
  </si>
  <si>
    <t xml:space="preserve">NFU1 iron-sulfur cluster scaffold homolog, mitochondrial isoform 1 precursor </t>
  </si>
  <si>
    <t>nuclear transcription factor, X-box binding-like 1</t>
  </si>
  <si>
    <t>nuclear transcription factor Y subunit alpha isoform a</t>
  </si>
  <si>
    <t>nuclear transcription factor Y subunit alpha isoform b</t>
  </si>
  <si>
    <t>nuclear transcription factor Y subunit gamma</t>
  </si>
  <si>
    <t xml:space="preserve">ephexin-1 isoform 1 </t>
  </si>
  <si>
    <t xml:space="preserve">ephexin-1 isoform 2 </t>
  </si>
  <si>
    <t>non-homologous end-joining factor 1</t>
  </si>
  <si>
    <t>NHL repeat-containing protein 2</t>
  </si>
  <si>
    <t xml:space="preserve">NHL repeat-containing protein 3 precursor </t>
  </si>
  <si>
    <t xml:space="preserve">H/ACA ribonucleoprotein complex subunit 2 </t>
  </si>
  <si>
    <t xml:space="preserve">Nance-Horan syndrome protein </t>
  </si>
  <si>
    <t xml:space="preserve">NIF3-like protein 1 </t>
  </si>
  <si>
    <t xml:space="preserve">MKI67 FHA domain-interacting nucleolar phosphoprotein </t>
  </si>
  <si>
    <t xml:space="preserve">ninjurin-1 </t>
  </si>
  <si>
    <t xml:space="preserve">60S ribosome subunit biogenesis protein NIP7 homolog isoform 2 </t>
  </si>
  <si>
    <t xml:space="preserve">60S ribosome subunit biogenesis protein NIP7 homolog isoform 1 </t>
  </si>
  <si>
    <t>nipped-B-like protein isoform A</t>
  </si>
  <si>
    <t>nipped-B-like protein isoform B</t>
  </si>
  <si>
    <t>protein NipSnap homolog 1</t>
  </si>
  <si>
    <t>protein NipSnap homolog 3B</t>
  </si>
  <si>
    <t xml:space="preserve">nischarin </t>
  </si>
  <si>
    <t xml:space="preserve">nitrilase homolog 1 isoform 2 </t>
  </si>
  <si>
    <t xml:space="preserve">nitrilase homolog 1 isoform 1 </t>
  </si>
  <si>
    <t>omega-amidase NIT2</t>
  </si>
  <si>
    <t>NF-kappa-B-activating protein</t>
  </si>
  <si>
    <t xml:space="preserve">NFKB activating protein-like </t>
  </si>
  <si>
    <t xml:space="preserve">NF-kappa-B inhibitor-interacting Ras-like protein 2 </t>
  </si>
  <si>
    <t xml:space="preserve">NK-tumor recognition protein </t>
  </si>
  <si>
    <t xml:space="preserve">homeobox protein Nkx-6.1 </t>
  </si>
  <si>
    <t>notchless protein homolog 1</t>
  </si>
  <si>
    <t xml:space="preserve">serine/threonine-protein kinase NLK </t>
  </si>
  <si>
    <t xml:space="preserve">neurolysin, mitochondrial precursor </t>
  </si>
  <si>
    <t>NLR family, pyrin domain containing 1A</t>
  </si>
  <si>
    <t xml:space="preserve">NACHT, LRR and PYD domains-containing protein 3 </t>
  </si>
  <si>
    <t xml:space="preserve">NACHT, LRR and PYD domains-containing protein 5 isoform a </t>
  </si>
  <si>
    <t xml:space="preserve">NACHT, LRR and PYD domains-containing protein 5 isoform b </t>
  </si>
  <si>
    <t>nucleoside diphosphate kinase A</t>
  </si>
  <si>
    <t>nucleoside diphosphate kinase B</t>
  </si>
  <si>
    <t>nucleoside diphosphate kinase 3</t>
  </si>
  <si>
    <t>nucleoside diphosphate kinase 6</t>
  </si>
  <si>
    <t>thioredoxin domain-containing protein 3 isoform 1</t>
  </si>
  <si>
    <t>thioredoxin domain-containing protein 3 isoform 2</t>
  </si>
  <si>
    <t xml:space="preserve">N-myc-interactor </t>
  </si>
  <si>
    <t>nicotinamide mononucleotide adenylyltransferase 1</t>
  </si>
  <si>
    <t>nicotinamide mononucleotide adenylyltransferase 3</t>
  </si>
  <si>
    <t xml:space="preserve">nmrA-like family domain-containing protein 1 </t>
  </si>
  <si>
    <t>nicotinamide riboside kinase 1</t>
  </si>
  <si>
    <t xml:space="preserve">glycylpeptide N-tetradecanoyltransferase 1 </t>
  </si>
  <si>
    <t xml:space="preserve">glycylpeptide N-tetradecanoyltransferase 2 </t>
  </si>
  <si>
    <t>nitric oxide-associated protein 1</t>
  </si>
  <si>
    <t xml:space="preserve">RNA-binding protein NOB1 </t>
  </si>
  <si>
    <t xml:space="preserve">nucleolar complex protein 2 homolog </t>
  </si>
  <si>
    <t xml:space="preserve">nucleotide-binding oligomerization domain-containing protein 2 </t>
  </si>
  <si>
    <t xml:space="preserve">polynucleotide 5'-hydroxyl-kinase NOL9 isoform 2 </t>
  </si>
  <si>
    <t xml:space="preserve">polynucleotide 5'-hydroxyl-kinase NOL9 isoform 1 </t>
  </si>
  <si>
    <t xml:space="preserve">nucleolar and coiled-body phosphoprotein 1 isoform B </t>
  </si>
  <si>
    <t xml:space="preserve">nucleolar and coiled-body phosphoprotein 1 isoform C </t>
  </si>
  <si>
    <t xml:space="preserve">nucleolar and coiled-body phosphoprotein 1 isoform A </t>
  </si>
  <si>
    <t xml:space="preserve">nucleolar and coiled-body phosphoprotein 1 isoform D </t>
  </si>
  <si>
    <t xml:space="preserve">nucleolar MIF4G domain-containing protein 1 </t>
  </si>
  <si>
    <t>nodal modulator 1 precursor</t>
  </si>
  <si>
    <t>non-POU domain-containing octamer-binding protein</t>
  </si>
  <si>
    <t xml:space="preserve">H/ACA ribonucleoprotein complex subunit 3 </t>
  </si>
  <si>
    <t xml:space="preserve">nucleolar protein 16 </t>
  </si>
  <si>
    <t xml:space="preserve">putative ribosomal RNA methyltransferase NOP2 </t>
  </si>
  <si>
    <t xml:space="preserve">nucleolar protein 56 </t>
  </si>
  <si>
    <t xml:space="preserve">nucleolar protein 58 </t>
  </si>
  <si>
    <t xml:space="preserve">nucleolar protein 9 </t>
  </si>
  <si>
    <t xml:space="preserve">carboxyl-terminal PDZ ligand of neuronal nitric oxide synthase protein isoform 2 </t>
  </si>
  <si>
    <t xml:space="preserve">carboxyl-terminal PDZ ligand of neuronal nitric oxide synthase protein isoform 1 </t>
  </si>
  <si>
    <t>nitric oxide synthase-interacting protein isoform 2</t>
  </si>
  <si>
    <t>nitric oxide synthase-interacting protein isoform 1</t>
  </si>
  <si>
    <t xml:space="preserve">neurogenic locus notch homolog protein 2 precursor </t>
  </si>
  <si>
    <t xml:space="preserve">neurogenic locus notch homolog protein 3 precursor </t>
  </si>
  <si>
    <t xml:space="preserve">neuronal PAS domain-containing protein 4 </t>
  </si>
  <si>
    <t>Niemann-Pick C1 protein precursor</t>
  </si>
  <si>
    <t xml:space="preserve">epididymal secretory protein E1 precursor </t>
  </si>
  <si>
    <t xml:space="preserve">probable aminopeptidase NPEPL1 </t>
  </si>
  <si>
    <t>puromycin-sensitive aminopeptidase</t>
  </si>
  <si>
    <t>nuclear protein localization protein 4 homolog isoform A</t>
  </si>
  <si>
    <t>nuclear protein localization protein 4 homolog isoform B</t>
  </si>
  <si>
    <t xml:space="preserve">nucleophosmin isoform 2 </t>
  </si>
  <si>
    <t xml:space="preserve">nucleophosmin isoform 3 </t>
  </si>
  <si>
    <t xml:space="preserve">nucleophosmin isoform 1 </t>
  </si>
  <si>
    <t xml:space="preserve">nucleoplasmin-3 </t>
  </si>
  <si>
    <t>nephronectin isoform b precursor</t>
  </si>
  <si>
    <t>nephronectin isoform a precursor</t>
  </si>
  <si>
    <t xml:space="preserve">nitrogen permease regulator 3-like protein </t>
  </si>
  <si>
    <t>neuroplastin precursor</t>
  </si>
  <si>
    <t>NAD(P)H dehydrogenase [quinone] 1</t>
  </si>
  <si>
    <t xml:space="preserve">ribosyldihydronicotinamide dehydrogenase [quinone] isoform 2 </t>
  </si>
  <si>
    <t xml:space="preserve">ribosyldihydronicotinamide dehydrogenase [quinone] isoform 1 </t>
  </si>
  <si>
    <t>nuclear receptor 2C2-associated protein isoform 1</t>
  </si>
  <si>
    <t>glucocorticoid receptor</t>
  </si>
  <si>
    <t xml:space="preserve">GTPase NRas precursor </t>
  </si>
  <si>
    <t xml:space="preserve">nuclear receptor-binding protein </t>
  </si>
  <si>
    <t>nuclear receptor-binding protein 2</t>
  </si>
  <si>
    <t>nardilysin precursor</t>
  </si>
  <si>
    <t xml:space="preserve">neural retina-specific leucine zipper protein </t>
  </si>
  <si>
    <t xml:space="preserve">nurim </t>
  </si>
  <si>
    <t>neuropilin-1 precursor</t>
  </si>
  <si>
    <t xml:space="preserve">sterol-4-alpha-carboxylate 3-dehydrogenase, decarboxylating </t>
  </si>
  <si>
    <t>vesicle-fusing ATPase</t>
  </si>
  <si>
    <t xml:space="preserve">NSFL1 cofactor p47 </t>
  </si>
  <si>
    <t>E3 SUMO-protein ligase NSE2 isoform 1</t>
  </si>
  <si>
    <t>E3 SUMO-protein ligase NSE2 isoform 2</t>
  </si>
  <si>
    <t xml:space="preserve">non-SMC element 4 homolog A </t>
  </si>
  <si>
    <t>tRNA (cytosine(34)-C(5))-methyltransferase</t>
  </si>
  <si>
    <t xml:space="preserve">putative methyltransferase NSUN5 </t>
  </si>
  <si>
    <t xml:space="preserve">putative methyltransferase NSUN6 isoform a </t>
  </si>
  <si>
    <t xml:space="preserve">putative methyltransferase NSUN6 isoform b </t>
  </si>
  <si>
    <t xml:space="preserve">putative methyltransferase NSUN6 isoform c </t>
  </si>
  <si>
    <t xml:space="preserve">5'(3')-deoxyribonucleotidase, cytosolic type </t>
  </si>
  <si>
    <t xml:space="preserve">cytosolic purine 5'-nucleotidase isoform 1 </t>
  </si>
  <si>
    <t xml:space="preserve">cytosolic purine 5'-nucleotidase isoform 2 </t>
  </si>
  <si>
    <t xml:space="preserve">cytosolic purine 5'-nucleotidase isoform 3 </t>
  </si>
  <si>
    <t xml:space="preserve">cytosolic 5'-nucleotidase 3 isoform 1 </t>
  </si>
  <si>
    <t xml:space="preserve">cytosolic 5'-nucleotidase 3 isoform 2 </t>
  </si>
  <si>
    <t>cytosolic 5'-nucleotidase III-like protein isoform 2</t>
  </si>
  <si>
    <t>cytosolic 5'-nucleotidase III-like protein isoform 1</t>
  </si>
  <si>
    <t>5'-nucleotidase domain-containing protein 1</t>
  </si>
  <si>
    <t>5'-nucleotidase domain containing 2</t>
  </si>
  <si>
    <t>5'-nucleotidase domain-containing protein 3</t>
  </si>
  <si>
    <t>protein N-terminal asparagine amidohydrolase</t>
  </si>
  <si>
    <t>N-terminal Xaa-Pro-Lys N-methyltransferase 1</t>
  </si>
  <si>
    <t xml:space="preserve">cancer-related nucleoside-triphosphatase homolog </t>
  </si>
  <si>
    <t>NEDD8 ultimate buster 1</t>
  </si>
  <si>
    <t>cytosolic Fe-S cluster assembly factor NUBP1</t>
  </si>
  <si>
    <t>cytosolic Fe-S cluster assembly factor NUBP2</t>
  </si>
  <si>
    <t>iron-sulfur protein NUBPL precursor</t>
  </si>
  <si>
    <t>nucleobindin-1 isoform 1 precursor</t>
  </si>
  <si>
    <t>nucleobindin-1 isoform 2 precursor</t>
  </si>
  <si>
    <t>nucleobindin-2 precursor</t>
  </si>
  <si>
    <t>nuclear ubiquitous casein and cyclin-dependent kinase substrate 1 isoform 1</t>
  </si>
  <si>
    <t>nuclear ubiquitous casein and cyclin-dependent kinase substrate 1 isoform 2</t>
  </si>
  <si>
    <t>nuclear migration protein nudC</t>
  </si>
  <si>
    <t>nudC domain-containing protein 1 isoform 1</t>
  </si>
  <si>
    <t>nudC domain-containing protein 1 isoform 2</t>
  </si>
  <si>
    <t>nudC domain-containing protein 2</t>
  </si>
  <si>
    <t>nudC domain-containing protein 3</t>
  </si>
  <si>
    <t xml:space="preserve">7,8-dihydro-8-oxoguanine triphosphatase precursor </t>
  </si>
  <si>
    <t>diphosphoinositol polyphosphate phosphohydrolase 3-alpha</t>
  </si>
  <si>
    <t>peroxisomal NADH pyrophosphatase NUDT12</t>
  </si>
  <si>
    <t>uridine diphosphate glucose pyrophosphatase</t>
  </si>
  <si>
    <t xml:space="preserve">U8 snoRNA-decapping enzyme </t>
  </si>
  <si>
    <t>protein syndesmos</t>
  </si>
  <si>
    <t>bis(5'-nucleosyl)-tetraphosphatase [asymmetrical]</t>
  </si>
  <si>
    <t xml:space="preserve">cleavage and polyadenylation specificity factor subunit 5 </t>
  </si>
  <si>
    <t>diphosphoinositol polyphosphate phosphohydrolase 1</t>
  </si>
  <si>
    <t>diphosphoinositol polyphosphate phosphohydrolase 2</t>
  </si>
  <si>
    <t>ADP-sugar pyrophosphatase</t>
  </si>
  <si>
    <t>nucleoside diphosphate-linked moiety X motif 8, mitochondrial precursor</t>
  </si>
  <si>
    <t xml:space="preserve">ADP-ribose pyrophosphatase, mitochondrial </t>
  </si>
  <si>
    <t xml:space="preserve">kinetochore protein Nuf2 </t>
  </si>
  <si>
    <t xml:space="preserve">nuclear fragile X mental retardation-interacting protein 2 </t>
  </si>
  <si>
    <t xml:space="preserve">nuclear mitotic apparatus protein 1 </t>
  </si>
  <si>
    <t xml:space="preserve">protein numb homolog isoform 1 </t>
  </si>
  <si>
    <t xml:space="preserve">protein numb homolog isoform 3 </t>
  </si>
  <si>
    <t xml:space="preserve">protein numb homolog isoform 4 </t>
  </si>
  <si>
    <t xml:space="preserve">protein numb homolog isoform 2 </t>
  </si>
  <si>
    <t xml:space="preserve">nuclear pore complex protein Nup107 </t>
  </si>
  <si>
    <t xml:space="preserve">nuclear pore complex protein Nup133 </t>
  </si>
  <si>
    <t xml:space="preserve">nuclear pore complex protein Nup155 </t>
  </si>
  <si>
    <t xml:space="preserve">nuclear pore complex protein Nup160 </t>
  </si>
  <si>
    <t xml:space="preserve">nucleoporin NUP188 homolog </t>
  </si>
  <si>
    <t>nucleoporin 205</t>
  </si>
  <si>
    <t>nuclear pore membrane glycoprotein 210 precursor</t>
  </si>
  <si>
    <t xml:space="preserve">nuclear pore complex protein Nup214 </t>
  </si>
  <si>
    <t>nucleoporin NUP53 isoform 2</t>
  </si>
  <si>
    <t>nucleoporin NUP53 isoform 1</t>
  </si>
  <si>
    <t>nucleoporin Nup37</t>
  </si>
  <si>
    <t>nucleoporin Nup43</t>
  </si>
  <si>
    <t xml:space="preserve">nuclear pore complex protein Nup50 </t>
  </si>
  <si>
    <t xml:space="preserve">nuclear pore complex protein Nup54 </t>
  </si>
  <si>
    <t xml:space="preserve">nuclear pore complex protein Nup85 </t>
  </si>
  <si>
    <t xml:space="preserve">nuclear pore complex protein Nup93 </t>
  </si>
  <si>
    <t xml:space="preserve">nogo-B receptor precursor </t>
  </si>
  <si>
    <t xml:space="preserve">nucleolar and spindle-associated protein 1 isoform b </t>
  </si>
  <si>
    <t xml:space="preserve">nucleolar and spindle-associated protein 1 isoform a </t>
  </si>
  <si>
    <t xml:space="preserve">nuclear valosin-containing protein-like </t>
  </si>
  <si>
    <t xml:space="preserve">nuclear RNA export factor 1 isoform 2 </t>
  </si>
  <si>
    <t xml:space="preserve">nuclear RNA export factor 1 isoform 1 </t>
  </si>
  <si>
    <t xml:space="preserve">nucleoredoxin </t>
  </si>
  <si>
    <t>NTF2-related export protein 1</t>
  </si>
  <si>
    <t>NTF2-related export protein 2</t>
  </si>
  <si>
    <t>protein NYNRIN</t>
  </si>
  <si>
    <t xml:space="preserve">O-acetyl-ADP-ribose deacetylase 1 </t>
  </si>
  <si>
    <t xml:space="preserve">2'-5'-oligoadenylate synthase 1A </t>
  </si>
  <si>
    <t>2'-5' oligoadenylate synthetase 1G</t>
  </si>
  <si>
    <t>CST complex subunit STN1</t>
  </si>
  <si>
    <t>obscurin-like 1</t>
  </si>
  <si>
    <t>OCIA domain-containing protein 1 isoform 1</t>
  </si>
  <si>
    <t>OCIA domain-containing protein 1 isoform 2</t>
  </si>
  <si>
    <t>OCIA domain-containing protein 1 isoform 3</t>
  </si>
  <si>
    <t xml:space="preserve">outer dense fiber protein 3-like protein 1 </t>
  </si>
  <si>
    <t xml:space="preserve">oral-facial-digital syndrome 1 protein homolog </t>
  </si>
  <si>
    <t>2-oxoglutarate dehydrogenase, mitochondrial isoform 3 precursor</t>
  </si>
  <si>
    <t xml:space="preserve">2-oxoglutarate dehydrogenase, mitochondrial isoform 3 </t>
  </si>
  <si>
    <t xml:space="preserve">2-oxoglutarate dehydrogenase, mitochondrial isoform 1 </t>
  </si>
  <si>
    <t xml:space="preserve">2-oxoglutarate dehydrogenase, mitochondrial isoform 2 </t>
  </si>
  <si>
    <t xml:space="preserve">2-oxoglutarate dehydrogenase, mitochondrial isoform 4 </t>
  </si>
  <si>
    <t xml:space="preserve">2-oxoglutarate dehydrogenase-like, mitochondrial </t>
  </si>
  <si>
    <t xml:space="preserve">2-oxoglutarate and iron-dependent oxygenase domain-containing protein 1 isoform 1 </t>
  </si>
  <si>
    <t xml:space="preserve">2-oxoglutarate and iron-dependent oxygenase domain-containing protein 1 isoform 2 </t>
  </si>
  <si>
    <t>opioid growth factor receptor</t>
  </si>
  <si>
    <t xml:space="preserve">UDP-N-acetylglucosamine--peptide N-acetylglucosaminyltransferase 110 kDa subunit </t>
  </si>
  <si>
    <t xml:space="preserve">protein FAM3D precursor </t>
  </si>
  <si>
    <t xml:space="preserve">obg-like ATPase 1 isoform a </t>
  </si>
  <si>
    <t xml:space="preserve">obg-like ATPase 1 isoform b </t>
  </si>
  <si>
    <t xml:space="preserve">olfactory receptor 1126 </t>
  </si>
  <si>
    <t xml:space="preserve">olfactory receptor 516 </t>
  </si>
  <si>
    <t xml:space="preserve">olfactory receptor 518 </t>
  </si>
  <si>
    <t xml:space="preserve">olfactory receptor 554 </t>
  </si>
  <si>
    <t xml:space="preserve">olfactory receptor 643 </t>
  </si>
  <si>
    <t xml:space="preserve">olfactory receptor 67 </t>
  </si>
  <si>
    <t xml:space="preserve">olfactory receptor 810 </t>
  </si>
  <si>
    <t xml:space="preserve">olfactory receptor 816 </t>
  </si>
  <si>
    <t xml:space="preserve">olfactory receptor 822 </t>
  </si>
  <si>
    <t xml:space="preserve">olfactory receptor 870 </t>
  </si>
  <si>
    <t xml:space="preserve">olfactory receptor 871 </t>
  </si>
  <si>
    <t xml:space="preserve">olfactory receptor 923 </t>
  </si>
  <si>
    <t>dynamin-like 120 kDa protein, mitochondrial isoform 2 precursor</t>
  </si>
  <si>
    <t>dynamin-like 120 kDa protein, mitochondrial isoform 1 precursor</t>
  </si>
  <si>
    <t xml:space="preserve">optic atrophy 3 protein homolog </t>
  </si>
  <si>
    <t xml:space="preserve">optineurin </t>
  </si>
  <si>
    <t xml:space="preserve">ORM1-like protein 2 </t>
  </si>
  <si>
    <t xml:space="preserve">ORM1-like protein 3 </t>
  </si>
  <si>
    <t xml:space="preserve">protein OS-9 isoform 2 precursor </t>
  </si>
  <si>
    <t xml:space="preserve">protein OS-9 isoform 1 precursor </t>
  </si>
  <si>
    <t xml:space="preserve">oxysterol-binding protein 1 </t>
  </si>
  <si>
    <t xml:space="preserve">oxysterol-binding protein 2 </t>
  </si>
  <si>
    <t>oxysterol-binding protein-related protein 10</t>
  </si>
  <si>
    <t>oxysterol-binding protein-related protein 11</t>
  </si>
  <si>
    <t>oxysterol-binding protein-related protein 2</t>
  </si>
  <si>
    <t>oxysterol-binding protein-related protein 3 isoform 1</t>
  </si>
  <si>
    <t>oxysterol-binding protein-related protein 3 isoform 2</t>
  </si>
  <si>
    <t>oxysterol-binding protein-like protein 8 isoform a</t>
  </si>
  <si>
    <t>oxysterol-binding protein-like protein 8 isoform b</t>
  </si>
  <si>
    <t>oxysterol-binding protein-related protein 9 isoform b</t>
  </si>
  <si>
    <t>oxysterol-binding protein-related protein 9 isoform c</t>
  </si>
  <si>
    <t>oxysterol-binding protein-related protein 9 isoform a</t>
  </si>
  <si>
    <t>probable tRNA threonylcarbamoyladenosine biosynthesis protein Osgep</t>
  </si>
  <si>
    <t>oligosaccharyltransferase complex subunit OSTC</t>
  </si>
  <si>
    <t xml:space="preserve">osteoclast-stimulating factor 1 </t>
  </si>
  <si>
    <t xml:space="preserve">ubiquitin thioesterase OTUB1 </t>
  </si>
  <si>
    <t>OTU domain-containing protein 4 isoform 2</t>
  </si>
  <si>
    <t>OTU domain-containing protein 4 isoform 1</t>
  </si>
  <si>
    <t>OTU domain-containing protein 5</t>
  </si>
  <si>
    <t>OTU domain-containing protein 6B</t>
  </si>
  <si>
    <t>OTU domain-containing protein 7A</t>
  </si>
  <si>
    <t>zinc finger, A20 domain containing 1</t>
  </si>
  <si>
    <t>ovarian cancer-associated gene 2 protein homolog</t>
  </si>
  <si>
    <t>transcription factor Ovo-like 2 isoform A</t>
  </si>
  <si>
    <t xml:space="preserve">succinyl-CoA:3-ketoacid coenzyme A transferase 1, mitochondrial precursor </t>
  </si>
  <si>
    <t>oxidoreductase NAD-binding domain-containing protein 1 precursor</t>
  </si>
  <si>
    <t>oxidation resistance protein 1 isoform C</t>
  </si>
  <si>
    <t>oxidation resistance protein 1 isoform A</t>
  </si>
  <si>
    <t>oxidation resistance protein 1 isoform B</t>
  </si>
  <si>
    <t>oxidation resistance protein 1 isoform D</t>
  </si>
  <si>
    <t>oxidation resistance protein 1 isoform E</t>
  </si>
  <si>
    <t>3-oxoacyl-[acyl-carrier-protein] synthase, mitochondrial precursor</t>
  </si>
  <si>
    <t xml:space="preserve">serine/threonine-protein kinase OSR1 </t>
  </si>
  <si>
    <t xml:space="preserve">P2X purinoceptor 4 </t>
  </si>
  <si>
    <t xml:space="preserve">purinergic receptor P2X5 </t>
  </si>
  <si>
    <t xml:space="preserve">prolyl 4-hydroxylase subunit alpha-1 precursor </t>
  </si>
  <si>
    <t xml:space="preserve">protein disulfide-isomerase precursor </t>
  </si>
  <si>
    <t xml:space="preserve">proliferation-associated protein 2G4 </t>
  </si>
  <si>
    <t xml:space="preserve">polyadenylate-binding protein 1 </t>
  </si>
  <si>
    <t xml:space="preserve">polyadenylate-binding protein 1-like </t>
  </si>
  <si>
    <t>poly A binding protein, cytoplasmic 2</t>
  </si>
  <si>
    <t xml:space="preserve">polyadenylate-binding protein 4 isoform 2 </t>
  </si>
  <si>
    <t xml:space="preserve">polyadenylate-binding protein 4 isoform 1 </t>
  </si>
  <si>
    <t xml:space="preserve">poly(A) binding protein, cytoplasmic 4-like </t>
  </si>
  <si>
    <t xml:space="preserve">polyadenylate-binding protein 5 </t>
  </si>
  <si>
    <t xml:space="preserve">poly(A) binding protein, cytoplasmic 3 </t>
  </si>
  <si>
    <t xml:space="preserve">polyadenylate-binding protein 2 </t>
  </si>
  <si>
    <t>phosphofurin acidic cluster sorting protein 1</t>
  </si>
  <si>
    <t xml:space="preserve">protein kinase C and casein kinase substrate in neurons protein 2 </t>
  </si>
  <si>
    <t>protein kinase C and casein kinase II substrate protein 3</t>
  </si>
  <si>
    <t xml:space="preserve">protein-arginine deiminase type-2 </t>
  </si>
  <si>
    <t>RNA polymerase II-associated factor 1 homolog</t>
  </si>
  <si>
    <t>platelet-activating factor acetylhydrolase IB subunit alpha</t>
  </si>
  <si>
    <t>platelet-activating factor acetylhydrolase IB subunit beta</t>
  </si>
  <si>
    <t>platelet-activating factor acetylhydrolase IB subunit gamma</t>
  </si>
  <si>
    <t xml:space="preserve">platelet-activating factor acetylhydrolase 2, cytoplasmic </t>
  </si>
  <si>
    <t xml:space="preserve">multifunctional protein ADE2 </t>
  </si>
  <si>
    <t>polyadenylate-binding protein-interacting protein 1 isoform 2</t>
  </si>
  <si>
    <t>polyadenylate-binding protein-interacting protein 1 isoform 1</t>
  </si>
  <si>
    <t>serine/threonine-protein kinase PAK 1</t>
  </si>
  <si>
    <t xml:space="preserve">p21-activated protein kinase-interacting protein 1 </t>
  </si>
  <si>
    <t>serine/threonine-protein kinase PAK 2</t>
  </si>
  <si>
    <t>serine/threonine-protein kinase PAK 3 isoform A</t>
  </si>
  <si>
    <t>serine/threonine-protein kinase PAK 3 isoform B</t>
  </si>
  <si>
    <t>serine/threonine-protein kinase PAK 3 isoform C</t>
  </si>
  <si>
    <t>serine/threonine-protein kinase PAK 3 isoform D</t>
  </si>
  <si>
    <t>serine/threonine-protein kinase PAK 4</t>
  </si>
  <si>
    <t xml:space="preserve">paladin </t>
  </si>
  <si>
    <t xml:space="preserve">palladin </t>
  </si>
  <si>
    <t xml:space="preserve">paralemmin-1 isoform 1 </t>
  </si>
  <si>
    <t xml:space="preserve">paralemmin-1 isoform 2 </t>
  </si>
  <si>
    <t xml:space="preserve">paralemmin-3 </t>
  </si>
  <si>
    <t>peptidyl-glycine alpha-amidating monooxygenase precursor</t>
  </si>
  <si>
    <t xml:space="preserve">mitochondrial import inner membrane translocase subunit TIM16 </t>
  </si>
  <si>
    <t xml:space="preserve">PAB-dependent poly(A)-specific ribonuclease subunit 2 isoform 1 </t>
  </si>
  <si>
    <t xml:space="preserve">PAB-dependent poly(A)-specific ribonuclease subunit 2 isoform 2 </t>
  </si>
  <si>
    <t xml:space="preserve">PAB-dependent poly(A)-specific ribonuclease subunit 2 isoform 3 </t>
  </si>
  <si>
    <t xml:space="preserve">PAB-dependent poly(A)-specific ribonuclease subunit 3 </t>
  </si>
  <si>
    <t xml:space="preserve">pantothenate kinase 1 isoform 2 </t>
  </si>
  <si>
    <t xml:space="preserve">pantothenate kinase 1 isoform 1 </t>
  </si>
  <si>
    <t xml:space="preserve">pantothenate kinase 2 </t>
  </si>
  <si>
    <t xml:space="preserve">pantothenate kinase 3 </t>
  </si>
  <si>
    <t xml:space="preserve">pantothenate kinase 4 </t>
  </si>
  <si>
    <t xml:space="preserve">peroxisomal N(1)-acetyl-spermine/spermidine oxidase </t>
  </si>
  <si>
    <t xml:space="preserve">poly(A) polymerase alpha </t>
  </si>
  <si>
    <t xml:space="preserve">poly(A) polymerase beta </t>
  </si>
  <si>
    <t xml:space="preserve">poly(A) polymerase gamma </t>
  </si>
  <si>
    <t xml:space="preserve">bifunctional 3'-phosphoadenosine 5'-phosphosulfate synthase 1 </t>
  </si>
  <si>
    <t xml:space="preserve">bifunctional 3'-phosphoadenosine 5'-phosphosulfate synthase 2 isoform 2 </t>
  </si>
  <si>
    <t xml:space="preserve">bifunctional 3'-phosphoadenosine 5'-phosphosulfate synthase 2 isoform 1 </t>
  </si>
  <si>
    <t xml:space="preserve">progestin and adipoQ receptor family member 4 </t>
  </si>
  <si>
    <t>partitioning defective 3 homolog isoform 3</t>
  </si>
  <si>
    <t>partitioning defective 3 homolog isoform 4</t>
  </si>
  <si>
    <t>partitioning defective 3 homolog isoform 2</t>
  </si>
  <si>
    <t>partitioning defective 3 homolog isoform 1</t>
  </si>
  <si>
    <t xml:space="preserve">partitioning defective 3 homolog B </t>
  </si>
  <si>
    <t xml:space="preserve">partitioning defective 6 homolog alpha isoform 1 </t>
  </si>
  <si>
    <t xml:space="preserve">partitioning defective 6 homolog alpha isoform 2 </t>
  </si>
  <si>
    <t xml:space="preserve">partitioning defective 6 homolog alpha isoform 3 </t>
  </si>
  <si>
    <t xml:space="preserve">partitioning defective 6 homolog beta </t>
  </si>
  <si>
    <t xml:space="preserve">partitioning defective 6 homolog gamma </t>
  </si>
  <si>
    <t>poly(ADP-ribose) glycohydrolase</t>
  </si>
  <si>
    <t>protein DJ-1</t>
  </si>
  <si>
    <t xml:space="preserve">poly(A)-specific ribonuclease PARN </t>
  </si>
  <si>
    <t>poly [ADP-ribose] polymerase 1</t>
  </si>
  <si>
    <t>poly (ADP-ribose) polymerase family, member 10</t>
  </si>
  <si>
    <t>poly [ADP-ribose] polymerase 12</t>
  </si>
  <si>
    <t>poly [ADP-ribose] polymerase 3</t>
  </si>
  <si>
    <t>poly (ADP-ribose) polymerase family, member 4</t>
  </si>
  <si>
    <t>poly [ADP-ribose] polymerase 9</t>
  </si>
  <si>
    <t>probable proline--tRNA ligase, mitochondrial isoform 1</t>
  </si>
  <si>
    <t>probable proline--tRNA ligase, mitochondrial isoform 2</t>
  </si>
  <si>
    <t xml:space="preserve">alpha-parvin </t>
  </si>
  <si>
    <t xml:space="preserve">beta-parvin </t>
  </si>
  <si>
    <t>PAS domain-containing serine/threonine-protein kinase</t>
  </si>
  <si>
    <t>protein PAT1 homolog 1</t>
  </si>
  <si>
    <t xml:space="preserve">PRKC apoptosis WT1 regulator protein </t>
  </si>
  <si>
    <t xml:space="preserve">PAX3- and PAX7-binding protein 1 </t>
  </si>
  <si>
    <t>protein PBDC1</t>
  </si>
  <si>
    <t xml:space="preserve">lymphokine-activated killer T-cell-originated protein kinase </t>
  </si>
  <si>
    <t xml:space="preserve">phenazine biosynthesis-like domain-containing protein 1 </t>
  </si>
  <si>
    <t xml:space="preserve">phenazine biosynthesis-like domain-containing protein 2 </t>
  </si>
  <si>
    <t>pre-B-cell leukemia transcription factor-interacting protein 1</t>
  </si>
  <si>
    <t>pterin-4-alpha-carbinolamine dehydratase</t>
  </si>
  <si>
    <t xml:space="preserve">pterin-4-alpha-carbinolamine dehydratase 2 </t>
  </si>
  <si>
    <t xml:space="preserve">poly(rC)-binding protein 1 </t>
  </si>
  <si>
    <t xml:space="preserve">poly(rC)-binding protein 2 isoform 1 </t>
  </si>
  <si>
    <t xml:space="preserve">poly(rC)-binding protein 2 isoform 3 </t>
  </si>
  <si>
    <t xml:space="preserve">poly(rC)-binding protein 2 isoform 2 </t>
  </si>
  <si>
    <t xml:space="preserve">poly(rC)-binding protein 2 isoform 4 </t>
  </si>
  <si>
    <t xml:space="preserve">poly(rC)-binding protein 3 </t>
  </si>
  <si>
    <t xml:space="preserve">poly(rC)-binding protein 4 </t>
  </si>
  <si>
    <t>propionyl-CoA carboxylase alpha chain, mitochondrial precursor</t>
  </si>
  <si>
    <t>propionyl-CoA carboxylase beta chain, mitochondrial precursor</t>
  </si>
  <si>
    <t>protocadherin-1 precursor</t>
  </si>
  <si>
    <t xml:space="preserve">protocadherin alpha-4 precursor </t>
  </si>
  <si>
    <t>protocadherin alpha 4-gamma precursor</t>
  </si>
  <si>
    <t>PCI domain-containing protein 2</t>
  </si>
  <si>
    <t>phosphorylated CTD-interacting factor 1</t>
  </si>
  <si>
    <t>phosphoenolpyruvate carboxykinase [GTP], mitochondrial</t>
  </si>
  <si>
    <t>pericentriolar material 1 protein</t>
  </si>
  <si>
    <t>protein-L-isoaspartate(D-aspartate) O-methyltransferase</t>
  </si>
  <si>
    <t xml:space="preserve">protein-L-isoaspartate O-methyltransferase domain-containing protein 1 </t>
  </si>
  <si>
    <t xml:space="preserve">protein-L-isoaspartate O-methyltransferase domain-containing protein 2 </t>
  </si>
  <si>
    <t>proliferating cell nuclear antigen</t>
  </si>
  <si>
    <t xml:space="preserve">PEST proteolytic signal-containing nuclear protein </t>
  </si>
  <si>
    <t xml:space="preserve">pericentrin </t>
  </si>
  <si>
    <t xml:space="preserve">pecanex-like protein 2 isoform 2 </t>
  </si>
  <si>
    <t xml:space="preserve">pecanex-like protein 3 </t>
  </si>
  <si>
    <t>proprotein convertase subtilisin/kexin type 5 isoform 2 preproprotein</t>
  </si>
  <si>
    <t>proprotein convertase subtilisin/kexin type 5 isoform 1 preproprotein</t>
  </si>
  <si>
    <t xml:space="preserve">phosphatidylcholine transfer protein </t>
  </si>
  <si>
    <t xml:space="preserve">pyruvate carboxylase, mitochondrial isoform 2 </t>
  </si>
  <si>
    <t xml:space="preserve">pyruvate carboxylase, mitochondrial isoform 1 </t>
  </si>
  <si>
    <t xml:space="preserve">prenylcysteine oxidase precursor </t>
  </si>
  <si>
    <t xml:space="preserve">prenylcysteine oxidase-like precursor </t>
  </si>
  <si>
    <t xml:space="preserve">choline-phosphate cytidylyltransferase A </t>
  </si>
  <si>
    <t xml:space="preserve">choline-phosphate cytidylyltransferase B isoform 2 </t>
  </si>
  <si>
    <t xml:space="preserve">choline-phosphate cytidylyltransferase B isoform 1 </t>
  </si>
  <si>
    <t>ethanolamine-phosphate cytidylyltransferase</t>
  </si>
  <si>
    <t>28 kDa heat- and acid-stable phosphoprotein</t>
  </si>
  <si>
    <t xml:space="preserve">programmed cell death protein 10 </t>
  </si>
  <si>
    <t xml:space="preserve">protein RRP5 homolog </t>
  </si>
  <si>
    <t xml:space="preserve">programmed cell death protein 2 </t>
  </si>
  <si>
    <t xml:space="preserve">programmed cell death protein 4 </t>
  </si>
  <si>
    <t xml:space="preserve">programmed cell death protein 6 </t>
  </si>
  <si>
    <t xml:space="preserve">programmed cell death 6-interacting protein isoform 1 </t>
  </si>
  <si>
    <t xml:space="preserve">programmed cell death 6-interacting protein isoform 2 </t>
  </si>
  <si>
    <t xml:space="preserve">programmed cell death 6-interacting protein isoform 3 </t>
  </si>
  <si>
    <t>phosducin-like protein</t>
  </si>
  <si>
    <t xml:space="preserve">phosducin-like protein 3 </t>
  </si>
  <si>
    <t xml:space="preserve">Parkinson disease 7 domain-containing protein 1 precursor </t>
  </si>
  <si>
    <t>2',5'-phosphodiesterase 12</t>
  </si>
  <si>
    <t>cAMP-specific 3',5'-cyclic phosphodiesterase 4C</t>
  </si>
  <si>
    <t xml:space="preserve">myomegalin isoform 1 </t>
  </si>
  <si>
    <t xml:space="preserve">myomegalin isoform 4 </t>
  </si>
  <si>
    <t xml:space="preserve">myomegalin isoform 2 </t>
  </si>
  <si>
    <t>retinal rod rhodopsin-sensitive cGMP 3',5'-cyclic phosphodiesterase subunit delta</t>
  </si>
  <si>
    <t xml:space="preserve">high affinity cAMP-specific 3',5'-cyclic phosphodiesterase 7A isoform 1 precursor </t>
  </si>
  <si>
    <t>high affinity cAMP-specific 3',5'-cyclic phosphodiesterase 7A isoform 2</t>
  </si>
  <si>
    <t xml:space="preserve">peptide deformylase-like protein </t>
  </si>
  <si>
    <t>platelet-derived growth factor receptor alpha precursor</t>
  </si>
  <si>
    <t>platelet-derived growth factor receptor beta isoform 1 precursor</t>
  </si>
  <si>
    <t>platelet-derived growth factor receptor beta isoform 2 precursor</t>
  </si>
  <si>
    <t>pyruvate dehydrogenase E1 component subunit alpha, somatic form, mitochondrial precursor</t>
  </si>
  <si>
    <t>pyruvate dehydrogenase E1 component subunit alpha, testis-specific form, mitochondrial precursor</t>
  </si>
  <si>
    <t>pyruvate dehydrogenase E1 component subunit beta, mitochondrial precursor</t>
  </si>
  <si>
    <t>pyruvate dehydrogenase protein X component, mitochondrial</t>
  </si>
  <si>
    <t>protein disulfide-isomerase A3 precursor</t>
  </si>
  <si>
    <t>protein disulfide-isomerase A4 precursor</t>
  </si>
  <si>
    <t>protein disulfide-isomerase A5 precursor</t>
  </si>
  <si>
    <t>protein disulfide-isomerase A6 precursor</t>
  </si>
  <si>
    <t>pyruvate dehydrogenase kinase, isozyme 1 precursor</t>
  </si>
  <si>
    <t xml:space="preserve">pyruvate dehydrogenase kinase, isoenzyme 2 </t>
  </si>
  <si>
    <t xml:space="preserve">pyruvate dehydrogenase kinase, isozyme 3 </t>
  </si>
  <si>
    <t>PDZ and LIM domain protein 1</t>
  </si>
  <si>
    <t>PDZ and LIM domain protein 2</t>
  </si>
  <si>
    <t>PDZ and LIM domain protein 5 isoform ENH3b</t>
  </si>
  <si>
    <t>PDZ and LIM domain protein 5 isoform ENH2</t>
  </si>
  <si>
    <t>PDZ and LIM domain protein 5 isoform ENH4</t>
  </si>
  <si>
    <t>PDZ and LIM domain protein 5 isoform ENH3a</t>
  </si>
  <si>
    <t>PDZ and LIM domain protein 5 isoform ENH1</t>
  </si>
  <si>
    <t>PDZ and LIM domain protein 5 isoform ENH1e</t>
  </si>
  <si>
    <t>PDZ and LIM domain protein 5 isoform ENH1b</t>
  </si>
  <si>
    <t>PDZ and LIM domain protein 5 isoform ENH1c</t>
  </si>
  <si>
    <t>PDZ and LIM domain protein 5 isoform ENH1d</t>
  </si>
  <si>
    <t>PDZ and LIM domain protein 7 isoform c</t>
  </si>
  <si>
    <t>PDZ and LIM domain protein 7 isoform b</t>
  </si>
  <si>
    <t>PDZ and LIM domain protein 7 isoform a</t>
  </si>
  <si>
    <t xml:space="preserve">[Pyruvate dehydrogenase [acetyl-transferring]]-phosphatase 1, mitochondrial isoform b </t>
  </si>
  <si>
    <t xml:space="preserve">[Pyruvate dehydrogenase [acetyl-transferring]]-phosphatase 1, mitochondrial isoform a </t>
  </si>
  <si>
    <t xml:space="preserve">[Pyruvate dehydrogenase [acetyl-transferring]]-phosphatase 1, mitochondrial isoform c </t>
  </si>
  <si>
    <t>3-phosphoinositide-dependent protein kinase 1 isoform A</t>
  </si>
  <si>
    <t>3-phosphoinositide-dependent protein kinase 1 isoform B</t>
  </si>
  <si>
    <t xml:space="preserve">pyruvate dehydrogenase phosphatase regulatory subunit, mitochondrial precursor </t>
  </si>
  <si>
    <t>p53 and DNA damage-regulated protein 1</t>
  </si>
  <si>
    <t xml:space="preserve">sister chromatid cohesion protein PDS5 homolog A </t>
  </si>
  <si>
    <t xml:space="preserve">sister chromatid cohesion protein PDS5 homolog B </t>
  </si>
  <si>
    <t xml:space="preserve">pyridoxal-dependent decarboxylase domain-containing protein 1 isoform 1 </t>
  </si>
  <si>
    <t xml:space="preserve">pyridoxal-dependent decarboxylase domain-containing protein 1 isoform 3 </t>
  </si>
  <si>
    <t>pyridoxal kinase</t>
  </si>
  <si>
    <t>PDZ domain-containing protein 11</t>
  </si>
  <si>
    <t>PDZ domain-containing protein 7</t>
  </si>
  <si>
    <t>PDZ domain containing 8</t>
  </si>
  <si>
    <t>PDZK1-interacting protein 1 isoform 2 precursor</t>
  </si>
  <si>
    <t xml:space="preserve">PDZK1-interacting protein 1 isoform 1 </t>
  </si>
  <si>
    <t xml:space="preserve">astrocytic phosphoprotein PEA-15 isoform 2 </t>
  </si>
  <si>
    <t xml:space="preserve">phosphatidylethanolamine-binding protein 1 </t>
  </si>
  <si>
    <t xml:space="preserve">peroxisomal trans-2-enoyl-CoA reductase </t>
  </si>
  <si>
    <t xml:space="preserve">peflin </t>
  </si>
  <si>
    <t xml:space="preserve">protein pelota homolog </t>
  </si>
  <si>
    <t xml:space="preserve">proline-, glutamic acid- and leucine-rich protein 1 </t>
  </si>
  <si>
    <t>xaa-Pro dipeptidase</t>
  </si>
  <si>
    <t>pescadillo homolog</t>
  </si>
  <si>
    <t>glutamyl-tRNA(Gln) amidotransferase subunit B, mitochondrial precursor</t>
  </si>
  <si>
    <t xml:space="preserve">protein PET117 homolog, mitochondrial precursor </t>
  </si>
  <si>
    <t>peroxisome biogenesis factor 1</t>
  </si>
  <si>
    <t>peroxisome biogenesis factor 10</t>
  </si>
  <si>
    <t>peroxisomal membrane protein 11B isoform 1</t>
  </si>
  <si>
    <t>peroxisomal membrane protein 11B isoform 2</t>
  </si>
  <si>
    <t>peroxisomal membrane protein 11C</t>
  </si>
  <si>
    <t>peroxisomal membrane protein PEX14</t>
  </si>
  <si>
    <t>peroxisomal biogenesis factor 16</t>
  </si>
  <si>
    <t>peroxisomal biogenesis factor 19 isoform b</t>
  </si>
  <si>
    <t>peroxisomal biogenesis factor 19 isoform a</t>
  </si>
  <si>
    <t>peroxisomal biogenesis factor 3 isoform 2</t>
  </si>
  <si>
    <t>peroxisomal biogenesis factor 3 isoform 1</t>
  </si>
  <si>
    <t>peroxisome assembly factor 2</t>
  </si>
  <si>
    <t>peroxisomal biogenesis factor 7 isoform 2</t>
  </si>
  <si>
    <t>peroxisomal biogenesis factor 7 isoform 1</t>
  </si>
  <si>
    <t>phosphoribosylformylglycinamidine synthase</t>
  </si>
  <si>
    <t xml:space="preserve">prefoldin subunit 1 </t>
  </si>
  <si>
    <t xml:space="preserve">prefoldin subunit 2 </t>
  </si>
  <si>
    <t>prefoldin 4 isoform 1</t>
  </si>
  <si>
    <t>prefoldin 4 isoform 3</t>
  </si>
  <si>
    <t>prefoldin 4 isoform 2</t>
  </si>
  <si>
    <t xml:space="preserve">prefoldin subunit 5 </t>
  </si>
  <si>
    <t>6-phosphofructo-2-kinase/fructose-2,6-biphosphatase 3 isoform 1</t>
  </si>
  <si>
    <t>6-phosphofructo-2-kinase/fructose-2,6-biphosphatase 3 isoform 2</t>
  </si>
  <si>
    <t>6-phosphofructo-2-kinase/fructose-2,6-biphosphatase 3 isoform 4</t>
  </si>
  <si>
    <t>6-phosphofructo-2-kinase/fructose-2,6-biphosphatase 3 isoform 3</t>
  </si>
  <si>
    <t>6-phosphofructo-2-kinase/fructose-2,6-biphosphatase 3 isoform 5</t>
  </si>
  <si>
    <t>6-phosphofructo-2-kinase/fructose-2,6-biphosphatase 3 isoform 7</t>
  </si>
  <si>
    <t>6-phosphofructo-2-kinase/fructose-2,6-biphosphatase 3 isoform 8</t>
  </si>
  <si>
    <t>6-phosphofructo-2-kinase/fructose-2,6-biphosphatase 3 isoform 6</t>
  </si>
  <si>
    <t xml:space="preserve">6-phosphofructokinase, liver type </t>
  </si>
  <si>
    <t xml:space="preserve">6-phosphofructokinase, muscle type </t>
  </si>
  <si>
    <t xml:space="preserve">6-phosphofructokinase type C </t>
  </si>
  <si>
    <t xml:space="preserve">profilin-1 </t>
  </si>
  <si>
    <t xml:space="preserve">profilin-2 </t>
  </si>
  <si>
    <t xml:space="preserve">phosphoglycerate mutase 1 </t>
  </si>
  <si>
    <t xml:space="preserve">phosphoglycerate mutase 2 </t>
  </si>
  <si>
    <t>serine/threonine-protein phosphatase PGAM5, mitochondrial isoform 2</t>
  </si>
  <si>
    <t>serine/threonine-protein phosphatase PGAM5, mitochondrial isoform 1</t>
  </si>
  <si>
    <t>GPI inositol-deacylase</t>
  </si>
  <si>
    <t xml:space="preserve">post-GPI attachment to proteins factor 3 precursor </t>
  </si>
  <si>
    <t xml:space="preserve">6-phosphogluconate dehydrogenase, decarboxylating </t>
  </si>
  <si>
    <t xml:space="preserve">geranylgeranyl transferase type-1 subunit beta </t>
  </si>
  <si>
    <t xml:space="preserve">phosphoglycerate kinase 1 </t>
  </si>
  <si>
    <t xml:space="preserve">phosphoglycerate kinase 2 </t>
  </si>
  <si>
    <t xml:space="preserve">6-phosphogluconolactonase </t>
  </si>
  <si>
    <t xml:space="preserve">phosphoglucomutase-1 </t>
  </si>
  <si>
    <t xml:space="preserve">phosphoglucomutase-2 </t>
  </si>
  <si>
    <t xml:space="preserve">glucose 1,6-bisphosphate synthase </t>
  </si>
  <si>
    <t>phosphoacetylglucosamine mutase isoform 1</t>
  </si>
  <si>
    <t>phosphoacetylglucosamine mutase isoform 2</t>
  </si>
  <si>
    <t>phosphoglycolate phosphatase</t>
  </si>
  <si>
    <t xml:space="preserve">membrane-associated progesterone receptor component 1 </t>
  </si>
  <si>
    <t xml:space="preserve">membrane-associated progesterone receptor component 2 </t>
  </si>
  <si>
    <t xml:space="preserve">CDP-diacylglycerol--glycerol-3-phosphate 3-phosphatidyltransferase, mitochondrial </t>
  </si>
  <si>
    <t xml:space="preserve">phosphatase and actin regulator 1 isoform 1 </t>
  </si>
  <si>
    <t xml:space="preserve">phosphatase and actin regulator 1 isoform 2 </t>
  </si>
  <si>
    <t xml:space="preserve">phosphatase and actin regulator 1 isoform 3 </t>
  </si>
  <si>
    <t xml:space="preserve">phosphatase and actin regulator 2 isoform A </t>
  </si>
  <si>
    <t xml:space="preserve">phosphatase and actin regulator 2 isoform B </t>
  </si>
  <si>
    <t xml:space="preserve">phosphatase and actin regulator 2 isoform C </t>
  </si>
  <si>
    <t xml:space="preserve">phosphatase and actin regulator 2 isoform D </t>
  </si>
  <si>
    <t xml:space="preserve">phosphatase and actin regulator 4 isoform 1 </t>
  </si>
  <si>
    <t xml:space="preserve">phosphatase and actin regulator 4 isoform 2 </t>
  </si>
  <si>
    <t xml:space="preserve">phosphorylated adapter RNA export protein isoform 1 </t>
  </si>
  <si>
    <t xml:space="preserve">phosphorylated adapter RNA export protein isoform 2 </t>
  </si>
  <si>
    <t xml:space="preserve">prohibitin </t>
  </si>
  <si>
    <t xml:space="preserve">prohibitin-2 </t>
  </si>
  <si>
    <t>PHD finger protein 14 isoform 1</t>
  </si>
  <si>
    <t>PHD finger protein 14 isoform 2</t>
  </si>
  <si>
    <t xml:space="preserve">PHD finger-like domain-containing protein 5A </t>
  </si>
  <si>
    <t>PHD finger protein 6</t>
  </si>
  <si>
    <t>histone lysine demethylase PHF8 isoform b</t>
  </si>
  <si>
    <t>D-3-phosphoglycerate dehydrogenase</t>
  </si>
  <si>
    <t>phosphorylase b kinase regulatory subunit beta</t>
  </si>
  <si>
    <t xml:space="preserve">pleckstrin homology-like domain family A member 1 </t>
  </si>
  <si>
    <t xml:space="preserve">pleckstrin homology-like domain family A member 3 </t>
  </si>
  <si>
    <t xml:space="preserve">pleckstrin homology-like domain family B member 2 isoform 2 </t>
  </si>
  <si>
    <t xml:space="preserve">pleckstrin homology-like domain family B member 2 isoform 1 </t>
  </si>
  <si>
    <t xml:space="preserve">pleckstrin homology-like domain family B member 3 </t>
  </si>
  <si>
    <t>pyridoxal phosphate phosphatase PHOSPHO2</t>
  </si>
  <si>
    <t>14 kDa phosphohistidine phosphatase</t>
  </si>
  <si>
    <t xml:space="preserve">phytanoyl-CoA dioxygenase domain-containing protein 1 isoform 1 </t>
  </si>
  <si>
    <t xml:space="preserve">phytanoyl-CoA dioxygenase domain-containing protein 1 isoform 3 </t>
  </si>
  <si>
    <t xml:space="preserve">phytanoyl-CoA dioxygenase domain-containing protein 1 isoform 2 </t>
  </si>
  <si>
    <t xml:space="preserve">phytanoyl-CoA dioxygenase domain-containing protein 1 isoform 4 </t>
  </si>
  <si>
    <t>5-phosphohydroxy-L-lysine phospho-lyase</t>
  </si>
  <si>
    <t>phosphatidylinositol 4-kinase type 2-alpha</t>
  </si>
  <si>
    <t>phosphatidylinositol 4-kinase type 2-beta isoform 2</t>
  </si>
  <si>
    <t>phosphatidylinositol 4-kinase type 2-beta isoform 1</t>
  </si>
  <si>
    <t xml:space="preserve">phosphatidylinositol 4-kinase type 3 alpha </t>
  </si>
  <si>
    <t xml:space="preserve">phosphatidylinositol 4-kinase beta </t>
  </si>
  <si>
    <t>phosphatidylinositol-binding clathrin assembly protein isoform 1</t>
  </si>
  <si>
    <t>phosphatidylinositol-binding clathrin assembly protein isoform 2</t>
  </si>
  <si>
    <t>phosphatidylinositol-binding clathrin assembly protein isoform 3</t>
  </si>
  <si>
    <t>phosphatidylinositol-binding clathrin assembly protein isoform 4</t>
  </si>
  <si>
    <t>phosphatidylinositol-binding clathrin assembly protein isoform 5</t>
  </si>
  <si>
    <t>phosphatidylinositol-binding clathrin assembly protein isoform 6</t>
  </si>
  <si>
    <t>piezo-type mechanosensitive ion channel component 1</t>
  </si>
  <si>
    <t xml:space="preserve">GPI ethanolamine phosphate transferase 2 </t>
  </si>
  <si>
    <t>phosphatidylinositol N-acetylglucosaminyltransferase subunit H</t>
  </si>
  <si>
    <t xml:space="preserve">GPI-anchor transamidase isoform 1 precursor </t>
  </si>
  <si>
    <t xml:space="preserve">GPI-anchor transamidase isoform 2 precursor </t>
  </si>
  <si>
    <t xml:space="preserve">GPI mannosyltransferase 1 </t>
  </si>
  <si>
    <t>GPI transamidase component PIG-S</t>
  </si>
  <si>
    <t xml:space="preserve">GPI transamidase component PIG-T precursor </t>
  </si>
  <si>
    <t>phosphatidylinositol glycan anchor biosynthesis class U protein precursor</t>
  </si>
  <si>
    <t>PIH1 domain-containing protein 1</t>
  </si>
  <si>
    <t xml:space="preserve">phosphatidylinositol 4-phosphate 3-kinase C2 domain-containing subunit alpha </t>
  </si>
  <si>
    <t>phosphatidylinositol 3-kinase catalytic subunit type 3</t>
  </si>
  <si>
    <t xml:space="preserve">phosphatidylinositol 4,5-bisphosphate 3-kinase catalytic subunit beta isoform </t>
  </si>
  <si>
    <t xml:space="preserve">phosphatidylinositol 4,5-bisphosphate 3-kinase catalytic subunit delta isoform isoform b </t>
  </si>
  <si>
    <t xml:space="preserve">phosphatidylinositol 4,5-bisphosphate 3-kinase catalytic subunit delta isoform isoform d </t>
  </si>
  <si>
    <t xml:space="preserve">phosphatidylinositol 4,5-bisphosphate 3-kinase catalytic subunit delta isoform isoform e </t>
  </si>
  <si>
    <t xml:space="preserve">phosphatidylinositol 4,5-bisphosphate 3-kinase catalytic subunit delta isoform isoform a </t>
  </si>
  <si>
    <t xml:space="preserve">phosphatidylinositol 4,5-bisphosphate 3-kinase catalytic subunit delta isoform isoform c </t>
  </si>
  <si>
    <t xml:space="preserve">phosphatidylinositol 3-kinase regulatory subunit beta </t>
  </si>
  <si>
    <t xml:space="preserve">phosphoinositide 3-kinase regulatory subunit 4 </t>
  </si>
  <si>
    <t xml:space="preserve">phosphoinositide 3-kinase regulatory subunit 6 isoform 1 </t>
  </si>
  <si>
    <t xml:space="preserve">phosphoinositide 3-kinase regulatory subunit 6 isoform 2 </t>
  </si>
  <si>
    <t xml:space="preserve">1-phosphatidylinositol 3-phosphate 5-kinase </t>
  </si>
  <si>
    <t xml:space="preserve">peptidyl-prolyl cis-trans isomerase NIMA-interacting 1 </t>
  </si>
  <si>
    <t xml:space="preserve">peptidylprolyl cis/trans isomerase, NIMA-interacting 1 </t>
  </si>
  <si>
    <t xml:space="preserve">phosphatidylinositol 5-phosphate 4-kinase type-2 alpha </t>
  </si>
  <si>
    <t xml:space="preserve">phosphatidylinositol 5-phosphate 4-kinase type-2 beta </t>
  </si>
  <si>
    <t xml:space="preserve">phosphatidylinositol 5-phosphate 4-kinase type-2 gamma </t>
  </si>
  <si>
    <t xml:space="preserve">phosphatidylinositol 4-phosphate 5-kinase type-1 alpha </t>
  </si>
  <si>
    <t xml:space="preserve">phosphatidylinositol 4-phosphate 5-kinase type-1 gamma isoform 1 </t>
  </si>
  <si>
    <t xml:space="preserve">phosphatidylinositol 4-phosphate 5-kinase type-1 gamma isoform 2 </t>
  </si>
  <si>
    <t xml:space="preserve">phosphatidylserine decarboxylase proenzyme </t>
  </si>
  <si>
    <t xml:space="preserve">phosphatidylinositol transfer protein alpha isoform </t>
  </si>
  <si>
    <t xml:space="preserve">phosphatidylinositol transfer protein beta isoform </t>
  </si>
  <si>
    <t>presequence protease, mitochondrial precursor</t>
  </si>
  <si>
    <t xml:space="preserve">piwi-like protein 2 </t>
  </si>
  <si>
    <t>E3 ubiquitin-protein ligase Praja-2 isoform b</t>
  </si>
  <si>
    <t>E3 ubiquitin-protein ligase Praja-2 isoform a</t>
  </si>
  <si>
    <t xml:space="preserve">polycystin-2 </t>
  </si>
  <si>
    <t>polyductin precursor</t>
  </si>
  <si>
    <t xml:space="preserve">cAMP-dependent protein kinase inhibitor gamma </t>
  </si>
  <si>
    <t>pyruvate kinase isozymes R/L isoform 1</t>
  </si>
  <si>
    <t>pyruvate kinase isozymes R/L isoform 2</t>
  </si>
  <si>
    <t xml:space="preserve">pyruvate kinase, muscle isoform M2 </t>
  </si>
  <si>
    <t xml:space="preserve">pyruvate kinase, muscle isoform M1 </t>
  </si>
  <si>
    <t xml:space="preserve">serine/threonine-protein kinase N1 isoform 1 </t>
  </si>
  <si>
    <t xml:space="preserve">serine/threonine-protein kinase N1 isoform 2 </t>
  </si>
  <si>
    <t xml:space="preserve">serine/threonine-protein kinase N2 </t>
  </si>
  <si>
    <t xml:space="preserve">serine/threonine-protein kinase N3 </t>
  </si>
  <si>
    <t xml:space="preserve">plakophilin-2 </t>
  </si>
  <si>
    <t xml:space="preserve">plakophilin-3 isoform 1 </t>
  </si>
  <si>
    <t xml:space="preserve">plakophilin-3 isoform 2 </t>
  </si>
  <si>
    <t xml:space="preserve">group XV phospholipase A2 precursor </t>
  </si>
  <si>
    <t>group XVI phospholipase A1/A2</t>
  </si>
  <si>
    <t xml:space="preserve">cytosolic phospholipase A2 </t>
  </si>
  <si>
    <t>cytosolic phospholipase A2 beta</t>
  </si>
  <si>
    <t xml:space="preserve">85/88 kDa calcium-independent phospholipase A2 isoform 2 </t>
  </si>
  <si>
    <t xml:space="preserve">85/88 kDa calcium-independent phospholipase A2 isoform 1 </t>
  </si>
  <si>
    <t>platelet-activating factor acetylhydrolase precursor</t>
  </si>
  <si>
    <t xml:space="preserve">phospholipase A-2-activating protein </t>
  </si>
  <si>
    <t>placenta-specific gene 8 protein</t>
  </si>
  <si>
    <t>urokinase-type plasminogen activator precursor</t>
  </si>
  <si>
    <t xml:space="preserve">putative phospholipase B-like 2 precursor </t>
  </si>
  <si>
    <t>1-phosphatidylinositol 4,5-bisphosphate phosphodiesterase beta-3</t>
  </si>
  <si>
    <t>1-phosphatidylinositol 4,5-bisphosphate phosphodiesterase delta-1</t>
  </si>
  <si>
    <t>1-phosphatidylinositol 4,5-bisphosphate phosphodiesterase delta-3</t>
  </si>
  <si>
    <t>1-phosphatidylinositol 4,5-bisphosphate phosphodiesterase gamma-1</t>
  </si>
  <si>
    <t>1-phosphatidylinositol 4,5-bisphosphate phosphodiesterase gamma-2</t>
  </si>
  <si>
    <t>1-phosphatidylinositol 4,5-bisphosphate phosphodiesterase eta-1 isoform 1</t>
  </si>
  <si>
    <t>1-phosphatidylinositol 4,5-bisphosphate phosphodiesterase eta-1 isoform 3</t>
  </si>
  <si>
    <t>1-phosphatidylinositol 4,5-bisphosphate phosphodiesterase eta-1 isoform 2</t>
  </si>
  <si>
    <t xml:space="preserve">phosphatidylinositol-specific phospholipase C, X domain containing 2 </t>
  </si>
  <si>
    <t>phospholipase D2</t>
  </si>
  <si>
    <t>phospholipase D3</t>
  </si>
  <si>
    <t xml:space="preserve">plectin isoform 1hij </t>
  </si>
  <si>
    <t xml:space="preserve">plectin isoform 12alpha </t>
  </si>
  <si>
    <t xml:space="preserve">plectin isoform 1c2alpha3alpha </t>
  </si>
  <si>
    <t xml:space="preserve">plectin isoform 1b2alpha </t>
  </si>
  <si>
    <t xml:space="preserve">plectin isoform 1c </t>
  </si>
  <si>
    <t xml:space="preserve">plectin isoform 1f </t>
  </si>
  <si>
    <t xml:space="preserve">plectin isoform 1 </t>
  </si>
  <si>
    <t xml:space="preserve">plectin isoform 1d </t>
  </si>
  <si>
    <t xml:space="preserve">plectin isoform 1b </t>
  </si>
  <si>
    <t xml:space="preserve">plectin isoform 1g </t>
  </si>
  <si>
    <t xml:space="preserve">plectin isoform 1a </t>
  </si>
  <si>
    <t xml:space="preserve">plectin isoform 1e </t>
  </si>
  <si>
    <t xml:space="preserve">pleckstrin homology domain-containing family A member 1 </t>
  </si>
  <si>
    <t xml:space="preserve">pleckstrin homology domain-containing family A member 2 </t>
  </si>
  <si>
    <t xml:space="preserve">pleckstrin homology domain-containing family A member 6 isoform 2 </t>
  </si>
  <si>
    <t xml:space="preserve">pleckstrin homology domain-containing family A member 6 isoform 1 </t>
  </si>
  <si>
    <t xml:space="preserve">pleckstrin homology domain-containing family F member 1 </t>
  </si>
  <si>
    <t xml:space="preserve">pleckstrin homology domain-containing family F member 2 </t>
  </si>
  <si>
    <t xml:space="preserve">pleckstrin homology domain containing, family G (with RhoGef domain) member 1 </t>
  </si>
  <si>
    <t xml:space="preserve">pleckstrin homology domain-containing family G member 3 </t>
  </si>
  <si>
    <t xml:space="preserve">pleckstrin homology domain-containing family H member 2 </t>
  </si>
  <si>
    <t xml:space="preserve">placenta-expressed transcript 1 protein precursor </t>
  </si>
  <si>
    <t>plasminogen precursor</t>
  </si>
  <si>
    <t xml:space="preserve">plasminogen receptor (KT) </t>
  </si>
  <si>
    <t xml:space="preserve">perilipin-2 </t>
  </si>
  <si>
    <t xml:space="preserve">perilipin-3 </t>
  </si>
  <si>
    <t xml:space="preserve">serine/threonine-protein kinase PLK1 </t>
  </si>
  <si>
    <t xml:space="preserve">serine/threonine-protein kinase PLK2 </t>
  </si>
  <si>
    <t>procollagen-lysine,2-oxoglutarate 5-dioxygenase 3 precursor</t>
  </si>
  <si>
    <t xml:space="preserve">proteolipid protein 2 </t>
  </si>
  <si>
    <t xml:space="preserve">pleiotropic regulator 1 </t>
  </si>
  <si>
    <t xml:space="preserve">plastin-1 </t>
  </si>
  <si>
    <t xml:space="preserve">plastin-3 </t>
  </si>
  <si>
    <t xml:space="preserve">phospholipid scramblase 1 </t>
  </si>
  <si>
    <t xml:space="preserve">phospholipid scramblase 3 </t>
  </si>
  <si>
    <t xml:space="preserve">plasmalemma vesicle-associated protein </t>
  </si>
  <si>
    <t>plexin-A1 precursor</t>
  </si>
  <si>
    <t>plexin-A2 precursor</t>
  </si>
  <si>
    <t>plexin-A3 precursor</t>
  </si>
  <si>
    <t>plexin-A4 precursor</t>
  </si>
  <si>
    <t>plexin-B1 precursor</t>
  </si>
  <si>
    <t>plexin-B2 precursor</t>
  </si>
  <si>
    <t xml:space="preserve">polyamine-modulated factor 1 </t>
  </si>
  <si>
    <t xml:space="preserve">polyamine-modulated factor 1-binding protein 1 </t>
  </si>
  <si>
    <t>protein PML isoform 2</t>
  </si>
  <si>
    <t>protein PML isoform 1</t>
  </si>
  <si>
    <t>phosphomannomutase 1</t>
  </si>
  <si>
    <t>phosphomannomutase 2</t>
  </si>
  <si>
    <t xml:space="preserve">mitochondrial-processing peptidase subunit alpha precursor </t>
  </si>
  <si>
    <t xml:space="preserve">mitochondrial-processing peptidase subunit beta precursor </t>
  </si>
  <si>
    <t>mismatch repair endonuclease PMS2</t>
  </si>
  <si>
    <t>phosphomevalonate kinase isoform 1</t>
  </si>
  <si>
    <t>phosphomevalonate kinase isoform 2</t>
  </si>
  <si>
    <t xml:space="preserve">probable hydrolase PNKD isoform 3 </t>
  </si>
  <si>
    <t xml:space="preserve">probable hydrolase PNKD isoform 2 </t>
  </si>
  <si>
    <t xml:space="preserve">bifunctional polynucleotide phosphatase/kinase </t>
  </si>
  <si>
    <t xml:space="preserve">pinin </t>
  </si>
  <si>
    <t xml:space="preserve">RNA-binding protein PNO1 </t>
  </si>
  <si>
    <t xml:space="preserve">purine nucleoside phosphorylase </t>
  </si>
  <si>
    <t xml:space="preserve">purine-nucleoside phosphorylase 2 </t>
  </si>
  <si>
    <t xml:space="preserve">neuropathy target esterase isoform 2 </t>
  </si>
  <si>
    <t xml:space="preserve">neuropathy target esterase isoform 1 </t>
  </si>
  <si>
    <t xml:space="preserve">calcium-independent phospholipase A2-gamma </t>
  </si>
  <si>
    <t>pyridoxine-5'-phosphate oxidase</t>
  </si>
  <si>
    <t>protein POF1B</t>
  </si>
  <si>
    <t xml:space="preserve">GDP-fucose protein O-fucosyltransferase 2 precursor </t>
  </si>
  <si>
    <t>protein O-glucosyltransferase 1 precursor</t>
  </si>
  <si>
    <t xml:space="preserve">DNA polymerase alpha catalytic subunit </t>
  </si>
  <si>
    <t xml:space="preserve">DNA polymerase alpha subunit B isoform 2 </t>
  </si>
  <si>
    <t xml:space="preserve">DNA polymerase alpha subunit B isoform 1 </t>
  </si>
  <si>
    <t xml:space="preserve">DNA polymerase beta </t>
  </si>
  <si>
    <t xml:space="preserve">DNA polymerase delta catalytic subunit </t>
  </si>
  <si>
    <t xml:space="preserve">DNA polymerase delta subunit 2 </t>
  </si>
  <si>
    <t xml:space="preserve">DNA polymerase delta subunit 3 </t>
  </si>
  <si>
    <t xml:space="preserve">DNA polymerase delta subunit 4 </t>
  </si>
  <si>
    <t>polymerase delta-interacting protein 2</t>
  </si>
  <si>
    <t>polymerase delta-interacting protein 3</t>
  </si>
  <si>
    <t>DNA polymerase epsilon catalytic subunit A</t>
  </si>
  <si>
    <t xml:space="preserve">DNA polymerase epsilon subunit 2 </t>
  </si>
  <si>
    <t xml:space="preserve">DNA polymerase epsilon subunit 3 </t>
  </si>
  <si>
    <t xml:space="preserve">DNA polymerase epsilon subunit 4 </t>
  </si>
  <si>
    <t>DNA-directed RNA polymerase I subunit RPA1</t>
  </si>
  <si>
    <t>DNA-directed RNA polymerase I subunit RPA2</t>
  </si>
  <si>
    <t>DNA-directed RNA polymerases I and III subunit RPAC1</t>
  </si>
  <si>
    <t>DNA-directed RNA polymerases I and III subunit RPAC2 isoform 1</t>
  </si>
  <si>
    <t>DNA-directed RNA polymerase II subunit RPB1</t>
  </si>
  <si>
    <t>DNA-directed RNA polymerase II subunit RPB2</t>
  </si>
  <si>
    <t>DNA-directed RNA polymerase II subunit RPB3</t>
  </si>
  <si>
    <t>DNA-directed RNA polymerase II subunit RPB4 isoform 2</t>
  </si>
  <si>
    <t>DNA-directed RNA polymerase II subunit RPB4 isoform 1</t>
  </si>
  <si>
    <t xml:space="preserve">DNA-directed RNA polymerases I, II, and III subunit RPABC1 </t>
  </si>
  <si>
    <t>DNA-directed RNA polymerase II subunit RPB7</t>
  </si>
  <si>
    <t xml:space="preserve">DNA-directed RNA polymerases I, II, and III subunit RPABC3 </t>
  </si>
  <si>
    <t>DNA-directed RNA polymerase II subunit RPB9</t>
  </si>
  <si>
    <t>DNA-directed RNA polymerase II subunit RPB11</t>
  </si>
  <si>
    <t xml:space="preserve">DNA-directed RNA polymerases I, II, and III subunit RPABC5 </t>
  </si>
  <si>
    <t>DNA-directed RNA polymerase II subunit GRINL1A isoform 2</t>
  </si>
  <si>
    <t>DNA-directed RNA polymerase II subunit GRINL1A isoform 1</t>
  </si>
  <si>
    <t>DNA-directed RNA polymerase III subunit RPC2</t>
  </si>
  <si>
    <t>DNA-directed RNA polymerase III subunit RPC3</t>
  </si>
  <si>
    <t>DNA-directed RNA polymerase III subunit RPC6</t>
  </si>
  <si>
    <t xml:space="preserve">DNA-directed RNA polymerase, mitochondrial precursor </t>
  </si>
  <si>
    <t xml:space="preserve">proteasome maturation protein </t>
  </si>
  <si>
    <t>serum paraoxonase/lactonase 3 precursor</t>
  </si>
  <si>
    <t>processing of precursor 1 isoform 2</t>
  </si>
  <si>
    <t>processing of precursor 1 isoform 1</t>
  </si>
  <si>
    <t xml:space="preserve">ribonuclease P protein subunit p29 </t>
  </si>
  <si>
    <t xml:space="preserve">ribonuclease P/MRP protein subunit POP5 </t>
  </si>
  <si>
    <t xml:space="preserve">ribonuclease P protein subunit p20 </t>
  </si>
  <si>
    <t xml:space="preserve">NADPH--cytochrome P450 reductase </t>
  </si>
  <si>
    <t>inorganic pyrophosphatase</t>
  </si>
  <si>
    <t xml:space="preserve">inorganic pyrophosphatase 2, mitochondrial precursor </t>
  </si>
  <si>
    <t>lipid phosphate phosphohydrolase 2</t>
  </si>
  <si>
    <t xml:space="preserve">presqualene diphosphate phosphatase </t>
  </si>
  <si>
    <t xml:space="preserve">phosphoribosyl pyrophosphate amidotransferase </t>
  </si>
  <si>
    <t>phosphopantothenoylcysteine decarboxylase</t>
  </si>
  <si>
    <t>phosphopantothenate--cysteine ligase</t>
  </si>
  <si>
    <t xml:space="preserve">liprin-alpha-1 isoform B </t>
  </si>
  <si>
    <t xml:space="preserve">liprin-alpha-1 isoform A </t>
  </si>
  <si>
    <t xml:space="preserve">liprin-beta-1 isoform 1 </t>
  </si>
  <si>
    <t xml:space="preserve">liprin-beta-1 isoform 2 </t>
  </si>
  <si>
    <t>peptidyl-prolyl cis-trans isomerase A</t>
  </si>
  <si>
    <t xml:space="preserve">peptidyl-prolyl cis-trans isomerase B precursor </t>
  </si>
  <si>
    <t xml:space="preserve">peptidyl-prolyl cis-trans isomerase C precursor </t>
  </si>
  <si>
    <t>peptidyl-prolyl cis-trans isomerase D</t>
  </si>
  <si>
    <t>peptidyl-prolyl cis-trans isomerase E</t>
  </si>
  <si>
    <t>peptidyl-prolyl cis-trans isomerase F, mitochondrial precursor</t>
  </si>
  <si>
    <t>peptidyl-prolyl cis-trans isomerase G</t>
  </si>
  <si>
    <t>peptidyl-prolyl cis-trans isomerase H isoform 2</t>
  </si>
  <si>
    <t>peptidyl-prolyl cis-trans isomerase H isoform 1</t>
  </si>
  <si>
    <t>peptidyl-prolyl cis-trans isomerase-like 1</t>
  </si>
  <si>
    <t>peptidyl-prolyl cis-trans isomerase-like 2</t>
  </si>
  <si>
    <t>peptidyl-prolyl cis-trans isomerase-like 3 isoform 2</t>
  </si>
  <si>
    <t>peptidyl-prolyl cis-trans isomerase-like 3 isoform 1</t>
  </si>
  <si>
    <t>peptidyl-prolyl cis-trans isomerase-like 4</t>
  </si>
  <si>
    <t>inositol hexakisphosphate and diphosphoinositol-pentakisphosphate kinase 1</t>
  </si>
  <si>
    <t>inositol hexakisphosphate and diphosphoinositol-pentakisphosphate kinase 2</t>
  </si>
  <si>
    <t xml:space="preserve">periplakin </t>
  </si>
  <si>
    <t xml:space="preserve">protein phosphatase 1A </t>
  </si>
  <si>
    <t xml:space="preserve">protein phosphatase 1B isoform 3 </t>
  </si>
  <si>
    <t xml:space="preserve">protein phosphatase 1B isoform 4 </t>
  </si>
  <si>
    <t xml:space="preserve">protein phosphatase 1B isoform 2 </t>
  </si>
  <si>
    <t xml:space="preserve">protein phosphatase 1B isoform 1 </t>
  </si>
  <si>
    <t xml:space="preserve">protein phosphatase 1F </t>
  </si>
  <si>
    <t xml:space="preserve">protein phosphatase 1G </t>
  </si>
  <si>
    <t xml:space="preserve">protein phosphatase 1H isoform 2 </t>
  </si>
  <si>
    <t xml:space="preserve">protein phosphatase 1H isoform 1 </t>
  </si>
  <si>
    <t xml:space="preserve">protein phosphatase 1L </t>
  </si>
  <si>
    <t>protein phosphatase methylesterase 1</t>
  </si>
  <si>
    <t>protoporphyrinogen oxidase</t>
  </si>
  <si>
    <t xml:space="preserve">serine/threonine-protein phosphatase PP1-alpha catalytic subunit </t>
  </si>
  <si>
    <t xml:space="preserve">serine/threonine-protein phosphatase PP1-beta catalytic subunit </t>
  </si>
  <si>
    <t xml:space="preserve">serine/threonine-protein phosphatase PP1-gamma catalytic subunit </t>
  </si>
  <si>
    <t>serine/threonine-protein phosphatase 1 regulatory subunit 10</t>
  </si>
  <si>
    <t>protein phosphatase 1 regulatory subunit 11</t>
  </si>
  <si>
    <t>protein phosphatase 1 regulatory subunit 12A</t>
  </si>
  <si>
    <t>protein phosphatase 1 regulatory subunit 12B</t>
  </si>
  <si>
    <t xml:space="preserve">apoptosis-stimulating of p53 protein 1 </t>
  </si>
  <si>
    <t>relA-associated inhibitor</t>
  </si>
  <si>
    <t>protein phosphatase 1 regulatory subunit 14B</t>
  </si>
  <si>
    <t xml:space="preserve">phostensin </t>
  </si>
  <si>
    <t>protein phosphatase 1 regulatory subunit 1B</t>
  </si>
  <si>
    <t>protein phosphatase inhibitor 2</t>
  </si>
  <si>
    <t>protein phosphatase 1 regulatory subunit 21</t>
  </si>
  <si>
    <t>protein phosphatase 1 regulatory subunit 7</t>
  </si>
  <si>
    <t>nuclear inhibitor of protein phosphatase 1</t>
  </si>
  <si>
    <t xml:space="preserve">neurabin-1 </t>
  </si>
  <si>
    <t xml:space="preserve">neurabin-2 </t>
  </si>
  <si>
    <t xml:space="preserve">serine/threonine-protein phosphatase 2A catalytic subunit alpha isoform </t>
  </si>
  <si>
    <t xml:space="preserve">serine/threonine-protein phosphatase 2A catalytic subunit beta isoform </t>
  </si>
  <si>
    <t>serine/threonine-protein phosphatase 2A 65 kDa regulatory subunit A alpha isoform</t>
  </si>
  <si>
    <t>serine/threonine-protein phosphatase 2A 65 kDa regulatory subunit A beta isoform isoform c</t>
  </si>
  <si>
    <t>serine/threonine-protein phosphatase 2A 65 kDa regulatory subunit A beta isoform isoform a</t>
  </si>
  <si>
    <t>serine/threonine-protein phosphatase 2A 65 kDa regulatory subunit A beta isoform isoform b</t>
  </si>
  <si>
    <t>serine/threonine-protein phosphatase 2A 55 kDa regulatory subunit B alpha isoform isoform 1</t>
  </si>
  <si>
    <t>serine/threonine-protein phosphatase 2A 55 kDa regulatory subunit B alpha isoform isoform 2</t>
  </si>
  <si>
    <t>serine/threonine-protein phosphatase 2A 55 kDa regulatory subunit B beta isoform isoform 2</t>
  </si>
  <si>
    <t>serine/threonine-protein phosphatase 2A 55 kDa regulatory subunit B gamma isoform</t>
  </si>
  <si>
    <t>serine/threonine-protein phosphatase 2A 55 kDa regulatory subunit B delta isoform</t>
  </si>
  <si>
    <t>serine/threonine-protein phosphatase 2A activator</t>
  </si>
  <si>
    <t xml:space="preserve">serine/threonine-protein phosphatase 2A 56 kDa regulatory subunit alpha isoform </t>
  </si>
  <si>
    <t xml:space="preserve">serine/threonine-protein phosphatase 2A 56 kDa regulatory subunit beta isoform </t>
  </si>
  <si>
    <t xml:space="preserve">serine/threonine-protein phosphatase 2A 56 kDa regulatory subunit gamma isoform isoform b </t>
  </si>
  <si>
    <t xml:space="preserve">serine/threonine-protein phosphatase 2A 56 kDa regulatory subunit gamma isoform isoform a </t>
  </si>
  <si>
    <t xml:space="preserve">serine/threonine-protein phosphatase 2A 56 kDa regulatory subunit gamma isoform isoform c </t>
  </si>
  <si>
    <t xml:space="preserve">serine/threonine-protein phosphatase 2A 56 kDa regulatory subunit gamma isoform isoform d </t>
  </si>
  <si>
    <t xml:space="preserve">delta isoform of regulatory subunit B56, protein phosphatase 2A </t>
  </si>
  <si>
    <t xml:space="preserve">serine/threonine-protein phosphatase 2A 56 kDa regulatory subunit epsilon isoform </t>
  </si>
  <si>
    <t xml:space="preserve">serine/threonine-protein phosphatase 2B catalytic subunit alpha isoform </t>
  </si>
  <si>
    <t xml:space="preserve">serine/threonine-protein phosphatase 2B catalytic subunit beta isoform </t>
  </si>
  <si>
    <t xml:space="preserve">serine/threonine-protein phosphatase 2B catalytic subunit gamma isoform </t>
  </si>
  <si>
    <t xml:space="preserve">calcineurin subunit B type 1 </t>
  </si>
  <si>
    <t xml:space="preserve">serine/threonine-protein phosphatase 4 catalytic subunit </t>
  </si>
  <si>
    <t>serine/threonine-protein phosphatase 4 regulatory subunit 1 isoform a</t>
  </si>
  <si>
    <t>serine/threonine-protein phosphatase 4 regulatory subunit 1 isoform b</t>
  </si>
  <si>
    <t>serine/threonine-protein phosphatase 4 regulatory subunit 2</t>
  </si>
  <si>
    <t xml:space="preserve">serine/threonine-protein phosphatase 5 </t>
  </si>
  <si>
    <t xml:space="preserve">serine/threonine-protein phosphatase 6 catalytic subunit </t>
  </si>
  <si>
    <t>serine/threonine-protein phosphatase 6 regulatory subunit 1</t>
  </si>
  <si>
    <t>serine/threonine-protein phosphatase 6 regulatory subunit 2 isoform 2</t>
  </si>
  <si>
    <t>serine/threonine-protein phosphatase 6 regulatory subunit 2 isoform 1</t>
  </si>
  <si>
    <t>serine/threonine-protein phosphatase 6 regulatory subunit 3 isoform 2</t>
  </si>
  <si>
    <t>serine/threonine-protein phosphatase 6 regulatory subunit 3 isoform 3</t>
  </si>
  <si>
    <t>serine/threonine-protein phosphatase 6 regulatory subunit 3 isoform 1</t>
  </si>
  <si>
    <t>palmitoyl-protein thioesterase 1 precursor</t>
  </si>
  <si>
    <t>lysosomal thioesterase PPT2 precursor</t>
  </si>
  <si>
    <t>protein phosphatase PTC7 homolog</t>
  </si>
  <si>
    <t>peptidylprolyl isomerase domain and WD repeat-containing protein 1</t>
  </si>
  <si>
    <t xml:space="preserve">PQ-loop repeat-containing protein 3 isoform 1 precursor </t>
  </si>
  <si>
    <t xml:space="preserve">PQ-loop repeat-containing protein 3 isoform 2 precursor </t>
  </si>
  <si>
    <t xml:space="preserve">protease-associated domain-containing protein 1 isoform b precursor </t>
  </si>
  <si>
    <t>PRA1 family protein 2</t>
  </si>
  <si>
    <t>PML-RARA-regulated adapter molecule 1</t>
  </si>
  <si>
    <t xml:space="preserve">protein regulator of cytokinesis 1 </t>
  </si>
  <si>
    <t>lysosomal Pro-X carboxypeptidase precursor</t>
  </si>
  <si>
    <t>PR domain zinc finger protein 1</t>
  </si>
  <si>
    <t>PR domain-containing protein 11</t>
  </si>
  <si>
    <t xml:space="preserve">peroxiredoxin-1 </t>
  </si>
  <si>
    <t xml:space="preserve">peroxiredoxin-2 </t>
  </si>
  <si>
    <t xml:space="preserve">thioredoxin-dependent peroxide reductase, mitochondrial precursor </t>
  </si>
  <si>
    <t>peroxiredoxin-4 precursor</t>
  </si>
  <si>
    <t xml:space="preserve">peroxiredoxin-5, mitochondrial precursor </t>
  </si>
  <si>
    <t xml:space="preserve">peroxiredoxin-6 </t>
  </si>
  <si>
    <t xml:space="preserve">peroxiredoxin 6, related sequence 1 </t>
  </si>
  <si>
    <t>prolactin regulatory element-binding protein</t>
  </si>
  <si>
    <t>prolyl endopeptidase</t>
  </si>
  <si>
    <t>DNA primase small subunit</t>
  </si>
  <si>
    <t>DNA primase large subunit</t>
  </si>
  <si>
    <t>5'-AMP-activated protein kinase catalytic subunit alpha-1</t>
  </si>
  <si>
    <t>5'-AMP-activated protein kinase catalytic subunit alpha-2</t>
  </si>
  <si>
    <t xml:space="preserve">5'-AMP-activated protein kinase subunit beta-1 </t>
  </si>
  <si>
    <t xml:space="preserve">5'-AMP-activated protein kinase subunit beta-2 </t>
  </si>
  <si>
    <t>cAMP-dependent protein kinase catalytic subunit alpha isoform 2</t>
  </si>
  <si>
    <t>cAMP-dependent protein kinase catalytic subunit alpha isoform 1</t>
  </si>
  <si>
    <t>cAMP-dependent protein kinase catalytic subunit beta isoform 4</t>
  </si>
  <si>
    <t>cAMP-dependent protein kinase catalytic subunit beta isoform 2</t>
  </si>
  <si>
    <t>cAMP-dependent protein kinase catalytic subunit beta isoform 3</t>
  </si>
  <si>
    <t>cAMP-dependent protein kinase catalytic subunit beta isoform 1</t>
  </si>
  <si>
    <t xml:space="preserve">5'-AMP-activated protein kinase subunit gamma-1 </t>
  </si>
  <si>
    <t xml:space="preserve">5'-AMP-activated protein kinase subunit gamma-2 isoform 1 </t>
  </si>
  <si>
    <t xml:space="preserve">5'-AMP-activated protein kinase subunit gamma-2 isoform 2 </t>
  </si>
  <si>
    <t xml:space="preserve">5'-AMP-activated protein kinase subunit gamma-2 isoform 3 </t>
  </si>
  <si>
    <t xml:space="preserve">cAMP-dependent protein kinase type I-alpha regulatory subunit </t>
  </si>
  <si>
    <t xml:space="preserve">cAMP-dependent protein kinase type I-beta regulatory subunit </t>
  </si>
  <si>
    <t xml:space="preserve">cAMP-dependent protein kinase type II-alpha regulatory subunit </t>
  </si>
  <si>
    <t xml:space="preserve">cAMP-dependent protein kinase type II-beta regulatory subunit </t>
  </si>
  <si>
    <t xml:space="preserve">protein kinase C alpha type </t>
  </si>
  <si>
    <t xml:space="preserve">protein kinase C beta type </t>
  </si>
  <si>
    <t xml:space="preserve">protein kinase C delta type </t>
  </si>
  <si>
    <t xml:space="preserve">protein kinase C epsilon type </t>
  </si>
  <si>
    <t xml:space="preserve">protein kinase C gamma type </t>
  </si>
  <si>
    <t xml:space="preserve">protein kinase C eta type </t>
  </si>
  <si>
    <t xml:space="preserve">protein kinase C iota type </t>
  </si>
  <si>
    <t xml:space="preserve">protein kinase C theta type </t>
  </si>
  <si>
    <t xml:space="preserve">glucosidase 2 subunit beta precursor </t>
  </si>
  <si>
    <t xml:space="preserve">protein kinase C zeta type isoform a </t>
  </si>
  <si>
    <t xml:space="preserve">protein kinase C zeta type isoform b </t>
  </si>
  <si>
    <t xml:space="preserve">serine/threonine-protein kinase D2 </t>
  </si>
  <si>
    <t xml:space="preserve">DNA-dependent protein kinase catalytic subunit </t>
  </si>
  <si>
    <t>interferon-inducible double stranded RNA-dependent protein kinase activator A</t>
  </si>
  <si>
    <t>protein arginine N-methyltransferase 1 isoform 3</t>
  </si>
  <si>
    <t>protein arginine N-methyltransferase 1 isoform 2</t>
  </si>
  <si>
    <t>protein arginine N-methyltransferase 1 isoform 1</t>
  </si>
  <si>
    <t>protein arginine N-methyltransferase 2</t>
  </si>
  <si>
    <t>protein arginine N-methyltransferase 3</t>
  </si>
  <si>
    <t>protein arginine N-methyltransferase 5</t>
  </si>
  <si>
    <t>protein arginine N-methyltransferase 6</t>
  </si>
  <si>
    <t>protein arginine N-methyltransferase 7</t>
  </si>
  <si>
    <t>protein arginine N-methyltransferase 8</t>
  </si>
  <si>
    <t xml:space="preserve">proline dehydrogenase 1, mitochondrial precursor </t>
  </si>
  <si>
    <t>prominin-1 isoform s1 precursor</t>
  </si>
  <si>
    <t>prominin-1 isoform s2 precursor</t>
  </si>
  <si>
    <t>prominin-1 isoform s3 precursor</t>
  </si>
  <si>
    <t xml:space="preserve">prominin-1 isoform s4 </t>
  </si>
  <si>
    <t xml:space="preserve">prominin-1 isoform s5 </t>
  </si>
  <si>
    <t>prominin-1 isoform s6 precursor</t>
  </si>
  <si>
    <t>prominin-1 isoform s7 precursor</t>
  </si>
  <si>
    <t>prominin-1 isoform s8 precursor</t>
  </si>
  <si>
    <t>prominin-2 isoform 1 precursor</t>
  </si>
  <si>
    <t>prominin-2 isoform 2 precursor</t>
  </si>
  <si>
    <t>prolyl-tRNA synthetase associated domain-containing protein 1 isoform 1</t>
  </si>
  <si>
    <t>prolyl-tRNA synthetase associated domain-containing protein 1 isoform 2</t>
  </si>
  <si>
    <t>proline synthase co-transcribed bacterial homolog protein isoform c</t>
  </si>
  <si>
    <t>proline synthase co-transcribed bacterial homolog protein isoform a</t>
  </si>
  <si>
    <t>proline synthase co-transcribed bacterial homolog protein isoform b</t>
  </si>
  <si>
    <t xml:space="preserve">proline and serine-rich protein 2 </t>
  </si>
  <si>
    <t xml:space="preserve">pre-mRNA-splicing factor 18 </t>
  </si>
  <si>
    <t xml:space="preserve">pre-mRNA-processing factor 19 isoform 2 </t>
  </si>
  <si>
    <t xml:space="preserve">pre-mRNA-processing factor 19 isoform 1 </t>
  </si>
  <si>
    <t xml:space="preserve">pre-mRNA-processing factor 19 isoform 3 </t>
  </si>
  <si>
    <t xml:space="preserve">U4/U6 small nuclear ribonucleoprotein Prp3 </t>
  </si>
  <si>
    <t xml:space="preserve">U4/U6 small nuclear ribonucleoprotein Prp31 isoform 1 </t>
  </si>
  <si>
    <t xml:space="preserve">U4/U6 small nuclear ribonucleoprotein Prp31 isoform 2 </t>
  </si>
  <si>
    <t xml:space="preserve">pre-mRNA-splicing factor 38A </t>
  </si>
  <si>
    <t xml:space="preserve">pre-mRNA-splicing factor 38B </t>
  </si>
  <si>
    <t xml:space="preserve">pre-mRNA-processing factor 39 </t>
  </si>
  <si>
    <t xml:space="preserve">U4/U6 small nuclear ribonucleoprotein Prp4 </t>
  </si>
  <si>
    <t xml:space="preserve">pre-mRNA-processing factor 40 homolog A </t>
  </si>
  <si>
    <t xml:space="preserve">pre-mRNA-processing factor 40 homolog B </t>
  </si>
  <si>
    <t>serine/threonine-protein kinase PRP4 homolog</t>
  </si>
  <si>
    <t xml:space="preserve">pre-mRNA-processing factor 6 </t>
  </si>
  <si>
    <t xml:space="preserve">pre-mRNA-processing-splicing factor 8 </t>
  </si>
  <si>
    <t xml:space="preserve">peripherin isoform 1 </t>
  </si>
  <si>
    <t xml:space="preserve">peripherin isoform 2 </t>
  </si>
  <si>
    <t xml:space="preserve">peripherin isoform 3 </t>
  </si>
  <si>
    <t xml:space="preserve">ribose-phosphate pyrophosphokinase 1 </t>
  </si>
  <si>
    <t xml:space="preserve">phosphoribosyl pyrophosphate synthetase 1-like 1 </t>
  </si>
  <si>
    <t>ribose-phosphate pyrophosphokinase</t>
  </si>
  <si>
    <t xml:space="preserve">ribose-phosphate pyrophosphokinase 2 </t>
  </si>
  <si>
    <t xml:space="preserve">phosphoribosyl pyrophosphate synthase-associated protein 1 </t>
  </si>
  <si>
    <t xml:space="preserve">phosphoribosyl pyrophosphate synthase-associated protein 2 isoform a </t>
  </si>
  <si>
    <t xml:space="preserve">phosphoribosyl pyrophosphate synthase-associated protein 2 isoform b </t>
  </si>
  <si>
    <t>protein PRRC1</t>
  </si>
  <si>
    <t>protein PRRC2A isoform 2</t>
  </si>
  <si>
    <t>protein PRRC2A isoform 1</t>
  </si>
  <si>
    <t>protein PRRC2B isoform 1</t>
  </si>
  <si>
    <t>protein PRRC2B isoform 2</t>
  </si>
  <si>
    <t>protein PRRC2C</t>
  </si>
  <si>
    <t>protease, serine, 1 precursor</t>
  </si>
  <si>
    <t>prostasin precursor</t>
  </si>
  <si>
    <t xml:space="preserve">protein prune homolog </t>
  </si>
  <si>
    <t>sulfated glycoprotein 1 isoform B preproprotein</t>
  </si>
  <si>
    <t>sulfated glycoprotein 1 isoform A preproprotein</t>
  </si>
  <si>
    <t>sulfated glycoprotein 1 isoform C preproprotein</t>
  </si>
  <si>
    <t>sulfated glycoprotein 1 isoform D preproprotein</t>
  </si>
  <si>
    <t>sulfated glycoprotein 1 isoform E preproprotein</t>
  </si>
  <si>
    <t>sulfated glycoprotein 1 isoform F preproprotein</t>
  </si>
  <si>
    <t>phosphoserine aminotransferase isoform 2</t>
  </si>
  <si>
    <t>phosphoserine aminotransferase isoform 1</t>
  </si>
  <si>
    <t xml:space="preserve">presenilin-1 </t>
  </si>
  <si>
    <t xml:space="preserve">presenilin-2 </t>
  </si>
  <si>
    <t xml:space="preserve">gamma-secretase subunit PEN-2 </t>
  </si>
  <si>
    <t>PC4 and SFRS1-interacting protein</t>
  </si>
  <si>
    <t>proteasome subunit alpha type-1</t>
  </si>
  <si>
    <t>proteasome subunit alpha type-2</t>
  </si>
  <si>
    <t>proteasome subunit alpha type-3</t>
  </si>
  <si>
    <t>proteasome subunit alpha type-4</t>
  </si>
  <si>
    <t>proteasome subunit alpha type-5</t>
  </si>
  <si>
    <t>proteasome subunit alpha type-6</t>
  </si>
  <si>
    <t>proteasome subunit alpha type-7</t>
  </si>
  <si>
    <t>proteasome subunit alpha type-7-like</t>
  </si>
  <si>
    <t xml:space="preserve">proteasome subunit beta type-1 precursor </t>
  </si>
  <si>
    <t>proteasome subunit beta type-2</t>
  </si>
  <si>
    <t>proteasome subunit beta type-3</t>
  </si>
  <si>
    <t xml:space="preserve">proteasome subunit beta type-4 precursor </t>
  </si>
  <si>
    <t>proteasome subunit beta type-5</t>
  </si>
  <si>
    <t xml:space="preserve">proteasome subunit beta type-6 precursor </t>
  </si>
  <si>
    <t xml:space="preserve">proteasome subunit beta type-7 precursor </t>
  </si>
  <si>
    <t xml:space="preserve">proteasome subunit beta type-8 precursor </t>
  </si>
  <si>
    <t xml:space="preserve">26S protease regulatory subunit 4 </t>
  </si>
  <si>
    <t xml:space="preserve">26S protease regulatory subunit 7 </t>
  </si>
  <si>
    <t xml:space="preserve">26S protease regulatory subunit 6A </t>
  </si>
  <si>
    <t xml:space="preserve">26S protease regulatory subunit 6B </t>
  </si>
  <si>
    <t xml:space="preserve">26S protease regulatory subunit 8 </t>
  </si>
  <si>
    <t xml:space="preserve">26S protease regulatory subunit 10B </t>
  </si>
  <si>
    <t>26S proteasome non-ATPase regulatory subunit 1</t>
  </si>
  <si>
    <t>26S proteasome non-ATPase regulatory subunit 10 isoform 2</t>
  </si>
  <si>
    <t>26S proteasome non-ATPase regulatory subunit 10 isoform 1</t>
  </si>
  <si>
    <t>26S proteasome non-ATPase regulatory subunit 11</t>
  </si>
  <si>
    <t>26S proteasome non-ATPase regulatory subunit 12</t>
  </si>
  <si>
    <t>26S proteasome non-ATPase regulatory subunit 13</t>
  </si>
  <si>
    <t>26S proteasome non-ATPase regulatory subunit 14</t>
  </si>
  <si>
    <t>26S proteasome non-ATPase regulatory subunit 2</t>
  </si>
  <si>
    <t>26S proteasome non-ATPase regulatory subunit 3</t>
  </si>
  <si>
    <t>26S proteasome non-ATPase regulatory subunit 4</t>
  </si>
  <si>
    <t>26S proteasome non-ATPase regulatory subunit 5</t>
  </si>
  <si>
    <t>26S proteasome non-ATPase regulatory subunit 6</t>
  </si>
  <si>
    <t>26S proteasome non-ATPase regulatory subunit 7</t>
  </si>
  <si>
    <t>26S proteasome non-ATPase regulatory subunit 8</t>
  </si>
  <si>
    <t>26S proteasome non-ATPase regulatory subunit 9</t>
  </si>
  <si>
    <t xml:space="preserve">proteasome activator complex subunit 1 </t>
  </si>
  <si>
    <t xml:space="preserve">proteasome activator complex subunit 2 isoform 1 </t>
  </si>
  <si>
    <t xml:space="preserve">proteasome activator complex subunit 2 isoform 2 </t>
  </si>
  <si>
    <t xml:space="preserve">protease (prosome, macropain) 28 subunit beta B </t>
  </si>
  <si>
    <t xml:space="preserve">proteasome activator complex subunit 3 </t>
  </si>
  <si>
    <t xml:space="preserve">proteasome activator complex subunit 4 </t>
  </si>
  <si>
    <t>proteasome inhibitor PI31 subunit</t>
  </si>
  <si>
    <t>proteasome assembly chaperone 1</t>
  </si>
  <si>
    <t>proteasome assembly chaperone 2</t>
  </si>
  <si>
    <t>proteasome assembly chaperone 3</t>
  </si>
  <si>
    <t>proteasome assembly chaperone 4 isoform a</t>
  </si>
  <si>
    <t>proteasome assembly chaperone 4 isoform b</t>
  </si>
  <si>
    <t xml:space="preserve">paraspeckle component 1 </t>
  </si>
  <si>
    <t>phosphoserine phosphatase</t>
  </si>
  <si>
    <t>proline-serine-threonine phosphatase-interacting protein 1</t>
  </si>
  <si>
    <t xml:space="preserve">protein prenyltransferase alpha subunit repeat containing 1 </t>
  </si>
  <si>
    <t>polypyrimidine tract-binding protein 1 isoform 3</t>
  </si>
  <si>
    <t>polypyrimidine tract-binding protein 1 isoform 1</t>
  </si>
  <si>
    <t>polypyrimidine tract-binding protein 1 isoform 2</t>
  </si>
  <si>
    <t>polypyrimidine tract-binding protein 2</t>
  </si>
  <si>
    <t>polypyrimidine tract-binding protein 3 isoform 1</t>
  </si>
  <si>
    <t>polypyrimidine tract-binding protein 3 isoform 2</t>
  </si>
  <si>
    <t xml:space="preserve">pentatricopeptide repeat-containing protein 2, mitochondrial </t>
  </si>
  <si>
    <t xml:space="preserve">pentatricopeptide repeat domain-containing protein 3, mitochondrial precursor </t>
  </si>
  <si>
    <t>pre T-cell antigen receptor alpha precursor</t>
  </si>
  <si>
    <t xml:space="preserve">phosphatidylserine synthase 1 </t>
  </si>
  <si>
    <t>phosphatidylinositol 3,4,5-trisphosphate 3-phosphatase and dual-specificity protein phosphatase PTEN</t>
  </si>
  <si>
    <t>phosphotriesterase-related protein</t>
  </si>
  <si>
    <t>prostaglandin E synthase 2</t>
  </si>
  <si>
    <t>prostaglandin F2 receptor negative regulator precursor</t>
  </si>
  <si>
    <t xml:space="preserve">prostaglandin reductase 1 </t>
  </si>
  <si>
    <t xml:space="preserve">prostaglandin reductase 2 isoform 2 </t>
  </si>
  <si>
    <t xml:space="preserve">prostaglandin reductase 2 isoform 1 </t>
  </si>
  <si>
    <t xml:space="preserve">prostaglandin G/H synthase 1 precursor </t>
  </si>
  <si>
    <t xml:space="preserve">prostaglandin G/H synthase 2 precursor </t>
  </si>
  <si>
    <t>focal adhesion kinase 1 isoform 2</t>
  </si>
  <si>
    <t>focal adhesion kinase 1 isoform 1</t>
  </si>
  <si>
    <t xml:space="preserve">protein-tyrosine kinase 2-beta isoform 3 </t>
  </si>
  <si>
    <t xml:space="preserve">protein-tyrosine kinase 2-beta isoform 2 </t>
  </si>
  <si>
    <t xml:space="preserve">protein-tyrosine kinase 2-beta isoform 1 </t>
  </si>
  <si>
    <t xml:space="preserve">inactive tyrosine-protein kinase 7 precursor </t>
  </si>
  <si>
    <t>prothymosin alpha</t>
  </si>
  <si>
    <t xml:space="preserve">parathymosin </t>
  </si>
  <si>
    <t>protein tyrosine phosphatase type IVA 2</t>
  </si>
  <si>
    <t xml:space="preserve">3-hydroxyacyl-CoA dehydratase 3 </t>
  </si>
  <si>
    <t xml:space="preserve">3-hydroxyacyl-CoA dehydratase 2 </t>
  </si>
  <si>
    <t xml:space="preserve">phosphatidylglycerophosphatase and protein-tyrosine phosphatase 1 </t>
  </si>
  <si>
    <t xml:space="preserve">tyrosine-protein phosphatase non-receptor type 1 </t>
  </si>
  <si>
    <t xml:space="preserve">tyrosine-protein phosphatase non-receptor type 11 isoform b </t>
  </si>
  <si>
    <t xml:space="preserve">tyrosine-protein phosphatase non-receptor type 11 isoform a </t>
  </si>
  <si>
    <t xml:space="preserve">tyrosine-protein phosphatase non-receptor type 12 </t>
  </si>
  <si>
    <t xml:space="preserve">tyrosine-protein phosphatase non-receptor type 13 </t>
  </si>
  <si>
    <t xml:space="preserve">tyrosine-protein phosphatase non-receptor type 14 </t>
  </si>
  <si>
    <t xml:space="preserve">tyrosine-protein phosphatase non-receptor type 2 isoform b </t>
  </si>
  <si>
    <t xml:space="preserve">tyrosine-protein phosphatase non-receptor type 2 isoform a </t>
  </si>
  <si>
    <t xml:space="preserve">tyrosine-protein phosphatase non-receptor type 21 </t>
  </si>
  <si>
    <t xml:space="preserve">tyrosine-protein phosphatase non-receptor type 23 </t>
  </si>
  <si>
    <t xml:space="preserve">tyrosine-protein phosphatase non-receptor type 3 </t>
  </si>
  <si>
    <t xml:space="preserve">tyrosine-protein phosphatase non-receptor type 6 isoform a </t>
  </si>
  <si>
    <t xml:space="preserve">tyrosine-protein phosphatase non-receptor type 6 isoform b </t>
  </si>
  <si>
    <t xml:space="preserve">tyrosine-protein phosphatase non-receptor type 9 </t>
  </si>
  <si>
    <t xml:space="preserve">receptor-type tyrosine-protein phosphatase alpha isoform 1 precursor </t>
  </si>
  <si>
    <t xml:space="preserve">receptor-type tyrosine-protein phosphatase alpha isoform 2 precursor </t>
  </si>
  <si>
    <t xml:space="preserve">receptor-type tyrosine-protein phosphatase delta isoform B precursor </t>
  </si>
  <si>
    <t xml:space="preserve">receptor-type tyrosine-protein phosphatase F precursor </t>
  </si>
  <si>
    <t>receptor-type tyrosine-protein phosphatase eta isoform 1</t>
  </si>
  <si>
    <t>receptor-type tyrosine-protein phosphatase eta isoform 2</t>
  </si>
  <si>
    <t xml:space="preserve">receptor-type tyrosine-protein phosphatase kappa precursor </t>
  </si>
  <si>
    <t xml:space="preserve">receptor-type tyrosine-protein phosphatase mu precursor </t>
  </si>
  <si>
    <t xml:space="preserve">receptor-type tyrosine-protein phosphatase O isoform 1 precursor </t>
  </si>
  <si>
    <t xml:space="preserve">receptor-type tyrosine-protein phosphatase O isoform 2 precursor </t>
  </si>
  <si>
    <t>receptor-type tyrosine-protein phosphatase O isoform 3</t>
  </si>
  <si>
    <t>receptor-type tyrosine-protein phosphatase O isoform 4</t>
  </si>
  <si>
    <t>polymerase I and transcript release factor</t>
  </si>
  <si>
    <t>peptidyl-tRNA hydrolase 2, mitochondrial isoform b</t>
  </si>
  <si>
    <t>peptidyl-tRNA hydrolase 2, mitochondrial isoform a</t>
  </si>
  <si>
    <t>putative peptidyl-tRNA hydrolase PTRHD1</t>
  </si>
  <si>
    <t xml:space="preserve">6-pyruvoyl tetrahydrobiopterin synthase </t>
  </si>
  <si>
    <t xml:space="preserve">pituitary tumor-transforming gene 1 protein-interacting protein precursor </t>
  </si>
  <si>
    <t xml:space="preserve">poly(U)-binding-splicing factor PUF60 isoform a </t>
  </si>
  <si>
    <t xml:space="preserve">poly(U)-binding-splicing factor PUF60 isoform c </t>
  </si>
  <si>
    <t xml:space="preserve">poly(U)-binding-splicing factor PUF60 isoform b </t>
  </si>
  <si>
    <t xml:space="preserve">pumilio homolog 1 isoform 1 </t>
  </si>
  <si>
    <t xml:space="preserve">pumilio homolog 1 isoform 2 </t>
  </si>
  <si>
    <t xml:space="preserve">pumilio homolog 1 isoform 3 </t>
  </si>
  <si>
    <t xml:space="preserve">pumilio homolog 1 isoform 4 </t>
  </si>
  <si>
    <t xml:space="preserve">pumilio homolog 1 isoform 5 </t>
  </si>
  <si>
    <t xml:space="preserve">pumilio homolog 2 isoform 1 </t>
  </si>
  <si>
    <t xml:space="preserve">pumilio homolog 2 isoform 2 </t>
  </si>
  <si>
    <t xml:space="preserve">pumilio homolog 2 isoform 3 </t>
  </si>
  <si>
    <t>transcriptional activator protein Pur-alpha</t>
  </si>
  <si>
    <t>transcriptional activator protein Pur-beta</t>
  </si>
  <si>
    <t xml:space="preserve">tRNA pseudouridine synthase A, mitochondrial isoform 1 </t>
  </si>
  <si>
    <t xml:space="preserve">tRNA pseudouridine synthase A, mitochondrial isoform 2 </t>
  </si>
  <si>
    <t xml:space="preserve">tRNA pseudouridine synthase A, mitochondrial isoform 3 </t>
  </si>
  <si>
    <t xml:space="preserve">putative tRNA pseudouridine synthase Pus10 </t>
  </si>
  <si>
    <t>pseudouridylate synthase 7 homolog</t>
  </si>
  <si>
    <t xml:space="preserve">pseudouridylate synthase 7 homolog-like protein </t>
  </si>
  <si>
    <t>tRNA pseudouridine synthase-like 1</t>
  </si>
  <si>
    <t xml:space="preserve">poliovirus receptor-related protein 2 isoform 1 precursor </t>
  </si>
  <si>
    <t xml:space="preserve">poliovirus receptor-related protein 4 isoform a precursor </t>
  </si>
  <si>
    <t xml:space="preserve">poliovirus receptor-related protein 4 isoform b precursor </t>
  </si>
  <si>
    <t xml:space="preserve">periodic tryptophan protein 1 homolog </t>
  </si>
  <si>
    <t xml:space="preserve">peroxidasin homolog precursor </t>
  </si>
  <si>
    <t xml:space="preserve">PX domain-containing protein kinase-like protein long isoform </t>
  </si>
  <si>
    <t xml:space="preserve">PX domain-containing protein kinase-like protein short isoform </t>
  </si>
  <si>
    <t>peroxisomal membrane protein 4</t>
  </si>
  <si>
    <t xml:space="preserve">paxillin isoform beta </t>
  </si>
  <si>
    <t xml:space="preserve">paxillin isoform alpha </t>
  </si>
  <si>
    <t>pyrroline-5-carboxylate reductase 1, mitochondrial</t>
  </si>
  <si>
    <t xml:space="preserve">pyrroline-5-carboxylate reductase 2 </t>
  </si>
  <si>
    <t xml:space="preserve">pyrroline-5-carboxylate reductase 3 </t>
  </si>
  <si>
    <t>glycogen phosphorylase, brain form</t>
  </si>
  <si>
    <t>glycogen phosphorylase, liver form</t>
  </si>
  <si>
    <t>glycogen phosphorylase, muscle form</t>
  </si>
  <si>
    <t>glutaminyl-tRNA synthetase isoform 1</t>
  </si>
  <si>
    <t>glutaminyl-tRNA synthetase isoform 2</t>
  </si>
  <si>
    <t>dihydropteridine reductase</t>
  </si>
  <si>
    <t>protein quaking isoform 3</t>
  </si>
  <si>
    <t>protein quaking isoform 2</t>
  </si>
  <si>
    <t>protein quaking isoform 1</t>
  </si>
  <si>
    <t xml:space="preserve">glutamine-rich protein 1 </t>
  </si>
  <si>
    <t xml:space="preserve">glutamyl-tRNA(Gln) amidotransferase subunit A, mitochondrial </t>
  </si>
  <si>
    <t>queuine tRNA-ribosyltransferase</t>
  </si>
  <si>
    <t>queuine tRNA-ribosyltransferase subunit QTRTD1</t>
  </si>
  <si>
    <t>R3H and coiled-coil domain-containing protein 1</t>
  </si>
  <si>
    <t>R3H domain (binds single-stranded nucleic acids)</t>
  </si>
  <si>
    <t>peptidase inhibitor R3HDML precursor</t>
  </si>
  <si>
    <t xml:space="preserve">ras-related protein Rab-1A </t>
  </si>
  <si>
    <t xml:space="preserve">ras-related protein Rab-10 </t>
  </si>
  <si>
    <t xml:space="preserve">ras-related protein Rab-11A </t>
  </si>
  <si>
    <t xml:space="preserve">ras-related protein Rab-11B </t>
  </si>
  <si>
    <t>rab11 family-interacting protein 1 isoform 1</t>
  </si>
  <si>
    <t>rab11 family-interacting protein 1 isoform 2</t>
  </si>
  <si>
    <t>Rab11-family interacting protein 2 isoform 1</t>
  </si>
  <si>
    <t>Rab11-family interacting protein 2 isoform 2</t>
  </si>
  <si>
    <t xml:space="preserve">ras-related protein Rab-12 </t>
  </si>
  <si>
    <t xml:space="preserve">ras-related protein Rab-13 </t>
  </si>
  <si>
    <t xml:space="preserve">ras-related protein Rab-14 </t>
  </si>
  <si>
    <t xml:space="preserve">ras-related protein Rab-15 </t>
  </si>
  <si>
    <t xml:space="preserve">ras-related protein Rab-17 </t>
  </si>
  <si>
    <t xml:space="preserve">ras-related protein Rab-18 isoform 1 </t>
  </si>
  <si>
    <t>ras-related protein Rab-18 isoform 2 precursor</t>
  </si>
  <si>
    <t xml:space="preserve">ras-related protein Rab-19 </t>
  </si>
  <si>
    <t xml:space="preserve">ras-related protein Rab-1B </t>
  </si>
  <si>
    <t xml:space="preserve">ras-related protein Rab-20 </t>
  </si>
  <si>
    <t xml:space="preserve">ras-related protein Rab-21 </t>
  </si>
  <si>
    <t xml:space="preserve">ras-related protein Rab-22A </t>
  </si>
  <si>
    <t xml:space="preserve">ras-related protein Rab-23 </t>
  </si>
  <si>
    <t xml:space="preserve">ras-related protein Rab-24 </t>
  </si>
  <si>
    <t xml:space="preserve">ras-related protein Rab-25 </t>
  </si>
  <si>
    <t xml:space="preserve">ras-related protein Rab-26 </t>
  </si>
  <si>
    <t xml:space="preserve">ras-related protein Rab-27A </t>
  </si>
  <si>
    <t xml:space="preserve">ras-related protein Rab-27B </t>
  </si>
  <si>
    <t xml:space="preserve">ras-related protein Rab-28 </t>
  </si>
  <si>
    <t xml:space="preserve">ras-related protein Rab-2A </t>
  </si>
  <si>
    <t xml:space="preserve">ras-related protein Rab-2B </t>
  </si>
  <si>
    <t xml:space="preserve">ras-related protein Rab-30 </t>
  </si>
  <si>
    <t xml:space="preserve">ras-related protein Rab-31 </t>
  </si>
  <si>
    <t xml:space="preserve">ras-related protein Rab-32 </t>
  </si>
  <si>
    <t xml:space="preserve">ras-related protein Rab-33A </t>
  </si>
  <si>
    <t xml:space="preserve">ras-related protein Rab-33B </t>
  </si>
  <si>
    <t xml:space="preserve">ras-related protein Rab-34 </t>
  </si>
  <si>
    <t xml:space="preserve">ras-related protein Rab-35 </t>
  </si>
  <si>
    <t xml:space="preserve">ras-related protein Rab-37 isoform 1 </t>
  </si>
  <si>
    <t xml:space="preserve">ras-related protein Rab-37 isoform 2 </t>
  </si>
  <si>
    <t xml:space="preserve">ras-related protein Rab-38 </t>
  </si>
  <si>
    <t xml:space="preserve">ras-related protein Rab-39A </t>
  </si>
  <si>
    <t xml:space="preserve">ras-related protein Rab-39B </t>
  </si>
  <si>
    <t xml:space="preserve">ras-related protein Rab-3A </t>
  </si>
  <si>
    <t xml:space="preserve">ras-related protein Rab-3B </t>
  </si>
  <si>
    <t xml:space="preserve">ras-related protein Rab-3C </t>
  </si>
  <si>
    <t xml:space="preserve">ras-related protein Rab-3D </t>
  </si>
  <si>
    <t xml:space="preserve">rab3 GTPase-activating protein catalytic subunit </t>
  </si>
  <si>
    <t xml:space="preserve">rab3 GTPase-activating protein non-catalytic subunit </t>
  </si>
  <si>
    <t>rab-3A-interacting protein</t>
  </si>
  <si>
    <t xml:space="preserve">ras-related protein Rab-40B </t>
  </si>
  <si>
    <t xml:space="preserve">ras-related protein Rab-43 isoform a </t>
  </si>
  <si>
    <t xml:space="preserve">ras-related protein Rab-4A </t>
  </si>
  <si>
    <t xml:space="preserve">ras-related protein Rab-4B </t>
  </si>
  <si>
    <t xml:space="preserve">ras-related protein Rab-5A </t>
  </si>
  <si>
    <t xml:space="preserve">ras-related protein Rab-5B isoform 1 </t>
  </si>
  <si>
    <t xml:space="preserve">ras-related protein Rab-5C </t>
  </si>
  <si>
    <t xml:space="preserve">ras-related protein Rab-6A isoform 2 </t>
  </si>
  <si>
    <t xml:space="preserve">ras-related protein Rab-6A isoform 1 </t>
  </si>
  <si>
    <t xml:space="preserve">ras-related protein Rab-6B </t>
  </si>
  <si>
    <t xml:space="preserve">ras-related protein Rab-7a </t>
  </si>
  <si>
    <t xml:space="preserve">ras-related protein Rab-7L1 </t>
  </si>
  <si>
    <t xml:space="preserve">ras-related protein Rab-8A </t>
  </si>
  <si>
    <t xml:space="preserve">ras-related protein Rab-8B </t>
  </si>
  <si>
    <t xml:space="preserve">ras-related protein Rab-9A </t>
  </si>
  <si>
    <t xml:space="preserve">ras-related protein Rab-9B </t>
  </si>
  <si>
    <t xml:space="preserve">prenylated Rab acceptor protein 1 </t>
  </si>
  <si>
    <t xml:space="preserve">rab GTPase-binding effector protein 1 </t>
  </si>
  <si>
    <t xml:space="preserve">rab GTPase-binding effector protein 2 </t>
  </si>
  <si>
    <t>rab GTPase-activating protein 1 isoform a</t>
  </si>
  <si>
    <t>rab GTPase-activating protein 1 isoform b</t>
  </si>
  <si>
    <t>rab GTPase-activating protein 1-like isoform a</t>
  </si>
  <si>
    <t>rab GTPase-activating protein 1-like isoform b</t>
  </si>
  <si>
    <t>rab5 GDP/GTP exchange factor</t>
  </si>
  <si>
    <t xml:space="preserve">geranylgeranyl transferase type-2 subunit alpha </t>
  </si>
  <si>
    <t xml:space="preserve">geranylgeranyl transferase type-2 subunit beta isoform 1 </t>
  </si>
  <si>
    <t xml:space="preserve">geranylgeranyl transferase type-2 subunit beta isoform 2 </t>
  </si>
  <si>
    <t xml:space="preserve">geranylgeranyl transferase type-2 subunit beta isoform 3 </t>
  </si>
  <si>
    <t xml:space="preserve">guanine nucleotide exchange factor MSS4 </t>
  </si>
  <si>
    <t xml:space="preserve">RAB, member of RAS oncogene family-like 2A </t>
  </si>
  <si>
    <t xml:space="preserve">rab-like protein 5 </t>
  </si>
  <si>
    <t xml:space="preserve">rab-like protein 6 </t>
  </si>
  <si>
    <t xml:space="preserve">ras-related C3 botulinum toxin substrate 1 precursor </t>
  </si>
  <si>
    <t xml:space="preserve">ras-related C3 botulinum toxin substrate 2 precursor </t>
  </si>
  <si>
    <t xml:space="preserve">ras-related C3 botulinum toxin substrate 3 precursor </t>
  </si>
  <si>
    <t>rac GTPase-activating protein 1</t>
  </si>
  <si>
    <t xml:space="preserve">cell cycle checkpoint protein RAD1 </t>
  </si>
  <si>
    <t xml:space="preserve">double-strand-break repair protein rad21 homolog </t>
  </si>
  <si>
    <t xml:space="preserve">UV excision repair protein RAD23 homolog A </t>
  </si>
  <si>
    <t xml:space="preserve">UV excision repair protein RAD23 homolog B </t>
  </si>
  <si>
    <t>DNA repair protein RAD50</t>
  </si>
  <si>
    <t>DNA repair protein RAD51 homolog 1</t>
  </si>
  <si>
    <t xml:space="preserve">RAD51-associated protein 1 </t>
  </si>
  <si>
    <t>DNA repair protein RAD51 homolog 2 isoform 1</t>
  </si>
  <si>
    <t>DNA repair protein RAD51 homolog 3</t>
  </si>
  <si>
    <t>DNA repair protein RAD51 homolog 4</t>
  </si>
  <si>
    <t>helicase ARIP4</t>
  </si>
  <si>
    <t xml:space="preserve">mRNA export factor </t>
  </si>
  <si>
    <t>retinoic acid early-inducible protein 1-alpha precursor</t>
  </si>
  <si>
    <t>retinoic acid early-inducible protein 1-beta precursor</t>
  </si>
  <si>
    <t>retinoic acid early-inducible protein 1-gamma precursor</t>
  </si>
  <si>
    <t>retinoic acid early-inducible protein 1-delta precursor</t>
  </si>
  <si>
    <t>retinoic acid early-inducible protein 1-epsilon precursor</t>
  </si>
  <si>
    <t>RAF proto-oncogene serine/threonine-protein kinase</t>
  </si>
  <si>
    <t xml:space="preserve">ankycorbin </t>
  </si>
  <si>
    <t>ras-related protein Ral-A precursor</t>
  </si>
  <si>
    <t>ras-related protein Ral-B precursor</t>
  </si>
  <si>
    <t xml:space="preserve">ral GTPase-activating protein subunit alpha-1 isoform 2 </t>
  </si>
  <si>
    <t xml:space="preserve">ral GTPase-activating protein subunit alpha-1 isoform 3 </t>
  </si>
  <si>
    <t xml:space="preserve">ral GTPase-activating protein subunit alpha-2 </t>
  </si>
  <si>
    <t xml:space="preserve">ral GTPase-activating protein subunit beta </t>
  </si>
  <si>
    <t xml:space="preserve">RNA-binding protein Raly short isoform </t>
  </si>
  <si>
    <t xml:space="preserve">RNA-binding protein Raly long isoform </t>
  </si>
  <si>
    <t xml:space="preserve">ran-specific GTPase-activating protein </t>
  </si>
  <si>
    <t xml:space="preserve">ran-binding protein 10 </t>
  </si>
  <si>
    <t>E3 SUMO-protein ligase RanBP2</t>
  </si>
  <si>
    <t xml:space="preserve">ran-binding protein 3 isoform 1 </t>
  </si>
  <si>
    <t xml:space="preserve">ran-binding protein 3 isoform 3 </t>
  </si>
  <si>
    <t xml:space="preserve">ran-binding protein 3 isoform 2 </t>
  </si>
  <si>
    <t xml:space="preserve">ran-binding protein 6 </t>
  </si>
  <si>
    <t xml:space="preserve">ran-binding protein 9 </t>
  </si>
  <si>
    <t>ran GTPase-activating protein 1</t>
  </si>
  <si>
    <t>ras-related protein Rap-1A precursor</t>
  </si>
  <si>
    <t>ras-related protein Rap-1b precursor</t>
  </si>
  <si>
    <t xml:space="preserve">RAP1, GTP-GDP dissociation stimulator 1 isoform a </t>
  </si>
  <si>
    <t xml:space="preserve">RAP1, GTP-GDP dissociation stimulator 1 isoform b </t>
  </si>
  <si>
    <t>ras-related protein Rap-2a precursor</t>
  </si>
  <si>
    <t>ras-related protein Rap-2b precursor</t>
  </si>
  <si>
    <t>ras-related protein Rap-2c precursor</t>
  </si>
  <si>
    <t>rap guanine nucleotide exchange factor 4 isoform 1</t>
  </si>
  <si>
    <t>rap guanine nucleotide exchange factor 4 isoform 3</t>
  </si>
  <si>
    <t>rap guanine nucleotide exchange factor 4 isoform 2</t>
  </si>
  <si>
    <t>rap guanine nucleotide exchange factor-like 1</t>
  </si>
  <si>
    <t xml:space="preserve">arginine--tRNA ligase, cytoplasmic </t>
  </si>
  <si>
    <t xml:space="preserve">probable arginine--tRNA ligase, mitochondrial precursor </t>
  </si>
  <si>
    <t xml:space="preserve">RAS p21 protein activator 1 </t>
  </si>
  <si>
    <t xml:space="preserve">rasGAP-activating-like protein 1 isoform 1 </t>
  </si>
  <si>
    <t xml:space="preserve">rasGAP-activating-like protein 1 isoform 2 </t>
  </si>
  <si>
    <t>GTP-binding nuclear protein Ran, testis-specific isoform</t>
  </si>
  <si>
    <t xml:space="preserve">ras association domain-containing protein 6 </t>
  </si>
  <si>
    <t xml:space="preserve">ribonucleoprotein PTB-binding 1 </t>
  </si>
  <si>
    <t>RB1-inducible coiled-coil protein 1</t>
  </si>
  <si>
    <t xml:space="preserve">histone-binding protein RBBP4 </t>
  </si>
  <si>
    <t xml:space="preserve">retinoblastoma-binding protein 5 </t>
  </si>
  <si>
    <t>E3 ubiquitin-protein ligase RBBP6 isoform 1</t>
  </si>
  <si>
    <t xml:space="preserve">histone-binding protein RBBP7 </t>
  </si>
  <si>
    <t xml:space="preserve">putative hydrolase RBBP9 </t>
  </si>
  <si>
    <t xml:space="preserve">ranBP-type and C3HC4-type zinc finger-containing protein 1 </t>
  </si>
  <si>
    <t xml:space="preserve">retinoblastoma-like protein 1 isoform 1 </t>
  </si>
  <si>
    <t xml:space="preserve">retinoblastoma-like protein 1 isoform 2 </t>
  </si>
  <si>
    <t xml:space="preserve">RNA-binding protein 10 isoform 1 </t>
  </si>
  <si>
    <t xml:space="preserve">RNA-binding protein 10 isoform 2 </t>
  </si>
  <si>
    <t xml:space="preserve">RNA-binding protein 10 isoform 3 </t>
  </si>
  <si>
    <t xml:space="preserve">RNA-binding protein 12 </t>
  </si>
  <si>
    <t xml:space="preserve">RNA-binding protein 14 </t>
  </si>
  <si>
    <t xml:space="preserve">RNA binding motif protein 15 </t>
  </si>
  <si>
    <t xml:space="preserve">splicing factor 45 </t>
  </si>
  <si>
    <t>probable RNA-binding protein 19</t>
  </si>
  <si>
    <t xml:space="preserve">pre-mRNA-splicing factor RBM22 </t>
  </si>
  <si>
    <t xml:space="preserve">RNA-binding protein 25 </t>
  </si>
  <si>
    <t xml:space="preserve">RNA-binding protein 26 </t>
  </si>
  <si>
    <t xml:space="preserve">RNA-binding protein 28 </t>
  </si>
  <si>
    <t>putative RNA-binding protein 3 isoform 2</t>
  </si>
  <si>
    <t>putative RNA-binding protein 3 isoform 1</t>
  </si>
  <si>
    <t xml:space="preserve">RNA binding motif 31, Y-linked </t>
  </si>
  <si>
    <t xml:space="preserve">RNA-binding protein 33 </t>
  </si>
  <si>
    <t xml:space="preserve">RNA-binding protein 34 </t>
  </si>
  <si>
    <t xml:space="preserve">RNA-binding protein 39 </t>
  </si>
  <si>
    <t xml:space="preserve">RNA-binding protein 4 </t>
  </si>
  <si>
    <t xml:space="preserve">RNA-binding protein 42 </t>
  </si>
  <si>
    <t>probable RNA-binding protein 46</t>
  </si>
  <si>
    <t xml:space="preserve">RNA-binding protein 47 </t>
  </si>
  <si>
    <t xml:space="preserve">RNA-binding protein 4B </t>
  </si>
  <si>
    <t xml:space="preserve">RNA-binding protein 5 </t>
  </si>
  <si>
    <t xml:space="preserve">RNA-binding protein 7 </t>
  </si>
  <si>
    <t xml:space="preserve">RNA-binding protein 8A isoform b </t>
  </si>
  <si>
    <t xml:space="preserve">RNA-binding protein 8A isoform a </t>
  </si>
  <si>
    <t xml:space="preserve">RNA-binding motif, single-stranded-interacting protein 1 isoform 3 </t>
  </si>
  <si>
    <t xml:space="preserve">RNA-binding motif, single-stranded-interacting protein 1 isoform 2 </t>
  </si>
  <si>
    <t xml:space="preserve">RNA-binding motif, single-stranded-interacting protein 1 isoform 1 </t>
  </si>
  <si>
    <t xml:space="preserve">RNA-binding motif, single-stranded-interacting protein 2 isoform a </t>
  </si>
  <si>
    <t xml:space="preserve">RNA-binding motif, single-stranded-interacting protein 2 isoform b </t>
  </si>
  <si>
    <t xml:space="preserve">RNA-binding motif, single-stranded-interacting protein 3 isoform 3 </t>
  </si>
  <si>
    <t xml:space="preserve">RNA-binding motif, single-stranded-interacting protein 3 isoform 4 </t>
  </si>
  <si>
    <t xml:space="preserve">RNA-binding motif, single-stranded-interacting protein 3 isoform 2 </t>
  </si>
  <si>
    <t xml:space="preserve">RNA-binding motif, single-stranded-interacting protein 3 isoform 1 </t>
  </si>
  <si>
    <t xml:space="preserve">RNA-binding motif, single-stranded-interacting protein 3 isoform 5 </t>
  </si>
  <si>
    <t xml:space="preserve">RNA-binding motif, single-stranded-interacting protein 3 isoform 6 </t>
  </si>
  <si>
    <t xml:space="preserve">RNA-binding motif protein, X chromosome </t>
  </si>
  <si>
    <t xml:space="preserve">RNA-binding motif protein, X-linked 2 </t>
  </si>
  <si>
    <t xml:space="preserve">RNA binding motif protein, X-linked-like-1 </t>
  </si>
  <si>
    <t xml:space="preserve">retinol-binding protein 1 </t>
  </si>
  <si>
    <t xml:space="preserve">RNA-binding protein with multiple splicing isoform 4 </t>
  </si>
  <si>
    <t xml:space="preserve">RNA-binding protein with multiple splicing isoform 2 </t>
  </si>
  <si>
    <t xml:space="preserve">RNA-binding protein with multiple splicing isoform 1 </t>
  </si>
  <si>
    <t xml:space="preserve">RNA-binding protein with multiple splicing isoform 3 </t>
  </si>
  <si>
    <t xml:space="preserve">RING finger and CCCH-type zinc finger domain-containing protein 2 </t>
  </si>
  <si>
    <t>RCC1 and BTB domain-containing protein 1</t>
  </si>
  <si>
    <t>protein RCC2</t>
  </si>
  <si>
    <t>CAAX prenyl protease 2</t>
  </si>
  <si>
    <t xml:space="preserve">RING finger and CHY zinc finger domain-containing protein 1 isoform 1 </t>
  </si>
  <si>
    <t xml:space="preserve">RING finger and CHY zinc finger domain-containing protein 1 isoform 2 </t>
  </si>
  <si>
    <t>reticulocalbin-2 isoform 2 precursor</t>
  </si>
  <si>
    <t>reticulocalbin-2 isoform 1 precursor</t>
  </si>
  <si>
    <t xml:space="preserve">REST corepressor 1 </t>
  </si>
  <si>
    <t xml:space="preserve">REST corepressor 3 </t>
  </si>
  <si>
    <t xml:space="preserve">retinol dehydrogenase 10 </t>
  </si>
  <si>
    <t>retinol dehydrogenase 11 precursor</t>
  </si>
  <si>
    <t>retinol dehydrogenase 12 precursor</t>
  </si>
  <si>
    <t>retinol dehydrogenase 13 precursor</t>
  </si>
  <si>
    <t xml:space="preserve">retinol dehydrogenase 14 </t>
  </si>
  <si>
    <t xml:space="preserve">radixin isoform a </t>
  </si>
  <si>
    <t xml:space="preserve">radixin isoform b </t>
  </si>
  <si>
    <t>ATP-dependent DNA helicase Q1 isoform 1</t>
  </si>
  <si>
    <t>ATP-dependent DNA helicase Q1 isoform 2</t>
  </si>
  <si>
    <t>ATP-dependent DNA helicase Q1 isoform 3</t>
  </si>
  <si>
    <t>receptor expression-enhancing protein 3 isoform 2</t>
  </si>
  <si>
    <t>receptor expression-enhancing protein 3 isoform 1</t>
  </si>
  <si>
    <t>receptor expression-enhancing protein 5</t>
  </si>
  <si>
    <t>receptor expression-enhancing protein 6 isoform 1</t>
  </si>
  <si>
    <t>receptor expression-enhancing protein 6 isoform 2</t>
  </si>
  <si>
    <t xml:space="preserve">transcription factor p65 </t>
  </si>
  <si>
    <t>RELT-like protein 1 precursor</t>
  </si>
  <si>
    <t>N-acylglucosamine 2-epimerase isoform 2</t>
  </si>
  <si>
    <t>N-acylglucosamine 2-epimerase isoform 1</t>
  </si>
  <si>
    <t xml:space="preserve">ralBP1-associated Eps domain-containing protein 1 isoform 1 </t>
  </si>
  <si>
    <t xml:space="preserve">ralBP1-associated Eps domain-containing protein 1 isoform 2 </t>
  </si>
  <si>
    <t xml:space="preserve">ralBP1-associated Eps domain-containing protein 2 </t>
  </si>
  <si>
    <t>protein RER1</t>
  </si>
  <si>
    <t xml:space="preserve">arginine-glutamic acid dipeptide repeats protein </t>
  </si>
  <si>
    <t xml:space="preserve">oligoribonuclease, mitochondrial precursor </t>
  </si>
  <si>
    <t xml:space="preserve">RNA exonuclease 4 </t>
  </si>
  <si>
    <t xml:space="preserve">replication factor C subunit 1 </t>
  </si>
  <si>
    <t xml:space="preserve">replication factor C subunit 2 </t>
  </si>
  <si>
    <t xml:space="preserve">replication factor C subunit 3 </t>
  </si>
  <si>
    <t xml:space="preserve">replication factor C subunit 4 </t>
  </si>
  <si>
    <t xml:space="preserve">replication factor C subunit 5 </t>
  </si>
  <si>
    <t>riboflavin kinase</t>
  </si>
  <si>
    <t>MHC class II regulatory factor RFX1</t>
  </si>
  <si>
    <t>regulatory factor X domain containing 2</t>
  </si>
  <si>
    <t>ral guanine nucleotide dissociation stimulator-like 3</t>
  </si>
  <si>
    <t xml:space="preserve">rhomboid-related protein 4 </t>
  </si>
  <si>
    <t>rhomboid domain-containing protein 2</t>
  </si>
  <si>
    <t>GTP-binding protein Rheb precursor</t>
  </si>
  <si>
    <t>transforming protein RhoA precursor</t>
  </si>
  <si>
    <t xml:space="preserve">rho-related GTP-binding protein RhoB precursor </t>
  </si>
  <si>
    <t xml:space="preserve">rho-related GTP-binding protein RhoC precursor </t>
  </si>
  <si>
    <t xml:space="preserve">rho-related GTP-binding protein RhoD precursor </t>
  </si>
  <si>
    <t xml:space="preserve">rho-related GTP-binding protein RhoF precursor </t>
  </si>
  <si>
    <t xml:space="preserve">rho-related GTP-binding protein RhoG precursor </t>
  </si>
  <si>
    <t xml:space="preserve">rho-related GTP-binding protein RhoJ precursor </t>
  </si>
  <si>
    <t xml:space="preserve">rho-related GTP-binding protein RhoQ precursor </t>
  </si>
  <si>
    <t>mitochondrial Rho GTPase 1 isoform 2</t>
  </si>
  <si>
    <t>mitochondrial Rho GTPase 1 isoform 3</t>
  </si>
  <si>
    <t>mitochondrial Rho GTPase 1 isoform 1</t>
  </si>
  <si>
    <t>mitochondrial Rho GTPase 2</t>
  </si>
  <si>
    <t xml:space="preserve">rhophilin-2 </t>
  </si>
  <si>
    <t xml:space="preserve">RIB43A-like with coiled-coils protein 1 </t>
  </si>
  <si>
    <t xml:space="preserve">synembryn-A </t>
  </si>
  <si>
    <t xml:space="preserve">synembryn-B isoform 2 </t>
  </si>
  <si>
    <t xml:space="preserve">synembryn-B isoform 1 </t>
  </si>
  <si>
    <t>rapamycin-insensitive companion of mTOR</t>
  </si>
  <si>
    <t xml:space="preserve">rab-interacting lysosomal protein </t>
  </si>
  <si>
    <t xml:space="preserve">RILP-like protein 1 </t>
  </si>
  <si>
    <t xml:space="preserve">ras and Rab interactor 1 </t>
  </si>
  <si>
    <t xml:space="preserve">ras and Rab interactor 2 </t>
  </si>
  <si>
    <t xml:space="preserve">ras and Rab interactor 3 isoform 1 </t>
  </si>
  <si>
    <t xml:space="preserve">ras and Rab interactor 3 isoform 2 </t>
  </si>
  <si>
    <t>E3 ubiquitin-protein ligase RING1</t>
  </si>
  <si>
    <t xml:space="preserve">RAD50-interacting protein 1 </t>
  </si>
  <si>
    <t xml:space="preserve">serine/threonine-protein kinase RIO1 </t>
  </si>
  <si>
    <t>receptor-interacting serine/threonine-protein kinase 1</t>
  </si>
  <si>
    <t>regulator of microtubule dynamics protein 1</t>
  </si>
  <si>
    <t>regulator of microtubule dynamics protein 2</t>
  </si>
  <si>
    <t>regulator of microtubule dynamics protein 3</t>
  </si>
  <si>
    <t>protein RMD5 homolog A</t>
  </si>
  <si>
    <t>ribonuclease H1</t>
  </si>
  <si>
    <t>ribonuclease H2 subunit A</t>
  </si>
  <si>
    <t>ribonuclease H2 subunit B</t>
  </si>
  <si>
    <t>ribonuclease H2 subunit C</t>
  </si>
  <si>
    <t>ribonuclease kappa</t>
  </si>
  <si>
    <t xml:space="preserve">ribonuclease T2B precursor </t>
  </si>
  <si>
    <t>RING finger protein 11</t>
  </si>
  <si>
    <t>RING finger protein 112</t>
  </si>
  <si>
    <t>RING finger protein 113A</t>
  </si>
  <si>
    <t>ring finger protein 113A2</t>
  </si>
  <si>
    <t>RING finger protein 114</t>
  </si>
  <si>
    <t>RING finger protein 121</t>
  </si>
  <si>
    <t>RING finger protein 126</t>
  </si>
  <si>
    <t xml:space="preserve">E3 ubiquitin-protein ligase RNF130 precursor </t>
  </si>
  <si>
    <t>E3 ubiquitin-protein ligase RNF138 isoform 2</t>
  </si>
  <si>
    <t>E3 ubiquitin-protein ligase RNF138 isoform 1</t>
  </si>
  <si>
    <t>E3 ubiquitin-protein ligase RNF14 isoform a</t>
  </si>
  <si>
    <t>RING finger protein 157</t>
  </si>
  <si>
    <t>E3 ubiquitin-protein ligase RNF181</t>
  </si>
  <si>
    <t>E3 ubiquitin-protein ligase RING2</t>
  </si>
  <si>
    <t>E3 ubiquitin-protein ligase BRE1A</t>
  </si>
  <si>
    <t>RING finger protein 214</t>
  </si>
  <si>
    <t>E3 ubiquitin-protein ligase RNF31</t>
  </si>
  <si>
    <t>E3 ubiquitin-protein ligase BRE1B</t>
  </si>
  <si>
    <t xml:space="preserve">RING-box protein 2 </t>
  </si>
  <si>
    <t xml:space="preserve">RING finger and transmembrane domain-containing protein 2 isoform 2 </t>
  </si>
  <si>
    <t xml:space="preserve">RING finger and transmembrane domain-containing protein 2 isoform 1 </t>
  </si>
  <si>
    <t>mRNA-capping enzyme</t>
  </si>
  <si>
    <t>ribonuclease inhibitor isoform b</t>
  </si>
  <si>
    <t>ribonuclease inhibitor isoform a</t>
  </si>
  <si>
    <t>mRNA cap guanine-N7 methyltransferase isoform 1</t>
  </si>
  <si>
    <t>mRNA cap guanine-N7 methyltransferase isoform 2</t>
  </si>
  <si>
    <t>RNA methyltransferase-like protein 1</t>
  </si>
  <si>
    <t>aminopeptidase B isoform 2</t>
  </si>
  <si>
    <t>aminopeptidase B isoform 1</t>
  </si>
  <si>
    <t xml:space="preserve">arginyl aminopeptidase-like 1 </t>
  </si>
  <si>
    <t>RNA-binding protein with serine-rich domain 1 isoform 1</t>
  </si>
  <si>
    <t>RNA-binding protein with serine-rich domain 1 isoform 2</t>
  </si>
  <si>
    <t>rho-associated protein kinase 1</t>
  </si>
  <si>
    <t>rho-associated protein kinase 2</t>
  </si>
  <si>
    <t xml:space="preserve">protein rogdi homolog </t>
  </si>
  <si>
    <t xml:space="preserve">reactive oxygen species modulator 1 </t>
  </si>
  <si>
    <t>protein XRP2</t>
  </si>
  <si>
    <t xml:space="preserve">retinitis pigmentosa 9 protein homolog </t>
  </si>
  <si>
    <t xml:space="preserve">replication protein A 70 kDa DNA-binding subunit isoform 2 </t>
  </si>
  <si>
    <t xml:space="preserve">replication protein A 70 kDa DNA-binding subunit isoform 1 </t>
  </si>
  <si>
    <t>replication protein A 32 kDa subunit</t>
  </si>
  <si>
    <t>replication protein A 14 kDa subunit</t>
  </si>
  <si>
    <t xml:space="preserve">putative RNA polymerase II subunit B1 CTD phosphatase Rpap2 isoform A </t>
  </si>
  <si>
    <t xml:space="preserve">putative RNA polymerase II subunit B1 CTD phosphatase Rpap2 isoform B </t>
  </si>
  <si>
    <t xml:space="preserve">RNA polymerase II-associated protein 3 </t>
  </si>
  <si>
    <t>ribulose-phosphate 3-epimerase</t>
  </si>
  <si>
    <t>ribose-5-phosphate isomerase</t>
  </si>
  <si>
    <t>60S ribosomal protein L10</t>
  </si>
  <si>
    <t>60S ribosomal protein L10a</t>
  </si>
  <si>
    <t>60S ribosomal protein L10-like</t>
  </si>
  <si>
    <t>60S ribosomal protein L11</t>
  </si>
  <si>
    <t>60S ribosomal protein L12</t>
  </si>
  <si>
    <t>60S ribosomal protein L13</t>
  </si>
  <si>
    <t>60S ribosomal protein L13a</t>
  </si>
  <si>
    <t>60S ribosomal protein L14</t>
  </si>
  <si>
    <t>60S ribosomal protein L15</t>
  </si>
  <si>
    <t>60S ribosomal protein L17</t>
  </si>
  <si>
    <t>60S ribosomal protein L18</t>
  </si>
  <si>
    <t>60S ribosomal protein L18a</t>
  </si>
  <si>
    <t>60S ribosomal protein L19 isoform 1</t>
  </si>
  <si>
    <t>60S ribosomal protein L19 isoform 2</t>
  </si>
  <si>
    <t>60S ribosomal protein L21</t>
  </si>
  <si>
    <t>60S ribosomal protein L22 isoform b</t>
  </si>
  <si>
    <t>60S ribosomal protein L22 isoform c</t>
  </si>
  <si>
    <t xml:space="preserve">60S ribosomal protein L22-like 1 </t>
  </si>
  <si>
    <t>60S ribosomal protein L23a</t>
  </si>
  <si>
    <t>60S ribosomal protein L24</t>
  </si>
  <si>
    <t>60S ribosomal protein L26</t>
  </si>
  <si>
    <t>60S ribosomal protein L27</t>
  </si>
  <si>
    <t>60S ribosomal protein L27a</t>
  </si>
  <si>
    <t>60S ribosomal protein L28</t>
  </si>
  <si>
    <t>60S ribosomal protein L3</t>
  </si>
  <si>
    <t>60S ribosomal protein L30</t>
  </si>
  <si>
    <t>60S ribosomal protein L31</t>
  </si>
  <si>
    <t xml:space="preserve">predicted gene, EG665562 </t>
  </si>
  <si>
    <t>60S ribosomal protein L32</t>
  </si>
  <si>
    <t>60S ribosomal protein L34 isoform 2</t>
  </si>
  <si>
    <t>60S ribosomal protein L35</t>
  </si>
  <si>
    <t>60S ribosomal protein L36</t>
  </si>
  <si>
    <t>60S ribosomal protein L36a</t>
  </si>
  <si>
    <t xml:space="preserve">ribosomal protein L36A-like </t>
  </si>
  <si>
    <t>60S ribosomal protein L37a</t>
  </si>
  <si>
    <t>60S ribosomal protein L38</t>
  </si>
  <si>
    <t xml:space="preserve">ribosomal protein L3-like isoform 2 </t>
  </si>
  <si>
    <t xml:space="preserve">ribosomal protein L3-like isoform 1 </t>
  </si>
  <si>
    <t>60S ribosomal protein L4</t>
  </si>
  <si>
    <t>60S ribosomal protein L5</t>
  </si>
  <si>
    <t>60S ribosomal protein L6</t>
  </si>
  <si>
    <t>60S ribosomal protein L7</t>
  </si>
  <si>
    <t>60S ribosomal protein L7a</t>
  </si>
  <si>
    <t xml:space="preserve">60S ribosomal protein L7-like 1 </t>
  </si>
  <si>
    <t>60S ribosomal protein L8</t>
  </si>
  <si>
    <t>60S ribosomal protein L9</t>
  </si>
  <si>
    <t xml:space="preserve">60S acidic ribosomal protein P0 </t>
  </si>
  <si>
    <t xml:space="preserve">60S acidic ribosomal protein P1 </t>
  </si>
  <si>
    <t xml:space="preserve">60S acidic ribosomal protein P2 </t>
  </si>
  <si>
    <t xml:space="preserve">dolichyl-diphosphooligosaccharide--protein glycosyltransferase subunit 1 precursor </t>
  </si>
  <si>
    <t xml:space="preserve">dolichyl-diphosphooligosaccharide--protein glycosyltransferase subunit 2 precursor </t>
  </si>
  <si>
    <t xml:space="preserve">ribonuclease P protein subunit p14 </t>
  </si>
  <si>
    <t xml:space="preserve">ribonuclease P protein subunit p21 </t>
  </si>
  <si>
    <t>ribonuclease P protein subunit p25-like protein</t>
  </si>
  <si>
    <t xml:space="preserve">ribonuclease P protein subunit p30 </t>
  </si>
  <si>
    <t xml:space="preserve">ribonuclease P protein subunit p38 </t>
  </si>
  <si>
    <t xml:space="preserve">ribonuclease P protein subunit p40 </t>
  </si>
  <si>
    <t xml:space="preserve">regulation of nuclear pre-mRNA domain-containing protein 1A </t>
  </si>
  <si>
    <t xml:space="preserve">regulation of nuclear pre-mRNA domain-containing protein 1B </t>
  </si>
  <si>
    <t xml:space="preserve">regulation of nuclear pre-mRNA domain-containing protein 2 </t>
  </si>
  <si>
    <t>40S ribosomal protein S10</t>
  </si>
  <si>
    <t>40S ribosomal protein S11</t>
  </si>
  <si>
    <t>40S ribosomal protein S12</t>
  </si>
  <si>
    <t>40S ribosomal protein S13</t>
  </si>
  <si>
    <t>40S ribosomal protein S14</t>
  </si>
  <si>
    <t>40S ribosomal protein S15</t>
  </si>
  <si>
    <t>40S ribosomal protein S15a</t>
  </si>
  <si>
    <t>40S ribosomal protein S16</t>
  </si>
  <si>
    <t>40S ribosomal protein S17</t>
  </si>
  <si>
    <t>40S ribosomal protein S18</t>
  </si>
  <si>
    <t>40S ribosomal protein S19</t>
  </si>
  <si>
    <t>active regulator of SIRT1</t>
  </si>
  <si>
    <t>40S ribosomal protein S2</t>
  </si>
  <si>
    <t>40S ribosomal protein S20</t>
  </si>
  <si>
    <t>40S ribosomal protein S21</t>
  </si>
  <si>
    <t>40S ribosomal protein S23</t>
  </si>
  <si>
    <t>40S ribosomal protein S24 isoform 1</t>
  </si>
  <si>
    <t>40S ribosomal protein S24 isoform 3</t>
  </si>
  <si>
    <t>40S ribosomal protein S25</t>
  </si>
  <si>
    <t>40S ribosomal protein S26</t>
  </si>
  <si>
    <t>40S ribosomal protein S27</t>
  </si>
  <si>
    <t xml:space="preserve">ubiquitin-40S ribosomal protein S27a precursor </t>
  </si>
  <si>
    <t>40S ribosomal protein S27-like</t>
  </si>
  <si>
    <t xml:space="preserve">ribosomal protein S27-like </t>
  </si>
  <si>
    <t>40S ribosomal protein S28</t>
  </si>
  <si>
    <t>40S ribosomal protein S29</t>
  </si>
  <si>
    <t>40S ribosomal protein S3</t>
  </si>
  <si>
    <t>40S ribosomal protein S3a</t>
  </si>
  <si>
    <t>40S ribosomal protein S4, X isoform</t>
  </si>
  <si>
    <t>40S ribosomal protein S5</t>
  </si>
  <si>
    <t xml:space="preserve">ribosomal protein S6 kinase alpha-1 </t>
  </si>
  <si>
    <t xml:space="preserve">ribosomal protein S6 kinase alpha-2 </t>
  </si>
  <si>
    <t xml:space="preserve">ribosomal protein S6 kinase alpha-3 </t>
  </si>
  <si>
    <t xml:space="preserve">ribosomal protein S6 kinase alpha-4 </t>
  </si>
  <si>
    <t xml:space="preserve">ribosomal protein S6 kinase alpha-5 </t>
  </si>
  <si>
    <t xml:space="preserve">ribosomal protein S6 kinase alpha-6 </t>
  </si>
  <si>
    <t xml:space="preserve">ribosomal protein S6 kinase beta-1 isoform 1 </t>
  </si>
  <si>
    <t xml:space="preserve">ribosomal protein S6 kinase beta-1 isoform 2 </t>
  </si>
  <si>
    <t xml:space="preserve">ribosomal protein S6 kinase beta-2 </t>
  </si>
  <si>
    <t>40S ribosomal protein S7</t>
  </si>
  <si>
    <t>40S ribosomal protein S9</t>
  </si>
  <si>
    <t>regulatory-associated protein of mTOR</t>
  </si>
  <si>
    <t>RNA pseudouridylate synthase domain-containing protein 2</t>
  </si>
  <si>
    <t xml:space="preserve">cell differentiation protein RCD1 homolog </t>
  </si>
  <si>
    <t>ras-related GTP-binding protein A</t>
  </si>
  <si>
    <t>ras-related GTP-binding protein B</t>
  </si>
  <si>
    <t>ras-related GTP-binding protein C</t>
  </si>
  <si>
    <t>ras-related GTP-binding protein D</t>
  </si>
  <si>
    <t>ras-related protein R-Ras precursor</t>
  </si>
  <si>
    <t>ras-related protein R-Ras2 precursor</t>
  </si>
  <si>
    <t xml:space="preserve">ribosome-binding protein 1 isoform b </t>
  </si>
  <si>
    <t xml:space="preserve">ribosome-binding protein 1 isoform a </t>
  </si>
  <si>
    <t>ras-responsive element-binding protein 1 isoform 1</t>
  </si>
  <si>
    <t>ras-responsive element-binding protein 1 isoform 2</t>
  </si>
  <si>
    <t>ribonucleoside-diphosphate reductase large subunit</t>
  </si>
  <si>
    <t>ribonucleoside-diphosphate reductase subunit M2</t>
  </si>
  <si>
    <t xml:space="preserve">ribonucleoside-diphosphate reductase subunit M2 B </t>
  </si>
  <si>
    <t xml:space="preserve">ribosomal RNA processing protein 1 homolog A </t>
  </si>
  <si>
    <t>RRP12-like protein</t>
  </si>
  <si>
    <t>U3 small nucleolar RNA-interacting protein 2</t>
  </si>
  <si>
    <t xml:space="preserve">ribosome biogenesis regulatory protein homolog </t>
  </si>
  <si>
    <t xml:space="preserve">round spermatid basic protein 1 </t>
  </si>
  <si>
    <t xml:space="preserve">round spermatid basic protein 1-like </t>
  </si>
  <si>
    <t xml:space="preserve">ribosomal L1 domain-containing protein 1 </t>
  </si>
  <si>
    <t xml:space="preserve">serine/Arginine-related protein 53 </t>
  </si>
  <si>
    <t>arginine/serine-rich coiled-coil protein 2 isoform 3</t>
  </si>
  <si>
    <t>arginine/serine-rich coiled-coil protein 2 isoform 2</t>
  </si>
  <si>
    <t>arginine/serine-rich coiled-coil protein 2</t>
  </si>
  <si>
    <t>ras suppressor protein 1</t>
  </si>
  <si>
    <t>RNA 3'-terminal phosphate cyclase</t>
  </si>
  <si>
    <t>tRNA-splicing ligase RtcB homolog</t>
  </si>
  <si>
    <t>RNA polymerase-associated protein RTF1 homolog precursor</t>
  </si>
  <si>
    <t xml:space="preserve">protein RTF2 homolog </t>
  </si>
  <si>
    <t xml:space="preserve">reticulon-1 isoform A2 </t>
  </si>
  <si>
    <t xml:space="preserve">reticulon-1 isoform RTN1-A </t>
  </si>
  <si>
    <t xml:space="preserve">reticulon-1 isoform RTN1-C </t>
  </si>
  <si>
    <t xml:space="preserve">reticulon-3 isoform 4 </t>
  </si>
  <si>
    <t xml:space="preserve">reticulon-3 isoform 5 </t>
  </si>
  <si>
    <t xml:space="preserve">reticulon-3 isoform 6 </t>
  </si>
  <si>
    <t xml:space="preserve">reticulon-3 isoform 2 </t>
  </si>
  <si>
    <t xml:space="preserve">reticulon-3 isoform 1 </t>
  </si>
  <si>
    <t xml:space="preserve">reticulon-4 isoform C </t>
  </si>
  <si>
    <t xml:space="preserve">reticulon-4 isoform B1 </t>
  </si>
  <si>
    <t xml:space="preserve">reticulon-4 isoform A </t>
  </si>
  <si>
    <t xml:space="preserve">reticulon-4 isoform D </t>
  </si>
  <si>
    <t xml:space="preserve">reticulon-4 isoform B2 </t>
  </si>
  <si>
    <t xml:space="preserve">reticulon-4-interacting protein 1, mitochondrial precursor </t>
  </si>
  <si>
    <t xml:space="preserve">rotatin </t>
  </si>
  <si>
    <t>RUN and FYVE domain-containing protein 1</t>
  </si>
  <si>
    <t>RUN and FYVE domain-containing protein 2</t>
  </si>
  <si>
    <t>protein RUFY3</t>
  </si>
  <si>
    <t>RUN and SH3 domain-containing protein 1 isoform 2</t>
  </si>
  <si>
    <t>RUN and SH3 domain-containing protein 1 isoform 1</t>
  </si>
  <si>
    <t>RUN and SH3 domain-containing protein 1 isoform 3</t>
  </si>
  <si>
    <t>ruvB-like 1</t>
  </si>
  <si>
    <t>ruvB-like 2</t>
  </si>
  <si>
    <t>RWD domain-containing protein 1</t>
  </si>
  <si>
    <t>RWD domain-containing protein 4</t>
  </si>
  <si>
    <t>RING1 and YY1-binding protein</t>
  </si>
  <si>
    <t>protein S100-A1</t>
  </si>
  <si>
    <t>protein S100-A10</t>
  </si>
  <si>
    <t>protein S100-A11</t>
  </si>
  <si>
    <t>protein S100-A13</t>
  </si>
  <si>
    <t>protein S100-A14 isoform b</t>
  </si>
  <si>
    <t>protein S100-A14 isoform a</t>
  </si>
  <si>
    <t xml:space="preserve">S100 calcium binding protein A16 </t>
  </si>
  <si>
    <t>protein S100-A4</t>
  </si>
  <si>
    <t>protein S100-A6</t>
  </si>
  <si>
    <t>protein SAAL1</t>
  </si>
  <si>
    <t xml:space="preserve">phosphatidylinositide phosphatase SAC1 </t>
  </si>
  <si>
    <t>SUMO-activating enzyme subunit 1</t>
  </si>
  <si>
    <t>scaffold attachment factor B1</t>
  </si>
  <si>
    <t>scaffold attachment factor B2</t>
  </si>
  <si>
    <t xml:space="preserve">sal-like protein 1 </t>
  </si>
  <si>
    <t>sterile alpha motif domain-containing protein 12</t>
  </si>
  <si>
    <t>sterile alpha motif domain-containing protein 9-like</t>
  </si>
  <si>
    <t xml:space="preserve">SAM domain and HD domain-containing protein 1 isoform 1 </t>
  </si>
  <si>
    <t xml:space="preserve">SAM domain and HD domain-containing protein 1 isoform 2 </t>
  </si>
  <si>
    <t xml:space="preserve">sorting and assembly machinery component 50 homolog </t>
  </si>
  <si>
    <t>SAP30-binding protein</t>
  </si>
  <si>
    <t xml:space="preserve">GTP-binding protein SAR1a </t>
  </si>
  <si>
    <t xml:space="preserve">GTP-binding protein SAR1b </t>
  </si>
  <si>
    <t xml:space="preserve">sarcosine dehydrogenase, mitochondrial </t>
  </si>
  <si>
    <t xml:space="preserve">SAP domain-containing ribonucleoprotein </t>
  </si>
  <si>
    <t xml:space="preserve">serine--tRNA ligase, cytoplasmic isoform 2 </t>
  </si>
  <si>
    <t xml:space="preserve">serine--tRNA ligase, cytoplasmic isoform 1 </t>
  </si>
  <si>
    <t>serine--tRNA ligase, mitochondrial precursor</t>
  </si>
  <si>
    <t>U4/U6.U5 tri-snRNP-associated protein 1</t>
  </si>
  <si>
    <t>squamous cell carcinoma antigen recognized by T-cells 3</t>
  </si>
  <si>
    <t xml:space="preserve">diamine acetyltransferase 2 </t>
  </si>
  <si>
    <t>SAYSvFN domain-containing protein 1</t>
  </si>
  <si>
    <t>ribosome maturation protein SBDS</t>
  </si>
  <si>
    <t xml:space="preserve">protein strawberry notch homolog 1 </t>
  </si>
  <si>
    <t xml:space="preserve">protein strawberry notch homolog 2 </t>
  </si>
  <si>
    <t xml:space="preserve">methylsterol monooxygenase 1 </t>
  </si>
  <si>
    <t>splicing factor, arginine/serine-rich 19</t>
  </si>
  <si>
    <t>splicing factor, arginine/serine-rich 15</t>
  </si>
  <si>
    <t>protein SCAF8</t>
  </si>
  <si>
    <t xml:space="preserve">secretory carrier-associated membrane protein 1 </t>
  </si>
  <si>
    <t xml:space="preserve">secretory carrier-associated membrane protein 2 </t>
  </si>
  <si>
    <t xml:space="preserve">secretory carrier-associated membrane protein 3 </t>
  </si>
  <si>
    <t xml:space="preserve">secretory carrier-associated membrane protein 4 </t>
  </si>
  <si>
    <t xml:space="preserve">secretory carrier-associated membrane protein 5 </t>
  </si>
  <si>
    <t xml:space="preserve">S phase cyclin A-associated protein in the endoplasmic reticulum </t>
  </si>
  <si>
    <t>scavenger receptor class B member 1 isoform 1</t>
  </si>
  <si>
    <t>scavenger receptor class B member 1 isoform 2</t>
  </si>
  <si>
    <t>scavenger receptor class B member 1 isoform 3</t>
  </si>
  <si>
    <t>lysosome membrane protein 2</t>
  </si>
  <si>
    <t xml:space="preserve">saccharopine dehydrogenase-like oxidoreductase </t>
  </si>
  <si>
    <t xml:space="preserve">sciellin </t>
  </si>
  <si>
    <t xml:space="preserve">sec1 family domain-containing protein 1 </t>
  </si>
  <si>
    <t xml:space="preserve">sec1 family domain-containing protein 2 isoform a </t>
  </si>
  <si>
    <t xml:space="preserve">secretagogin </t>
  </si>
  <si>
    <t xml:space="preserve">adseverin isoform 1 </t>
  </si>
  <si>
    <t xml:space="preserve">adseverin isoform 2 </t>
  </si>
  <si>
    <t>selenocysteine lyase</t>
  </si>
  <si>
    <t xml:space="preserve">sodium channel protein type 11 subunit alpha </t>
  </si>
  <si>
    <t>protein SCO1 homolog, mitochondrial</t>
  </si>
  <si>
    <t>protein SCO2 homolog, mitochondrial</t>
  </si>
  <si>
    <t xml:space="preserve">short coiled-coil protein isoform a </t>
  </si>
  <si>
    <t xml:space="preserve">short coiled-coil protein isoform b </t>
  </si>
  <si>
    <t xml:space="preserve">non-specific lipid-transfer protein </t>
  </si>
  <si>
    <t>retinoid-inducible serine carboxypeptidase precursor</t>
  </si>
  <si>
    <t xml:space="preserve">protein scribble homolog </t>
  </si>
  <si>
    <t xml:space="preserve">secernin-2 </t>
  </si>
  <si>
    <t xml:space="preserve">N-terminal kinase-like protein </t>
  </si>
  <si>
    <t xml:space="preserve">SCY1-like protein 2 </t>
  </si>
  <si>
    <t xml:space="preserve">protein-associating with the carboxyl-terminal domain of ezrin </t>
  </si>
  <si>
    <t xml:space="preserve">protein SDA1 homolog </t>
  </si>
  <si>
    <t>syndecan-1 precursor</t>
  </si>
  <si>
    <t>syndecan-4 precursor</t>
  </si>
  <si>
    <t xml:space="preserve">syntenin-1 isoform 2 </t>
  </si>
  <si>
    <t xml:space="preserve">syntenin-1 isoform 1 </t>
  </si>
  <si>
    <t xml:space="preserve">serologically defined colon cancer antigen 8 homolog </t>
  </si>
  <si>
    <t xml:space="preserve">stromal cell-derived factor 2-like protein 1 precursor </t>
  </si>
  <si>
    <t xml:space="preserve">succinate dehydrogenase [ubiquinone] flavoprotein subunit, mitochondrial precursor </t>
  </si>
  <si>
    <t>succinate dehydrogenase assembly factor 1, mitochondrial</t>
  </si>
  <si>
    <t xml:space="preserve">succinate dehydrogenase [ubiquinone] iron-sulfur subunit, mitochondrial precursor </t>
  </si>
  <si>
    <t xml:space="preserve">succinate dehydrogenase cytochrome b560 subunit, mitochondrial precursor </t>
  </si>
  <si>
    <t>succinate dehydrogenase [ubiquinone] cytochrome b small subunit, mitochondrial</t>
  </si>
  <si>
    <t>epimerase family protein SDR39U1</t>
  </si>
  <si>
    <t>serine dehydratase-like</t>
  </si>
  <si>
    <t>signal peptidase complex catalytic subunit SEC11A</t>
  </si>
  <si>
    <t xml:space="preserve">protein SEC13 homolog </t>
  </si>
  <si>
    <t>SEC14-like 1 isoform 1</t>
  </si>
  <si>
    <t>SEC14-like 1 isoform 2</t>
  </si>
  <si>
    <t>SEC14-like 1 isoform 3</t>
  </si>
  <si>
    <t xml:space="preserve">SEC14-like protein 5 </t>
  </si>
  <si>
    <t xml:space="preserve">SEC16 homolog A </t>
  </si>
  <si>
    <t xml:space="preserve">vesicle-trafficking protein SEC22a </t>
  </si>
  <si>
    <t>vesicle-trafficking protein SEC22b precursor</t>
  </si>
  <si>
    <t>protein transport protein Sec23A</t>
  </si>
  <si>
    <t>protein transport protein Sec23B isoform 2</t>
  </si>
  <si>
    <t>protein transport protein Sec23B</t>
  </si>
  <si>
    <t>protein transport protein Sec23B isoform 1</t>
  </si>
  <si>
    <t>SEC23-interacting protein</t>
  </si>
  <si>
    <t>protein transport protein Sec24A</t>
  </si>
  <si>
    <t>protein transport protein Sec24B</t>
  </si>
  <si>
    <t>Sec24 related gene family, member C isoform 1</t>
  </si>
  <si>
    <t>Sec24 related gene family, member C isoform 2</t>
  </si>
  <si>
    <t>SEC24 related gene family, member D</t>
  </si>
  <si>
    <t>protein transport protein Sec31A</t>
  </si>
  <si>
    <t>protein transport protein Sec31B</t>
  </si>
  <si>
    <t>protein transport protein Sec61 subunit alpha isoform 1</t>
  </si>
  <si>
    <t>protein transport protein Sec61 subunit alpha isoform 2</t>
  </si>
  <si>
    <t>protein transport protein Sec61 subunit beta</t>
  </si>
  <si>
    <t xml:space="preserve">translocation protein SEC62 </t>
  </si>
  <si>
    <t>translocation protein SEC63 homolog</t>
  </si>
  <si>
    <t>nucleoporin SEH1 isoform b</t>
  </si>
  <si>
    <t>nucleoporin SEH1 isoform a</t>
  </si>
  <si>
    <t xml:space="preserve">protein sel-1 homolog 1 isoform b precursor </t>
  </si>
  <si>
    <t xml:space="preserve">protein sel-1 homolog 1 isoform a precursor </t>
  </si>
  <si>
    <t xml:space="preserve">selenium-binding protein 1 </t>
  </si>
  <si>
    <t xml:space="preserve">selenium-binding protein 2 </t>
  </si>
  <si>
    <t>selenoprotein K</t>
  </si>
  <si>
    <t>selenoprotein O</t>
  </si>
  <si>
    <t xml:space="preserve">selenoprotein T precursor </t>
  </si>
  <si>
    <t>semaphorin-3C precursor</t>
  </si>
  <si>
    <t>semaphorin-4B precursor</t>
  </si>
  <si>
    <t>semaphorin-4D precursor</t>
  </si>
  <si>
    <t>semaphorin-4F isoform a precursor</t>
  </si>
  <si>
    <t>semaphorin-4F isoform b precursor</t>
  </si>
  <si>
    <t>semaphorin-4G precursor</t>
  </si>
  <si>
    <t xml:space="preserve">sentrin-specific protease 3 </t>
  </si>
  <si>
    <t>15 kDa selenoprotein precursor</t>
  </si>
  <si>
    <t>selenide, water dikinase 1</t>
  </si>
  <si>
    <t>selenide, water dikinase 2</t>
  </si>
  <si>
    <t xml:space="preserve">selenoprotein N, 1 </t>
  </si>
  <si>
    <t xml:space="preserve">O-phosphoseryl-tRNA(Sec) selenium transferase </t>
  </si>
  <si>
    <t xml:space="preserve">septin-10 isoform 1 </t>
  </si>
  <si>
    <t xml:space="preserve">septin-10 isoform 2 </t>
  </si>
  <si>
    <t xml:space="preserve">septin-11 </t>
  </si>
  <si>
    <t xml:space="preserve">septin-14 </t>
  </si>
  <si>
    <t xml:space="preserve">septin-2 isoform b </t>
  </si>
  <si>
    <t xml:space="preserve">septin-2 isoform a </t>
  </si>
  <si>
    <t xml:space="preserve">septin-4 isoform 2 </t>
  </si>
  <si>
    <t xml:space="preserve">septin-4 isoform 4 </t>
  </si>
  <si>
    <t xml:space="preserve">septin-4 isoform 3 </t>
  </si>
  <si>
    <t xml:space="preserve">septin-4 </t>
  </si>
  <si>
    <t xml:space="preserve">septin-5 </t>
  </si>
  <si>
    <t xml:space="preserve">septin-6 isoform 3 </t>
  </si>
  <si>
    <t xml:space="preserve">septin-6 isoform 1 </t>
  </si>
  <si>
    <t xml:space="preserve">septin-6 isoform 2 </t>
  </si>
  <si>
    <t xml:space="preserve">septin-6 isoform 4 </t>
  </si>
  <si>
    <t xml:space="preserve">septin-7 isoform 1 </t>
  </si>
  <si>
    <t xml:space="preserve">septin-7 isoform 2 </t>
  </si>
  <si>
    <t xml:space="preserve">septin-8 isoform 2 </t>
  </si>
  <si>
    <t xml:space="preserve">septin-8 isoform 3 </t>
  </si>
  <si>
    <t xml:space="preserve">septin-8 isoform 1 </t>
  </si>
  <si>
    <t xml:space="preserve">septin-9 isoform a </t>
  </si>
  <si>
    <t xml:space="preserve">septin-9 isoform b </t>
  </si>
  <si>
    <t xml:space="preserve">septin-9 isoform c </t>
  </si>
  <si>
    <t>selenoprotein W</t>
  </si>
  <si>
    <t>protein SERAC1 isoform 2</t>
  </si>
  <si>
    <t>protein SERAC1 isoform 3</t>
  </si>
  <si>
    <t>plasminogen activator inhibitor 1 RNA-binding protein isoform 1</t>
  </si>
  <si>
    <t>plasminogen activator inhibitor 1 RNA-binding protein isoform 2</t>
  </si>
  <si>
    <t>plasminogen activator inhibitor 1 RNA-binding protein isoform 3</t>
  </si>
  <si>
    <t>plasminogen activator inhibitor 1 RNA-binding protein isoform 4</t>
  </si>
  <si>
    <t>small EDRK-rich factor 2</t>
  </si>
  <si>
    <t xml:space="preserve">serine hydrolase-like protein </t>
  </si>
  <si>
    <t>serine incorporator 1 precursor</t>
  </si>
  <si>
    <t>serine incorporator 2 isoform 1 precursor</t>
  </si>
  <si>
    <t xml:space="preserve">serine incorporator 2 isoform 2 </t>
  </si>
  <si>
    <t>serine incorporator 3 precursor</t>
  </si>
  <si>
    <t xml:space="preserve">corticosteroid-binding globulin precursor </t>
  </si>
  <si>
    <t xml:space="preserve">serine (or cysteine) proteinase inhibitor, clade B, member 3C </t>
  </si>
  <si>
    <t>serpin B5</t>
  </si>
  <si>
    <t>serpin B6 isoform a</t>
  </si>
  <si>
    <t>serpin B6 isoform b</t>
  </si>
  <si>
    <t xml:space="preserve">serine (or cysteine) proteinase inhibitor, clade B, member 6b </t>
  </si>
  <si>
    <t xml:space="preserve">serine proteinase inhibitor member 6C </t>
  </si>
  <si>
    <t xml:space="preserve">serine (or cysteine) peptidase inhibitor, clade B, member 6d </t>
  </si>
  <si>
    <t xml:space="preserve">serine (or cysteine) proteinase inhibitor, clade B, member 9 </t>
  </si>
  <si>
    <t xml:space="preserve">serine (or cysteine) proteinase inhibitor, clade B, member 9b </t>
  </si>
  <si>
    <t xml:space="preserve">serine (or cysteine) proteinase inhibitor, clade B, member 9d </t>
  </si>
  <si>
    <t xml:space="preserve">serine (or cysteine) proteinase inhibitor, clade B, member 9e </t>
  </si>
  <si>
    <t xml:space="preserve">serine (or cysteine) proteinase inhibitor, clade B, member 9f </t>
  </si>
  <si>
    <t xml:space="preserve">serine (or cysteine) proteinase inhibitor, clade B, member 9g </t>
  </si>
  <si>
    <t xml:space="preserve">plasminogen activator inhibitor 1 precursor </t>
  </si>
  <si>
    <t xml:space="preserve">serpin H1 precursor </t>
  </si>
  <si>
    <t xml:space="preserve">SEC14 domain and spectrin repeat-containing protein 1 </t>
  </si>
  <si>
    <t>protein SET isoform 1</t>
  </si>
  <si>
    <t>protein SET isoform 2</t>
  </si>
  <si>
    <t>SET domain containing 1A</t>
  </si>
  <si>
    <t xml:space="preserve">histone-lysine N-methyltransferase setd3 </t>
  </si>
  <si>
    <t xml:space="preserve">histone-lysine N-methyltransferase SETD7 </t>
  </si>
  <si>
    <t xml:space="preserve">probable helicase senataxin </t>
  </si>
  <si>
    <t xml:space="preserve">splicing factor 1 isoform 2 </t>
  </si>
  <si>
    <t xml:space="preserve">splicing factor 1 isoform 1 </t>
  </si>
  <si>
    <t xml:space="preserve">splicing factor 3A subunit 1 </t>
  </si>
  <si>
    <t xml:space="preserve">splicing factor 3A subunit 2 </t>
  </si>
  <si>
    <t xml:space="preserve">splicing factor 3A subunit 3 </t>
  </si>
  <si>
    <t xml:space="preserve">splicing factor 3B subunit 1 </t>
  </si>
  <si>
    <t xml:space="preserve">splicing factor 3b, subunit 2 </t>
  </si>
  <si>
    <t xml:space="preserve">splicing factor 3B subunit 3 </t>
  </si>
  <si>
    <t xml:space="preserve">splicing factor 3B subunit 4 </t>
  </si>
  <si>
    <t xml:space="preserve">splicing factor 3B subunit 5 </t>
  </si>
  <si>
    <t xml:space="preserve">14-3-3 protein sigma </t>
  </si>
  <si>
    <t xml:space="preserve">splicing factor, proline- and glutamine-rich </t>
  </si>
  <si>
    <t xml:space="preserve">swi5-dependent recombination DNA repair protein 1 homolog </t>
  </si>
  <si>
    <t xml:space="preserve">arginine/serine-rich protein PNISR </t>
  </si>
  <si>
    <t>vesicle transport protein SFT2B</t>
  </si>
  <si>
    <t>vesicle transport protein SFT2C</t>
  </si>
  <si>
    <t xml:space="preserve">sideroflexin-1 </t>
  </si>
  <si>
    <t xml:space="preserve">sideroflexin-2 </t>
  </si>
  <si>
    <t xml:space="preserve">sideroflexin-3 isoform 1 </t>
  </si>
  <si>
    <t xml:space="preserve">sideroflexin-3 isoform 2 </t>
  </si>
  <si>
    <t xml:space="preserve">sideroflexin-3 isoform 3 </t>
  </si>
  <si>
    <t xml:space="preserve">sphingosine-1-phosphate lyase 1 </t>
  </si>
  <si>
    <t xml:space="preserve">N-sulfoglucosamine sulfohydrolase precursor </t>
  </si>
  <si>
    <t>small glutamine-rich tetratricopeptide repeat-containing protein alpha</t>
  </si>
  <si>
    <t>SH2 domain-containing protein 4A</t>
  </si>
  <si>
    <t xml:space="preserve">SH3 domain-binding glutamic acid-rich-like protein </t>
  </si>
  <si>
    <t>SH3 domain-binding glutamic acid-rich-like protein 2</t>
  </si>
  <si>
    <t>SH3 domain-binding glutamic acid-rich-like protein 3</t>
  </si>
  <si>
    <t>SH3 domain-binding protein 1</t>
  </si>
  <si>
    <t>SH3 domain-binding protein 4</t>
  </si>
  <si>
    <t>SH3 domain-containing protein 19</t>
  </si>
  <si>
    <t xml:space="preserve">endophilin-A2 isoform 2 </t>
  </si>
  <si>
    <t xml:space="preserve">endophilin-A2 isoform 1 </t>
  </si>
  <si>
    <t xml:space="preserve">endophilin-A1 </t>
  </si>
  <si>
    <t xml:space="preserve">endophilin-B1 isoform 1 </t>
  </si>
  <si>
    <t xml:space="preserve">endophilin-B1 isoform 3 </t>
  </si>
  <si>
    <t xml:space="preserve">endophilin-B1 isoform 2 </t>
  </si>
  <si>
    <t xml:space="preserve">endophilin-B2 </t>
  </si>
  <si>
    <t xml:space="preserve">SH3 domain-containing YSC84-like protein 1 </t>
  </si>
  <si>
    <t xml:space="preserve">SHC-transforming protein 1 isoform b </t>
  </si>
  <si>
    <t xml:space="preserve">SHC-transforming protein 1 isoform a </t>
  </si>
  <si>
    <t xml:space="preserve">SHC SH2 domain-binding protein 1 </t>
  </si>
  <si>
    <t>sonic hedgehog protein precursor</t>
  </si>
  <si>
    <t>protein shisa-9 isoform 2</t>
  </si>
  <si>
    <t xml:space="preserve">protein shisa-9 isoform 1 precursor </t>
  </si>
  <si>
    <t xml:space="preserve">serine hydroxymethyltransferase, cytosolic </t>
  </si>
  <si>
    <t xml:space="preserve">serine hydroxymethyltransferase, mitochondrial isoform 1 </t>
  </si>
  <si>
    <t xml:space="preserve">serine hydroxymethyltransferase, mitochondrial isoform 2 </t>
  </si>
  <si>
    <t>leucine-rich repeat protein SHOC-2</t>
  </si>
  <si>
    <t xml:space="preserve">sedoheptulokinase </t>
  </si>
  <si>
    <t xml:space="preserve">protein SHQ1 homolog </t>
  </si>
  <si>
    <t>protein Shroom4</t>
  </si>
  <si>
    <t xml:space="preserve">sialate O-acetylesterase precursor </t>
  </si>
  <si>
    <t>SID1 transmembrane family member 2 precursor</t>
  </si>
  <si>
    <t>sialic acid-binding Ig-like lectin 12 precursor</t>
  </si>
  <si>
    <t>suppressor of IKBKE 1</t>
  </si>
  <si>
    <t xml:space="preserve">nucleotide exchange factor SIL1 precursor </t>
  </si>
  <si>
    <t xml:space="preserve">paired amphipathic helix protein Sin3a isoform 1 </t>
  </si>
  <si>
    <t xml:space="preserve">paired amphipathic helix protein Sin3a isoform 2 </t>
  </si>
  <si>
    <t>NAD-dependent protein deacetylase sirtuin-1 isoform 2</t>
  </si>
  <si>
    <t>NAD-dependent protein deacetylase sirtuin-1 isoform 1</t>
  </si>
  <si>
    <t>NAD-dependent protein deacetylase sirtuin-2 isoform 1</t>
  </si>
  <si>
    <t>NAD-dependent protein deacetylase sirtuin-2 isoform 2</t>
  </si>
  <si>
    <t>NAD-dependent protein deacetylase sirtuin-2 isoform 3</t>
  </si>
  <si>
    <t>NAD-dependent protein deacetylase sirtuin-4</t>
  </si>
  <si>
    <t xml:space="preserve">NAD-dependent protein deacylase sirtuin-5, mitochondrial </t>
  </si>
  <si>
    <t>NAD-dependent protein deacetylase sirtuin-6 isoform 2</t>
  </si>
  <si>
    <t>NAD-dependent protein deacetylase sirtuin-6 isoform 1</t>
  </si>
  <si>
    <t>apoptosis regulatory protein Siva isoform 1</t>
  </si>
  <si>
    <t>apoptosis regulatory protein Siva isoform 2</t>
  </si>
  <si>
    <t>superkiller viralicidic activity 2-like</t>
  </si>
  <si>
    <t xml:space="preserve">superkiller viralicidic activity 2-like 2 </t>
  </si>
  <si>
    <t>S-phase kinase-associated protein 1</t>
  </si>
  <si>
    <t>P3 protein</t>
  </si>
  <si>
    <t>solute carrier family 12 member 1 isoform A</t>
  </si>
  <si>
    <t>solute carrier family 12 member 1 isoform F</t>
  </si>
  <si>
    <t>solute carrier family 12 member 2</t>
  </si>
  <si>
    <t>solute carrier family 12 member 7</t>
  </si>
  <si>
    <t>solute carrier family 12 member 9</t>
  </si>
  <si>
    <t>solute carrier family 15 member 4</t>
  </si>
  <si>
    <t xml:space="preserve">monocarboxylate transporter 1 </t>
  </si>
  <si>
    <t xml:space="preserve">monocarboxylate transporter 10 isoform 1 </t>
  </si>
  <si>
    <t xml:space="preserve">monocarboxylate transporter 10 isoform 2 </t>
  </si>
  <si>
    <t xml:space="preserve">neutral amino acid transporter B(0) </t>
  </si>
  <si>
    <t>solute carrier family 23 member 1</t>
  </si>
  <si>
    <t>solute carrier family 25, member 1</t>
  </si>
  <si>
    <t xml:space="preserve">mitochondrial dicarboxylate carrier </t>
  </si>
  <si>
    <t>mitochondrial 2-oxoglutarate/malate carrier protein</t>
  </si>
  <si>
    <t xml:space="preserve">calcium-binding mitochondrial carrier protein Aralar1 </t>
  </si>
  <si>
    <t xml:space="preserve">calcium-binding mitochondrial carrier protein Aralar2 isoform 2 </t>
  </si>
  <si>
    <t xml:space="preserve">calcium-binding mitochondrial carrier protein Aralar2 isoform 1 </t>
  </si>
  <si>
    <t>mitochondrial ornithine transporter 1 isoform 1</t>
  </si>
  <si>
    <t xml:space="preserve">graves disease carrier protein homolog </t>
  </si>
  <si>
    <t>peroxisomal membrane protein PMP34</t>
  </si>
  <si>
    <t>mitochondrial carnitine/acylcarnitine carrier protein</t>
  </si>
  <si>
    <t>mitochondrial glutamate carrier 1</t>
  </si>
  <si>
    <t xml:space="preserve">calcium-binding mitochondrial carrier protein SCaMC-1 </t>
  </si>
  <si>
    <t>S-adenosylmethionine mitochondrial carrier protein</t>
  </si>
  <si>
    <t>mitochondrial uncoupling protein 4</t>
  </si>
  <si>
    <t xml:space="preserve">mitochondrial carnitine/acylcarnitine carrier protein CACL </t>
  </si>
  <si>
    <t xml:space="preserve">phosphate carrier protein, mitochondrial precursor </t>
  </si>
  <si>
    <t xml:space="preserve">kidney mitochondrial carrier protein 1 </t>
  </si>
  <si>
    <t xml:space="preserve">ADP/ATP translocase 4 </t>
  </si>
  <si>
    <t xml:space="preserve">mitochondrial folate transporter/carrier </t>
  </si>
  <si>
    <t xml:space="preserve">ADP/ATP translocase 1 </t>
  </si>
  <si>
    <t>solute carrier family 25 member 40</t>
  </si>
  <si>
    <t>solute carrier family 25 member 45</t>
  </si>
  <si>
    <t>solute carrier family 25 member 48</t>
  </si>
  <si>
    <t xml:space="preserve">ADP/ATP translocase 2 </t>
  </si>
  <si>
    <t>long-chain fatty acid transport protein 1</t>
  </si>
  <si>
    <t>long-chain fatty acid transport protein 4</t>
  </si>
  <si>
    <t>equilibrative nucleoside transporter 1 isoform 2</t>
  </si>
  <si>
    <t>equilibrative nucleoside transporter 1 isoform 1</t>
  </si>
  <si>
    <t xml:space="preserve">solute carrier family 2, facilitated glucose transporter member 1 </t>
  </si>
  <si>
    <t xml:space="preserve">zinc transporter 1 </t>
  </si>
  <si>
    <t xml:space="preserve">zinc transporter 7 </t>
  </si>
  <si>
    <t>high affinity copper uptake protein 1</t>
  </si>
  <si>
    <t xml:space="preserve">probable low affinity copper uptake protein 2 </t>
  </si>
  <si>
    <t>acetyl-coenzyme A transporter 1</t>
  </si>
  <si>
    <t xml:space="preserve">CMP-sialic acid transporter </t>
  </si>
  <si>
    <t>UDP-galactose translocator isoform 1</t>
  </si>
  <si>
    <t>UDP-galactose translocator isoform 2</t>
  </si>
  <si>
    <t>UDP-N-acetylglucosamine transporter</t>
  </si>
  <si>
    <t>solute carrier family 35 member B1</t>
  </si>
  <si>
    <t xml:space="preserve">adenosine 3'-phospho 5'-phosphosulfate transporter 1 </t>
  </si>
  <si>
    <t>solute carrier family 35 member E1</t>
  </si>
  <si>
    <t>solute carrier family 35 member F2</t>
  </si>
  <si>
    <t xml:space="preserve">solute carrier family 35 member F6 precursor </t>
  </si>
  <si>
    <t xml:space="preserve">proton-coupled amino acid transporter 1 </t>
  </si>
  <si>
    <t xml:space="preserve">putative sodium-coupled neutral amino acid transporter 10 isoform 1 </t>
  </si>
  <si>
    <t xml:space="preserve">putative sodium-coupled neutral amino acid transporter 10 isoform 2 </t>
  </si>
  <si>
    <t xml:space="preserve">putative sodium-coupled neutral amino acid transporter 10 isoform 3 </t>
  </si>
  <si>
    <t xml:space="preserve">putative sodium-coupled neutral amino acid transporter 10 isoform 4 </t>
  </si>
  <si>
    <t xml:space="preserve">putative sodium-coupled neutral amino acid transporter 7 </t>
  </si>
  <si>
    <t xml:space="preserve">zinc transporter ZIP11 isoform 2 </t>
  </si>
  <si>
    <t xml:space="preserve">zinc transporter ZIP11 isoform 1 </t>
  </si>
  <si>
    <t>zinc transporter SLC39A7 precursor</t>
  </si>
  <si>
    <t xml:space="preserve">4F2 cell-surface antigen heavy chain isoform a </t>
  </si>
  <si>
    <t xml:space="preserve">4F2 cell-surface antigen heavy chain isoform b </t>
  </si>
  <si>
    <t>solute carrier family 40 member 1</t>
  </si>
  <si>
    <t>large neutral amino acids transporter small subunit 4</t>
  </si>
  <si>
    <t>choline transporter-like protein 1 isoform A</t>
  </si>
  <si>
    <t>choline transporter-like protein 1 isoform B</t>
  </si>
  <si>
    <t>choline transporter-like protein 2 isoform 2</t>
  </si>
  <si>
    <t>choline transporter-like protein 2 isoform 1</t>
  </si>
  <si>
    <t>choline transporter-like protein 3</t>
  </si>
  <si>
    <t>choline transporter-like protein 4</t>
  </si>
  <si>
    <t>thymic stromal cotransporter protein</t>
  </si>
  <si>
    <t>multidrug and toxin extrusion protein 2</t>
  </si>
  <si>
    <t>solute carrier family 4 (anion exchanger), member 1, adaptor protein</t>
  </si>
  <si>
    <t>anion exchange protein 2</t>
  </si>
  <si>
    <t>anion exchange protein 3</t>
  </si>
  <si>
    <t xml:space="preserve">electrogenic sodium bicarbonate cotransporter 1 isoform a </t>
  </si>
  <si>
    <t xml:space="preserve">electrogenic sodium bicarbonate cotransporter 1 isoform b </t>
  </si>
  <si>
    <t xml:space="preserve">electrogenic sodium bicarbonate cotransporter 1 isoform c </t>
  </si>
  <si>
    <t>sodium bicarbonate cotransporter 3</t>
  </si>
  <si>
    <t xml:space="preserve">organic solute transporter subunit alpha </t>
  </si>
  <si>
    <t>sodium/myo-inositol cotransporter</t>
  </si>
  <si>
    <t xml:space="preserve">sodium- and chloride-dependent taurine transporter </t>
  </si>
  <si>
    <t xml:space="preserve">high affinity cationic amino acid transporter 1 </t>
  </si>
  <si>
    <t>cystine/glutamate transporter</t>
  </si>
  <si>
    <t xml:space="preserve">low affinity cationic amino acid transporter 2 isoform 2 </t>
  </si>
  <si>
    <t>large neutral amino acids transporter small subunit 1</t>
  </si>
  <si>
    <t>probable RNA polymerase II nuclear localization protein SLC7A6OS</t>
  </si>
  <si>
    <t xml:space="preserve">sodium/hydrogen exchanger 1 </t>
  </si>
  <si>
    <t xml:space="preserve">Na(+)/H(+) exchange regulatory cofactor NHE-RF1 </t>
  </si>
  <si>
    <t>schlafen 4</t>
  </si>
  <si>
    <t>schlafen 8 isoform 1</t>
  </si>
  <si>
    <t>schlafen 9</t>
  </si>
  <si>
    <t xml:space="preserve">SRA stem-loop-interacting RNA-binding protein, mitochondrial </t>
  </si>
  <si>
    <t xml:space="preserve">STE20-like serine/threonine-protein kinase isoform 1 </t>
  </si>
  <si>
    <t xml:space="preserve">STE20-like serine/threonine-protein kinase isoform 2 </t>
  </si>
  <si>
    <t>protein slowmo homolog 2</t>
  </si>
  <si>
    <t xml:space="preserve">mothers against decapentaplegic homolog 1 </t>
  </si>
  <si>
    <t xml:space="preserve">mothers against decapentaplegic homolog 2 </t>
  </si>
  <si>
    <t xml:space="preserve">mothers against decapentaplegic homolog 3 </t>
  </si>
  <si>
    <t xml:space="preserve">mothers against decapentaplegic homolog 5 </t>
  </si>
  <si>
    <t xml:space="preserve">mothers against decapentaplegic homolog 9 </t>
  </si>
  <si>
    <t xml:space="preserve">probable global transcription activator SNF2L1 </t>
  </si>
  <si>
    <t xml:space="preserve">probable global transcription activator SNF2L2 isoform 2 </t>
  </si>
  <si>
    <t xml:space="preserve">probable global transcription activator SNF2L2 isoform 1 </t>
  </si>
  <si>
    <t xml:space="preserve">transcription activator BRG1 isoform 1 </t>
  </si>
  <si>
    <t xml:space="preserve">transcription activator BRG1 isoform 3 </t>
  </si>
  <si>
    <t xml:space="preserve">transcription activator BRG1 isoform 2 </t>
  </si>
  <si>
    <t>SWI/SNF-related matrix-associated actin-dependent regulator of chromatin subfamily A member 5</t>
  </si>
  <si>
    <t xml:space="preserve">SWI/SNF-related matrix-associated actin-dependent regulator of chromatin subfamily A containing DEAD/H box 1 isoform </t>
  </si>
  <si>
    <t>SWI/SNF-related matrix-associated actin-dependent regulator of chromatin subfamily A-like protein 1</t>
  </si>
  <si>
    <t>SWI/SNF complex subunit SMARCC1</t>
  </si>
  <si>
    <t>SWI/SNF complex subunit SMARCC2 isoform 2</t>
  </si>
  <si>
    <t>SWI/SNF complex subunit SMARCC2 isoform 1</t>
  </si>
  <si>
    <t>SWI/SNF complex subunit SMARCC2 isoform 3</t>
  </si>
  <si>
    <t>SWI/SNF-related matrix-associated actin-dependent regulator of chromatin subfamily D member 1</t>
  </si>
  <si>
    <t>SWI/SNF-related matrix-associated actin-dependent regulator of chromatin subfamily D member 2 isoform 2</t>
  </si>
  <si>
    <t>SWI/SNF-related matrix-associated actin-dependent regulator of chromatin subfamily D member 2 isoform 1</t>
  </si>
  <si>
    <t>SWI/SNF-related matrix-associated actin-dependent regulator of chromatin subfamily D member 3</t>
  </si>
  <si>
    <t>SWI/SNF-related matrix-associated actin-dependent regulator of chromatin subfamily E member 1</t>
  </si>
  <si>
    <t>structural maintenance of chromosomes protein 1A</t>
  </si>
  <si>
    <t>structural maintenance of chromosomes protein 2</t>
  </si>
  <si>
    <t>structural maintenance of chromosomes protein 3</t>
  </si>
  <si>
    <t>structural maintenance of chromosomes protein 4</t>
  </si>
  <si>
    <t xml:space="preserve">structural maintenance of chromosomes flexible hinge domain-containing protein 1 </t>
  </si>
  <si>
    <t>uncharacterized protein C3orf43 homolog</t>
  </si>
  <si>
    <t>UPF0466 protein C22orf32 homolog, mitochondrial precursor</t>
  </si>
  <si>
    <t>serine/threonine-protein phosphatase 4 regulatory subunit 3A isoform 2</t>
  </si>
  <si>
    <t>serine/threonine-protein phosphatase 4 regulatory subunit 3A isoform 1</t>
  </si>
  <si>
    <t>serine/threonine-protein phosphatase 4 regulatory subunit 3B</t>
  </si>
  <si>
    <t xml:space="preserve">serine/threonine-protein kinase SMG1 </t>
  </si>
  <si>
    <t>protein SMG5</t>
  </si>
  <si>
    <t xml:space="preserve">telomerase-binding protein EST1A </t>
  </si>
  <si>
    <t>protein SMG8</t>
  </si>
  <si>
    <t>protein SMG9</t>
  </si>
  <si>
    <t>uncharacterized protein LOC388588 homolog</t>
  </si>
  <si>
    <t xml:space="preserve">small integral membrane protein 12 </t>
  </si>
  <si>
    <t xml:space="preserve">uncharacterized protein LOC66278 </t>
  </si>
  <si>
    <t xml:space="preserve">uncharacterized protein LOC432995 isoform 2 </t>
  </si>
  <si>
    <t xml:space="preserve">uncharacterized protein LOC432995 isoform 1 </t>
  </si>
  <si>
    <t>small integral membrane protein 7 precursor</t>
  </si>
  <si>
    <t>survival motor neuron protein isoform 1</t>
  </si>
  <si>
    <t>survival of motor neuron-related-splicing factor 30</t>
  </si>
  <si>
    <t xml:space="preserve">sphingomyelin phosphodiesterase 2 </t>
  </si>
  <si>
    <t xml:space="preserve">sphingomyelin phosphodiesterase 4 isoform 1 </t>
  </si>
  <si>
    <t xml:space="preserve">sphingomyelin phosphodiesterase 4 isoform 4 </t>
  </si>
  <si>
    <t xml:space="preserve">sphingomyelin phosphodiesterase 4 isoform 3 </t>
  </si>
  <si>
    <t xml:space="preserve">sphingomyelin phosphodiesterase 4 isoform 2 </t>
  </si>
  <si>
    <t xml:space="preserve">acid sphingomyelinase-like phosphodiesterase 3b precursor </t>
  </si>
  <si>
    <t xml:space="preserve">smoothelin </t>
  </si>
  <si>
    <t>WD40 repeat-containing protein SMU1</t>
  </si>
  <si>
    <t>single-strand selective monofunctional uracil DNA glycosylase</t>
  </si>
  <si>
    <t>E3 ubiquitin-protein ligase SMURF2</t>
  </si>
  <si>
    <t>SET and MYND domain-containing protein 3</t>
  </si>
  <si>
    <t>SET and MYND domain-containing protein 5</t>
  </si>
  <si>
    <t xml:space="preserve">synaptosomal-associated protein 23 isoform b </t>
  </si>
  <si>
    <t xml:space="preserve">synaptosomal-associated protein 23 isoform a </t>
  </si>
  <si>
    <t xml:space="preserve">synaptosomal-associated protein 25 </t>
  </si>
  <si>
    <t xml:space="preserve">synaptosomal-associated protein 29 </t>
  </si>
  <si>
    <t xml:space="preserve">synaptosomal-associated protein 47 </t>
  </si>
  <si>
    <t xml:space="preserve">clathrin coat assembly protein AP180 </t>
  </si>
  <si>
    <t xml:space="preserve">SNARE-associated protein Snapin </t>
  </si>
  <si>
    <t xml:space="preserve">staphylococcal nuclease domain-containing protein 1 </t>
  </si>
  <si>
    <t xml:space="preserve">vacuolar-sorting protein SNF8 </t>
  </si>
  <si>
    <t xml:space="preserve">U5 small nuclear ribonucleoprotein 200 kDa helicase </t>
  </si>
  <si>
    <t xml:space="preserve">U4/U6.U5 small nuclear ribonucleoprotein 27 kDa protein </t>
  </si>
  <si>
    <t xml:space="preserve">U5 small nuclear ribonucleoprotein 40 kDa protein </t>
  </si>
  <si>
    <t>U1 small nuclear ribonucleoprotein 70 kDa</t>
  </si>
  <si>
    <t xml:space="preserve">U1 small nuclear ribonucleoprotein A </t>
  </si>
  <si>
    <t xml:space="preserve">U2 small nuclear ribonucleoprotein A' </t>
  </si>
  <si>
    <t xml:space="preserve">small nuclear ribonucleoprotein-associated protein B </t>
  </si>
  <si>
    <t xml:space="preserve">U2 small nuclear ribonucleoprotein B'' </t>
  </si>
  <si>
    <t xml:space="preserve">U1 small nuclear ribonucleoprotein C </t>
  </si>
  <si>
    <t xml:space="preserve">small nuclear ribonucleoprotein Sm D1 </t>
  </si>
  <si>
    <t xml:space="preserve">small nuclear ribonucleoprotein Sm D2 </t>
  </si>
  <si>
    <t xml:space="preserve">small nuclear ribonucleoprotein Sm D3 </t>
  </si>
  <si>
    <t>small nuclear ribonucleoprotein E</t>
  </si>
  <si>
    <t>small nuclear ribonucleoprotein F</t>
  </si>
  <si>
    <t>small nuclear ribonucleoprotein G</t>
  </si>
  <si>
    <t xml:space="preserve">small nuclear ribonucleoprotein-associated protein N </t>
  </si>
  <si>
    <t xml:space="preserve">alpha-1-syntrophin </t>
  </si>
  <si>
    <t xml:space="preserve">beta-2-syntrophin </t>
  </si>
  <si>
    <t>SNW domain-containing protein 1</t>
  </si>
  <si>
    <t>sorting nexin-1</t>
  </si>
  <si>
    <t>sorting nexin-12 isoform 3</t>
  </si>
  <si>
    <t>sorting nexin-12 isoform 1</t>
  </si>
  <si>
    <t>sorting nexin-12 isoform 2</t>
  </si>
  <si>
    <t>sorting nexin-14</t>
  </si>
  <si>
    <t>sorting nexin-17</t>
  </si>
  <si>
    <t>sorting nexin-18</t>
  </si>
  <si>
    <t>sorting nexin-2</t>
  </si>
  <si>
    <t>sorting nexin-21</t>
  </si>
  <si>
    <t>sorting nexin-24</t>
  </si>
  <si>
    <t>sorting nexin-27 isoform 2</t>
  </si>
  <si>
    <t>sorting nexin-27 isoform 1</t>
  </si>
  <si>
    <t>sorting nexin-29</t>
  </si>
  <si>
    <t>sorting nexin-3</t>
  </si>
  <si>
    <t>sorting nexin-32</t>
  </si>
  <si>
    <t>sorting nexin-4</t>
  </si>
  <si>
    <t>sorting nexin-5</t>
  </si>
  <si>
    <t>sorting nexin-6</t>
  </si>
  <si>
    <t>sorting nexin-7 isoform 2</t>
  </si>
  <si>
    <t>sorting nexin-7 isoform 1</t>
  </si>
  <si>
    <t>sorting nexin-8</t>
  </si>
  <si>
    <t>sorting nexin-9</t>
  </si>
  <si>
    <t xml:space="preserve">sterol O-acyltransferase 1 </t>
  </si>
  <si>
    <t xml:space="preserve">superoxide dismutase [Cu-Zn] </t>
  </si>
  <si>
    <t xml:space="preserve">superoxide dismutase [Mn], mitochondrial precursor </t>
  </si>
  <si>
    <t>protein SON</t>
  </si>
  <si>
    <t>protein SON truncated isoform</t>
  </si>
  <si>
    <t>sorbin and SH3 domain-containing protein 1 isoform 5</t>
  </si>
  <si>
    <t>sorbin and SH3 domain-containing protein 1 isoform 2</t>
  </si>
  <si>
    <t>sorbin and SH3 domain-containing protein 1 isoform 1</t>
  </si>
  <si>
    <t>sorbin and SH3 domain-containing protein 1 isoform 4</t>
  </si>
  <si>
    <t>sorbin and SH3 domain-containing protein 1 isoform 3</t>
  </si>
  <si>
    <t>sorbin and SH3 domain-containing protein 2 isoform 1</t>
  </si>
  <si>
    <t>sorbin and SH3 domain-containing protein 2 isoform 2</t>
  </si>
  <si>
    <t xml:space="preserve">vinexin isoform b </t>
  </si>
  <si>
    <t xml:space="preserve">vinexin isoform c </t>
  </si>
  <si>
    <t xml:space="preserve">vinexin isoform a </t>
  </si>
  <si>
    <t>sorbitol dehydrogenase</t>
  </si>
  <si>
    <t xml:space="preserve">sortilin-related receptor precursor </t>
  </si>
  <si>
    <t>sortilin isoform 2 precursor</t>
  </si>
  <si>
    <t xml:space="preserve">sortilin isoform 1 </t>
  </si>
  <si>
    <t xml:space="preserve">son of sevenless homolog 1 </t>
  </si>
  <si>
    <t xml:space="preserve">ankyrin repeat domain-containing protein SOWAHB </t>
  </si>
  <si>
    <t xml:space="preserve">ankyrin repeat domain-containing protein SOWAHC </t>
  </si>
  <si>
    <t xml:space="preserve">transcription factor Sp1 </t>
  </si>
  <si>
    <t xml:space="preserve">sperm-associated antigen 1 </t>
  </si>
  <si>
    <t xml:space="preserve">sperm-associated antigen 17 </t>
  </si>
  <si>
    <t xml:space="preserve">sperm-associated antigen 7 isoform 1 </t>
  </si>
  <si>
    <t xml:space="preserve">sperm-associated antigen 7 isoform 2 </t>
  </si>
  <si>
    <t>C-Jun-amino-terminal kinase-interacting protein 4 isoform 5</t>
  </si>
  <si>
    <t>C-Jun-amino-terminal kinase-interacting protein 4 isoform 6</t>
  </si>
  <si>
    <t>C-Jun-amino-terminal kinase-interacting protein 4 isoform 7</t>
  </si>
  <si>
    <t>C-Jun-amino-terminal kinase-interacting protein 4 isoform 1</t>
  </si>
  <si>
    <t>C-Jun-amino-terminal kinase-interacting protein 4 isoform 3</t>
  </si>
  <si>
    <t>C-Jun-amino-terminal kinase-interacting protein 4 isoform 2</t>
  </si>
  <si>
    <t>C-Jun-amino-terminal kinase-interacting protein 4 isoform 4</t>
  </si>
  <si>
    <t xml:space="preserve">spastin isoform 1 </t>
  </si>
  <si>
    <t xml:space="preserve">spastin isoform 2 </t>
  </si>
  <si>
    <t xml:space="preserve">spermatogenesis-associated protein 13 </t>
  </si>
  <si>
    <t xml:space="preserve">spermatogenesis-associated protein 5 isoform 2 </t>
  </si>
  <si>
    <t xml:space="preserve">spermatogenesis-associated protein 5 isoform 1 </t>
  </si>
  <si>
    <t>spermatogenesis-associated serine-rich protein 2</t>
  </si>
  <si>
    <t xml:space="preserve">kinetochore protein Spc24 </t>
  </si>
  <si>
    <t xml:space="preserve">kinetochore protein Spc25 isoform 1 </t>
  </si>
  <si>
    <t xml:space="preserve">kinetochore protein Spc25 </t>
  </si>
  <si>
    <t xml:space="preserve">signal peptidase complex subunit 1 </t>
  </si>
  <si>
    <t xml:space="preserve">signal peptidase complex subunit 2 </t>
  </si>
  <si>
    <t xml:space="preserve">cytospin-B </t>
  </si>
  <si>
    <t>sperm flagellar protein 2</t>
  </si>
  <si>
    <t>msx2-interacting protein</t>
  </si>
  <si>
    <t xml:space="preserve">spartin isoform a </t>
  </si>
  <si>
    <t xml:space="preserve">spartin isoform b </t>
  </si>
  <si>
    <t xml:space="preserve">maspardin </t>
  </si>
  <si>
    <t xml:space="preserve">paraplegin </t>
  </si>
  <si>
    <t xml:space="preserve">sphingosine kinase 1 isoform 1 </t>
  </si>
  <si>
    <t xml:space="preserve">sphingosine kinase 1 isoform 2 </t>
  </si>
  <si>
    <t xml:space="preserve">sphingosine kinase 1 isoform 3 </t>
  </si>
  <si>
    <t xml:space="preserve">sphingosine kinase 2 </t>
  </si>
  <si>
    <t xml:space="preserve">spindle and centriole-associated protein 1 </t>
  </si>
  <si>
    <t xml:space="preserve">kunitz-type protease inhibitor 1 precursor </t>
  </si>
  <si>
    <t xml:space="preserve">kunitz-type protease inhibitor 2 isoform b precursor </t>
  </si>
  <si>
    <t xml:space="preserve">kunitz-type protease inhibitor 2 isoform a precursor </t>
  </si>
  <si>
    <t xml:space="preserve">signal peptide peptidase-like 2A precursor </t>
  </si>
  <si>
    <t>sepiapterin reductase</t>
  </si>
  <si>
    <t xml:space="preserve">cornifin-A </t>
  </si>
  <si>
    <t>SPRY domain-containing protein 4</t>
  </si>
  <si>
    <t>SPRY domain-containing protein 7</t>
  </si>
  <si>
    <t xml:space="preserve">spectrin alpha chain, erythrocytic 1 </t>
  </si>
  <si>
    <t xml:space="preserve">spectrin alpha chain, non-erythrocytic 1 isoform 1 </t>
  </si>
  <si>
    <t xml:space="preserve">spectrin alpha chain, non-erythrocytic 1 isoform 2 </t>
  </si>
  <si>
    <t xml:space="preserve">spectrin alpha chain, non-erythrocytic 1 isoform 3 </t>
  </si>
  <si>
    <t>spectrin beta chain, erythrocytic</t>
  </si>
  <si>
    <t xml:space="preserve">spectrin beta chain, non-erythrocytic 1 isoform 1 </t>
  </si>
  <si>
    <t xml:space="preserve">spectrin beta chain, non-erythrocytic 1 isoform 2 </t>
  </si>
  <si>
    <t xml:space="preserve">spectrin beta chain, brain 2 </t>
  </si>
  <si>
    <t xml:space="preserve">spectrin beta 4 isoform sigma1 </t>
  </si>
  <si>
    <t xml:space="preserve">serine palmitoyltransferase 1 </t>
  </si>
  <si>
    <t xml:space="preserve">serine palmitoyltransferase 2 </t>
  </si>
  <si>
    <t>squalene monooxygenase</t>
  </si>
  <si>
    <t xml:space="preserve">sulfide:quinone oxidoreductase, mitochondrial </t>
  </si>
  <si>
    <t xml:space="preserve">sequestosome-1 </t>
  </si>
  <si>
    <t xml:space="preserve">steroid receptor RNA activator 1 isoform a </t>
  </si>
  <si>
    <t xml:space="preserve">steroid receptor RNA activator 1 isoform b </t>
  </si>
  <si>
    <t xml:space="preserve">S1 RNA-binding domain-containing protein 1 </t>
  </si>
  <si>
    <t xml:space="preserve">neuronal proto-oncogene tyrosine-protein kinase Src isoform 2 </t>
  </si>
  <si>
    <t xml:space="preserve">neuronal proto-oncogene tyrosine-protein kinase Src isoform 1 </t>
  </si>
  <si>
    <t xml:space="preserve">3-oxo-5-alpha-steroid 4-dehydrogenase 1 </t>
  </si>
  <si>
    <t xml:space="preserve">probable polyprenol reductase </t>
  </si>
  <si>
    <t xml:space="preserve">sterol regulatory element-binding protein 2 </t>
  </si>
  <si>
    <t xml:space="preserve">splicing regulatory glutamine/lysine-rich protein 1 </t>
  </si>
  <si>
    <t xml:space="preserve">SLIT-ROBO Rho GTPase-activating protein 1 isoform 1 </t>
  </si>
  <si>
    <t xml:space="preserve">SLIT-ROBO Rho GTPase-activating protein 1 isoform 2 </t>
  </si>
  <si>
    <t xml:space="preserve">SLIT-ROBO Rho GTPase-activating protein 2 </t>
  </si>
  <si>
    <t xml:space="preserve">SLIT-ROBO Rho GTPase-activating protein 3 </t>
  </si>
  <si>
    <t xml:space="preserve">sorcin isoform 1 </t>
  </si>
  <si>
    <t xml:space="preserve">sorcin isoform 2 </t>
  </si>
  <si>
    <t>sarcalumenin precursor</t>
  </si>
  <si>
    <t>spermidine synthase</t>
  </si>
  <si>
    <t xml:space="preserve">tyrosine-protein kinase Srms </t>
  </si>
  <si>
    <t>signal recognition particle 19 kDa protein</t>
  </si>
  <si>
    <t>signal recognition particle 54 kDa protein</t>
  </si>
  <si>
    <t>signal recognition particle 54C</t>
  </si>
  <si>
    <t xml:space="preserve">signal recognition particle subunit SRP68 </t>
  </si>
  <si>
    <t>signal recognition particle 72</t>
  </si>
  <si>
    <t>signal recognition particle 9 kDa protein</t>
  </si>
  <si>
    <t>SRSF protein kinase 1</t>
  </si>
  <si>
    <t>SRSF protein kinase 2</t>
  </si>
  <si>
    <t>SRSF protein kinase 3</t>
  </si>
  <si>
    <t>signal recognition particle receptor subunit alpha</t>
  </si>
  <si>
    <t>signal recognition particle receptor subunit beta</t>
  </si>
  <si>
    <t>serine racemase</t>
  </si>
  <si>
    <t xml:space="preserve">serine/arginine repetitive matrix protein 1 isoform 1 </t>
  </si>
  <si>
    <t xml:space="preserve">serine/arginine repetitive matrix protein 1 isoform 2 </t>
  </si>
  <si>
    <t xml:space="preserve">serine/arginine repetitive matrix protein 2 </t>
  </si>
  <si>
    <t xml:space="preserve">serrate RNA effector molecule homolog isoform 1 </t>
  </si>
  <si>
    <t xml:space="preserve">serrate RNA effector molecule homolog isoform 2 </t>
  </si>
  <si>
    <t xml:space="preserve">serrate RNA effector molecule homolog isoform 3 </t>
  </si>
  <si>
    <t>serine/arginine-rich splicing factor 1 isoform 2</t>
  </si>
  <si>
    <t>serine/arginine-rich splicing factor 1 isoform 1</t>
  </si>
  <si>
    <t>serine/arginine-rich splicing factor 10 isoform 3</t>
  </si>
  <si>
    <t>serine/arginine-rich splicing factor 10 isoform 4</t>
  </si>
  <si>
    <t>serine/arginine-rich splicing factor 10 isoform 2</t>
  </si>
  <si>
    <t>serine/arginine-rich splicing factor 10 isoform 1</t>
  </si>
  <si>
    <t>splicing factor, arginine/serine-rich 11 isoform 3</t>
  </si>
  <si>
    <t>splicing factor, arginine/serine-rich 11 isoform 1</t>
  </si>
  <si>
    <t>splicing factor, arginine/serine-rich 11 isoform 2</t>
  </si>
  <si>
    <t>serine/arginine-rich splicing factor 2</t>
  </si>
  <si>
    <t>serine/arginine-rich splicing factor 3</t>
  </si>
  <si>
    <t>serine/arginine-rich splicing factor 4</t>
  </si>
  <si>
    <t>serine/arginine-rich splicing factor 5</t>
  </si>
  <si>
    <t>arginine/serine-rich splicing factor 6</t>
  </si>
  <si>
    <t>serine/arginine-rich splicing factor 7 isoform 1</t>
  </si>
  <si>
    <t>serine/arginine-rich splicing factor 7 isoform 2</t>
  </si>
  <si>
    <t>serine/arginine-rich splicing factor 7 isoform 3</t>
  </si>
  <si>
    <t>serine/arginine-rich splicing factor 7 isoform 4</t>
  </si>
  <si>
    <t>serine/arginine-rich splicing factor 9</t>
  </si>
  <si>
    <t xml:space="preserve">sulfiredoxin-1 </t>
  </si>
  <si>
    <t>calcium-responsive transactivator</t>
  </si>
  <si>
    <t>lupus La protein homolog</t>
  </si>
  <si>
    <t>single-stranded DNA-binding protein, mitochondrial isoform 2</t>
  </si>
  <si>
    <t>single-stranded DNA-binding protein, mitochondrial isoform 1</t>
  </si>
  <si>
    <t xml:space="preserve">protein phosphatase Slingshot homolog 3 </t>
  </si>
  <si>
    <t>Sjoegren syndrome nuclear autoantigen 1 homolog</t>
  </si>
  <si>
    <t xml:space="preserve">translocon-associated protein subunit alpha precursor </t>
  </si>
  <si>
    <t>translocon-associated protein subunit gamma</t>
  </si>
  <si>
    <t xml:space="preserve">translocon-associated protein subunit delta isoform 1 precursor </t>
  </si>
  <si>
    <t xml:space="preserve">translocon-associated protein subunit delta isoform 2 precursor </t>
  </si>
  <si>
    <t>FACT complex subunit SSRP1</t>
  </si>
  <si>
    <t xml:space="preserve">Sjoegren syndrome/scleroderma autoantigen 1 homolog </t>
  </si>
  <si>
    <t xml:space="preserve">RNA polymerase II subunit A C-terminal domain phosphatase SSU72 </t>
  </si>
  <si>
    <t>hsc70-interacting protein</t>
  </si>
  <si>
    <t>suppressor of tumorigenicity 14 protein homolog</t>
  </si>
  <si>
    <t>type 2 lactosamine alpha-2,3-sialyltransferase</t>
  </si>
  <si>
    <t xml:space="preserve">cohesin subunit SA-2 </t>
  </si>
  <si>
    <t xml:space="preserve">signal transducing adapter molecule 1 </t>
  </si>
  <si>
    <t xml:space="preserve">signal transducing adapter molecule 2 </t>
  </si>
  <si>
    <t>STAM-binding protein</t>
  </si>
  <si>
    <t>signal-transducing adaptor protein 2</t>
  </si>
  <si>
    <t>PCTP-like protein</t>
  </si>
  <si>
    <t xml:space="preserve">stAR-related lipid transfer protein 3 </t>
  </si>
  <si>
    <t>MLN64 N-terminal domain homolog</t>
  </si>
  <si>
    <t xml:space="preserve">stAR-related lipid transfer protein 5 </t>
  </si>
  <si>
    <t xml:space="preserve">signal transducer and activator of transcription 1 isoform 2 </t>
  </si>
  <si>
    <t xml:space="preserve">signal transducer and activator of transcription 1 isoform 1 </t>
  </si>
  <si>
    <t xml:space="preserve">signal transducer and activator of transcription 2 </t>
  </si>
  <si>
    <t xml:space="preserve">signal transducer and activator of transcription 3 isoform 3 </t>
  </si>
  <si>
    <t xml:space="preserve">signal transducer and activator of transcription 3 isoform 1 </t>
  </si>
  <si>
    <t xml:space="preserve">signal transducer and activator of transcription 3 isoform 2 </t>
  </si>
  <si>
    <t xml:space="preserve">signal transducer and activator of transcription 5A isoform 2 </t>
  </si>
  <si>
    <t xml:space="preserve">signal transducer and activator of transcription 5A isoform 1 </t>
  </si>
  <si>
    <t xml:space="preserve">signal transducer and activator of transcription 5B </t>
  </si>
  <si>
    <t>signal transducer and transcription activator 6</t>
  </si>
  <si>
    <t>double-stranded RNA-binding protein Staufen homolog 1 isoform 2</t>
  </si>
  <si>
    <t>double-stranded RNA-binding protein Staufen homolog 1 isoform 1</t>
  </si>
  <si>
    <t>double-stranded RNA-binding protein Staufen homolog 1 isoform 3</t>
  </si>
  <si>
    <t>double-stranded RNA-binding protein Staufen homolog 2 isoform 2</t>
  </si>
  <si>
    <t>double-stranded RNA-binding protein Staufen homolog 2 isoform 3</t>
  </si>
  <si>
    <t>metalloreductase STEAP1</t>
  </si>
  <si>
    <t>metalloreductase STEAP2</t>
  </si>
  <si>
    <t xml:space="preserve">stromal interaction molecule 1 precursor </t>
  </si>
  <si>
    <t xml:space="preserve">stromal interaction molecule 2 precursor </t>
  </si>
  <si>
    <t>stress-induced-phosphoprotein 1</t>
  </si>
  <si>
    <t xml:space="preserve">serine/threonine-protein kinase 10 </t>
  </si>
  <si>
    <t xml:space="preserve">serine/threonine-protein kinase STK11 </t>
  </si>
  <si>
    <t>serine/threonine-protein kinase 11-interacting protein</t>
  </si>
  <si>
    <t xml:space="preserve">serine/threonine-protein kinase 16 </t>
  </si>
  <si>
    <t xml:space="preserve">serine/threonine-protein kinase 24 </t>
  </si>
  <si>
    <t xml:space="preserve">serine/threonine-protein kinase 25 </t>
  </si>
  <si>
    <t xml:space="preserve">serine/threonine-protein kinase 3 </t>
  </si>
  <si>
    <t xml:space="preserve">serine/threonine-protein kinase 38 </t>
  </si>
  <si>
    <t xml:space="preserve">serine/threonine-protein kinase 38-like </t>
  </si>
  <si>
    <t xml:space="preserve">serine/threonine-protein kinase 4 </t>
  </si>
  <si>
    <t xml:space="preserve">stathmin </t>
  </si>
  <si>
    <t xml:space="preserve">stathmin-2 </t>
  </si>
  <si>
    <t xml:space="preserve">stathmin-4 </t>
  </si>
  <si>
    <t>erythrocyte band 7 integral membrane protein</t>
  </si>
  <si>
    <t>stomatin-like protein 2, mitochondrial</t>
  </si>
  <si>
    <t xml:space="preserve">stonin-1 </t>
  </si>
  <si>
    <t xml:space="preserve">stonin-2 </t>
  </si>
  <si>
    <t>serine-threonine kinase receptor-associated protein</t>
  </si>
  <si>
    <t>spermatid perinuclear RNA-binding protein</t>
  </si>
  <si>
    <t xml:space="preserve">striatin-interacting protein 1 </t>
  </si>
  <si>
    <t xml:space="preserve">striatin-interacting proteins 2 isoform b </t>
  </si>
  <si>
    <t xml:space="preserve">striatin-interacting proteins 2 isoform a </t>
  </si>
  <si>
    <t xml:space="preserve">striatin </t>
  </si>
  <si>
    <t xml:space="preserve">striatin-3 isoform 1 </t>
  </si>
  <si>
    <t xml:space="preserve">striatin-3 isoform 2 </t>
  </si>
  <si>
    <t xml:space="preserve">striatin-4 isoform 1 </t>
  </si>
  <si>
    <t xml:space="preserve">striatin-4 isoform 2 </t>
  </si>
  <si>
    <t>dolichyl-diphosphooligosaccharide--protein glycosyltransferase subunit STT3A</t>
  </si>
  <si>
    <t>dolichyl-diphosphooligosaccharide--protein glycosyltransferase subunit STT3B</t>
  </si>
  <si>
    <t xml:space="preserve">STIP1 homology and U box-containing protein 1 </t>
  </si>
  <si>
    <t xml:space="preserve">syntaxin-12 </t>
  </si>
  <si>
    <t xml:space="preserve">syntaxin-16 isoform a </t>
  </si>
  <si>
    <t xml:space="preserve">syntaxin-16 isoform b </t>
  </si>
  <si>
    <t xml:space="preserve">syntaxin-16 isoform c </t>
  </si>
  <si>
    <t xml:space="preserve">syntaxin-16 isoform d </t>
  </si>
  <si>
    <t xml:space="preserve">syntaxin-17 </t>
  </si>
  <si>
    <t xml:space="preserve">syntaxin-18 </t>
  </si>
  <si>
    <t xml:space="preserve">syntaxin-3 isoform C </t>
  </si>
  <si>
    <t xml:space="preserve">syntaxin-3 isoform B </t>
  </si>
  <si>
    <t xml:space="preserve">syntaxin-3 isoform A </t>
  </si>
  <si>
    <t xml:space="preserve">syntaxin-4 </t>
  </si>
  <si>
    <t xml:space="preserve">syntaxin-5 </t>
  </si>
  <si>
    <t xml:space="preserve">syntaxin-6 </t>
  </si>
  <si>
    <t xml:space="preserve">syntaxin-7 </t>
  </si>
  <si>
    <t xml:space="preserve">syntaxin-8 </t>
  </si>
  <si>
    <t xml:space="preserve">syntaxin-binding protein 1 isoform b </t>
  </si>
  <si>
    <t xml:space="preserve">syntaxin-binding protein 1 isoform a </t>
  </si>
  <si>
    <t xml:space="preserve">syntaxin-binding protein 2 </t>
  </si>
  <si>
    <t xml:space="preserve">syntaxin-binding protein 3 </t>
  </si>
  <si>
    <t xml:space="preserve">syntaxin-binding protein 4 </t>
  </si>
  <si>
    <t xml:space="preserve">syntaxin-binding protein 5 </t>
  </si>
  <si>
    <t xml:space="preserve">serine/threonine/tyrosine-interacting-like protein 1 </t>
  </si>
  <si>
    <t xml:space="preserve">activated RNA polymerase II transcriptional coactivator p15 </t>
  </si>
  <si>
    <t xml:space="preserve">succinyl-CoA ligase [ADP-forming] subunit beta, mitochondrial precursor </t>
  </si>
  <si>
    <t xml:space="preserve">succinyl-CoA ligase [ADP/GDP-forming] subunit alpha, mitochondrial precursor </t>
  </si>
  <si>
    <t xml:space="preserve">succinyl-CoA ligase [GDP-forming] subunit beta, mitochondrial precursor </t>
  </si>
  <si>
    <t>suppressor of fused homolog isoform 1</t>
  </si>
  <si>
    <t>suppressor of fused homolog isoform 2</t>
  </si>
  <si>
    <t xml:space="preserve">suppressor of G2 allele of SKP1 homolog </t>
  </si>
  <si>
    <t>sulfotransferase 1C1</t>
  </si>
  <si>
    <t>sulfotransferase 1C2</t>
  </si>
  <si>
    <t xml:space="preserve">sulfotransferase 1 family member D1 </t>
  </si>
  <si>
    <t>sulfotransferase family cytosolic 2B member 1</t>
  </si>
  <si>
    <t>amine sulfotransferase</t>
  </si>
  <si>
    <t>sulfatase-modifying factor 1 precursor</t>
  </si>
  <si>
    <t xml:space="preserve">small ubiquitin-related modifier 2 precursor </t>
  </si>
  <si>
    <t xml:space="preserve">small ubiquitin-related modifier 3 precursor </t>
  </si>
  <si>
    <t>SUN domain-containing protein 1 isoform 1</t>
  </si>
  <si>
    <t>SUN domain-containing protein 1 isoform 2</t>
  </si>
  <si>
    <t>SUN domain-containing protein 1 isoform 3</t>
  </si>
  <si>
    <t>SUN domain-containing protein 1 isoform 4</t>
  </si>
  <si>
    <t>SUN domain-containing protein 1 isoform 5</t>
  </si>
  <si>
    <t>SUN domain-containing protein 2 isoform 3</t>
  </si>
  <si>
    <t>SUN domain-containing protein 2 isoform 1</t>
  </si>
  <si>
    <t>SUN domain-containing protein 2 isoform 2</t>
  </si>
  <si>
    <t>FACT complex subunit SPT16</t>
  </si>
  <si>
    <t xml:space="preserve">transcription elongation factor SPT4 1 </t>
  </si>
  <si>
    <t>transcription elongation factor SPT5</t>
  </si>
  <si>
    <t>transcription elongation factor SPT6</t>
  </si>
  <si>
    <t>ATP-dependent RNA helicase SUPV3L1, mitochondrial precursor</t>
  </si>
  <si>
    <t>surfeit locus protein 1 isoform 1</t>
  </si>
  <si>
    <t>surfeit locus protein 1 isoform 2</t>
  </si>
  <si>
    <t>surfeit locus protein 2</t>
  </si>
  <si>
    <t>surfeit locus protein 4</t>
  </si>
  <si>
    <t>surfeit locus protein 6</t>
  </si>
  <si>
    <t xml:space="preserve">histone-lysine N-methyltransferase SUV420H1 isoform b </t>
  </si>
  <si>
    <t xml:space="preserve">histone-lysine N-methyltransferase SUV420H1 isoform a </t>
  </si>
  <si>
    <t xml:space="preserve">small VCP/p97-interacting protein </t>
  </si>
  <si>
    <t xml:space="preserve">switch-associated protein 70 </t>
  </si>
  <si>
    <t xml:space="preserve">synapse-associated protein 1 </t>
  </si>
  <si>
    <t xml:space="preserve">tyrosine-protein kinase SYK </t>
  </si>
  <si>
    <t xml:space="preserve">symplekin </t>
  </si>
  <si>
    <t>envelope glycoprotein syncytin-A precursor</t>
  </si>
  <si>
    <t>heterogeneous nuclear ribonucleoprotein Q isoform 3</t>
  </si>
  <si>
    <t>heterogeneous nuclear ribonucleoprotein Q isoform 1</t>
  </si>
  <si>
    <t>heterogeneous nuclear ribonucleoprotein Q isoform 2</t>
  </si>
  <si>
    <t xml:space="preserve">nesprin-1 isoform 2 </t>
  </si>
  <si>
    <t xml:space="preserve">nesprin-1 isoform 3 </t>
  </si>
  <si>
    <t xml:space="preserve">nesprin-2 </t>
  </si>
  <si>
    <t xml:space="preserve">synaptogyrin-1 isoform 1a </t>
  </si>
  <si>
    <t xml:space="preserve">synaptogyrin-1 isoform 1b </t>
  </si>
  <si>
    <t xml:space="preserve">synaptogyrin-2 </t>
  </si>
  <si>
    <t xml:space="preserve">synaptogyrin-3 </t>
  </si>
  <si>
    <t xml:space="preserve">synaptojanin-1 isoform b </t>
  </si>
  <si>
    <t xml:space="preserve">synaptojanin-1 isoform a </t>
  </si>
  <si>
    <t>synaptojanin-2-binding protein</t>
  </si>
  <si>
    <t>synergin gamma isoform 1</t>
  </si>
  <si>
    <t>synergin gamma isoform 2</t>
  </si>
  <si>
    <t xml:space="preserve">synaptophysin-like protein 1 isoform 1 </t>
  </si>
  <si>
    <t xml:space="preserve">synaptophysin-like protein 1 isoform 2 </t>
  </si>
  <si>
    <t xml:space="preserve">E3 ubiquitin-protein ligase synoviolin precursor </t>
  </si>
  <si>
    <t>SUZ domain-containing protein 1 isoform 2</t>
  </si>
  <si>
    <t>SUZ domain-containing protein 1 isoform 1</t>
  </si>
  <si>
    <t xml:space="preserve">TGF-beta-activated kinase 1 and MAP3K7-binding protein 1 </t>
  </si>
  <si>
    <t>protachykinin-1 precursor</t>
  </si>
  <si>
    <t xml:space="preserve">transforming acidic coiled-coil-containing protein 2 isoform b </t>
  </si>
  <si>
    <t xml:space="preserve">transforming acidic coiled-coil-containing protein 2 isoform a </t>
  </si>
  <si>
    <t xml:space="preserve">transforming acidic coiled-coil-containing protein 2 isoform c </t>
  </si>
  <si>
    <t xml:space="preserve">transforming acidic coiled-coil-containing protein 3 </t>
  </si>
  <si>
    <t xml:space="preserve">translational activator of cytochrome c oxidase 1 </t>
  </si>
  <si>
    <t>tumor-associated calcium signal transducer 2 precursor</t>
  </si>
  <si>
    <t>transcription initiation factor TFIID subunit 11</t>
  </si>
  <si>
    <t>TATA-binding protein-associated factor 2N</t>
  </si>
  <si>
    <t xml:space="preserve">TAF6-like RNA polymerase II p300/CBP-associated factor-associated factor 65 kDa subunit 6L isoform 1 </t>
  </si>
  <si>
    <t xml:space="preserve">TAF6-like RNA polymerase II p300/CBP-associated factor-associated factor 65 kDa subunit 6L isoform 2 </t>
  </si>
  <si>
    <t>transcription initiation factor TFIID subunit 7-like</t>
  </si>
  <si>
    <t xml:space="preserve">transgelin-2 </t>
  </si>
  <si>
    <t xml:space="preserve">transgelin-3 </t>
  </si>
  <si>
    <t xml:space="preserve">transaldolase </t>
  </si>
  <si>
    <t xml:space="preserve">mitochondrial translocator assembly and maintenance protein 41 homolog precursor </t>
  </si>
  <si>
    <t>protein TANC1</t>
  </si>
  <si>
    <t>protein TANC2</t>
  </si>
  <si>
    <t>ser/Thr-rich protein T10 in DGCR region</t>
  </si>
  <si>
    <t xml:space="preserve">serine/threonine-protein kinase TAO1 </t>
  </si>
  <si>
    <t xml:space="preserve">serine/threonine-protein kinase TAO2 isoform 1 </t>
  </si>
  <si>
    <t xml:space="preserve">serine/threonine-protein kinase TAO3 </t>
  </si>
  <si>
    <t>tapasin isoform 2 precursor</t>
  </si>
  <si>
    <t>tapasin isoform 1 precursor</t>
  </si>
  <si>
    <t>transmembrane anterior posterior transformation protein 1</t>
  </si>
  <si>
    <t>RISC-loading complex subunit TARBP2 isoform 1</t>
  </si>
  <si>
    <t>TAR DNA-binding protein 43 isoform 1</t>
  </si>
  <si>
    <t>TAR DNA-binding protein 43 isoform 2</t>
  </si>
  <si>
    <t>TAR DNA-binding protein 43 isoform 3</t>
  </si>
  <si>
    <t>TAR DNA-binding protein 43 isoform 4</t>
  </si>
  <si>
    <t>TAR DNA-binding protein 43 isoform 5</t>
  </si>
  <si>
    <t xml:space="preserve">threonine--tRNA ligase, cytoplasmic </t>
  </si>
  <si>
    <t xml:space="preserve">threonine--tRNA ligase, mitochondrial isoform 1 </t>
  </si>
  <si>
    <t xml:space="preserve">threonine--tRNA ligase, mitochondrial isoform 2 </t>
  </si>
  <si>
    <t xml:space="preserve">threonine--tRNA ligase, mitochondrial isoform 3 </t>
  </si>
  <si>
    <t xml:space="preserve">threonine--tRNA ligase, mitochondrial isoform 4 </t>
  </si>
  <si>
    <t xml:space="preserve">probable threonine--tRNA ligase 2, cytoplasmic </t>
  </si>
  <si>
    <t xml:space="preserve">taste receptor type 1 member 3 precursor </t>
  </si>
  <si>
    <t xml:space="preserve">putative deoxyribonuclease TATDN1 </t>
  </si>
  <si>
    <t>tax1-binding protein 1 homolog</t>
  </si>
  <si>
    <t xml:space="preserve">tax1-binding protein 3 </t>
  </si>
  <si>
    <t xml:space="preserve">TBC1 domain family member 1 </t>
  </si>
  <si>
    <t xml:space="preserve">TBC1 domain family member 10A </t>
  </si>
  <si>
    <t xml:space="preserve">TBC1 domain family member 10B </t>
  </si>
  <si>
    <t xml:space="preserve">TBC1 domain family member 13 </t>
  </si>
  <si>
    <t xml:space="preserve">TBC1 domain family member 15 </t>
  </si>
  <si>
    <t xml:space="preserve">TBC1 domain family member 17 </t>
  </si>
  <si>
    <t xml:space="preserve">TBC1 domain family member 2A </t>
  </si>
  <si>
    <t xml:space="preserve">TBC1 domain family member 22A </t>
  </si>
  <si>
    <t xml:space="preserve">TBC1 domain family member 22B </t>
  </si>
  <si>
    <t xml:space="preserve">TBC1 domain family member 23 </t>
  </si>
  <si>
    <t xml:space="preserve">TBC1 domain family member 24 isoform a </t>
  </si>
  <si>
    <t xml:space="preserve">TBC1 domain family member 24 isoform b </t>
  </si>
  <si>
    <t xml:space="preserve">TBC1 domain family member 4 </t>
  </si>
  <si>
    <t xml:space="preserve">TBC1 domain family member 5 </t>
  </si>
  <si>
    <t xml:space="preserve">TBC1 domain family member 8B </t>
  </si>
  <si>
    <t xml:space="preserve">TBC1 domain family member 9 isoform 1 </t>
  </si>
  <si>
    <t xml:space="preserve">TBC1 domain family member 9 isoform 2 </t>
  </si>
  <si>
    <t xml:space="preserve">TBC1 domain family member 9B </t>
  </si>
  <si>
    <t xml:space="preserve">tubulin-specific chaperone A </t>
  </si>
  <si>
    <t xml:space="preserve">tubulin-folding cofactor B </t>
  </si>
  <si>
    <t xml:space="preserve">tubulin-specific chaperone C </t>
  </si>
  <si>
    <t xml:space="preserve">tubulin-specific chaperone D </t>
  </si>
  <si>
    <t xml:space="preserve">tubulin-specific chaperone E </t>
  </si>
  <si>
    <t xml:space="preserve">tubulin-specific chaperone cofactor E-like protein </t>
  </si>
  <si>
    <t xml:space="preserve">serine/threonine-protein kinase TBK1 </t>
  </si>
  <si>
    <t>F-box-like/WD repeat-containing protein TBL1X</t>
  </si>
  <si>
    <t>F-box-like/WD repeat-containing protein TBL1XR1</t>
  </si>
  <si>
    <t xml:space="preserve">transducin beta-like protein 2 precursor </t>
  </si>
  <si>
    <t>transducin beta-like protein 3</t>
  </si>
  <si>
    <t>TATA-box-binding protein</t>
  </si>
  <si>
    <t xml:space="preserve">TATA box-binding protein-like protein 1 </t>
  </si>
  <si>
    <t xml:space="preserve">TATA box-binding protein-like protein 2 </t>
  </si>
  <si>
    <t>protein TBRG4</t>
  </si>
  <si>
    <t>transcription elongation factor A protein 1 isoform 3</t>
  </si>
  <si>
    <t>transcription elongation factor A protein 1 isoform 1</t>
  </si>
  <si>
    <t>transcription elongation factor A protein 1 isoform 2</t>
  </si>
  <si>
    <t>transcription elongation factor A protein 2</t>
  </si>
  <si>
    <t>transcription elongation factor B polypeptide 2</t>
  </si>
  <si>
    <t>transcription elongation regulator 1</t>
  </si>
  <si>
    <t>T-cell, immune regulator 1</t>
  </si>
  <si>
    <t>treacle protein isoform 1</t>
  </si>
  <si>
    <t>treacle protein isoform 2</t>
  </si>
  <si>
    <t xml:space="preserve">T-complex protein 1 subunit alpha </t>
  </si>
  <si>
    <t xml:space="preserve">T-complex protein 11-like protein 1 </t>
  </si>
  <si>
    <t xml:space="preserve">G/T mismatch-specific thymine DNA glycosylase isoform 2 </t>
  </si>
  <si>
    <t xml:space="preserve">G/T mismatch-specific thymine DNA glycosylase isoform 1 </t>
  </si>
  <si>
    <t xml:space="preserve">tyrosyl-DNA phosphodiesterase 1 </t>
  </si>
  <si>
    <t xml:space="preserve">tyrosyl-DNA phosphodiesterase 2 </t>
  </si>
  <si>
    <t>tudor domain-containing protein 3 isoform 1</t>
  </si>
  <si>
    <t>tudor domain-containing protein 3 isoform 2</t>
  </si>
  <si>
    <t xml:space="preserve">tectonin beta-propeller repeat-containing protein 1 </t>
  </si>
  <si>
    <t xml:space="preserve">very-long-chain enoyl-CoA reductase isoform 1 </t>
  </si>
  <si>
    <t xml:space="preserve">very-long-chain enoyl-CoA reductase isoform 2 </t>
  </si>
  <si>
    <t>transcription elongation factor, mitochondrial</t>
  </si>
  <si>
    <t xml:space="preserve">tektin-1 </t>
  </si>
  <si>
    <t>telomere length regulation protein TEL2 homolog</t>
  </si>
  <si>
    <t>CST complex subunit TEN1</t>
  </si>
  <si>
    <t>tensin-like C1 domain-containing phosphatase</t>
  </si>
  <si>
    <t xml:space="preserve">teneurin-1 </t>
  </si>
  <si>
    <t>telomerase protein component 1</t>
  </si>
  <si>
    <t>telomeric repeat-binding factor 2 isoform 2</t>
  </si>
  <si>
    <t>telomeric repeat-binding factor 2 isoform 1</t>
  </si>
  <si>
    <t xml:space="preserve">telomerase reverse transcriptase </t>
  </si>
  <si>
    <t xml:space="preserve">testin </t>
  </si>
  <si>
    <t>testis-expressed sequence 10 protein</t>
  </si>
  <si>
    <t>testis-expressed sequence 13A protein</t>
  </si>
  <si>
    <t>testis expressed gene 264</t>
  </si>
  <si>
    <t>testis-expressed sequence 30 protein</t>
  </si>
  <si>
    <t xml:space="preserve">transcription factor A, mitochondrial precursor </t>
  </si>
  <si>
    <t>dimethyladenosine transferase 1, mitochondrial</t>
  </si>
  <si>
    <t>alpha-globin transcription factor CP2</t>
  </si>
  <si>
    <t xml:space="preserve">transcription factor EB isoform a </t>
  </si>
  <si>
    <t xml:space="preserve">transcription factor EB isoform b </t>
  </si>
  <si>
    <t>protein TFG isoform 2</t>
  </si>
  <si>
    <t>protein TFG isoform 1</t>
  </si>
  <si>
    <t xml:space="preserve">tuftelin-interacting protein 11 </t>
  </si>
  <si>
    <t>transferrin receptor protein 1</t>
  </si>
  <si>
    <t xml:space="preserve">protein-glutamine gamma-glutamyltransferase 2 </t>
  </si>
  <si>
    <t>trimethylguanosine synthase</t>
  </si>
  <si>
    <t>thyroid adenoma-associated protein homolog</t>
  </si>
  <si>
    <t>thrombospondin-1 precursor</t>
  </si>
  <si>
    <t xml:space="preserve">threonine synthase-like 1 isoform a </t>
  </si>
  <si>
    <t xml:space="preserve">threonine synthase-like 1 isoform b </t>
  </si>
  <si>
    <t>THO complex subunit 1</t>
  </si>
  <si>
    <t>THO complex subunit 2</t>
  </si>
  <si>
    <t>THO complex subunit 3</t>
  </si>
  <si>
    <t xml:space="preserve">THO complex subunit 6 homolog </t>
  </si>
  <si>
    <t>thimet oligopeptidase</t>
  </si>
  <si>
    <t xml:space="preserve">thyroid hormone receptor-associated protein 3 </t>
  </si>
  <si>
    <t xml:space="preserve">thiamine-triphosphatase </t>
  </si>
  <si>
    <t>THUMP domain-containing protein 1</t>
  </si>
  <si>
    <t>THUMP domain-containing protein 3</t>
  </si>
  <si>
    <t>thymocyte nuclear protein 1</t>
  </si>
  <si>
    <t>nucleolysin TIA-1 isoform 2</t>
  </si>
  <si>
    <t>nucleolysin TIA-1 isoform 3</t>
  </si>
  <si>
    <t>nucleolysin TIA-1 isoform 1</t>
  </si>
  <si>
    <t>nucleolysin TIAR</t>
  </si>
  <si>
    <t xml:space="preserve">TRAF-interacting protein with FHA domain-containing protein A </t>
  </si>
  <si>
    <t xml:space="preserve">protein timeless homolog isoform 1 </t>
  </si>
  <si>
    <t xml:space="preserve">protein timeless homolog isoform 3 </t>
  </si>
  <si>
    <t xml:space="preserve">protein timeless homolog isoform 2 </t>
  </si>
  <si>
    <t xml:space="preserve">mitochondrial import inner membrane translocase subunit Tim10 </t>
  </si>
  <si>
    <t>mitochondrial import inner membrane translocase subunit Tim9 B</t>
  </si>
  <si>
    <t xml:space="preserve">mitochondrial import inner membrane translocase subunit Tim13 </t>
  </si>
  <si>
    <t xml:space="preserve">mitochondrial import inner membrane translocase subunit Tim17-B </t>
  </si>
  <si>
    <t xml:space="preserve">mitochondrial import inner membrane translocase subunit Tim21 </t>
  </si>
  <si>
    <t xml:space="preserve">mitochondrial import inner membrane translocase subunit Tim22 isoform 2 </t>
  </si>
  <si>
    <t xml:space="preserve">mitochondrial import inner membrane translocase subunit Tim22 isoform 1 </t>
  </si>
  <si>
    <t xml:space="preserve">mitochondrial import inner membrane translocase subunit Tim23 </t>
  </si>
  <si>
    <t xml:space="preserve">mitochondrial import inner membrane translocase subunit TIM44 </t>
  </si>
  <si>
    <t>mitochondrial import inner membrane translocase subunit TIM50 precursor</t>
  </si>
  <si>
    <t>mitochondrial import inner membrane translocase subunit Tim8 A</t>
  </si>
  <si>
    <t xml:space="preserve">putative mitochondrial import inner membrane translocase subunit Tim8 A-B </t>
  </si>
  <si>
    <t>mitochondrial import inner membrane translocase subunit Tim8 B</t>
  </si>
  <si>
    <t xml:space="preserve">mitochondrial import inner membrane translocase subunit Tim9 </t>
  </si>
  <si>
    <t>translocase of inner mitochondrial membrane domain-containing protein 1</t>
  </si>
  <si>
    <t>TCDD-inducible poly [ADP-ribose] polymerase</t>
  </si>
  <si>
    <t>TIMELESS-interacting protein</t>
  </si>
  <si>
    <t>TIP41-like protein</t>
  </si>
  <si>
    <t>tight junction-associated protein 1</t>
  </si>
  <si>
    <t>tight junction protein ZO-1 isoform 1</t>
  </si>
  <si>
    <t>tight junction protein ZO-1 isoform 2</t>
  </si>
  <si>
    <t>tight junction protein ZO-2 isoform 2</t>
  </si>
  <si>
    <t>tight junction protein ZO-2 isoform 1</t>
  </si>
  <si>
    <t>tight junction protein ZO-3 isoform 1</t>
  </si>
  <si>
    <t>tight junction protein ZO-3 isoform 2</t>
  </si>
  <si>
    <t xml:space="preserve">transketolase </t>
  </si>
  <si>
    <t xml:space="preserve">transketolase-like protein 2 </t>
  </si>
  <si>
    <t xml:space="preserve">TLC domain-containing protein 1 precursor </t>
  </si>
  <si>
    <t>transducin-like enhancer protein 3 isoform 3</t>
  </si>
  <si>
    <t>transducin-like enhancer protein 3 isoform 2</t>
  </si>
  <si>
    <t>transducin-like enhancer protein 3 isoform 1</t>
  </si>
  <si>
    <t xml:space="preserve">talin-1 </t>
  </si>
  <si>
    <t xml:space="preserve">talin-2 </t>
  </si>
  <si>
    <t>toll-like receptor 13 precursor</t>
  </si>
  <si>
    <t>toll-like receptor 7 precursor</t>
  </si>
  <si>
    <t xml:space="preserve">TM2 domain-containing protein 2 precursor </t>
  </si>
  <si>
    <t>transmembrane 7 superfamily member 3 precursor</t>
  </si>
  <si>
    <t>transmembrane 9 superfamily member 1 precursor</t>
  </si>
  <si>
    <t>transmembrane 9 superfamily member 2 precursor</t>
  </si>
  <si>
    <t>transmembrane 9 superfamily member 3 precursor</t>
  </si>
  <si>
    <t>transmembrane 9 superfamily member 4 precursor</t>
  </si>
  <si>
    <t xml:space="preserve">bax inhibitor 1 </t>
  </si>
  <si>
    <t>transmembrane channel-like protein 7</t>
  </si>
  <si>
    <t xml:space="preserve">transmembrane and coiled-coil domain-containing protein 1 precursor </t>
  </si>
  <si>
    <t>transmembrane and coiled-coil domain-containing protein 4</t>
  </si>
  <si>
    <t>transmembrane and coiled-coil domain-containing protein 6</t>
  </si>
  <si>
    <t>transmembrane emp24 domain-containing protein 1 precursor</t>
  </si>
  <si>
    <t>transmembrane emp24 domain-containing protein 10 precursor</t>
  </si>
  <si>
    <t>transmembrane emp24 domain-containing protein 3 precursor</t>
  </si>
  <si>
    <t>transmembrane emp24 domain-containing protein 4 precursor</t>
  </si>
  <si>
    <t>transmembrane emp24 domain-containing protein 5 precursor</t>
  </si>
  <si>
    <t>transmembrane emp24 protein transport domain containing 7 precursor</t>
  </si>
  <si>
    <t>transmembrane emp24 domain-containing protein 9 precursor</t>
  </si>
  <si>
    <t xml:space="preserve">transmembrane protein 102 </t>
  </si>
  <si>
    <t xml:space="preserve">transmembrane protein 106B </t>
  </si>
  <si>
    <t>transmembrane protein 109 precursor</t>
  </si>
  <si>
    <t>transmembrane protein 11, mitochondrial isoform 1</t>
  </si>
  <si>
    <t>transmembrane protein 11, mitochondrial isoform 2</t>
  </si>
  <si>
    <t xml:space="preserve">transmembrane protein 115 </t>
  </si>
  <si>
    <t xml:space="preserve">transmembrane protein 120A </t>
  </si>
  <si>
    <t xml:space="preserve">transmembrane protein 126B </t>
  </si>
  <si>
    <t xml:space="preserve">transmembrane protein 138 </t>
  </si>
  <si>
    <t xml:space="preserve">transmembrane protein 147 </t>
  </si>
  <si>
    <t xml:space="preserve">transmembrane protein 14C </t>
  </si>
  <si>
    <t xml:space="preserve">transmembrane protein 160 </t>
  </si>
  <si>
    <t>transmembrane protein 165 precursor</t>
  </si>
  <si>
    <t xml:space="preserve">protein kish-A precursor </t>
  </si>
  <si>
    <t xml:space="preserve">transmembrane protein 168 </t>
  </si>
  <si>
    <t xml:space="preserve">stimulator of interferon genes protein </t>
  </si>
  <si>
    <t xml:space="preserve">transmembrane protein 175 isoform 1 </t>
  </si>
  <si>
    <t xml:space="preserve">transmembrane protein 175 isoform 2 </t>
  </si>
  <si>
    <t xml:space="preserve">transmembrane protein 176B </t>
  </si>
  <si>
    <t xml:space="preserve">transmembrane protein 186 </t>
  </si>
  <si>
    <t xml:space="preserve">transmembrane protein 189 </t>
  </si>
  <si>
    <t xml:space="preserve">transmembrane protein 19 </t>
  </si>
  <si>
    <t xml:space="preserve">transmembrane protein 192 isoform 2 </t>
  </si>
  <si>
    <t xml:space="preserve">transmembrane protein 192 isoform 1 </t>
  </si>
  <si>
    <t xml:space="preserve">transmembrane protein 2 </t>
  </si>
  <si>
    <t xml:space="preserve">transmembrane protein 200C </t>
  </si>
  <si>
    <t xml:space="preserve">transmembrane protein 205 isoform 2 </t>
  </si>
  <si>
    <t xml:space="preserve">transmembrane protein 205 isoform 1 </t>
  </si>
  <si>
    <t xml:space="preserve">transmembrane protein 208 </t>
  </si>
  <si>
    <t xml:space="preserve">transmembrane protein 214 </t>
  </si>
  <si>
    <t xml:space="preserve">transmembrane protein 230 </t>
  </si>
  <si>
    <t xml:space="preserve">transmembrane protein 231 </t>
  </si>
  <si>
    <t>transmembrane protein C10orf57 homolog-like isoform 2</t>
  </si>
  <si>
    <t>transmembrane protein C10orf57 homolog-like isoform 1</t>
  </si>
  <si>
    <t xml:space="preserve">predicted gene 10395 isoform 2 </t>
  </si>
  <si>
    <t>transmembrane protein 256 precursor</t>
  </si>
  <si>
    <t xml:space="preserve">cell cycle control protein 50A </t>
  </si>
  <si>
    <t xml:space="preserve">transmembrane protein 33 isoform 1 </t>
  </si>
  <si>
    <t xml:space="preserve">transmembrane protein 33 isoform 2 </t>
  </si>
  <si>
    <t xml:space="preserve">transmembrane protein 41B </t>
  </si>
  <si>
    <t xml:space="preserve">transmembrane protein 43 </t>
  </si>
  <si>
    <t xml:space="preserve">transmembrane protein 45B </t>
  </si>
  <si>
    <t xml:space="preserve">transmembrane protein 50A </t>
  </si>
  <si>
    <t xml:space="preserve">transmembrane protein 50B </t>
  </si>
  <si>
    <t xml:space="preserve">transmembrane protein 55A </t>
  </si>
  <si>
    <t xml:space="preserve">transmembrane protein 55B </t>
  </si>
  <si>
    <t>transmembrane protein 59 precursor</t>
  </si>
  <si>
    <t xml:space="preserve">transmembrane protein 63A </t>
  </si>
  <si>
    <t xml:space="preserve">transmembrane protein 63B </t>
  </si>
  <si>
    <t xml:space="preserve">transmembrane protein 65 </t>
  </si>
  <si>
    <t xml:space="preserve">store-operated calcium entry-associated regulatory factor </t>
  </si>
  <si>
    <t>transmembrane protein 70, mitochondrial isoform 1</t>
  </si>
  <si>
    <t>transmembrane protein 70, mitochondrial isoform 2</t>
  </si>
  <si>
    <t xml:space="preserve">transmembrane protein 87A isoform 1 </t>
  </si>
  <si>
    <t xml:space="preserve">transmembrane protein 87A isoform 2 </t>
  </si>
  <si>
    <t xml:space="preserve">transmembrane protein 87A isoform 3 </t>
  </si>
  <si>
    <t>transmembrane protein 89 precursor</t>
  </si>
  <si>
    <t>transmembrane protein 9 precursor</t>
  </si>
  <si>
    <t xml:space="preserve">transmembrane protein 97 </t>
  </si>
  <si>
    <t>transmembrane protein 9B precursor</t>
  </si>
  <si>
    <t xml:space="preserve">tropomodulin-3 </t>
  </si>
  <si>
    <t xml:space="preserve">lamina-associated polypeptide 2 isoform alpha </t>
  </si>
  <si>
    <t xml:space="preserve">lamina-associated polypeptide 2 isoform gamma </t>
  </si>
  <si>
    <t xml:space="preserve">lamina-associated polypeptide 2 isoform epsilon </t>
  </si>
  <si>
    <t xml:space="preserve">lamina-associated polypeptide 2 isoform delta </t>
  </si>
  <si>
    <t xml:space="preserve">lamina-associated polypeptide 2 isoform beta </t>
  </si>
  <si>
    <t xml:space="preserve">lamina-associated polypeptide 2 isoform zeta </t>
  </si>
  <si>
    <t xml:space="preserve">transmembrane protein with metallophosphoesterase domain </t>
  </si>
  <si>
    <t xml:space="preserve">transmembrane protease serine 11B-like protein </t>
  </si>
  <si>
    <t>transmembrane protease serine 11G</t>
  </si>
  <si>
    <t>transmembrane protease serine 2</t>
  </si>
  <si>
    <t>transmembrane protease serine 4</t>
  </si>
  <si>
    <t>thymosin beta-like</t>
  </si>
  <si>
    <t>Tmsb15b1-Tmsb15b2 protein</t>
  </si>
  <si>
    <t>thymosin beta-4</t>
  </si>
  <si>
    <t>transmembrane and TPR repeat-containing protein 3 isoform 2</t>
  </si>
  <si>
    <t>transmembrane and TPR repeat-containing protein 3 isoform 1</t>
  </si>
  <si>
    <t xml:space="preserve">transmembrane and ubiquitin-like domain-containing protein 1 precursor </t>
  </si>
  <si>
    <t xml:space="preserve">thioredoxin-related transmembrane protein 1 precursor </t>
  </si>
  <si>
    <t xml:space="preserve">thioredoxin-related transmembrane protein 2 precursor </t>
  </si>
  <si>
    <t>protein disulfide-isomerase TMX3 precursor</t>
  </si>
  <si>
    <t xml:space="preserve">thioredoxin-related transmembrane protein 4 precursor </t>
  </si>
  <si>
    <t>tumor necrosis factor alpha-induced protein 2</t>
  </si>
  <si>
    <t>tumor necrosis factor alpha-induced protein 8 isoform 1</t>
  </si>
  <si>
    <t>tumor necrosis factor alpha-induced protein 8 isoform 2</t>
  </si>
  <si>
    <t>tumor necrosis factor alpha-induced protein 8 isoform 3</t>
  </si>
  <si>
    <t>tumor necrosis factor alpha-induced protein 8-like protein 1</t>
  </si>
  <si>
    <t xml:space="preserve">traf2 and NCK-interacting protein kinase isoform 1 </t>
  </si>
  <si>
    <t xml:space="preserve">traf2 and NCK-interacting protein kinase isoform 2 </t>
  </si>
  <si>
    <t xml:space="preserve">traf2 and NCK-interacting protein kinase isoform 3 </t>
  </si>
  <si>
    <t xml:space="preserve">traf2 and NCK-interacting protein kinase isoform 4 </t>
  </si>
  <si>
    <t xml:space="preserve">TNFAIP3-interacting protein 1 isoform 1 </t>
  </si>
  <si>
    <t xml:space="preserve">TNFAIP3-interacting protein 1 isoform 2 </t>
  </si>
  <si>
    <t xml:space="preserve">TNFAIP3-interacting protein 1 isoform 3 </t>
  </si>
  <si>
    <t>182 kDa tankyrase-1-binding protein</t>
  </si>
  <si>
    <t xml:space="preserve">troponin I, fast skeletal muscle </t>
  </si>
  <si>
    <t xml:space="preserve">transportin-1 isoform 2 </t>
  </si>
  <si>
    <t xml:space="preserve">transportin-1 isoform 1 </t>
  </si>
  <si>
    <t xml:space="preserve">transportin-2 </t>
  </si>
  <si>
    <t xml:space="preserve">transportin-3 </t>
  </si>
  <si>
    <t xml:space="preserve">trinucleotide repeat-containing gene 6B protein isoform 2 </t>
  </si>
  <si>
    <t xml:space="preserve">trinucleotide repeat-containing gene 6B protein isoform 1 </t>
  </si>
  <si>
    <t xml:space="preserve">trinucleotide repeat-containing gene 6C protein </t>
  </si>
  <si>
    <t>tensin 1</t>
  </si>
  <si>
    <t xml:space="preserve">tensin-3 </t>
  </si>
  <si>
    <t xml:space="preserve">target of EGR1 protein 1 </t>
  </si>
  <si>
    <t>toll-interacting protein</t>
  </si>
  <si>
    <t xml:space="preserve">target of Myb protein 1 isoform 2 </t>
  </si>
  <si>
    <t xml:space="preserve">target of Myb protein 1 isoform 1 </t>
  </si>
  <si>
    <t xml:space="preserve">TOM1-like protein 1 </t>
  </si>
  <si>
    <t>mitochondrial import receptor subunit TOM22 homolog</t>
  </si>
  <si>
    <t xml:space="preserve">mitochondrial import receptor subunit TOM34 </t>
  </si>
  <si>
    <t>mitochondrial import receptor subunit TOM40 homolog</t>
  </si>
  <si>
    <t>mitochondrial import receptor subunit TOM5 homolog isoform 1</t>
  </si>
  <si>
    <t>mitochondrial import receptor subunit TOM5 homolog isoform 2</t>
  </si>
  <si>
    <t>mitochondrial import receptor subunit TOM7 homolog</t>
  </si>
  <si>
    <t xml:space="preserve">mitochondrial import receptor subunit TOM70 </t>
  </si>
  <si>
    <t>tonsoku-like protein</t>
  </si>
  <si>
    <t xml:space="preserve">DNA topoisomerase 1 </t>
  </si>
  <si>
    <t>DNA topoisomerase I, mitochondrial</t>
  </si>
  <si>
    <t xml:space="preserve">DNA topoisomerase 2-alpha </t>
  </si>
  <si>
    <t xml:space="preserve">DNA topoisomerase 2-beta </t>
  </si>
  <si>
    <t xml:space="preserve">DNA topoisomerase 3-alpha </t>
  </si>
  <si>
    <t xml:space="preserve">DNA topoisomerase 3-beta-1 </t>
  </si>
  <si>
    <t>torsin-1A precursor</t>
  </si>
  <si>
    <t xml:space="preserve">torsin-1A-interacting protein 1 isoform 3 </t>
  </si>
  <si>
    <t xml:space="preserve">torsin-1A-interacting protein 1 isoform 2 </t>
  </si>
  <si>
    <t xml:space="preserve">torsin-1A-interacting protein 1 isoform 1 </t>
  </si>
  <si>
    <t xml:space="preserve">torsin-1A-interacting protein 2 isoform b </t>
  </si>
  <si>
    <t>interferon alpha responsive protein isoform a</t>
  </si>
  <si>
    <t>torsin-1B precursor</t>
  </si>
  <si>
    <t>torsin-2A precursor</t>
  </si>
  <si>
    <t>torsin-3A precursor</t>
  </si>
  <si>
    <t xml:space="preserve">trophoblast glycoprotein precursor </t>
  </si>
  <si>
    <t xml:space="preserve">tumor protein D52 isoform 5 </t>
  </si>
  <si>
    <t xml:space="preserve">tumor protein D52 isoform 1 </t>
  </si>
  <si>
    <t xml:space="preserve">tumor protein D52 isoform 2 </t>
  </si>
  <si>
    <t xml:space="preserve">tumor protein D52 isoform 4 </t>
  </si>
  <si>
    <t xml:space="preserve">tumor protein D52 isoform 3 </t>
  </si>
  <si>
    <t xml:space="preserve">tumor protein D53 </t>
  </si>
  <si>
    <t xml:space="preserve">tumor protein D54 </t>
  </si>
  <si>
    <t>triosephosphate isomerase</t>
  </si>
  <si>
    <t xml:space="preserve">thiamin pyrophosphokinase 1 </t>
  </si>
  <si>
    <t xml:space="preserve">tropomyosin alpha-1 chain isoform 1 </t>
  </si>
  <si>
    <t xml:space="preserve">tropomyosin alpha-1 chain isoform 2 </t>
  </si>
  <si>
    <t xml:space="preserve">tropomyosin alpha-1 chain isoform 4 </t>
  </si>
  <si>
    <t xml:space="preserve">tropomyosin alpha-1 chain isoform 5 </t>
  </si>
  <si>
    <t xml:space="preserve">tropomyosin alpha-1 chain isoform 6 </t>
  </si>
  <si>
    <t xml:space="preserve">tropomyosin alpha-1 chain isoform 7 </t>
  </si>
  <si>
    <t xml:space="preserve">tropomyosin alpha-1 chain isoform 8 </t>
  </si>
  <si>
    <t xml:space="preserve">tropomyosin alpha-1 chain isoform 9 </t>
  </si>
  <si>
    <t xml:space="preserve">tropomyosin alpha-1 chain isoform 10 </t>
  </si>
  <si>
    <t xml:space="preserve">tropomyosin alpha-1 chain isoform 3 </t>
  </si>
  <si>
    <t xml:space="preserve">tropomyosin beta chain isoform 2 </t>
  </si>
  <si>
    <t xml:space="preserve">tropomyosin beta chain isoform 3 </t>
  </si>
  <si>
    <t xml:space="preserve">tropomyosin beta chain isoform 1 </t>
  </si>
  <si>
    <t xml:space="preserve">tropomyosin alpha-3 chain isoform 3 </t>
  </si>
  <si>
    <t xml:space="preserve">tropomyosin alpha-3 chain isoform 4 </t>
  </si>
  <si>
    <t xml:space="preserve">tropomyosin alpha-3 chain isoform 1 </t>
  </si>
  <si>
    <t xml:space="preserve">tropomyosin alpha-3 chain isoform 5 </t>
  </si>
  <si>
    <t xml:space="preserve">tropomyosin alpha-4 chain </t>
  </si>
  <si>
    <t>thiopurine S-methyltransferase</t>
  </si>
  <si>
    <t xml:space="preserve">tripeptidyl-peptidase 1 precursor </t>
  </si>
  <si>
    <t>tripeptidyl-peptidase 2</t>
  </si>
  <si>
    <t>nucleoprotein TPR</t>
  </si>
  <si>
    <t>tumor protein p63-regulated gene 1-like protein</t>
  </si>
  <si>
    <t>TP53RK-binding protein</t>
  </si>
  <si>
    <t xml:space="preserve">taperin </t>
  </si>
  <si>
    <t xml:space="preserve">tryptase gamma precursor </t>
  </si>
  <si>
    <t xml:space="preserve">translationally-controlled tumor protein </t>
  </si>
  <si>
    <t xml:space="preserve">transmembrane phosphatase with tensin homology </t>
  </si>
  <si>
    <t>transformer-2 protein homolog alpha</t>
  </si>
  <si>
    <t>transformer-2 protein homolog beta</t>
  </si>
  <si>
    <t xml:space="preserve">traB domain-containing protein </t>
  </si>
  <si>
    <t xml:space="preserve">tumor necrosis factor receptor type 1-associated DEATH domain protein </t>
  </si>
  <si>
    <t>TNF receptor-associated factor 2</t>
  </si>
  <si>
    <t>TNF receptor-associated factor 5</t>
  </si>
  <si>
    <t xml:space="preserve">translocating chain-associated membrane protein 1 </t>
  </si>
  <si>
    <t xml:space="preserve">heat shock protein 75 kDa, mitochondrial precursor </t>
  </si>
  <si>
    <t>trafficking protein particle complex subunit 1</t>
  </si>
  <si>
    <t>trafficking protein particle complex subunit 10</t>
  </si>
  <si>
    <t>trafficking protein particle complex subunit 11</t>
  </si>
  <si>
    <t>trafficking protein particle complex subunit 12 isoform 1</t>
  </si>
  <si>
    <t>trafficking protein particle complex subunit 12 isoform 2</t>
  </si>
  <si>
    <t>trafficking protein particle complex subunit 2</t>
  </si>
  <si>
    <t xml:space="preserve">trafficking protein particle complex subunit 2-like protein </t>
  </si>
  <si>
    <t>trafficking protein particle complex subunit 3</t>
  </si>
  <si>
    <t>trafficking protein particle complex subunit 4</t>
  </si>
  <si>
    <t>trafficking protein particle complex subunit 5</t>
  </si>
  <si>
    <t>trafficking protein particle complex subunit 6A</t>
  </si>
  <si>
    <t>trafficking protein particle complex subunit 6B</t>
  </si>
  <si>
    <t xml:space="preserve">uncharacterized protein LOC75964 isoform 1 </t>
  </si>
  <si>
    <t>trafficking protein particle complex subunit 9 isoform 2</t>
  </si>
  <si>
    <t>trafficking protein particle complex subunit 9 isoform 3</t>
  </si>
  <si>
    <t>trafficking protein particle complex subunit 9 isoform 4</t>
  </si>
  <si>
    <t>trafficking protein particle complex subunit 9 isoform 5</t>
  </si>
  <si>
    <t>trafficking protein particle complex subunit 9 isoform 1</t>
  </si>
  <si>
    <t xml:space="preserve">TP53-regulated inhibitor of apoptosis 1 </t>
  </si>
  <si>
    <t>tripartite motif-containing protein 16</t>
  </si>
  <si>
    <t>E3 ubiquitin-protein ligase TRIM23</t>
  </si>
  <si>
    <t>transcription intermediary factor 1-alpha isoform 2</t>
  </si>
  <si>
    <t>transcription intermediary factor 1-alpha isoform 3</t>
  </si>
  <si>
    <t>transcription intermediary factor 1-alpha isoform 1</t>
  </si>
  <si>
    <t>E3 ubiquitin/ISG15 ligase TRIM25</t>
  </si>
  <si>
    <t>zinc finger protein RFP</t>
  </si>
  <si>
    <t>transcription intermediary factor 1-beta</t>
  </si>
  <si>
    <t>tripartite motif-containing protein 3</t>
  </si>
  <si>
    <t>E3 ubiquitin-protein ligase TRIM32</t>
  </si>
  <si>
    <t>E3 ubiquitin-protein ligase TRIM33 isoform 1</t>
  </si>
  <si>
    <t>E3 ubiquitin-protein ligase TRIM33 isoform 2</t>
  </si>
  <si>
    <t>tripartite motif-containing protein 47 isoform 1</t>
  </si>
  <si>
    <t>tripartite motif-containing protein 47 isoform 2</t>
  </si>
  <si>
    <t>E3 ubiquitin-protein ligase TRIM56</t>
  </si>
  <si>
    <t>tripartite motif-containing protein 59</t>
  </si>
  <si>
    <t>tripartite motif-containing protein 65</t>
  </si>
  <si>
    <t>tripartite motif-containing protein 75</t>
  </si>
  <si>
    <t xml:space="preserve">probable E3 ubiquitin-protein ligase TRIM8 </t>
  </si>
  <si>
    <t>triple functional domain protein</t>
  </si>
  <si>
    <t>TRIO and F-actin-binding protein isoform 5</t>
  </si>
  <si>
    <t>TRIO and F-actin-binding protein isoform 1</t>
  </si>
  <si>
    <t>TRIO and F-actin-binding protein isoform 3</t>
  </si>
  <si>
    <t xml:space="preserve">cdc42-interacting protein 4 isoform 3 </t>
  </si>
  <si>
    <t xml:space="preserve">cdc42-interacting protein 4 isoform 1 </t>
  </si>
  <si>
    <t xml:space="preserve">cdc42-interacting protein 4 isoform 2 </t>
  </si>
  <si>
    <t xml:space="preserve">cdc42-interacting protein 4 isoform 4 </t>
  </si>
  <si>
    <t xml:space="preserve">thyroid hormone receptor interactor 11 </t>
  </si>
  <si>
    <t>E3 ubiquitin-protein ligase TRIP12</t>
  </si>
  <si>
    <t xml:space="preserve">pachytene checkpoint protein 2 homolog </t>
  </si>
  <si>
    <t>activating signal cointegrator 1 isoform 2</t>
  </si>
  <si>
    <t>activating signal cointegrator 1 isoform 1</t>
  </si>
  <si>
    <t>thyroid receptor-interacting protein 6</t>
  </si>
  <si>
    <t>tRNA (guanine(26)-N(2))-dimethyltransferase isoform 1</t>
  </si>
  <si>
    <t>tRNA (guanine(26)-N(2))-dimethyltransferase isoform 2</t>
  </si>
  <si>
    <t xml:space="preserve">tRNA methyltransferase 10 homolog A </t>
  </si>
  <si>
    <t>mitochondrial ribonuclease P protein 1 precursor</t>
  </si>
  <si>
    <t xml:space="preserve">tRNA (guanine(10)-N2)-methyltransferase homolog </t>
  </si>
  <si>
    <t>tRNA methyltransferase 112 homolog</t>
  </si>
  <si>
    <t>TRMT1-like protein</t>
  </si>
  <si>
    <t>tRNA (uracil-5-)-methyltransferase homolog A isoform 1</t>
  </si>
  <si>
    <t>tRNA (uracil-5-)-methyltransferase homolog A isoform 2</t>
  </si>
  <si>
    <t>tRNA (uracil-5-)-methyltransferase homolog A isoform 4</t>
  </si>
  <si>
    <t>tRNA (guanine(37)-N1)-methyltransferase</t>
  </si>
  <si>
    <t xml:space="preserve">tRNA (adenine(58)-N(1))-methyltransferase non-catalytic subunit TRM6 </t>
  </si>
  <si>
    <t xml:space="preserve">tRNA (adenine(58)-N(1))-methyltransferase catalytic subunit TRMT61A </t>
  </si>
  <si>
    <t xml:space="preserve">CCA tRNA nucleotidyltransferase 1, mitochondrial isoform b </t>
  </si>
  <si>
    <t xml:space="preserve">CCA tRNA nucleotidyltransferase 1, mitochondrial isoform a </t>
  </si>
  <si>
    <t>60 kDa SS-A/Ro ribonucleoprotein</t>
  </si>
  <si>
    <t>cellular tumor antigen p53 isoform a</t>
  </si>
  <si>
    <t>cellular tumor antigen p53 isoform b</t>
  </si>
  <si>
    <t xml:space="preserve">tumor suppressor p53-binding protein 1 </t>
  </si>
  <si>
    <t>TP53-regulating kinase</t>
  </si>
  <si>
    <t>transformation related protein 53 target 5</t>
  </si>
  <si>
    <t>short transient receptor potential channel 4 isoform 2</t>
  </si>
  <si>
    <t>short transient receptor potential channel 4 isoform 1</t>
  </si>
  <si>
    <t>short transient receptor potential channel 5</t>
  </si>
  <si>
    <t xml:space="preserve">transient receptor potential cation channel subfamily M member 4 </t>
  </si>
  <si>
    <t xml:space="preserve">tRNA 2'-phosphotransferase 1 </t>
  </si>
  <si>
    <t xml:space="preserve">transient receptor potential cation channel subfamily V member 4 </t>
  </si>
  <si>
    <t xml:space="preserve">transformation/transcription domain-associated protein </t>
  </si>
  <si>
    <t xml:space="preserve">probable tRNA pseudouridine synthase 1 isoform 1 </t>
  </si>
  <si>
    <t xml:space="preserve">probable tRNA pseudouridine synthase 1 isoform 2 </t>
  </si>
  <si>
    <t xml:space="preserve">probable tRNA pseudouridine synthase 2 </t>
  </si>
  <si>
    <t xml:space="preserve">hamartin </t>
  </si>
  <si>
    <t xml:space="preserve">tuberin isoform 1 </t>
  </si>
  <si>
    <t xml:space="preserve">tuberin isoform 2 </t>
  </si>
  <si>
    <t xml:space="preserve">TSC22 domain family protein 1 isoform 1 </t>
  </si>
  <si>
    <t xml:space="preserve">TSC22 domain family protein 1 isoform 3 </t>
  </si>
  <si>
    <t xml:space="preserve">TSC22 domain family protein 1 isoform 2 </t>
  </si>
  <si>
    <t xml:space="preserve">TSC22 domain family protein 2 </t>
  </si>
  <si>
    <t xml:space="preserve">TSC22 domain family protein 3 isoform 1 </t>
  </si>
  <si>
    <t xml:space="preserve">TSC22 domain family protein 3 isoform 2 </t>
  </si>
  <si>
    <t xml:space="preserve">TSC22 domain family protein 4 isoform 1 </t>
  </si>
  <si>
    <t xml:space="preserve">TSC22 domain family protein 4 isoform 2 </t>
  </si>
  <si>
    <t>tRNA-splicing endonuclease subunit Sen15</t>
  </si>
  <si>
    <t>tRNA-splicing endonuclease subunit Sen34 isoform a</t>
  </si>
  <si>
    <t>tRNA-splicing endonuclease subunit Sen34 isoform b</t>
  </si>
  <si>
    <t>tRNA-splicing endonuclease subunit Sen54</t>
  </si>
  <si>
    <t xml:space="preserve">elongation factor Ts, mitochondrial precursor </t>
  </si>
  <si>
    <t xml:space="preserve">tumor susceptibility gene 101 protein </t>
  </si>
  <si>
    <t xml:space="preserve">translin </t>
  </si>
  <si>
    <t xml:space="preserve">translin-associated protein X </t>
  </si>
  <si>
    <t xml:space="preserve">tetraspanin-14 </t>
  </si>
  <si>
    <t xml:space="preserve">tetraspanin-15 </t>
  </si>
  <si>
    <t xml:space="preserve">tetraspanin-31 </t>
  </si>
  <si>
    <t xml:space="preserve">tetraspanin-6 </t>
  </si>
  <si>
    <t xml:space="preserve">tetraspanin-8 </t>
  </si>
  <si>
    <t xml:space="preserve">tetraspanin-9 </t>
  </si>
  <si>
    <t>testis-specific Y-encoded-like protein 1</t>
  </si>
  <si>
    <t>pre-rRNA-processing protein TSR1 homolog</t>
  </si>
  <si>
    <t>pre-rRNA-processing protein TSR2 homolog isoform 1</t>
  </si>
  <si>
    <t>pre-rRNA-processing protein TSR2 homolog isoform 2</t>
  </si>
  <si>
    <t>protein TSSC1</t>
  </si>
  <si>
    <t>GDP-L-fucose synthase</t>
  </si>
  <si>
    <t xml:space="preserve">tau-tubulin kinase 2 isoform 1 </t>
  </si>
  <si>
    <t xml:space="preserve">tau-tubulin kinase 2 isoform 2 </t>
  </si>
  <si>
    <t>tetratricopeptide repeat protein 1</t>
  </si>
  <si>
    <t>tetratricopeptide repeat protein 12</t>
  </si>
  <si>
    <t>tetratricopeptide repeat protein 21B</t>
  </si>
  <si>
    <t>tetratricopeptide repeat protein 23-like</t>
  </si>
  <si>
    <t>tetratricopeptide repeat protein 26</t>
  </si>
  <si>
    <t>tetratricopeptide repeat protein 27</t>
  </si>
  <si>
    <t>E3 ubiquitin-protein ligase TTC3</t>
  </si>
  <si>
    <t>tetratricopeptide repeat protein 30A1</t>
  </si>
  <si>
    <t>tetratricopeptide repeat protein 30A2</t>
  </si>
  <si>
    <t>tetratricopeptide repeat protein 30B</t>
  </si>
  <si>
    <t>tetratricopeptide repeat protein 32</t>
  </si>
  <si>
    <t>tetratricopeptide repeat protein 33</t>
  </si>
  <si>
    <t>tetratricopeptide repeat protein 34</t>
  </si>
  <si>
    <t>tetratricopeptide repeat protein 37</t>
  </si>
  <si>
    <t>tetratricopeptide repeat protein 38</t>
  </si>
  <si>
    <t>tetratricopeptide repeat protein 5 isoform a</t>
  </si>
  <si>
    <t>tetratricopeptide repeat protein 5 isoform b</t>
  </si>
  <si>
    <t>tetratricopeptide repeat protein 9A</t>
  </si>
  <si>
    <t>tetratricopeptide repeat protein 9C</t>
  </si>
  <si>
    <t>transcription termination factor 1</t>
  </si>
  <si>
    <t>transcription termination factor 2</t>
  </si>
  <si>
    <t>TELO2-interacting protein 1 homolog</t>
  </si>
  <si>
    <t xml:space="preserve">TELO2-interacting protein 2 isoform a </t>
  </si>
  <si>
    <t xml:space="preserve">TELO2-interacting protein 2 isoform b </t>
  </si>
  <si>
    <t>tubulin--tyrosine ligase-like protein 12</t>
  </si>
  <si>
    <t xml:space="preserve">titin isoform N2-A </t>
  </si>
  <si>
    <t xml:space="preserve">titin isoform N2-B </t>
  </si>
  <si>
    <t>protein tweety homolog 3</t>
  </si>
  <si>
    <t xml:space="preserve">tubulin alpha-1A chain </t>
  </si>
  <si>
    <t xml:space="preserve">tubulin alpha-1B chain </t>
  </si>
  <si>
    <t xml:space="preserve">tubulin alpha-1C chain </t>
  </si>
  <si>
    <t xml:space="preserve">tubulin alpha-3 chain </t>
  </si>
  <si>
    <t xml:space="preserve">tubulin alpha-4A chain </t>
  </si>
  <si>
    <t xml:space="preserve">tubulin alpha-8 chain </t>
  </si>
  <si>
    <t>tubulin alpha chain-like 3</t>
  </si>
  <si>
    <t xml:space="preserve">tubulin beta-1 chain </t>
  </si>
  <si>
    <t xml:space="preserve">tubulin beta-2A chain </t>
  </si>
  <si>
    <t xml:space="preserve">tubulin beta-2B chain </t>
  </si>
  <si>
    <t xml:space="preserve">tubulin beta-3 chain </t>
  </si>
  <si>
    <t xml:space="preserve">tubulin beta-4A chain </t>
  </si>
  <si>
    <t xml:space="preserve">tubulin beta-4B chain </t>
  </si>
  <si>
    <t xml:space="preserve">tubulin beta-5 chain </t>
  </si>
  <si>
    <t xml:space="preserve">tubulin beta-6 chain </t>
  </si>
  <si>
    <t xml:space="preserve">tubulin gamma-1 chain </t>
  </si>
  <si>
    <t xml:space="preserve">tubulin gamma-2 chain </t>
  </si>
  <si>
    <t>gamma-tubulin complex component 2</t>
  </si>
  <si>
    <t>gamma-tubulin complex component 3</t>
  </si>
  <si>
    <t>gamma-tubulin complex component 4</t>
  </si>
  <si>
    <t>gamma-tubulin complex component 5</t>
  </si>
  <si>
    <t>tubulin, gamma complex associated protein 6</t>
  </si>
  <si>
    <t>elongation factor Tu, mitochondrial isoform 2</t>
  </si>
  <si>
    <t>elongation factor Tu, mitochondrial isoform 1</t>
  </si>
  <si>
    <t xml:space="preserve">tumor suppressor candidate 3 precursor </t>
  </si>
  <si>
    <t xml:space="preserve">speckle targeted PIP5K1A-regulated poly(A) polymerase </t>
  </si>
  <si>
    <t>protein FAM18B1</t>
  </si>
  <si>
    <t xml:space="preserve">twinfilin-1 </t>
  </si>
  <si>
    <t xml:space="preserve">twinfilin-2 </t>
  </si>
  <si>
    <t xml:space="preserve">alpha-taxilin </t>
  </si>
  <si>
    <t xml:space="preserve">gamma-taxilin </t>
  </si>
  <si>
    <t xml:space="preserve">thioredoxin </t>
  </si>
  <si>
    <t xml:space="preserve">thioredoxin domain-containing protein 12 precursor </t>
  </si>
  <si>
    <t xml:space="preserve">thioredoxin domain-containing protein 15 precursor </t>
  </si>
  <si>
    <t>thioredoxin domain-containing protein 17</t>
  </si>
  <si>
    <t xml:space="preserve">thioredoxin domain-containing protein 5 precursor </t>
  </si>
  <si>
    <t>thioredoxin domain-containing protein 9</t>
  </si>
  <si>
    <t>thioredoxin-interacting protein isoform 2</t>
  </si>
  <si>
    <t>thioredoxin-interacting protein isoform 1</t>
  </si>
  <si>
    <t xml:space="preserve">thioredoxin-like protein 1 </t>
  </si>
  <si>
    <t xml:space="preserve">thioredoxin-like protein 4A isoform b </t>
  </si>
  <si>
    <t xml:space="preserve">thioredoxin-like protein 4A isoform a </t>
  </si>
  <si>
    <t xml:space="preserve">thioredoxin-like protein 4B </t>
  </si>
  <si>
    <t>thioredoxin reductase 1, cytoplasmic isoform 1</t>
  </si>
  <si>
    <t>thioredoxin reductase 1, cytoplasmic isoform 2</t>
  </si>
  <si>
    <t xml:space="preserve">thioredoxin reductase 2, mitochondrial precursor </t>
  </si>
  <si>
    <t xml:space="preserve">thioredoxin reductase 3 isoform 3 </t>
  </si>
  <si>
    <t xml:space="preserve">thioredoxin reductase 3 isoform 4 </t>
  </si>
  <si>
    <t xml:space="preserve">thioredoxin reductase 3 isoform 2 </t>
  </si>
  <si>
    <t xml:space="preserve">thioredoxin reductase 3 isoform 1 </t>
  </si>
  <si>
    <t>non-receptor tyrosine-protein kinase TYK2 isoform 2</t>
  </si>
  <si>
    <t>non-receptor tyrosine-protein kinase TYK2 isoform 1</t>
  </si>
  <si>
    <t>thymidylate synthase</t>
  </si>
  <si>
    <t xml:space="preserve">tRNA wybutosine-synthesizing protein 1 homolog isoform 2 </t>
  </si>
  <si>
    <t xml:space="preserve">tRNA wybutosine-synthesizing protein 1 homolog isoform 1 </t>
  </si>
  <si>
    <t xml:space="preserve">tRNA wybutosine-synthesizing protein 3 homolog isoform 2 </t>
  </si>
  <si>
    <t xml:space="preserve">tRNA wybutosine-synthesizing protein 3 homolog isoform 1 </t>
  </si>
  <si>
    <t>tRNA wybutosine-synthesizing protein 5 isoform 1</t>
  </si>
  <si>
    <t>tRNA wybutosine-synthesizing protein 5 isoform 2</t>
  </si>
  <si>
    <t>splicing factor U2AF 35 kDa subunit isoform 2</t>
  </si>
  <si>
    <t>splicing factor U2AF 35 kDa subunit isoform 1</t>
  </si>
  <si>
    <t>splicing factor U2AF 26 kDa subunit</t>
  </si>
  <si>
    <t>splicing factor U2AF 65 kDa subunit isoform 2</t>
  </si>
  <si>
    <t>splicing factor U2AF 65 kDa subunit isoform 1</t>
  </si>
  <si>
    <t xml:space="preserve">U2 snRNP-associated SURP motif-containing protein isoform 2 </t>
  </si>
  <si>
    <t xml:space="preserve">U2 snRNP-associated SURP motif-containing protein isoform 1 </t>
  </si>
  <si>
    <t>uveal autoantigen with coiled-coil domains and ankyrin repeats</t>
  </si>
  <si>
    <t>UDP-N-acetylhexosamine pyrophosphorylase</t>
  </si>
  <si>
    <t>UDP-N-acetylhexosamine pyrophosphorylase-like protein 1</t>
  </si>
  <si>
    <t>ubiquitin-like modifier-activating enzyme 1 isoform 2</t>
  </si>
  <si>
    <t>ubiquitin-like modifier-activating enzyme 1 isoform 1</t>
  </si>
  <si>
    <t xml:space="preserve">ubiquitin-like modifier-activating enzyme 1 Y </t>
  </si>
  <si>
    <t>SUMO-activating enzyme subunit 2</t>
  </si>
  <si>
    <t xml:space="preserve">NEDD8-activating enzyme E1 catalytic subunit isoform 1 </t>
  </si>
  <si>
    <t xml:space="preserve">NEDD8-activating enzyme E1 catalytic subunit isoform 2 </t>
  </si>
  <si>
    <t>ubiquitin-like modifier-activating enzyme 5</t>
  </si>
  <si>
    <t>ubiquitin-60S ribosomal protein L40</t>
  </si>
  <si>
    <t>ubiquitin-like modifier-activating enzyme 6</t>
  </si>
  <si>
    <t>ubiquitin-like modifier-activating enzyme 7</t>
  </si>
  <si>
    <t>ubiquitin-associated domain-containing protein 1</t>
  </si>
  <si>
    <t xml:space="preserve">ubiquitin-associated domain-containing protein 2 precursor </t>
  </si>
  <si>
    <t xml:space="preserve">ubiquitin-associated protein 2 </t>
  </si>
  <si>
    <t xml:space="preserve">ubiquitin-associated protein 2-like isoform 3 </t>
  </si>
  <si>
    <t xml:space="preserve">ubiquitin-associated protein 2-like isoform 4 </t>
  </si>
  <si>
    <t xml:space="preserve">ubiquitin-associated protein 2-like isoform 2 </t>
  </si>
  <si>
    <t xml:space="preserve">ubiquitin-associated protein 2-like isoform 5 </t>
  </si>
  <si>
    <t xml:space="preserve">ubiquitin-associated protein 2-like isoform 6 </t>
  </si>
  <si>
    <t xml:space="preserve">ubiquitin-associated protein 2-like isoform 1 </t>
  </si>
  <si>
    <t xml:space="preserve">polyubiquitin-B </t>
  </si>
  <si>
    <t xml:space="preserve">polyubiquitin-C </t>
  </si>
  <si>
    <t>ubiquitin-conjugating enzyme E2 A</t>
  </si>
  <si>
    <t>ubiquitin-conjugating enzyme E2 C</t>
  </si>
  <si>
    <t>ubiquitin-conjugating enzyme E2 D1</t>
  </si>
  <si>
    <t>ubiquitin-conjugating enzyme E2 D2</t>
  </si>
  <si>
    <t>ubiquitin-conjugating enzyme E2 D2B</t>
  </si>
  <si>
    <t>ubiquitin-conjugating enzyme E2 D3</t>
  </si>
  <si>
    <t>ubiquitin-conjugating enzyme E2 E1</t>
  </si>
  <si>
    <t>ubiquitin-conjugating enzyme E2 E2</t>
  </si>
  <si>
    <t>ubiquitin-conjugating enzyme E2 E3</t>
  </si>
  <si>
    <t xml:space="preserve">NEDD8-conjugating enzyme UBE2F </t>
  </si>
  <si>
    <t>ubiquitin-conjugating enzyme E2 G1</t>
  </si>
  <si>
    <t>ubiquitin-conjugating enzyme E2 H isoform 2</t>
  </si>
  <si>
    <t>ubiquitin-conjugating enzyme E2 H isoform 1</t>
  </si>
  <si>
    <t>ubiquitin-conjugating enzyme E2 K</t>
  </si>
  <si>
    <t xml:space="preserve">NEDD8-conjugating enzyme Ubc12 isoform 1 </t>
  </si>
  <si>
    <t xml:space="preserve">NEDD8-conjugating enzyme Ubc12 isoform 2 </t>
  </si>
  <si>
    <t xml:space="preserve">NEDD8-conjugating enzyme Ubc12 isoform 3 </t>
  </si>
  <si>
    <t>ubiquitin-conjugating enzyme E2 N</t>
  </si>
  <si>
    <t>ubiquitin-conjugating enzyme E2 O</t>
  </si>
  <si>
    <t>ubiquitin-conjugating enzyme E2 Q1</t>
  </si>
  <si>
    <t>ubiquitin-conjugating enzyme E2 Q2</t>
  </si>
  <si>
    <t>ubiquitin-conjugating enzyme E2 R2</t>
  </si>
  <si>
    <t>ubiquitin-conjugating enzyme E2 S</t>
  </si>
  <si>
    <t>ubiquitin-conjugating enzyme E2 T</t>
  </si>
  <si>
    <t xml:space="preserve">ubiquitin-conjugating enzyme E2 variant 1 </t>
  </si>
  <si>
    <t xml:space="preserve">ubiquitin-conjugating enzyme E2 variant 2 isoform 2 </t>
  </si>
  <si>
    <t xml:space="preserve">ubiquitin-conjugating enzyme E2 variant 2 isoform 1 </t>
  </si>
  <si>
    <t>ubiquitin-conjugating enzyme E2 W isoform 1</t>
  </si>
  <si>
    <t>ubiquitin-conjugating enzyme E2 W isoform 2</t>
  </si>
  <si>
    <t>ubiquitin-conjugating enzyme E2 W isoform 3</t>
  </si>
  <si>
    <t>ubiquitin-conjugating enzyme E2 Z</t>
  </si>
  <si>
    <t xml:space="preserve">ubiquitin-protein ligase E3A isoform 1 </t>
  </si>
  <si>
    <t xml:space="preserve">ubiquitin-protein ligase E3A isoform 2 </t>
  </si>
  <si>
    <t xml:space="preserve">ubiquitin-protein ligase E3A isoform 3 </t>
  </si>
  <si>
    <t xml:space="preserve">ubiquitin-protein ligase E3C </t>
  </si>
  <si>
    <t xml:space="preserve">ubiquitin conjugation factor E4 A </t>
  </si>
  <si>
    <t xml:space="preserve">ubiquitin conjugation factor E4 B </t>
  </si>
  <si>
    <t>ubiquitin domain-containing protein UBFD1</t>
  </si>
  <si>
    <t>ubiquitin-like protein 3 precursor</t>
  </si>
  <si>
    <t xml:space="preserve">ubiquitin-like protein 4A </t>
  </si>
  <si>
    <t xml:space="preserve">ubiquitin-like protein 5 </t>
  </si>
  <si>
    <t xml:space="preserve">ubiquitin-like domain-containing CTD phosphatase 1 </t>
  </si>
  <si>
    <t xml:space="preserve">upstream-binding protein 1 isoform a </t>
  </si>
  <si>
    <t xml:space="preserve">upstream-binding protein 1 isoform b </t>
  </si>
  <si>
    <t xml:space="preserve">ubiquilin-1 isoform 2 </t>
  </si>
  <si>
    <t xml:space="preserve">ubiquilin-1 isoform 1 </t>
  </si>
  <si>
    <t xml:space="preserve">ubiquilin-2 </t>
  </si>
  <si>
    <t xml:space="preserve">ubiquilin-4 </t>
  </si>
  <si>
    <t>E3 ubiquitin-protein ligase UBR1</t>
  </si>
  <si>
    <t>E3 ubiquitin-protein ligase UBR2 isoform 2</t>
  </si>
  <si>
    <t>E3 ubiquitin-protein ligase UBR2 isoform 1</t>
  </si>
  <si>
    <t>E3 ubiquitin-protein ligase UBR3 isoform 1</t>
  </si>
  <si>
    <t>E3 ubiquitin-protein ligase UBR3 isoform 2</t>
  </si>
  <si>
    <t>E3 ubiquitin-protein ligase UBR4</t>
  </si>
  <si>
    <t>E3 ubiquitin-protein ligase UBR5 isoform 1</t>
  </si>
  <si>
    <t>E3 ubiquitin-protein ligase UBR5 isoform 2</t>
  </si>
  <si>
    <t xml:space="preserve">putative E3 ubiquitin-protein ligase UBR7 </t>
  </si>
  <si>
    <t>ubiquitin domain-containing protein 1</t>
  </si>
  <si>
    <t>ubiquitin domain-containing protein 2</t>
  </si>
  <si>
    <t>nucleolar transcription factor 1 isoform 2</t>
  </si>
  <si>
    <t>nucleolar transcription factor 1 isoform 1</t>
  </si>
  <si>
    <t>UBX domain-containing protein 1</t>
  </si>
  <si>
    <t>UBX domain-containing protein 4</t>
  </si>
  <si>
    <t>UBX domain-containing protein 6</t>
  </si>
  <si>
    <t>UBX domain-containing protein 7</t>
  </si>
  <si>
    <t xml:space="preserve">ubiquitin carboxyl-terminal hydrolase isozyme L3 </t>
  </si>
  <si>
    <t xml:space="preserve">ubiquitin carboxyl-terminal hydrolase isozyme L4 </t>
  </si>
  <si>
    <t xml:space="preserve">ubiquitin carboxyl-terminal hydrolase isozyme L5 isoform 1 </t>
  </si>
  <si>
    <t xml:space="preserve">ubiquitin carboxyl-terminal hydrolase isozyme L5 isoform 2 </t>
  </si>
  <si>
    <t xml:space="preserve">uridine-cytidine kinase 1 </t>
  </si>
  <si>
    <t xml:space="preserve">uridine-cytidine kinase 2 </t>
  </si>
  <si>
    <t xml:space="preserve">uridine-cytidine kinase-like 1 </t>
  </si>
  <si>
    <t xml:space="preserve">ubiquitin-conjugating enzyme E2 variant 3 </t>
  </si>
  <si>
    <t>ubiquitin-fold modifier-conjugating enzyme 1</t>
  </si>
  <si>
    <t>ubiquitin fusion degradation protein 1 homolog</t>
  </si>
  <si>
    <t>E3 UFM1-protein ligase 1</t>
  </si>
  <si>
    <t>ubiquitin-fold modifier 1 precursor</t>
  </si>
  <si>
    <t xml:space="preserve">ufm1-specific protease 2 </t>
  </si>
  <si>
    <t>UDP-glucose 6-dehydrogenase</t>
  </si>
  <si>
    <t>UDP-glucose:glycoprotein glucosyltransferase 1 precursor</t>
  </si>
  <si>
    <t>UDP-glucose:glycoprotein glucosyltransferase 2 precursor</t>
  </si>
  <si>
    <t>UTP--glucose-1-phosphate uridylyltransferase</t>
  </si>
  <si>
    <t xml:space="preserve">2-hydroxyacylsphingosine 1-beta-galactosyltransferase precursor </t>
  </si>
  <si>
    <t>E3 ubiquitin-protein ligase UHRF1 isoform A</t>
  </si>
  <si>
    <t>E3 ubiquitin-protein ligase UHRF1 isoform B</t>
  </si>
  <si>
    <t xml:space="preserve">UHRF1 (ICBP90) binding protein 1 </t>
  </si>
  <si>
    <t xml:space="preserve">uridine 5'-monophosphate synthase </t>
  </si>
  <si>
    <t>protein unc-119 homolog A</t>
  </si>
  <si>
    <t>protein unc-119 homolog B</t>
  </si>
  <si>
    <t>protein unc-13 homolog C</t>
  </si>
  <si>
    <t>protein unc-13 homolog D</t>
  </si>
  <si>
    <t>protein unc-45 homolog A</t>
  </si>
  <si>
    <t xml:space="preserve">protein unc-79 homolog </t>
  </si>
  <si>
    <t>uracil-DNA glycosylase isoform a</t>
  </si>
  <si>
    <t xml:space="preserve">RING finger protein unkempt homolog </t>
  </si>
  <si>
    <t xml:space="preserve">regulator of nonsense transcripts 1 isoform b </t>
  </si>
  <si>
    <t xml:space="preserve">regulator of nonsense transcripts 1 isoform a </t>
  </si>
  <si>
    <t xml:space="preserve">regulator of nonsense transcripts 2 </t>
  </si>
  <si>
    <t xml:space="preserve">regulator of nonsense transcripts 3B </t>
  </si>
  <si>
    <t xml:space="preserve">uroplakin-1a </t>
  </si>
  <si>
    <t>uroplakin-2 precursor</t>
  </si>
  <si>
    <t xml:space="preserve">uracil phosphoribosyltransferase homolog </t>
  </si>
  <si>
    <t xml:space="preserve">ubiquinol-cytochrome c reductase complex chaperone CBP3 homolog </t>
  </si>
  <si>
    <t>mitochondrial nucleoid factor 1</t>
  </si>
  <si>
    <t xml:space="preserve">cytochrome b-c1 complex subunit 9 </t>
  </si>
  <si>
    <t xml:space="preserve">cytochrome b-c1 complex subunit 10 </t>
  </si>
  <si>
    <t xml:space="preserve">cytochrome b-c1 complex subunit 7 </t>
  </si>
  <si>
    <t xml:space="preserve">cytochrome b-c1 complex subunit 1, mitochondrial precursor </t>
  </si>
  <si>
    <t xml:space="preserve">cytochrome b-c1 complex subunit 2, mitochondrial precursor </t>
  </si>
  <si>
    <t>cytochrome b-c1 complex subunit Rieske, mitochondrial</t>
  </si>
  <si>
    <t>cytochrome b-c1 complex subunit 6, mitochondrial</t>
  </si>
  <si>
    <t xml:space="preserve">cytochrome b-c1 complex subunit 8 </t>
  </si>
  <si>
    <t>nucleolar pre-ribosomal-associated protein 1</t>
  </si>
  <si>
    <t>unhealthy ribosome biogenesis protein 2 homolog</t>
  </si>
  <si>
    <t>uroporphyrinogen decarboxylase</t>
  </si>
  <si>
    <t>uroporphyrinogen-III synthase</t>
  </si>
  <si>
    <t>vesicle transport protein USE1 isoform 1</t>
  </si>
  <si>
    <t>vesicle transport protein USE1 isoform 3</t>
  </si>
  <si>
    <t xml:space="preserve">harmonin isoform b3 </t>
  </si>
  <si>
    <t xml:space="preserve">harmonin isoform a1 </t>
  </si>
  <si>
    <t xml:space="preserve">harmonin isoform b4 </t>
  </si>
  <si>
    <t xml:space="preserve">general vesicular transport factor p115 </t>
  </si>
  <si>
    <t>ubiquitin carboxyl-terminal hydrolase 10</t>
  </si>
  <si>
    <t>ubiquitin carboxyl-terminal hydrolase 11</t>
  </si>
  <si>
    <t>ubiquitin carboxyl-terminal hydrolase 12</t>
  </si>
  <si>
    <t>ubiquitin carboxyl-terminal hydrolase 14 isoform 1</t>
  </si>
  <si>
    <t>ubiquitin carboxyl-terminal hydrolase 14 isoform 2</t>
  </si>
  <si>
    <t>ubiquitin carboxyl-terminal hydrolase 15</t>
  </si>
  <si>
    <t>ubiquitin carboxyl-terminal hydrolase 16</t>
  </si>
  <si>
    <t xml:space="preserve">deubiquitinating enzyme 2a </t>
  </si>
  <si>
    <t>ubiquitin carboxyl-terminal hydrolase 19 isoform 1</t>
  </si>
  <si>
    <t>ubiquitin carboxyl-terminal hydrolase 19 isoform 2</t>
  </si>
  <si>
    <t>ubiquitin carboxyl-terminal hydrolase 19 isoform 3</t>
  </si>
  <si>
    <t>ubiquitin carboxyl-terminal hydrolase 19 isoform 4</t>
  </si>
  <si>
    <t>ubiquitin carboxyl-terminal hydrolase 19 isoform 5</t>
  </si>
  <si>
    <t>ubiquitin carboxyl-terminal hydrolase 24</t>
  </si>
  <si>
    <t>ubiquitin carboxyl-terminal hydrolase 25</t>
  </si>
  <si>
    <t>ubiquitin specific protease 32</t>
  </si>
  <si>
    <t>ubiquitin carboxyl-terminal hydrolase 34</t>
  </si>
  <si>
    <t>ubiquitin carboxyl-terminal hydrolase 36</t>
  </si>
  <si>
    <t>ubiquitin carboxyl-terminal hydrolase 38</t>
  </si>
  <si>
    <t>U4/U6.U5 tri-snRNP-associated protein 2</t>
  </si>
  <si>
    <t>ubiquitin carboxyl-terminal hydrolase 4</t>
  </si>
  <si>
    <t>ubiquitin carboxyl-terminal hydrolase 47 isoform 1</t>
  </si>
  <si>
    <t>ubiquitin carboxyl-terminal hydrolase 47 isoform 2</t>
  </si>
  <si>
    <t>ubiquitin carboxyl-terminal hydrolase 5</t>
  </si>
  <si>
    <t>ubiquitin carboxyl-terminal hydrolase 7</t>
  </si>
  <si>
    <t>ubiquitin carboxyl-terminal hydrolase 8 isoform 2</t>
  </si>
  <si>
    <t>ubiquitin carboxyl-terminal hydrolase 8 isoform 1</t>
  </si>
  <si>
    <t xml:space="preserve">probable ubiquitin carboxyl-terminal hydrolase FAF-X </t>
  </si>
  <si>
    <t>ubiquitin specific peptidase 9, Y chromosome</t>
  </si>
  <si>
    <t xml:space="preserve">SUMO-specific isopeptidase USPL1 isoform A </t>
  </si>
  <si>
    <t xml:space="preserve">SUMO-specific isopeptidase USPL1 isoform B </t>
  </si>
  <si>
    <t xml:space="preserve">SUMO-specific isopeptidase USPL1 isoform E </t>
  </si>
  <si>
    <t>uronyl 2-sulfotransferase</t>
  </si>
  <si>
    <t xml:space="preserve">U3 small nucleolar RNA-associated protein 15 homolog </t>
  </si>
  <si>
    <t>small subunit processome component 20 homolog</t>
  </si>
  <si>
    <t xml:space="preserve">something about silencing protein 10 </t>
  </si>
  <si>
    <t xml:space="preserve">utrophin </t>
  </si>
  <si>
    <t>urotensin-2 precursor</t>
  </si>
  <si>
    <t>UV radiation resistance associated</t>
  </si>
  <si>
    <t>UDP-glucuronic acid decarboxylase 1</t>
  </si>
  <si>
    <t>protein UXT</t>
  </si>
  <si>
    <t xml:space="preserve">protein VAC14 homolog </t>
  </si>
  <si>
    <t>vesicle-associated membrane protein 1 isoform b</t>
  </si>
  <si>
    <t>vesicle-associated membrane protein 1 isoform a</t>
  </si>
  <si>
    <t>vesicle-associated membrane protein 2</t>
  </si>
  <si>
    <t>vesicle-associated membrane protein 3</t>
  </si>
  <si>
    <t>vesicle-associated membrane protein 4</t>
  </si>
  <si>
    <t>vesicle-associated membrane protein 5</t>
  </si>
  <si>
    <t>vesicle-associated membrane protein 7</t>
  </si>
  <si>
    <t>vesicle-associated membrane protein 8</t>
  </si>
  <si>
    <t xml:space="preserve">vang-like protein 1 </t>
  </si>
  <si>
    <t xml:space="preserve">vang-like protein 1 isoform 2 </t>
  </si>
  <si>
    <t xml:space="preserve">vesicle-associated membrane protein-associated protein A </t>
  </si>
  <si>
    <t xml:space="preserve">vesicle-associated membrane protein-associated protein B </t>
  </si>
  <si>
    <t>valine--tRNA ligase</t>
  </si>
  <si>
    <t>valine--tRNA ligase, mitochondrial precursor</t>
  </si>
  <si>
    <t>vasorin precursor</t>
  </si>
  <si>
    <t>vasodilator-stimulated phosphoprotein isoform 2</t>
  </si>
  <si>
    <t>vasodilator-stimulated phosphoprotein isoform 3</t>
  </si>
  <si>
    <t>vasodilator-stimulated phosphoprotein isoform 1</t>
  </si>
  <si>
    <t>synaptic vesicle membrane protein VAT-1 homolog</t>
  </si>
  <si>
    <t xml:space="preserve">guanine nucleotide exchange factor VAV2 </t>
  </si>
  <si>
    <t xml:space="preserve">prefoldin subunit 3 </t>
  </si>
  <si>
    <t xml:space="preserve">vinculin </t>
  </si>
  <si>
    <t>transitional endoplasmic reticulum ATPase</t>
  </si>
  <si>
    <t xml:space="preserve">deubiquitinating protein VCIP135 </t>
  </si>
  <si>
    <t xml:space="preserve">protein-lysine methyltransferase METTL21D </t>
  </si>
  <si>
    <t xml:space="preserve">voltage-dependent anion-selective channel protein 1 </t>
  </si>
  <si>
    <t xml:space="preserve">voltage-dependent anion-selective channel protein 2 </t>
  </si>
  <si>
    <t xml:space="preserve">voltage-dependent anion-selective channel protein 3 isoform 1 </t>
  </si>
  <si>
    <t xml:space="preserve">voltage-dependent anion-selective channel protein 3 isoform 2 </t>
  </si>
  <si>
    <t>ventricular zone-expressed PH domain-containing protein 1</t>
  </si>
  <si>
    <t xml:space="preserve">von Hippel-Lindau disease tumor suppressor </t>
  </si>
  <si>
    <t xml:space="preserve">villin-1 </t>
  </si>
  <si>
    <t>villin-like protein isoform 1</t>
  </si>
  <si>
    <t>villin-like protein isoform 2</t>
  </si>
  <si>
    <t xml:space="preserve">vimentin </t>
  </si>
  <si>
    <t>selenoprotein S</t>
  </si>
  <si>
    <t>spermatogenesis-defective protein 39 homolog isoform b</t>
  </si>
  <si>
    <t>spermatogenesis-defective protein 39 homolog isoform a</t>
  </si>
  <si>
    <t>vitamin K epoxide reductase complex subunit 1 precursor</t>
  </si>
  <si>
    <t xml:space="preserve">vitamin K epoxide reductase complex subunit 1-like protein 1 isoform 3 </t>
  </si>
  <si>
    <t xml:space="preserve">vitamin K epoxide reductase complex subunit 1-like protein 1 isoform 2 </t>
  </si>
  <si>
    <t xml:space="preserve">vitamin K epoxide reductase complex subunit 1-like protein 1 isoform 1 </t>
  </si>
  <si>
    <t xml:space="preserve">very low-density lipoprotein receptor isoform a precursor </t>
  </si>
  <si>
    <t xml:space="preserve">very low-density lipoprotein receptor isoform b precursor </t>
  </si>
  <si>
    <t xml:space="preserve">vacuolar ATPase assembly integral membrane protein VMA21 </t>
  </si>
  <si>
    <t xml:space="preserve">vimentin-type intermediate filament-associated coiled-coil protein isoform 2 </t>
  </si>
  <si>
    <t xml:space="preserve">vimentin-type intermediate filament-associated coiled-coil protein isoform 1 </t>
  </si>
  <si>
    <t>vomeronasal 1 receptor, C3</t>
  </si>
  <si>
    <t>vomernasal 1 receptor Vmn1r68</t>
  </si>
  <si>
    <t>vomeronasal 1 receptor, E9</t>
  </si>
  <si>
    <t>vacuole membrane protein 1</t>
  </si>
  <si>
    <t>protein VPRBP</t>
  </si>
  <si>
    <t>vacuolar protein sorting-associated protein 11 homolog</t>
  </si>
  <si>
    <t xml:space="preserve">vacuolar protein sorting-associated protein 13A </t>
  </si>
  <si>
    <t xml:space="preserve">vacuolar protein sorting-associated protein 13C </t>
  </si>
  <si>
    <t xml:space="preserve">vacuolar protein sorting-associated protein 13D isoform 2 </t>
  </si>
  <si>
    <t xml:space="preserve">vacuolar protein sorting-associated protein 13D isoform 1 </t>
  </si>
  <si>
    <t>vacuolar protein sorting-associated protein 16 homolog</t>
  </si>
  <si>
    <t>vacuolar protein sorting-associated protein 18 homolog</t>
  </si>
  <si>
    <t>vacuolar protein-sorting-associated protein 25 isoform 1</t>
  </si>
  <si>
    <t>vacuolar protein-sorting-associated protein 25 isoform 2</t>
  </si>
  <si>
    <t xml:space="preserve">vacuolar protein sorting-associated protein 26A isoform b </t>
  </si>
  <si>
    <t xml:space="preserve">vacuolar protein sorting-associated protein 26A isoform a </t>
  </si>
  <si>
    <t xml:space="preserve">vacuolar protein sorting-associated protein 26B </t>
  </si>
  <si>
    <t>vacuolar protein sorting-associated protein 28 homolog</t>
  </si>
  <si>
    <t xml:space="preserve">vacuolar protein sorting-associated protein 29 </t>
  </si>
  <si>
    <t xml:space="preserve">vacuolar protein sorting-associated protein 33A </t>
  </si>
  <si>
    <t xml:space="preserve">vacuolar protein sorting-associated protein 33B </t>
  </si>
  <si>
    <t xml:space="preserve">vacuolar protein sorting-associated protein 35 </t>
  </si>
  <si>
    <t>vacuolar protein-sorting-associated protein 36</t>
  </si>
  <si>
    <t xml:space="preserve">vacuolar protein sorting-associated protein 37B </t>
  </si>
  <si>
    <t xml:space="preserve">vacuolar protein sorting-associated protein 37C </t>
  </si>
  <si>
    <t>vam6/Vps39-like protein isoform 1</t>
  </si>
  <si>
    <t>vam6/Vps39-like protein isoform 2</t>
  </si>
  <si>
    <t xml:space="preserve">vacuolar protein sorting-associated protein 45 </t>
  </si>
  <si>
    <t xml:space="preserve">vacuolar protein sorting-associated protein 4A </t>
  </si>
  <si>
    <t xml:space="preserve">vacuolar protein sorting-associated protein 4B </t>
  </si>
  <si>
    <t>vacuolar protein sorting-associated protein 51 homolog</t>
  </si>
  <si>
    <t>vacuolar protein sorting-associated protein 52 homolog</t>
  </si>
  <si>
    <t>vacuolar protein sorting-associated protein 53 homolog</t>
  </si>
  <si>
    <t>vacuolar protein sorting-associated protein 8 homolog</t>
  </si>
  <si>
    <t xml:space="preserve">serine/threonine-protein kinase VRK1 isoform c </t>
  </si>
  <si>
    <t xml:space="preserve">serine/threonine-protein kinase VRK1 isoform b </t>
  </si>
  <si>
    <t xml:space="preserve">serine/threonine-protein kinase VRK1 isoform a </t>
  </si>
  <si>
    <t xml:space="preserve">V-set and immunoglobulin domain-containing protein 10 precursor </t>
  </si>
  <si>
    <t>vacuolar protein sorting-associated protein VTA1 homolog</t>
  </si>
  <si>
    <t>vesicle transport through interaction with t-SNAREs homolog 1A</t>
  </si>
  <si>
    <t>vesicle transport through interaction with t-SNAREs homolog 1B</t>
  </si>
  <si>
    <t xml:space="preserve">von Willebrand factor A domain-containing protein 5A </t>
  </si>
  <si>
    <t>von Willebrand factor A domain-containing protein 8 isoform 1 precursor</t>
  </si>
  <si>
    <t>von Willebrand factor A domain-containing protein 8 isoform 2 precursor</t>
  </si>
  <si>
    <t>UPF0464 protein C15orf44 homolog</t>
  </si>
  <si>
    <t>WW domain-containing adapter protein with coiled-coil isoform 2</t>
  </si>
  <si>
    <t xml:space="preserve">tryptophan--tRNA ligase, cytoplasmic isoform 2 </t>
  </si>
  <si>
    <t xml:space="preserve">tryptophan--tRNA ligase, cytoplasmic isoform 1 </t>
  </si>
  <si>
    <t>wiskott-Aldrich syndrome protein family member 1</t>
  </si>
  <si>
    <t>wiskott-Aldrich syndrome protein family member 2</t>
  </si>
  <si>
    <t xml:space="preserve">WAS protein family homolog 1 </t>
  </si>
  <si>
    <t>neural Wiskott-Aldrich syndrome protein isoform 1</t>
  </si>
  <si>
    <t>neural Wiskott-Aldrich syndrome protein isoform 2</t>
  </si>
  <si>
    <t>WW domain-binding protein 11</t>
  </si>
  <si>
    <t>WW domain binding protein 1-like isoform 2 precursor</t>
  </si>
  <si>
    <t>WW domain binding protein 1-like isoform 1 precursor</t>
  </si>
  <si>
    <t xml:space="preserve">WW domain binding protein 1-like isoform 3 </t>
  </si>
  <si>
    <t>WW domain-binding protein 2</t>
  </si>
  <si>
    <t>WW domain-binding protein 5</t>
  </si>
  <si>
    <t xml:space="preserve">Williams-Beuren syndrome chromosomal region 16 protein homolog </t>
  </si>
  <si>
    <t xml:space="preserve">uncharacterized methyltransferase WBSCR22 </t>
  </si>
  <si>
    <t>Williams-Beuren syndrome chromosomal region 27 protein</t>
  </si>
  <si>
    <t xml:space="preserve">Williams-Beuren syndrome chromosomal region 28 protein homolog isoform a </t>
  </si>
  <si>
    <t xml:space="preserve">Williams-Beuren syndrome chromosomal region 28 protein homolog isoform b </t>
  </si>
  <si>
    <t xml:space="preserve">WD repeat and FYVE domain containing 1 isoform 1 </t>
  </si>
  <si>
    <t xml:space="preserve">WD repeat and FYVE domain-containing protein 2 </t>
  </si>
  <si>
    <t xml:space="preserve">WD repeat and FYVE domain-containing protein 3 </t>
  </si>
  <si>
    <t xml:space="preserve">WD repeat and HMG-box DNA-binding protein 1 </t>
  </si>
  <si>
    <t>WD repeat-containing and planar cell polarity effector protein fritz homolog</t>
  </si>
  <si>
    <t>WD repeat-containing protein 1</t>
  </si>
  <si>
    <t>WD repeat-containing protein 11</t>
  </si>
  <si>
    <t>ribosome biogenesis protein WDR12</t>
  </si>
  <si>
    <t>WD repeat-containing protein 13 isoform 1</t>
  </si>
  <si>
    <t>WD repeat-containing protein 18</t>
  </si>
  <si>
    <t>WD repeat-containing protein 19</t>
  </si>
  <si>
    <t>WD repeat domain 20</t>
  </si>
  <si>
    <t>WD repeat-containing protein 20</t>
  </si>
  <si>
    <t>WD repeat-containing protein 26</t>
  </si>
  <si>
    <t>WD repeat-containing protein 3</t>
  </si>
  <si>
    <t>pre-mRNA 3' end processing protein WDR33 isoform 1</t>
  </si>
  <si>
    <t>WD repeat-containing protein 34</t>
  </si>
  <si>
    <t>WD repeat-containing protein 35 isoform 1</t>
  </si>
  <si>
    <t>WD repeat-containing protein 35 isoform 2</t>
  </si>
  <si>
    <t>WD repeat domain 36 isoform 3</t>
  </si>
  <si>
    <t>WD repeat domain 36 isoform 1</t>
  </si>
  <si>
    <t>WD repeat domain 36 isoform 2</t>
  </si>
  <si>
    <t>WD repeat-containing protein 37 isoform a</t>
  </si>
  <si>
    <t>WD repeat-containing protein 37 isoform b</t>
  </si>
  <si>
    <t>tRNA (guanine-N(7)-)-methyltransferase subunit WDR4</t>
  </si>
  <si>
    <t>WD repeat-containing protein 41</t>
  </si>
  <si>
    <t>WD repeat-containing protein 44</t>
  </si>
  <si>
    <t>WD repeat domain phosphoinositide-interacting protein 4</t>
  </si>
  <si>
    <t>WD repeat domain phosphoinositide-interacting protein 3</t>
  </si>
  <si>
    <t>WD repeat-containing protein 46</t>
  </si>
  <si>
    <t>WD repeat-containing protein 47</t>
  </si>
  <si>
    <t>WD repeat-containing protein 48</t>
  </si>
  <si>
    <t>WD repeat-containing protein 5</t>
  </si>
  <si>
    <t>WD repeat-containing protein 52</t>
  </si>
  <si>
    <t>WD repeat-containing protein 54</t>
  </si>
  <si>
    <t>WD repeat-containing protein 6</t>
  </si>
  <si>
    <t>WD repeat-containing protein 61 isoform b</t>
  </si>
  <si>
    <t>WD repeat-containing protein 61 isoform a</t>
  </si>
  <si>
    <t>WD repeat-containing protein 70</t>
  </si>
  <si>
    <t>WD repeat domain 72</t>
  </si>
  <si>
    <t>WD repeat-containing protein 73</t>
  </si>
  <si>
    <t>WD repeat-containing protein 74</t>
  </si>
  <si>
    <t>WD repeat-containing protein 76</t>
  </si>
  <si>
    <t xml:space="preserve">methylosome protein 50 </t>
  </si>
  <si>
    <t>WD repeat-containing protein 81</t>
  </si>
  <si>
    <t>WD repeat-containing protein 82</t>
  </si>
  <si>
    <t xml:space="preserve">WD repeat domain-containing protein 83 </t>
  </si>
  <si>
    <t>WD repeat-containing protein 91</t>
  </si>
  <si>
    <t>WD repeat-containing protein 92</t>
  </si>
  <si>
    <t>WD repeat, SAM and U-box domain-containing protein 1 isoform 2</t>
  </si>
  <si>
    <t>WD repeat, SAM and U-box domain-containing protein 1 isoform 1</t>
  </si>
  <si>
    <t>WD and tetratricopeptide repeats protein 1</t>
  </si>
  <si>
    <t>protein N-terminal glutamine amidohydrolase</t>
  </si>
  <si>
    <t xml:space="preserve">wolframin </t>
  </si>
  <si>
    <t xml:space="preserve">partner of Y14 and mago isoform 4 </t>
  </si>
  <si>
    <t xml:space="preserve">partner of Y14 and mago isoform 1 </t>
  </si>
  <si>
    <t xml:space="preserve">partner of Y14 and mago isoform 2 </t>
  </si>
  <si>
    <t>protein wntless homolog precursor</t>
  </si>
  <si>
    <t xml:space="preserve">serine/threonine-protein kinase WNK1 isoform 1 </t>
  </si>
  <si>
    <t xml:space="preserve">serine/threonine-protein kinase WNK1 isoform 2 </t>
  </si>
  <si>
    <t xml:space="preserve">serine/threonine-protein kinase WNK1 isoform 3 </t>
  </si>
  <si>
    <t xml:space="preserve">serine/threonine-protein kinase WNK1 isoform 4 </t>
  </si>
  <si>
    <t xml:space="preserve">serine/threonine-protein kinase WNK1 isoform 5 </t>
  </si>
  <si>
    <t xml:space="preserve">serine/threonine-protein kinase WNK2 </t>
  </si>
  <si>
    <t xml:space="preserve">serine/threonine-protein kinase WNK4 </t>
  </si>
  <si>
    <t xml:space="preserve">Werner syndrome ATP-dependent helicase homolog </t>
  </si>
  <si>
    <t>ATPase WRNIP1</t>
  </si>
  <si>
    <t xml:space="preserve">pre-mRNA-splicing regulator WTAP isoform a </t>
  </si>
  <si>
    <t>protein KIBRA</t>
  </si>
  <si>
    <t>protein WWC2</t>
  </si>
  <si>
    <t xml:space="preserve">WW domain-containing oxidoreductase </t>
  </si>
  <si>
    <t xml:space="preserve">NEDD4-like E3 ubiquitin-protein ligase WWP1 </t>
  </si>
  <si>
    <t xml:space="preserve">NEDD4-like E3 ubiquitin-protein ligase WWP1 isoform 2 </t>
  </si>
  <si>
    <t xml:space="preserve">NEDD4-like E3 ubiquitin-protein ligase WWP2 </t>
  </si>
  <si>
    <t xml:space="preserve">pre-mRNA-splicing factor SYF1 </t>
  </si>
  <si>
    <t>E3 ubiquitin-protein ligase XIAP</t>
  </si>
  <si>
    <t xml:space="preserve">xaa-Pro aminopeptidase 1 </t>
  </si>
  <si>
    <t>probable Xaa-Pro aminopeptidase 3</t>
  </si>
  <si>
    <t xml:space="preserve">exportin-1 </t>
  </si>
  <si>
    <t xml:space="preserve">exportin-4 </t>
  </si>
  <si>
    <t xml:space="preserve">exportin-5 </t>
  </si>
  <si>
    <t xml:space="preserve">exportin-7 </t>
  </si>
  <si>
    <t xml:space="preserve">exportin-T </t>
  </si>
  <si>
    <t>DNA repair protein XRCC1</t>
  </si>
  <si>
    <t xml:space="preserve">X-ray repair cross-complementing protein 5 </t>
  </si>
  <si>
    <t xml:space="preserve">X-ray repair cross-complementing protein 6 </t>
  </si>
  <si>
    <t>mitochondrial inner membrane protease ATP23 homolog isoform 1</t>
  </si>
  <si>
    <t xml:space="preserve">5'-3' exoribonuclease 1 </t>
  </si>
  <si>
    <t xml:space="preserve">5'-3' exoribonuclease 2 </t>
  </si>
  <si>
    <t xml:space="preserve">X-ray radiation resistance-associated protein 1 </t>
  </si>
  <si>
    <t>xylulose kinase isoform 2</t>
  </si>
  <si>
    <t>xylulose kinase isoform 1</t>
  </si>
  <si>
    <t xml:space="preserve">YY1-associated factor 2 </t>
  </si>
  <si>
    <t>yorkie homolog isoform 1</t>
  </si>
  <si>
    <t>yorkie homolog isoform 2</t>
  </si>
  <si>
    <t xml:space="preserve">tyrosine--tRNA ligase, cytoplasmic </t>
  </si>
  <si>
    <t xml:space="preserve">tyrosine--tRNA ligase, mitochondrial </t>
  </si>
  <si>
    <t>rRNA maturation factor homolog</t>
  </si>
  <si>
    <t>nuclease-sensitive element-binding protein 1</t>
  </si>
  <si>
    <t xml:space="preserve">Y-box-binding protein 2 </t>
  </si>
  <si>
    <t xml:space="preserve">Y-box-binding protein 3 short isoform </t>
  </si>
  <si>
    <t xml:space="preserve">Y-box-binding protein 3 long isoform </t>
  </si>
  <si>
    <t xml:space="preserve">tyrosine-protein kinase Yes </t>
  </si>
  <si>
    <t>protein YIF1A</t>
  </si>
  <si>
    <t>protein YIF1B isoform 1</t>
  </si>
  <si>
    <t>protein YIF1B isoform 2</t>
  </si>
  <si>
    <t>protein YIPF3</t>
  </si>
  <si>
    <t>protein YIPF4</t>
  </si>
  <si>
    <t>protein YIPF5</t>
  </si>
  <si>
    <t>protein YIPF6</t>
  </si>
  <si>
    <t xml:space="preserve">synaptobrevin homolog YKT6 </t>
  </si>
  <si>
    <t>ATP-dependent zinc metalloprotease YME1L1</t>
  </si>
  <si>
    <t xml:space="preserve">protein yippee-like 5 </t>
  </si>
  <si>
    <t xml:space="preserve">yrdC domain-containing protein, mitochondrial precursor </t>
  </si>
  <si>
    <t xml:space="preserve">YTH domain family protein 1 </t>
  </si>
  <si>
    <t xml:space="preserve">YTH domain family protein 2 </t>
  </si>
  <si>
    <t xml:space="preserve">YTH domain family protein 3 isoform 1 </t>
  </si>
  <si>
    <t xml:space="preserve">YTH domain family protein 3 isoform 2 </t>
  </si>
  <si>
    <t xml:space="preserve">14-3-3 protein beta/alpha </t>
  </si>
  <si>
    <t xml:space="preserve">14-3-3 protein epsilon </t>
  </si>
  <si>
    <t xml:space="preserve">14-3-3 protein gamma </t>
  </si>
  <si>
    <t xml:space="preserve">14-3-3 protein eta </t>
  </si>
  <si>
    <t xml:space="preserve">14-3-3 protein theta </t>
  </si>
  <si>
    <t xml:space="preserve">14-3-3 protein zeta/delta isoform 1 </t>
  </si>
  <si>
    <t xml:space="preserve">14-3-3 protein zeta/delta isoform 2 </t>
  </si>
  <si>
    <t>transcriptional repressor protein YY1</t>
  </si>
  <si>
    <t>zinc-binding alcohol dehydrogenase domain-containing protein 2</t>
  </si>
  <si>
    <t>mitogen-activated protein kinase kinase kinase MLT isoform 1</t>
  </si>
  <si>
    <t xml:space="preserve">zonadhesin </t>
  </si>
  <si>
    <t>zinc finger BED domain-containing protein 4</t>
  </si>
  <si>
    <t xml:space="preserve">zinc finger and BTB domain containing 11 </t>
  </si>
  <si>
    <t>protein archease</t>
  </si>
  <si>
    <t>zinc finger C2HC domain-containing protein 1A</t>
  </si>
  <si>
    <t>zinc finger CCCH domain-containing protein 11A</t>
  </si>
  <si>
    <t>zinc finger CCCH domain-containing protein 14 isoform a</t>
  </si>
  <si>
    <t>zinc finger CCCH domain-containing protein 15</t>
  </si>
  <si>
    <t>zinc finger CCCH domain-containing protein 18 isoform b</t>
  </si>
  <si>
    <t>zinc finger CCCH domain-containing protein 18 isoform a</t>
  </si>
  <si>
    <t>zinc finger CCCH domain-containing protein 6</t>
  </si>
  <si>
    <t xml:space="preserve">zinc finger CCCH-type containing 7A </t>
  </si>
  <si>
    <t>zinc finger CCCH domain-containing protein 7B</t>
  </si>
  <si>
    <t>zinc finger CCCH domain-containing protein 8</t>
  </si>
  <si>
    <t>zinc finger CCCH-type antiviral protein 1 isoform 2</t>
  </si>
  <si>
    <t>zinc finger CCCH-type antiviral protein 1 isoform 1</t>
  </si>
  <si>
    <t>zinc finger CCHC domain-containing protein 10</t>
  </si>
  <si>
    <t>zinc finger CCHC domain-containing protein 13</t>
  </si>
  <si>
    <t xml:space="preserve">nucleolar protein of 40 kDa </t>
  </si>
  <si>
    <t>zinc finger CCHC domain-containing protein 4</t>
  </si>
  <si>
    <t xml:space="preserve">terminal uridylyltransferase 7 </t>
  </si>
  <si>
    <t>zinc finger CCHC domain-containing protein 8</t>
  </si>
  <si>
    <t>palmitoyltransferase ZDHHC5</t>
  </si>
  <si>
    <t xml:space="preserve">protein zer-1 homolog </t>
  </si>
  <si>
    <t xml:space="preserve">AN1-type zinc finger protein 1 </t>
  </si>
  <si>
    <t xml:space="preserve">AN1-type zinc finger protein 2B </t>
  </si>
  <si>
    <t xml:space="preserve">AN1-type zinc finger protein 3 </t>
  </si>
  <si>
    <t xml:space="preserve">AN1-type zinc finger protein 5 </t>
  </si>
  <si>
    <t xml:space="preserve">AN1-type zinc finger protein 6 </t>
  </si>
  <si>
    <t xml:space="preserve">proline/serine-rich coiled-coil 2 </t>
  </si>
  <si>
    <t xml:space="preserve">zinc finger homeobox protein 3 </t>
  </si>
  <si>
    <t>zinc finger protein 638 isoform 1</t>
  </si>
  <si>
    <t>zinc finger protein 142</t>
  </si>
  <si>
    <t>zinc finger protein 185 isoform a</t>
  </si>
  <si>
    <t>zinc finger protein 185 isoform b</t>
  </si>
  <si>
    <t>zinc finger protein 189</t>
  </si>
  <si>
    <t>zinc finger protein 207 isoform 1</t>
  </si>
  <si>
    <t>zinc finger protein 207 isoform 2</t>
  </si>
  <si>
    <t>zinc finger protein 207 isoform 3</t>
  </si>
  <si>
    <t>zinc finger protein 207 isoform 4</t>
  </si>
  <si>
    <t>zinc finger protein 236</t>
  </si>
  <si>
    <t>zinc finger protein 248</t>
  </si>
  <si>
    <t>zinc finger protein ZPR1</t>
  </si>
  <si>
    <t>zinc finger protein 292</t>
  </si>
  <si>
    <t>zinc finger protein 324A</t>
  </si>
  <si>
    <t>DBIRD complex subunit ZNF326</t>
  </si>
  <si>
    <t>zinc finger protein 346</t>
  </si>
  <si>
    <t>zinc finger protein 428</t>
  </si>
  <si>
    <t>zinc finger protein 511</t>
  </si>
  <si>
    <t>zinc finger protein 512</t>
  </si>
  <si>
    <t>zinc finger protein 593</t>
  </si>
  <si>
    <t>zinc finger protein 598</t>
  </si>
  <si>
    <t>zinc finger protein 605</t>
  </si>
  <si>
    <t>zinc finger protein 61</t>
  </si>
  <si>
    <t>zinc finger protein 612</t>
  </si>
  <si>
    <t>zinc finger protein 622</t>
  </si>
  <si>
    <t>zinc finger protein 628</t>
  </si>
  <si>
    <t>zinc finger protein 704</t>
  </si>
  <si>
    <t>zinc finger protein 706</t>
  </si>
  <si>
    <t>zinc finger protein 771</t>
  </si>
  <si>
    <t>zinc finger protein 804A</t>
  </si>
  <si>
    <t>zinc finger protein 804B</t>
  </si>
  <si>
    <t>zinc finger protein 830</t>
  </si>
  <si>
    <t>zinc finger protein 865</t>
  </si>
  <si>
    <t>E3 ubiquitin-protein ligase ZFP91</t>
  </si>
  <si>
    <t>zinc finger protein-like 1</t>
  </si>
  <si>
    <t>zinc finger RNA-binding protein</t>
  </si>
  <si>
    <t>zinc finger FYVE domain-containing protein 1</t>
  </si>
  <si>
    <t>zinc finger FYVE domain-containing protein 19 isoform 1</t>
  </si>
  <si>
    <t>zinc finger FYVE domain-containing protein 19 isoform 2</t>
  </si>
  <si>
    <t xml:space="preserve">rabenosyn-5 </t>
  </si>
  <si>
    <t>zinc finger FYVE domain-containing protein 26</t>
  </si>
  <si>
    <t>zinc fingers and homeoboxes protein 3</t>
  </si>
  <si>
    <t>zinc finger MIZ domain-containing protein 1</t>
  </si>
  <si>
    <t xml:space="preserve">CAAX prenyl protease 1 homolog </t>
  </si>
  <si>
    <t xml:space="preserve">zinc finger MYM-type protein 2 </t>
  </si>
  <si>
    <t xml:space="preserve">zinc finger MYM-type protein 5 </t>
  </si>
  <si>
    <t xml:space="preserve">NFX1-type zinc finger-containing protein 1 </t>
  </si>
  <si>
    <t xml:space="preserve">box C/D snoRNA protein 1 </t>
  </si>
  <si>
    <t>zinc finger Ran-binding domain-containing protein 2</t>
  </si>
  <si>
    <t>DNA annealing helicase and endonuclease ZRANB3</t>
  </si>
  <si>
    <t>zinc finger SWIM domain-containing protein 8 isoform 1</t>
  </si>
  <si>
    <t>zinc finger SWIM domain-containing protein 8 isoform 2</t>
  </si>
  <si>
    <t>zinc finger SWIM domain-containing protein 8 isoform 3</t>
  </si>
  <si>
    <t>centromere/kinetochore protein zw10 homolog</t>
  </si>
  <si>
    <t xml:space="preserve">protein zwilch homolog </t>
  </si>
  <si>
    <t>ZW10 interactor</t>
  </si>
  <si>
    <t xml:space="preserve">zinc finger X-linked protein ZXDA/ZXDB </t>
  </si>
  <si>
    <t>zinc finger protein ZXDC isoform 1</t>
  </si>
  <si>
    <t>zinc finger protein ZXDC isoform 2</t>
  </si>
  <si>
    <t xml:space="preserve">zyxin </t>
  </si>
  <si>
    <t>zinc finger ZZ-type and EF-hand domain-containing protein 1</t>
  </si>
  <si>
    <t>WASH complex subunit 7</t>
  </si>
  <si>
    <t>uncharacterized protein C10orf118 homolog</t>
  </si>
  <si>
    <t xml:space="preserve">expressed sequence AA414768 </t>
  </si>
  <si>
    <t>specifically androgen-regulated gene protein</t>
  </si>
  <si>
    <t xml:space="preserve">probable ergosterol biosynthetic protein 28 </t>
  </si>
  <si>
    <t xml:space="preserve">uncharacterized protein LOC66050 </t>
  </si>
  <si>
    <t xml:space="preserve">pre-mRNA branch site protein p14 </t>
  </si>
  <si>
    <t xml:space="preserve">uncharacterized protein KIAA1841 </t>
  </si>
  <si>
    <t>chromatin complexes subunit BAP18 isoform 4</t>
  </si>
  <si>
    <t>chromatin complexes subunit BAP18 isoform 1</t>
  </si>
  <si>
    <t>chromatin complexes subunit BAP18 isoform 3</t>
  </si>
  <si>
    <t>chromatin complexes subunit BAP18 isoform 5</t>
  </si>
  <si>
    <t>chromatin complexes subunit BAP18 isoform 6</t>
  </si>
  <si>
    <t>chromatin complexes subunit BAP18 isoform 2</t>
  </si>
  <si>
    <t>UPF0585 protein C16orf13 homolog</t>
  </si>
  <si>
    <t>lysosomal protein NCU-G1 precursor</t>
  </si>
  <si>
    <t>UPF0587 protein C1orf123 homolog</t>
  </si>
  <si>
    <t xml:space="preserve">uncharacterized protein LOC68554 </t>
  </si>
  <si>
    <t>UPF0562 protein C7orf55 homolog</t>
  </si>
  <si>
    <t xml:space="preserve">small acidic protein </t>
  </si>
  <si>
    <t xml:space="preserve">bcl10-interacting CARD protein </t>
  </si>
  <si>
    <t>uncharacterized protein C20orf24 homolog</t>
  </si>
  <si>
    <t>mitochondrial ribonuclease P protein 3 precursor</t>
  </si>
  <si>
    <t>uncharacterized protein CXorf40 homolog</t>
  </si>
  <si>
    <t>UPF0554 protein C2orf43 homolog isoform 2</t>
  </si>
  <si>
    <t>UPF0554 protein C2orf43 homolog isoform 3</t>
  </si>
  <si>
    <t>UPF0554 protein C2orf43 homolog isoform 1</t>
  </si>
  <si>
    <t xml:space="preserve">UPF0369 protein C6orf57 homolog precursor </t>
  </si>
  <si>
    <t xml:space="preserve">protein C19orf12 homolog </t>
  </si>
  <si>
    <t xml:space="preserve">diamine oxidase-like protein 1 precursor </t>
  </si>
  <si>
    <t xml:space="preserve">uncharacterized protein LOC75471 </t>
  </si>
  <si>
    <t>uncharacterized protein C2orf61 homolog</t>
  </si>
  <si>
    <t xml:space="preserve">uncharacterized protein LOC75444 </t>
  </si>
  <si>
    <t>UPF0733 protein C2orf88 homolog</t>
  </si>
  <si>
    <t>mage-g2 protein</t>
  </si>
  <si>
    <t>uncharacterized protein C6orf203 homolog</t>
  </si>
  <si>
    <t>UPF0687 protein C20orf27 homolog</t>
  </si>
  <si>
    <t>UPF0364 protein C6orf211 homolog</t>
  </si>
  <si>
    <t>aldehyde dehydrogenase 3 family, member B2-like</t>
  </si>
  <si>
    <t xml:space="preserve">prohibitin-like </t>
  </si>
  <si>
    <t xml:space="preserve">uncharacterized protein LOC73532 </t>
  </si>
  <si>
    <t xml:space="preserve">uncharacterized protein LOC66276 </t>
  </si>
  <si>
    <t>acetylserotonin O-methyltransferase-like</t>
  </si>
  <si>
    <t>uncharacterized protein C8orf59 homolog</t>
  </si>
  <si>
    <t>uncharacterized protein C19orf52 homolog</t>
  </si>
  <si>
    <t>uncharacterized protein C4orf3 homolog</t>
  </si>
  <si>
    <t xml:space="preserve">uncharacterized protein LOC112419 </t>
  </si>
  <si>
    <t>UPF0693 protein C10orf32 homolog</t>
  </si>
  <si>
    <t>6.8 kDa mitochondrial proteolipid</t>
  </si>
  <si>
    <t>uncharacterized protein C10orf35 homolog</t>
  </si>
  <si>
    <t xml:space="preserve">uncharacterized protein LOC72097 </t>
  </si>
  <si>
    <t>uncharacterized protein C12orf43 homolog</t>
  </si>
  <si>
    <t>uncharacterized protein C2orf54 homolog</t>
  </si>
  <si>
    <t>UPF0449 protein C19orf25 homolog</t>
  </si>
  <si>
    <t>multiple myeloma tumor-associated protein 2 homolog</t>
  </si>
  <si>
    <t xml:space="preserve">lisH domain and HEAT repeat-containing protein KIAA1468 isoform 1 </t>
  </si>
  <si>
    <t xml:space="preserve">lisH domain and HEAT repeat-containing protein KIAA1468 isoform 2 </t>
  </si>
  <si>
    <t>uncharacterized protein C19orf43 homolog</t>
  </si>
  <si>
    <t>uncharacterized protein C6orf226 homolog</t>
  </si>
  <si>
    <t>uncharacterized protein C17orf59 homolog</t>
  </si>
  <si>
    <t xml:space="preserve">uncharacterized protein LOC668661 </t>
  </si>
  <si>
    <t>UPF0690 protein C1orf52 homolog</t>
  </si>
  <si>
    <t>SCAN domain containing 3</t>
  </si>
  <si>
    <t>UPF0545 protein C22orf39 homolog</t>
  </si>
  <si>
    <t>KIF1-binding protein</t>
  </si>
  <si>
    <t>uncharacterized protein KIAA2013 precursor</t>
  </si>
  <si>
    <t xml:space="preserve">uncharacterized protein LOC70291 </t>
  </si>
  <si>
    <t xml:space="preserve">serine/threonine-protein kinase MST4 </t>
  </si>
  <si>
    <t>UPF0552 protein C15orf38 homolog</t>
  </si>
  <si>
    <t>UPF0609 protein C4orf27 homolog</t>
  </si>
  <si>
    <t>erythroid differentiation-related factor 1</t>
  </si>
  <si>
    <t>UPF0568 protein C14orf166 homolog</t>
  </si>
  <si>
    <t>UPF0711 protein C18orf21 homolog</t>
  </si>
  <si>
    <t xml:space="preserve">uncharacterized protein LOC381820 isoform 3 </t>
  </si>
  <si>
    <t xml:space="preserve">uncharacterized protein LOC381820 isoform 1 </t>
  </si>
  <si>
    <t xml:space="preserve">uncharacterized protein LOC381820 isoform 2 </t>
  </si>
  <si>
    <t>selenoprotein H</t>
  </si>
  <si>
    <t xml:space="preserve">uncharacterized protein LOC381406 </t>
  </si>
  <si>
    <t>PCNA-associated factor</t>
  </si>
  <si>
    <t>uncharacterized protein C19orf60 homolog</t>
  </si>
  <si>
    <t>uncharacterized protein C18orf8 homolog</t>
  </si>
  <si>
    <t>UPF0235 protein C15orf40 homolog</t>
  </si>
  <si>
    <t>uncharacterized protein C7orf50 homolog</t>
  </si>
  <si>
    <t xml:space="preserve">uncharacterized protein LOC239673 </t>
  </si>
  <si>
    <t xml:space="preserve">uncharacterized protein LOC70909 </t>
  </si>
  <si>
    <t>UPF0547 protein C16orf87 homolog</t>
  </si>
  <si>
    <t xml:space="preserve">centrosomal protein of 162 kDa </t>
  </si>
  <si>
    <t xml:space="preserve">uncharacterized protein LOC74847 </t>
  </si>
  <si>
    <t>uncharacterized protein C12orf29 homolog</t>
  </si>
  <si>
    <t xml:space="preserve">shootin-1 isoform 1 </t>
  </si>
  <si>
    <t xml:space="preserve">shootin-1 isoform 2 </t>
  </si>
  <si>
    <t>ras homolog gene family, member A-like</t>
  </si>
  <si>
    <t>uncharacterized protein C4orf46 homolog</t>
  </si>
  <si>
    <t>ester hydrolase C11orf54 homolog</t>
  </si>
  <si>
    <t>IQ and AAA domain-containing protein 1-like</t>
  </si>
  <si>
    <t xml:space="preserve">uncharacterized protein LOC70989 </t>
  </si>
  <si>
    <t xml:space="preserve">uncharacterized protein LOC240755 </t>
  </si>
  <si>
    <t xml:space="preserve">uncharacterized protein KIAA0753 </t>
  </si>
  <si>
    <t>protein Njmu-R1</t>
  </si>
  <si>
    <t>uncharacterized protein C4orf32 homolog</t>
  </si>
  <si>
    <t>UPF0489 protein C5orf22 homolog isoform b</t>
  </si>
  <si>
    <t>uncharacterized protein C18orf25 homolog</t>
  </si>
  <si>
    <t xml:space="preserve">uncharacterized protein KIAA1467 </t>
  </si>
  <si>
    <t>UPF0317 protein C14orf159 homolog, mitochondrial precursor</t>
  </si>
  <si>
    <t>UPF0505 protein C16orf62 homolog</t>
  </si>
  <si>
    <t>UPF0668 protein C10orf76 homolog</t>
  </si>
  <si>
    <t xml:space="preserve">UPF0577 protein KIAA1324-like homolog precursor </t>
  </si>
  <si>
    <t>uncharacterized protein C2orf47 homolog, mitochondrial precursor</t>
  </si>
  <si>
    <t xml:space="preserve">autophagy-related protein 101 </t>
  </si>
  <si>
    <t xml:space="preserve">uncharacterized protein LOC77252 </t>
  </si>
  <si>
    <t xml:space="preserve">Fc fragment of IgG binding protein-like precursor </t>
  </si>
  <si>
    <t>fructose-2,6-bisphosphatase TIGAR</t>
  </si>
  <si>
    <t xml:space="preserve">suppressor of glucose by autophagy </t>
  </si>
  <si>
    <t xml:space="preserve">uncharacterized protein LOC240613 </t>
  </si>
  <si>
    <t>Gene</t>
  </si>
  <si>
    <t>Symbol</t>
  </si>
  <si>
    <t>MW (Da)</t>
  </si>
  <si>
    <t>Calculated</t>
  </si>
  <si>
    <t>mitochondrial import inner membrane translocase subunit TIM14-like</t>
  </si>
  <si>
    <t>rootletin</t>
  </si>
  <si>
    <t xml:space="preserve">protein AHNAK2 </t>
  </si>
  <si>
    <t xml:space="preserve">aldehyde dehydrogenase family 3 member B1 </t>
  </si>
  <si>
    <t xml:space="preserve">armadillo repeat-containing protein 1 </t>
  </si>
  <si>
    <t xml:space="preserve">coiled-coil and C2 domain-containing protein 2A </t>
  </si>
  <si>
    <t xml:space="preserve">rab proteins geranylgeranyltransferase component A 1 </t>
  </si>
  <si>
    <t>dynein heavy chain 12, axonemal</t>
  </si>
  <si>
    <t>dynein heavy chain 14, axonemal</t>
  </si>
  <si>
    <t>exocyst complex component 3-like 2</t>
  </si>
  <si>
    <t xml:space="preserve">fibrous sheath-interacting protein 2 </t>
  </si>
  <si>
    <t xml:space="preserve">ubiquitin-conjugating enzyme E2 L3-like </t>
  </si>
  <si>
    <t xml:space="preserve">60S ribosomal protein L35a-like </t>
  </si>
  <si>
    <t xml:space="preserve">60S ribosomal protein L21-like </t>
  </si>
  <si>
    <t xml:space="preserve">60S ribosomal protein L28-like </t>
  </si>
  <si>
    <t xml:space="preserve">40S ribosomal protein S12-like </t>
  </si>
  <si>
    <t xml:space="preserve">60S ribosomal protein L13-like </t>
  </si>
  <si>
    <t xml:space="preserve">60S ribosomal protein L17-like </t>
  </si>
  <si>
    <t xml:space="preserve">60S ribosomal protein L17-like isoform 2 </t>
  </si>
  <si>
    <t xml:space="preserve">60S ribosomal protein L15-like </t>
  </si>
  <si>
    <t xml:space="preserve">histone H3.3-like </t>
  </si>
  <si>
    <t xml:space="preserve">nuclear transport factor 2-like </t>
  </si>
  <si>
    <t xml:space="preserve">40S ribosomal protein S2-like isoform 1 </t>
  </si>
  <si>
    <t xml:space="preserve">ubiquitin-conjugating enzyme E2 L3-like isoform 2 </t>
  </si>
  <si>
    <t xml:space="preserve">60S ribosomal protein L29-like </t>
  </si>
  <si>
    <t xml:space="preserve">serpin B9 </t>
  </si>
  <si>
    <t>tyrosine-protein kinase Lyn-like</t>
  </si>
  <si>
    <t xml:space="preserve">endothelial differentiation-related factor 1-like </t>
  </si>
  <si>
    <t>ORM1-like protein 3-like</t>
  </si>
  <si>
    <t>la-related protein 7</t>
  </si>
  <si>
    <t xml:space="preserve">RWD domain-containing protein 1-like </t>
  </si>
  <si>
    <t>uncharacterized protein LOC627004</t>
  </si>
  <si>
    <t xml:space="preserve">60S ribosomal protein L3-like </t>
  </si>
  <si>
    <t xml:space="preserve">protein S100-A11-like isoform 1 </t>
  </si>
  <si>
    <t>60S acidic ribosomal protein P1-like</t>
  </si>
  <si>
    <t>coiled-coil-helix-coiled-coil-helix domain-containing protein 2, mitochondrial-like</t>
  </si>
  <si>
    <t>28S ribosomal protein S18b, mitochondrial-like</t>
  </si>
  <si>
    <t>60S acidic ribosomal protein P1-like isoform 3</t>
  </si>
  <si>
    <t xml:space="preserve">60S ribosomal protein L27a-like </t>
  </si>
  <si>
    <t xml:space="preserve">60S ribosomal protein L5-like </t>
  </si>
  <si>
    <t>small nuclear ribonucleoprotein Sm D1-like</t>
  </si>
  <si>
    <t xml:space="preserve">transcription elongation factor B polypeptide 1-like </t>
  </si>
  <si>
    <t>protein LLP homolog</t>
  </si>
  <si>
    <t xml:space="preserve">spermine synthase-like </t>
  </si>
  <si>
    <t>HIG1 domain family member 1A-like</t>
  </si>
  <si>
    <t xml:space="preserve">40S ribosomal protein S12-like isoform 2 </t>
  </si>
  <si>
    <t xml:space="preserve">60S ribosomal protein L23-like </t>
  </si>
  <si>
    <t>inosine-5'-monophosphate dehydrogenase 2-like</t>
  </si>
  <si>
    <t xml:space="preserve">putative RNA-binding protein 3-like </t>
  </si>
  <si>
    <t xml:space="preserve">prothymosin alpha-like </t>
  </si>
  <si>
    <t xml:space="preserve">40S ribosomal protein S13-like </t>
  </si>
  <si>
    <t xml:space="preserve">40S ribosomal protein S8 isoform 1 </t>
  </si>
  <si>
    <t xml:space="preserve">zinc finger BED domain-containing protein 4-like </t>
  </si>
  <si>
    <t>short coiled-coil protein-like</t>
  </si>
  <si>
    <t>uncharacterized protein LOC100502716</t>
  </si>
  <si>
    <t xml:space="preserve">peptidyl-prolyl cis-trans isomerase H-like </t>
  </si>
  <si>
    <t>interferon-induced very large GTPase 1</t>
  </si>
  <si>
    <t xml:space="preserve">60S ribosomal protein L7a-like </t>
  </si>
  <si>
    <t>ubiquitin-like protein 5-like</t>
  </si>
  <si>
    <t>eukaryotic translation initiation factor 1A</t>
  </si>
  <si>
    <t xml:space="preserve">CDGSH iron-sulfur domain-containing protein 3, mitochondrial-like </t>
  </si>
  <si>
    <t>eukaryotic translation initiation factor 1A-like</t>
  </si>
  <si>
    <t xml:space="preserve">ferritin light chain 1-like </t>
  </si>
  <si>
    <t xml:space="preserve">glyceraldehyde-3-phosphate dehydrogenase-like isoform 2 </t>
  </si>
  <si>
    <t>transmembrane emp24 domain-containing protein 2-like</t>
  </si>
  <si>
    <t>high mobility group protein B1-like</t>
  </si>
  <si>
    <t xml:space="preserve">annexin A11-like </t>
  </si>
  <si>
    <t>14-3-3 protein theta-like</t>
  </si>
  <si>
    <t xml:space="preserve">S-formylglutathione hydrolase-like </t>
  </si>
  <si>
    <t xml:space="preserve">protein CDV3-like </t>
  </si>
  <si>
    <t>uncharacterized protein LOC100041106</t>
  </si>
  <si>
    <t xml:space="preserve">ubiquitin-conjugating enzyme E2 N-like </t>
  </si>
  <si>
    <t xml:space="preserve">NADH dehydrogenase [ubiquinone] 1 beta subcomplex subunit 4-like </t>
  </si>
  <si>
    <t xml:space="preserve">60S ribosomal protein L23a-like </t>
  </si>
  <si>
    <t>uncharacterized protein C10orf12</t>
  </si>
  <si>
    <t xml:space="preserve">60S ribosomal protein L11-like </t>
  </si>
  <si>
    <t>programmed cell death protein 5-like</t>
  </si>
  <si>
    <t xml:space="preserve">glutathione S-transferase P 2-like </t>
  </si>
  <si>
    <t>transmembrane emp24 domain-containing protein 10-like</t>
  </si>
  <si>
    <t xml:space="preserve">60S ribosomal protein L36-like </t>
  </si>
  <si>
    <t xml:space="preserve">60S ribosomal protein L18a-like </t>
  </si>
  <si>
    <t xml:space="preserve">NADH dehydrogenase [ubiquinone] 1 alpha subcomplex subunit 11-like </t>
  </si>
  <si>
    <t xml:space="preserve">40S ribosomal protein S25-like </t>
  </si>
  <si>
    <t>uncharacterized protein LOC277089</t>
  </si>
  <si>
    <t xml:space="preserve">40S ribosomal protein S17-like </t>
  </si>
  <si>
    <t xml:space="preserve">interferon-induced transmembrane protein 2-like </t>
  </si>
  <si>
    <t xml:space="preserve">60S ribosomal protein L6-like </t>
  </si>
  <si>
    <t xml:space="preserve">60S ribosomal protein L21-like isoform 3 </t>
  </si>
  <si>
    <t xml:space="preserve">60S ribosomal protein L9-like </t>
  </si>
  <si>
    <t>eukaryotic translation initiation factor 1-like</t>
  </si>
  <si>
    <t xml:space="preserve">60S ribosomal protein L30-like </t>
  </si>
  <si>
    <t>ORM1-like protein 2-like</t>
  </si>
  <si>
    <t xml:space="preserve">nucleoside diphosphate kinase B-like </t>
  </si>
  <si>
    <t xml:space="preserve">eukaryotic initiation factor 4A-III-like </t>
  </si>
  <si>
    <t>tubulin alpha-1C chain isoform 4</t>
  </si>
  <si>
    <t xml:space="preserve">60S ribosomal protein L10-like isoform 2 </t>
  </si>
  <si>
    <t>mRNA turnover protein 4 homolog isoform 2</t>
  </si>
  <si>
    <t xml:space="preserve">actin-related protein 41673 complex subunit 1B-like </t>
  </si>
  <si>
    <t xml:space="preserve">chromobox protein homolog 3-like </t>
  </si>
  <si>
    <t>G/T mismatch-specific thymine DNA glycosylase-like isoform 5</t>
  </si>
  <si>
    <t>small nuclear ribonucleoprotein Sm D2-like</t>
  </si>
  <si>
    <t xml:space="preserve">ubiquitin-conjugating enzyme E2 L3-like isoform 3 </t>
  </si>
  <si>
    <t xml:space="preserve">40S ribosomal protein S21-like </t>
  </si>
  <si>
    <t>high mobility group protein B1-like isoform 1</t>
  </si>
  <si>
    <t xml:space="preserve">40S ribosomal protein S2-like </t>
  </si>
  <si>
    <t>CCR4-NOT transcription complex subunit 1-like</t>
  </si>
  <si>
    <t xml:space="preserve">60S ribosomal protein L23a </t>
  </si>
  <si>
    <t xml:space="preserve">replication protein A 14 kDa subunit-like </t>
  </si>
  <si>
    <t>gem-associated protein 6-like</t>
  </si>
  <si>
    <t xml:space="preserve">costars family protein ABRACL-like </t>
  </si>
  <si>
    <t xml:space="preserve">60S ribosomal protein L34-like </t>
  </si>
  <si>
    <t>NADH dehydrogenase [ubiquinone] iron-sulfur protein 6, mitochondrial-like</t>
  </si>
  <si>
    <t xml:space="preserve">40S ribosomal protein S18-like </t>
  </si>
  <si>
    <t>predicted gene 6747</t>
  </si>
  <si>
    <t>predicted gene 6747 isoform 2</t>
  </si>
  <si>
    <t>peptidyl-prolyl cis-trans isomerase NIMA-interacting 4-like</t>
  </si>
  <si>
    <t xml:space="preserve">RING1 and YY1-binding protein-like </t>
  </si>
  <si>
    <t xml:space="preserve">40S ribosomal protein S15-like isoform 1 </t>
  </si>
  <si>
    <t xml:space="preserve">40S ribosomal protein S15-like isoform 2 </t>
  </si>
  <si>
    <t xml:space="preserve">envelope glycoprotein </t>
  </si>
  <si>
    <t xml:space="preserve">40S ribosomal protein S18-like isoform 2 </t>
  </si>
  <si>
    <t xml:space="preserve">mitochondrial import receptor subunit TOM22 homolog </t>
  </si>
  <si>
    <t>uncharacterized protein LOC665234</t>
  </si>
  <si>
    <t>uncharacterized protein LOC665826</t>
  </si>
  <si>
    <t xml:space="preserve">ubiquitin-60S ribosomal protein L40-like </t>
  </si>
  <si>
    <t>d-2-hydroxyglutarate dehydrogenase, mitochondrial-like</t>
  </si>
  <si>
    <t xml:space="preserve">mitochondrial import receptor subunit TOM5 homolog </t>
  </si>
  <si>
    <t xml:space="preserve">ubiquitin-40S ribosomal protein S27a-like </t>
  </si>
  <si>
    <t xml:space="preserve">protein archease-like </t>
  </si>
  <si>
    <t>uncharacterized protein LOC667284</t>
  </si>
  <si>
    <t>U1 small nuclear ribonucleoprotein A-like</t>
  </si>
  <si>
    <t xml:space="preserve">40S ribosomal protein S23-like </t>
  </si>
  <si>
    <t xml:space="preserve">40S ribosomal protein S2-like isoform 2 </t>
  </si>
  <si>
    <t>mRNA turnover protein 4 homolog</t>
  </si>
  <si>
    <t xml:space="preserve">peptidyl-prolyl cis-trans isomerase A-like </t>
  </si>
  <si>
    <t xml:space="preserve">60S ribosomal protein L24-like </t>
  </si>
  <si>
    <t xml:space="preserve">60S ribosomal protein L22-like </t>
  </si>
  <si>
    <t xml:space="preserve">60S ribosomal protein L13-like isoform 2 </t>
  </si>
  <si>
    <t xml:space="preserve">glia maturation factor gamma-like </t>
  </si>
  <si>
    <t xml:space="preserve">glucose-6-phosphate isomerase </t>
  </si>
  <si>
    <t xml:space="preserve">h-2 class I histocompatibility antigen, D-37 alpha chain </t>
  </si>
  <si>
    <t xml:space="preserve">histone H3.3C-like </t>
  </si>
  <si>
    <t xml:space="preserve">histone H2A type 2-A </t>
  </si>
  <si>
    <t xml:space="preserve">ribosomal biogenesis protein LAS1L </t>
  </si>
  <si>
    <t>UDP-glucose:glycoprotein glucosyltransferase 1-like</t>
  </si>
  <si>
    <t xml:space="preserve">non-histone chromosomal protein HMG-14-like </t>
  </si>
  <si>
    <t xml:space="preserve">protein tyrosine phosphatase type IVA 1-like isoform 1 </t>
  </si>
  <si>
    <t>rRNA 2'-O-methyltransferase fibrillarin-like isoform 1</t>
  </si>
  <si>
    <t>SUMO-conjugating enzyme UBC9-like</t>
  </si>
  <si>
    <t xml:space="preserve">ribonuclease 3-like </t>
  </si>
  <si>
    <t xml:space="preserve">heterogeneous nuclear ribonucleoproteins A2/B1-like isoform 1 </t>
  </si>
  <si>
    <t>protein BUD31 homolog isoform 2</t>
  </si>
  <si>
    <t xml:space="preserve">mitotic spindle assembly checkpoint protein MAD2A-like </t>
  </si>
  <si>
    <t xml:space="preserve">GTP-binding nuclear protein Ran-like </t>
  </si>
  <si>
    <t xml:space="preserve">cytochrome c oxidase subunit 5B, mitochondrial-like </t>
  </si>
  <si>
    <t xml:space="preserve">phosphate carrier protein, mitochondrial-like isoform 1 </t>
  </si>
  <si>
    <t xml:space="preserve">phosphate carrier protein, mitochondrial-like isoform 2 </t>
  </si>
  <si>
    <t xml:space="preserve">phosphate carrier protein, mitochondrial-like isoform 3 </t>
  </si>
  <si>
    <t xml:space="preserve">transcription initiation factor IIA subunit 2-like </t>
  </si>
  <si>
    <t xml:space="preserve">40S ribosomal protein S26-like </t>
  </si>
  <si>
    <t>nucleophosmin-like</t>
  </si>
  <si>
    <t xml:space="preserve">ES1 protein homolog, mitochondrial-like isoform 1 </t>
  </si>
  <si>
    <t xml:space="preserve">ES1 protein homolog, mitochondrial-like isoform 2 </t>
  </si>
  <si>
    <t xml:space="preserve">phosphoserine aminotransferase-like isoform 2 </t>
  </si>
  <si>
    <t>ATP synthase subunit O, mitochondrial-like</t>
  </si>
  <si>
    <t>tax1-binding protein 3-like isoform 2</t>
  </si>
  <si>
    <t xml:space="preserve">cytochrome b5 type B-like </t>
  </si>
  <si>
    <t>eukaryotic translation initiation factor 5-like isoform 1</t>
  </si>
  <si>
    <t xml:space="preserve">nucleoside diphosphate kinase A-like </t>
  </si>
  <si>
    <t>casein kinase II subunit alpha-like</t>
  </si>
  <si>
    <t xml:space="preserve">glyceraldehyde-3-phosphate dehydrogenase-like isoform 1 </t>
  </si>
  <si>
    <t xml:space="preserve">prostaglandin E synthase 3-like </t>
  </si>
  <si>
    <t xml:space="preserve">guanine nucleotide-binding protein G(I)/G(S)/G(O) subunit gamma-5-like </t>
  </si>
  <si>
    <t>methyltransferase-like protein 21D-like</t>
  </si>
  <si>
    <t xml:space="preserve">cytochrome c oxidase subunit 7C, mitochondrial-like </t>
  </si>
  <si>
    <t xml:space="preserve">eukaryotic translation initiation factor 1A, X-chromosomal-like </t>
  </si>
  <si>
    <t>la-related protein 1B-like isoform 1</t>
  </si>
  <si>
    <t xml:space="preserve">ubiquitin-conjugating enzyme E2 E1-like </t>
  </si>
  <si>
    <t xml:space="preserve">protein FAM177A1 </t>
  </si>
  <si>
    <t xml:space="preserve">60S ribosomal protein L32-like </t>
  </si>
  <si>
    <t>up-regulated during skeletal muscle growth protein 5-like</t>
  </si>
  <si>
    <t xml:space="preserve">conserved oligomeric Golgi complex subunit 1-like </t>
  </si>
  <si>
    <t xml:space="preserve">NADH dehydrogenase [ubiquinone] iron-sulfur protein 5-like </t>
  </si>
  <si>
    <t xml:space="preserve">signal recognition particle 14 kDa protein-like </t>
  </si>
  <si>
    <t xml:space="preserve">40S ribosomal protein SA-like </t>
  </si>
  <si>
    <t>uncharacterized protein LOC100861945</t>
  </si>
  <si>
    <t>translational activator GCN1-like</t>
  </si>
  <si>
    <t>peroxiredoxin-1</t>
  </si>
  <si>
    <t>uncharacterized protein LOC100862066</t>
  </si>
  <si>
    <t xml:space="preserve">h-2 class I histocompatibility antigen, D-D alpha chain-like </t>
  </si>
  <si>
    <t xml:space="preserve">40S ribosomal protein S16-like </t>
  </si>
  <si>
    <t xml:space="preserve">h-2 class I histocompatibility antigen, D-B alpha chain-like </t>
  </si>
  <si>
    <t xml:space="preserve">ferritin light chain 1-like isoform 1 </t>
  </si>
  <si>
    <t>NHP2-like protein 1-like</t>
  </si>
  <si>
    <t>tRNA modification GTPase GTPBP3, mitochondrial-like isoform 2</t>
  </si>
  <si>
    <t>myosin-6-like</t>
  </si>
  <si>
    <t xml:space="preserve">uncharacterized LOC101055631 </t>
  </si>
  <si>
    <t xml:space="preserve">60S ribosomal protein L31-like </t>
  </si>
  <si>
    <t xml:space="preserve">60S ribosomal protein L18-like </t>
  </si>
  <si>
    <t>uncharacterized protein LOC101055749</t>
  </si>
  <si>
    <t xml:space="preserve">coiled-coil domain-containing protein 72-like </t>
  </si>
  <si>
    <t xml:space="preserve">protein AHNAK2-like </t>
  </si>
  <si>
    <t>perilipin-2-like</t>
  </si>
  <si>
    <t xml:space="preserve">protein transport protein Sec61 subunit beta-like </t>
  </si>
  <si>
    <t xml:space="preserve">small ubiquitin-related modifier 2-like </t>
  </si>
  <si>
    <t xml:space="preserve">40S ribosomal protein S8-like </t>
  </si>
  <si>
    <t xml:space="preserve">60S ribosomal protein L12-like </t>
  </si>
  <si>
    <t>39S ribosomal protein L41, mitochondrial-like</t>
  </si>
  <si>
    <t>elongation factor 1-gamma-like</t>
  </si>
  <si>
    <t>nucleolar protein 56-like</t>
  </si>
  <si>
    <t xml:space="preserve">enhancer of rudimentary homolog </t>
  </si>
  <si>
    <t xml:space="preserve">VIP36-like protein-like </t>
  </si>
  <si>
    <t>uncharacterized protein LOC101056140</t>
  </si>
  <si>
    <t>plasma membrane calcium-transporting ATPase 1-like</t>
  </si>
  <si>
    <t>eukaryotic translation initiation factor 1b-like</t>
  </si>
  <si>
    <t xml:space="preserve">succinate dehydrogenase [ubiquinone] iron-sulfur subunit, mitochondrial-like </t>
  </si>
  <si>
    <t>alpha-enolase-like</t>
  </si>
  <si>
    <t xml:space="preserve">40S ribosomal protein S24-like </t>
  </si>
  <si>
    <t xml:space="preserve">60 kDa heat shock protein, mitochondrial-like </t>
  </si>
  <si>
    <t>DNA-(apurinic or apyrimidinic site) lyase-like</t>
  </si>
  <si>
    <t xml:space="preserve">peroxisomal membrane protein PEX13-like isoform 1 </t>
  </si>
  <si>
    <t xml:space="preserve">serpin B9-like </t>
  </si>
  <si>
    <t xml:space="preserve">h-2 class I histocompatibility antigen, D-D alpha chain-like isoform 9 </t>
  </si>
  <si>
    <t xml:space="preserve">h-2 class I histocompatibility antigen, D-D alpha chain-like isoform 10 </t>
  </si>
  <si>
    <t xml:space="preserve">h-2 class I histocompatibility antigen, D-D alpha chain-like isoform 1 </t>
  </si>
  <si>
    <t xml:space="preserve">h-2 class I histocompatibility antigen, D-D alpha chain-like isoform 2 </t>
  </si>
  <si>
    <t xml:space="preserve">h-2 class I histocompatibility antigen, D-D alpha chain-like isoform 3 </t>
  </si>
  <si>
    <t xml:space="preserve">h-2 class I histocompatibility antigen, D-D alpha chain-like isoform 4 </t>
  </si>
  <si>
    <t xml:space="preserve">h-2 class I histocompatibility antigen, D-D alpha chain-like isoform 5 </t>
  </si>
  <si>
    <t xml:space="preserve">h-2 class I histocompatibility antigen, D-D alpha chain-like isoform 6 </t>
  </si>
  <si>
    <t xml:space="preserve">h-2 class I histocompatibility antigen, D-D alpha chain-like isoform 7 </t>
  </si>
  <si>
    <t xml:space="preserve">h-2 class I histocompatibility antigen, D-D alpha chain-like isoform 8 </t>
  </si>
  <si>
    <t>eukaryotic translation initiation factor 2 subunit 3-like</t>
  </si>
  <si>
    <t xml:space="preserve">WW domain-containing adapter protein with coiled-coil-like isoform 1 </t>
  </si>
  <si>
    <t xml:space="preserve">WW domain-containing adapter protein with coiled-coil-like isoform 2 </t>
  </si>
  <si>
    <t xml:space="preserve">WW domain-containing adapter protein with coiled-coil-like isoform 4 </t>
  </si>
  <si>
    <t xml:space="preserve">WW domain-containing adapter protein with coiled-coil-like isoform 5 </t>
  </si>
  <si>
    <t xml:space="preserve">WW domain-containing adapter protein with coiled-coil-like isoform 6 </t>
  </si>
  <si>
    <t xml:space="preserve">40S ribosomal protein S14-like </t>
  </si>
  <si>
    <t>uncharacterized protein LOC101056551</t>
  </si>
  <si>
    <t xml:space="preserve">glyceraldehyde-3-phosphate dehydrogenase-like </t>
  </si>
  <si>
    <t xml:space="preserve">apolipoprotein L3-like </t>
  </si>
  <si>
    <t>G/T mismatch-specific thymine DNA glycosylase-like</t>
  </si>
  <si>
    <t>electron transfer flavoprotein subunit beta-like</t>
  </si>
  <si>
    <t xml:space="preserve">serine/arginine-rich splicing factor 3-like </t>
  </si>
  <si>
    <t xml:space="preserve">elongation factor 1-alpha 1-like isoform 1 </t>
  </si>
  <si>
    <t xml:space="preserve">elongation factor 1-alpha 1-like isoform 3 </t>
  </si>
  <si>
    <t xml:space="preserve">elongation factor 1-alpha 1-like isoform 4 </t>
  </si>
  <si>
    <t xml:space="preserve">elongation factor 1-alpha 1-like isoform 11 </t>
  </si>
  <si>
    <t xml:space="preserve">elongation factor 1-alpha 1-like isoform 12 </t>
  </si>
  <si>
    <t>adenosylhomocysteinase-like</t>
  </si>
  <si>
    <t>cohesin subunit SA-2-like</t>
  </si>
  <si>
    <t>tryptophan--tRNA ligase, cytoplasmic-like</t>
  </si>
  <si>
    <t>DNA repair protein SWI5 homolog</t>
  </si>
  <si>
    <t xml:space="preserve">carbonyl reductase [NADPH] 1-like </t>
  </si>
  <si>
    <t xml:space="preserve">h-2 class I histocompatibility antigen, D-B alpha chain </t>
  </si>
  <si>
    <t xml:space="preserve">60S ribosomal protein L12-like isoform 1 </t>
  </si>
  <si>
    <t xml:space="preserve">lysine--tRNA ligase-like isoform 1 </t>
  </si>
  <si>
    <t xml:space="preserve">low molecular weight phosphotyrosine protein phosphatase-like </t>
  </si>
  <si>
    <t>RING-box protein 2-like</t>
  </si>
  <si>
    <t xml:space="preserve">rRNA-processing protein FCF1 homolog </t>
  </si>
  <si>
    <t xml:space="preserve">nucleoporin Nup37-like </t>
  </si>
  <si>
    <t xml:space="preserve">40S ribosomal protein SA-like isoform 1 </t>
  </si>
  <si>
    <t xml:space="preserve">ragulator complex protein LAMTOR3-like </t>
  </si>
  <si>
    <t xml:space="preserve">60S ribosomal protein L13a-like </t>
  </si>
  <si>
    <t xml:space="preserve">60S ribosomal protein L31-like isoform 1 </t>
  </si>
  <si>
    <t xml:space="preserve">protein farnesyltransferase subunit beta-like </t>
  </si>
  <si>
    <t xml:space="preserve">SAP30-binding protein-like </t>
  </si>
  <si>
    <t>cyclin-dependent kinase 4-like</t>
  </si>
  <si>
    <t>ubiquinone biosynthesis protein COQ9, mitochondrial-like</t>
  </si>
  <si>
    <t xml:space="preserve">zinc finger protein 709-like </t>
  </si>
  <si>
    <t xml:space="preserve">glycine cleavage system H protein, mitochondrial-like </t>
  </si>
  <si>
    <t xml:space="preserve">heterogeneous nuclear ribonucleoprotein A3-like </t>
  </si>
  <si>
    <t xml:space="preserve">NADH dehydrogenase [ubiquinone] 1 subunit C2-like </t>
  </si>
  <si>
    <t>melanoma-associated antigen D2</t>
  </si>
  <si>
    <t xml:space="preserve">ubiquitin-conjugating enzyme E2 N </t>
  </si>
  <si>
    <t xml:space="preserve">unconventional myosin-Ie </t>
  </si>
  <si>
    <t>N-acetylated alpha-linked acidic dipeptidase-like 2 isoform 2</t>
  </si>
  <si>
    <t xml:space="preserve">polyadenylate-binding protein 1-like 2-like </t>
  </si>
  <si>
    <t>protein disulfide-isomerase A6</t>
  </si>
  <si>
    <t xml:space="preserve">polyribonucleotide nucleotidyltransferase 1, mitochondrial isoform 1 </t>
  </si>
  <si>
    <t xml:space="preserve">polyribonucleotide nucleotidyltransferase 1, mitochondrial </t>
  </si>
  <si>
    <t>periodic tryptophan protein 2 homolog isoform 1</t>
  </si>
  <si>
    <t>periodic tryptophan protein 2 homolog isoform 2</t>
  </si>
  <si>
    <t xml:space="preserve">40S ribosomal protein S12-like isoform 1 </t>
  </si>
  <si>
    <t xml:space="preserve">40S ribosomal protein S15a-like </t>
  </si>
  <si>
    <t xml:space="preserve">40S ribosomal protein S6-like isoform 2 </t>
  </si>
  <si>
    <t xml:space="preserve">UDP-N-acetylhexosamine pyrophosphorylase </t>
  </si>
  <si>
    <t xml:space="preserve">ubiquitin-like domain containing CTD phosphatase 1 </t>
  </si>
  <si>
    <t xml:space="preserve">WD repeat-containing protein 49 </t>
  </si>
  <si>
    <t>Werner syndrome ATP-dependent helicase homolog</t>
  </si>
  <si>
    <t>uncharacterized protein LOC113230 isoform 3</t>
  </si>
  <si>
    <t xml:space="preserve">UPF0586 protein C9orf41 homolog isoform 2 </t>
  </si>
  <si>
    <t xml:space="preserve">UPF0586 protein C9orf41 homolog isoform 3 </t>
  </si>
  <si>
    <t xml:space="preserve">UPF0586 protein C9orf41 homolog isoform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</si>
</sst>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61E9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NumberFormat="1" applyFont="1" applyFill="1" applyAlignment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/>
    <xf numFmtId="2" fontId="0" fillId="2" borderId="1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58"/>
  <sheetViews>
    <sheetView tabSelected="1" workbookViewId="0">
      <selection activeCell="A3" sqref="A3"/>
    </sheetView>
  </sheetViews>
  <sheetFormatPr defaultRowHeight="15" x14ac:dyDescent="0.25"/>
  <cols>
    <col min="1" max="1" width="18.7109375" customWidth="1"/>
    <col min="2" max="2" width="0.85546875" customWidth="1"/>
    <col min="3" max="3" width="14.85546875" bestFit="1" customWidth="1"/>
    <col min="4" max="4" width="0.85546875" customWidth="1"/>
    <col min="5" max="5" width="10.28515625" bestFit="1" customWidth="1"/>
    <col min="6" max="6" width="0.85546875" customWidth="1"/>
    <col min="7" max="16" width="8" customWidth="1"/>
    <col min="17" max="17" width="0.85546875" customWidth="1"/>
    <col min="18" max="18" width="80.7109375" customWidth="1"/>
  </cols>
  <sheetData>
    <row r="1" spans="1:18" x14ac:dyDescent="0.25">
      <c r="A1" s="1"/>
      <c r="B1" s="2"/>
      <c r="C1" s="4" t="s">
        <v>8036</v>
      </c>
      <c r="D1" s="2"/>
      <c r="E1" s="14" t="s">
        <v>8039</v>
      </c>
      <c r="F1" s="2"/>
      <c r="G1" s="16" t="s">
        <v>0</v>
      </c>
      <c r="H1" s="17"/>
      <c r="I1" s="16" t="s">
        <v>1</v>
      </c>
      <c r="J1" s="17"/>
      <c r="K1" s="16" t="s">
        <v>2</v>
      </c>
      <c r="L1" s="18"/>
      <c r="M1" s="16" t="s">
        <v>3</v>
      </c>
      <c r="N1" s="17"/>
      <c r="O1" s="18" t="s">
        <v>4</v>
      </c>
      <c r="P1" s="17"/>
      <c r="Q1" s="2"/>
      <c r="R1" s="3"/>
    </row>
    <row r="2" spans="1:18" x14ac:dyDescent="0.25">
      <c r="A2" s="4" t="s">
        <v>5</v>
      </c>
      <c r="B2" s="5" t="s">
        <v>6</v>
      </c>
      <c r="C2" s="4" t="s">
        <v>8037</v>
      </c>
      <c r="D2" s="5" t="s">
        <v>6</v>
      </c>
      <c r="E2" s="4" t="s">
        <v>8038</v>
      </c>
      <c r="F2" s="5" t="s">
        <v>6</v>
      </c>
      <c r="G2" s="10" t="s">
        <v>7</v>
      </c>
      <c r="H2" s="11" t="s">
        <v>8</v>
      </c>
      <c r="I2" s="10" t="s">
        <v>7</v>
      </c>
      <c r="J2" s="11" t="s">
        <v>8</v>
      </c>
      <c r="K2" s="10" t="s">
        <v>7</v>
      </c>
      <c r="L2" s="12" t="s">
        <v>8</v>
      </c>
      <c r="M2" s="10" t="s">
        <v>7</v>
      </c>
      <c r="N2" s="11" t="s">
        <v>8</v>
      </c>
      <c r="O2" s="12" t="s">
        <v>7</v>
      </c>
      <c r="P2" s="11" t="s">
        <v>8</v>
      </c>
      <c r="Q2" s="5" t="s">
        <v>6</v>
      </c>
      <c r="R2" s="13" t="s">
        <v>9</v>
      </c>
    </row>
    <row r="3" spans="1:18" x14ac:dyDescent="0.25">
      <c r="A3" s="6" t="str">
        <f>HYPERLINK("proteomic_fractions_linear_files/Yang_linear_img/124487289.jpg", "124487289")</f>
        <v>124487289</v>
      </c>
      <c r="B3" s="7"/>
      <c r="C3" s="6" t="str">
        <f>HYPERLINK("http://www.ncbi.nlm.nih.gov/protein/124487289","A1cf")</f>
        <v>A1cf</v>
      </c>
      <c r="D3" s="8"/>
      <c r="E3" s="8">
        <v>65551</v>
      </c>
      <c r="F3" s="8"/>
      <c r="G3" s="15"/>
      <c r="H3" s="15"/>
      <c r="I3" s="15" t="s">
        <v>10</v>
      </c>
      <c r="J3" s="15" t="s">
        <v>10</v>
      </c>
      <c r="K3" s="15">
        <v>1.1126690945709432</v>
      </c>
      <c r="L3" s="15">
        <v>1.1126690945709432</v>
      </c>
      <c r="M3" s="15">
        <v>1.1126690945709432</v>
      </c>
      <c r="N3" s="15">
        <v>1.1126690945709432</v>
      </c>
      <c r="O3" s="15" t="s">
        <v>10</v>
      </c>
      <c r="P3" s="15" t="s">
        <v>10</v>
      </c>
      <c r="Q3" s="8"/>
      <c r="R3" s="9" t="s">
        <v>11</v>
      </c>
    </row>
    <row r="4" spans="1:18" x14ac:dyDescent="0.25">
      <c r="A4" s="6" t="str">
        <f>HYPERLINK("proteomic_fractions_linear_files/Yang_linear_img/283483963.jpg", "283483963")</f>
        <v>283483963</v>
      </c>
      <c r="B4" s="7"/>
      <c r="C4" s="6" t="str">
        <f>HYPERLINK("http://www.ncbi.nlm.nih.gov/protein/283483963","A4galt")</f>
        <v>A4galt</v>
      </c>
      <c r="D4" s="8"/>
      <c r="E4" s="8">
        <v>41235</v>
      </c>
      <c r="F4" s="8"/>
      <c r="G4" s="15"/>
      <c r="H4" s="15" t="s">
        <v>10</v>
      </c>
      <c r="I4" s="15" t="s">
        <v>10</v>
      </c>
      <c r="J4" s="15" t="s">
        <v>10</v>
      </c>
      <c r="K4" s="15">
        <v>2.0267965481254597</v>
      </c>
      <c r="L4" s="15">
        <v>2.0267965481254597</v>
      </c>
      <c r="M4" s="15" t="s">
        <v>10</v>
      </c>
      <c r="N4" s="15" t="s">
        <v>10</v>
      </c>
      <c r="O4" s="15" t="s">
        <v>10</v>
      </c>
      <c r="P4" s="15" t="s">
        <v>10</v>
      </c>
      <c r="Q4" s="8"/>
      <c r="R4" s="9" t="s">
        <v>12</v>
      </c>
    </row>
    <row r="5" spans="1:18" x14ac:dyDescent="0.25">
      <c r="A5" s="6" t="str">
        <f>HYPERLINK("proteomic_fractions_linear_files/Yang_linear_img/241982696.jpg", "241982696")</f>
        <v>241982696</v>
      </c>
      <c r="B5" s="7"/>
      <c r="C5" s="6" t="str">
        <f>HYPERLINK("http://www.ncbi.nlm.nih.gov/protein/241982696","Aaas")</f>
        <v>Aaas</v>
      </c>
      <c r="D5" s="8"/>
      <c r="E5" s="8">
        <v>59300</v>
      </c>
      <c r="F5" s="8"/>
      <c r="G5" s="15">
        <v>1.244680682062411</v>
      </c>
      <c r="H5" s="15">
        <v>1.244680682062411</v>
      </c>
      <c r="I5" s="15">
        <v>0.99615606077277719</v>
      </c>
      <c r="J5" s="15">
        <v>0.99615606077277719</v>
      </c>
      <c r="K5" s="15">
        <v>1.1093773445854971</v>
      </c>
      <c r="L5" s="15">
        <v>1.1093773445854971</v>
      </c>
      <c r="M5" s="15" t="s">
        <v>10</v>
      </c>
      <c r="N5" s="15" t="s">
        <v>10</v>
      </c>
      <c r="O5" s="15" t="s">
        <v>10</v>
      </c>
      <c r="P5" s="15" t="s">
        <v>10</v>
      </c>
      <c r="Q5" s="8"/>
      <c r="R5" s="9" t="s">
        <v>13</v>
      </c>
    </row>
    <row r="6" spans="1:18" x14ac:dyDescent="0.25">
      <c r="A6" s="6" t="str">
        <f>HYPERLINK("proteomic_fractions_linear_files/Yang_linear_img/21313520.jpg", "21313520")</f>
        <v>21313520</v>
      </c>
      <c r="B6" s="7"/>
      <c r="C6" s="6" t="str">
        <f>HYPERLINK("http://www.ncbi.nlm.nih.gov/protein/21313520","Aacs")</f>
        <v>Aacs</v>
      </c>
      <c r="D6" s="8"/>
      <c r="E6" s="8">
        <v>75069</v>
      </c>
      <c r="F6" s="8"/>
      <c r="G6" s="15" t="s">
        <v>10</v>
      </c>
      <c r="H6" s="15" t="s">
        <v>10</v>
      </c>
      <c r="I6" s="15">
        <v>0.97914880322242992</v>
      </c>
      <c r="J6" s="15">
        <v>0.97914880322242992</v>
      </c>
      <c r="K6" s="15">
        <v>1.1079821129752514</v>
      </c>
      <c r="L6" s="15">
        <v>1.1079821129752514</v>
      </c>
      <c r="M6" s="15">
        <v>0.97914880322242992</v>
      </c>
      <c r="N6" s="15">
        <v>0.97914880322242992</v>
      </c>
      <c r="O6" s="15">
        <v>0.97914880322242992</v>
      </c>
      <c r="P6" s="15">
        <v>0.97914880322242992</v>
      </c>
      <c r="Q6" s="8"/>
      <c r="R6" s="9" t="s">
        <v>14</v>
      </c>
    </row>
    <row r="7" spans="1:18" x14ac:dyDescent="0.25">
      <c r="A7" s="6" t="str">
        <f>HYPERLINK("proteomic_fractions_linear_files/Yang_linear_img/110625673.jpg", "110625673")</f>
        <v>110625673</v>
      </c>
      <c r="B7" s="7"/>
      <c r="C7" s="6" t="str">
        <f>HYPERLINK("http://www.ncbi.nlm.nih.gov/protein/110625673","Aagab")</f>
        <v>Aagab</v>
      </c>
      <c r="D7" s="8"/>
      <c r="E7" s="8">
        <v>34380</v>
      </c>
      <c r="F7" s="8"/>
      <c r="G7" s="15" t="s">
        <v>10</v>
      </c>
      <c r="H7" s="15" t="s">
        <v>10</v>
      </c>
      <c r="I7" s="15">
        <v>0.46845417009358165</v>
      </c>
      <c r="J7" s="15">
        <v>0.46845417009358165</v>
      </c>
      <c r="K7" s="15">
        <v>1.098274306562488</v>
      </c>
      <c r="L7" s="15">
        <v>1.098274306562488</v>
      </c>
      <c r="M7" s="15">
        <v>1.0162757803080937</v>
      </c>
      <c r="N7" s="15">
        <v>1.0162757803080937</v>
      </c>
      <c r="O7" s="15">
        <v>0.94364920163922317</v>
      </c>
      <c r="P7" s="15">
        <v>0.94364920163922317</v>
      </c>
      <c r="Q7" s="8"/>
      <c r="R7" s="9" t="s">
        <v>15</v>
      </c>
    </row>
    <row r="8" spans="1:18" x14ac:dyDescent="0.25">
      <c r="A8" s="6" t="str">
        <f>HYPERLINK("proteomic_fractions_linear_files/Yang_linear_img/73695877.jpg", "73695877")</f>
        <v>73695877</v>
      </c>
      <c r="B8" s="7"/>
      <c r="C8" s="6" t="str">
        <f>HYPERLINK("http://www.ncbi.nlm.nih.gov/protein/73695877","Aak1")</f>
        <v>Aak1</v>
      </c>
      <c r="D8" s="8"/>
      <c r="E8" s="8">
        <v>94530</v>
      </c>
      <c r="F8" s="8"/>
      <c r="G8" s="15" t="s">
        <v>10</v>
      </c>
      <c r="H8" s="15" t="s">
        <v>10</v>
      </c>
      <c r="I8" s="15">
        <v>1.6152933803814931</v>
      </c>
      <c r="J8" s="15">
        <v>1.6152933803814931</v>
      </c>
      <c r="K8" s="15">
        <v>1.9659561225256881</v>
      </c>
      <c r="L8" s="15">
        <v>1.9659561225256881</v>
      </c>
      <c r="M8" s="15">
        <v>1.6152933803814931</v>
      </c>
      <c r="N8" s="15">
        <v>1.6152933803814931</v>
      </c>
      <c r="O8" s="15">
        <v>1.6152933803814931</v>
      </c>
      <c r="P8" s="15">
        <v>1.6152933803814931</v>
      </c>
      <c r="Q8" s="8"/>
      <c r="R8" s="9" t="s">
        <v>16</v>
      </c>
    </row>
    <row r="9" spans="1:18" x14ac:dyDescent="0.25">
      <c r="A9" s="6" t="str">
        <f>HYPERLINK("proteomic_fractions_linear_files/Yang_linear_img/91992157.jpg", "91992157")</f>
        <v>91992157</v>
      </c>
      <c r="B9" s="7"/>
      <c r="C9" s="6" t="str">
        <f>HYPERLINK("http://www.ncbi.nlm.nih.gov/protein/91992157","Aak1")</f>
        <v>Aak1</v>
      </c>
      <c r="D9" s="8"/>
      <c r="E9" s="8">
        <v>103216</v>
      </c>
      <c r="F9" s="8"/>
      <c r="G9" s="15" t="s">
        <v>10</v>
      </c>
      <c r="H9" s="15" t="s">
        <v>10</v>
      </c>
      <c r="I9" s="15">
        <v>1.4898337003518625</v>
      </c>
      <c r="J9" s="15">
        <v>1.4898337003518625</v>
      </c>
      <c r="K9" s="15">
        <v>1.8132605013586442</v>
      </c>
      <c r="L9" s="15">
        <v>1.8132605013586442</v>
      </c>
      <c r="M9" s="15">
        <v>1.4898337003518625</v>
      </c>
      <c r="N9" s="15">
        <v>1.4898337003518625</v>
      </c>
      <c r="O9" s="15">
        <v>1.4898337003518625</v>
      </c>
      <c r="P9" s="15">
        <v>1.4898337003518625</v>
      </c>
      <c r="Q9" s="8"/>
      <c r="R9" s="9" t="s">
        <v>17</v>
      </c>
    </row>
    <row r="10" spans="1:18" x14ac:dyDescent="0.25">
      <c r="A10" s="6" t="str">
        <f>HYPERLINK("proteomic_fractions_linear_files/Yang_linear_img/295789038.jpg", "295789038")</f>
        <v>295789038</v>
      </c>
      <c r="B10" s="7"/>
      <c r="C10" s="6" t="str">
        <f>HYPERLINK("http://www.ncbi.nlm.nih.gov/protein/295789038","Aamdc")</f>
        <v>Aamdc</v>
      </c>
      <c r="D10" s="8"/>
      <c r="E10" s="8">
        <v>16227</v>
      </c>
      <c r="F10" s="8"/>
      <c r="G10" s="15" t="s">
        <v>10</v>
      </c>
      <c r="H10" s="15" t="s">
        <v>10</v>
      </c>
      <c r="I10" s="15" t="s">
        <v>10</v>
      </c>
      <c r="J10" s="15" t="s">
        <v>10</v>
      </c>
      <c r="K10" s="15">
        <v>0.86786565624604062</v>
      </c>
      <c r="L10" s="15">
        <v>0.86786565624604062</v>
      </c>
      <c r="M10" s="15" t="s">
        <v>10</v>
      </c>
      <c r="N10" s="15" t="s">
        <v>10</v>
      </c>
      <c r="O10" s="15">
        <v>0.79670120887110163</v>
      </c>
      <c r="P10" s="15">
        <v>0.79670120887110163</v>
      </c>
      <c r="Q10" s="8"/>
      <c r="R10" s="9" t="s">
        <v>18</v>
      </c>
    </row>
    <row r="11" spans="1:18" x14ac:dyDescent="0.25">
      <c r="A11" s="6" t="str">
        <f>HYPERLINK("proteomic_fractions_linear_files/Yang_linear_img/295789042.jpg", "295789042")</f>
        <v>295789042</v>
      </c>
      <c r="B11" s="7"/>
      <c r="C11" s="6" t="str">
        <f>HYPERLINK("http://www.ncbi.nlm.nih.gov/protein/295789042","Aamdc")</f>
        <v>Aamdc</v>
      </c>
      <c r="D11" s="8"/>
      <c r="E11" s="8">
        <v>12913</v>
      </c>
      <c r="F11" s="8"/>
      <c r="G11" s="15" t="s">
        <v>10</v>
      </c>
      <c r="H11" s="15" t="s">
        <v>10</v>
      </c>
      <c r="I11" s="15" t="s">
        <v>10</v>
      </c>
      <c r="J11" s="15" t="s">
        <v>10</v>
      </c>
      <c r="K11" s="15">
        <v>1.068142346148973</v>
      </c>
      <c r="L11" s="15">
        <v>1.068142346148973</v>
      </c>
      <c r="M11" s="15" t="s">
        <v>10</v>
      </c>
      <c r="N11" s="15" t="s">
        <v>10</v>
      </c>
      <c r="O11" s="15">
        <v>0.98055533399520201</v>
      </c>
      <c r="P11" s="15">
        <v>0.98055533399520201</v>
      </c>
      <c r="Q11" s="8"/>
      <c r="R11" s="9" t="s">
        <v>19</v>
      </c>
    </row>
    <row r="12" spans="1:18" x14ac:dyDescent="0.25">
      <c r="A12" s="6" t="str">
        <f>HYPERLINK("proteomic_fractions_linear_files/Yang_linear_img/295789044.jpg", "295789044")</f>
        <v>295789044</v>
      </c>
      <c r="B12" s="7"/>
      <c r="C12" s="6" t="str">
        <f>HYPERLINK("http://www.ncbi.nlm.nih.gov/protein/295789044","Aamdc")</f>
        <v>Aamdc</v>
      </c>
      <c r="D12" s="8"/>
      <c r="E12" s="8">
        <v>9799</v>
      </c>
      <c r="F12" s="8"/>
      <c r="G12" s="15" t="s">
        <v>10</v>
      </c>
      <c r="H12" s="15" t="s">
        <v>10</v>
      </c>
      <c r="I12" s="15" t="s">
        <v>10</v>
      </c>
      <c r="J12" s="15" t="s">
        <v>10</v>
      </c>
      <c r="K12" s="15">
        <v>1.3885850499936649</v>
      </c>
      <c r="L12" s="15">
        <v>1.3885850499936649</v>
      </c>
      <c r="M12" s="15" t="s">
        <v>10</v>
      </c>
      <c r="N12" s="15" t="s">
        <v>10</v>
      </c>
      <c r="O12" s="15">
        <v>1.2747219341937626</v>
      </c>
      <c r="P12" s="15">
        <v>1.2747219341937626</v>
      </c>
      <c r="Q12" s="8"/>
      <c r="R12" s="9" t="s">
        <v>20</v>
      </c>
    </row>
    <row r="13" spans="1:18" x14ac:dyDescent="0.25">
      <c r="A13" s="6" t="str">
        <f>HYPERLINK("proteomic_fractions_linear_files/Yang_linear_img/40254393.jpg", "40254393")</f>
        <v>40254393</v>
      </c>
      <c r="B13" s="7"/>
      <c r="C13" s="6" t="str">
        <f>HYPERLINK("http://www.ncbi.nlm.nih.gov/protein/40254393","Aamdc")</f>
        <v>Aamdc</v>
      </c>
      <c r="D13" s="8"/>
      <c r="E13" s="8">
        <v>13113</v>
      </c>
      <c r="F13" s="8"/>
      <c r="G13" s="15" t="s">
        <v>10</v>
      </c>
      <c r="H13" s="15" t="s">
        <v>10</v>
      </c>
      <c r="I13" s="15" t="s">
        <v>10</v>
      </c>
      <c r="J13" s="15" t="s">
        <v>10</v>
      </c>
      <c r="K13" s="15">
        <v>1.068142346148973</v>
      </c>
      <c r="L13" s="15">
        <v>1.068142346148973</v>
      </c>
      <c r="M13" s="15" t="s">
        <v>10</v>
      </c>
      <c r="N13" s="15" t="s">
        <v>10</v>
      </c>
      <c r="O13" s="15">
        <v>0.98055533399520201</v>
      </c>
      <c r="P13" s="15">
        <v>0.98055533399520201</v>
      </c>
      <c r="Q13" s="8"/>
      <c r="R13" s="9" t="s">
        <v>21</v>
      </c>
    </row>
    <row r="14" spans="1:18" x14ac:dyDescent="0.25">
      <c r="A14" s="6" t="str">
        <f>HYPERLINK("proteomic_fractions_linear_files/Yang_linear_img/299473737.jpg", "299473737")</f>
        <v>299473737</v>
      </c>
      <c r="B14" s="7"/>
      <c r="C14" s="6" t="str">
        <f>HYPERLINK("http://www.ncbi.nlm.nih.gov/protein/299473737","Aamp")</f>
        <v>Aamp</v>
      </c>
      <c r="D14" s="8"/>
      <c r="E14" s="8">
        <v>46835</v>
      </c>
      <c r="F14" s="8"/>
      <c r="G14" s="15" t="s">
        <v>10</v>
      </c>
      <c r="H14" s="15" t="s">
        <v>10</v>
      </c>
      <c r="I14" s="15">
        <v>1.1302248857447037</v>
      </c>
      <c r="J14" s="15">
        <v>1.1302248857447037</v>
      </c>
      <c r="K14" s="15">
        <v>1.2504937784168904</v>
      </c>
      <c r="L14" s="15">
        <v>1.2504937784168904</v>
      </c>
      <c r="M14" s="15">
        <v>1.1302248857447037</v>
      </c>
      <c r="N14" s="15">
        <v>1.1302248857447037</v>
      </c>
      <c r="O14" s="15">
        <v>1.1302248857447037</v>
      </c>
      <c r="P14" s="15">
        <v>1.1302248857447037</v>
      </c>
      <c r="Q14" s="8"/>
      <c r="R14" s="9" t="s">
        <v>22</v>
      </c>
    </row>
    <row r="15" spans="1:18" x14ac:dyDescent="0.25">
      <c r="A15" s="6" t="str">
        <f>HYPERLINK("proteomic_fractions_linear_files/Yang_linear_img/82524294.jpg", "82524294")</f>
        <v>82524294</v>
      </c>
      <c r="B15" s="7"/>
      <c r="C15" s="6" t="str">
        <f>HYPERLINK("http://www.ncbi.nlm.nih.gov/protein/82524294","Aamp")</f>
        <v>Aamp</v>
      </c>
      <c r="D15" s="8"/>
      <c r="E15" s="8">
        <v>46764</v>
      </c>
      <c r="F15" s="8"/>
      <c r="G15" s="15" t="s">
        <v>10</v>
      </c>
      <c r="H15" s="15" t="s">
        <v>10</v>
      </c>
      <c r="I15" s="15">
        <v>1.1302248857447037</v>
      </c>
      <c r="J15" s="15">
        <v>1.1302248857447037</v>
      </c>
      <c r="K15" s="15">
        <v>1.2504937784168904</v>
      </c>
      <c r="L15" s="15">
        <v>1.2504937784168904</v>
      </c>
      <c r="M15" s="15">
        <v>1.1302248857447037</v>
      </c>
      <c r="N15" s="15">
        <v>1.1302248857447037</v>
      </c>
      <c r="O15" s="15">
        <v>1.1302248857447037</v>
      </c>
      <c r="P15" s="15">
        <v>1.1302248857447037</v>
      </c>
      <c r="Q15" s="8"/>
      <c r="R15" s="9" t="s">
        <v>23</v>
      </c>
    </row>
    <row r="16" spans="1:18" x14ac:dyDescent="0.25">
      <c r="A16" s="6" t="str">
        <f>HYPERLINK("proteomic_fractions_linear_files/Yang_linear_img/258679441.jpg", "258679441")</f>
        <v>258679441</v>
      </c>
      <c r="B16" s="7"/>
      <c r="C16" s="6" t="str">
        <f>HYPERLINK("http://www.ncbi.nlm.nih.gov/protein/258679441","Aar2")</f>
        <v>Aar2</v>
      </c>
      <c r="D16" s="8"/>
      <c r="E16" s="8">
        <v>43277</v>
      </c>
      <c r="F16" s="8"/>
      <c r="G16" s="15" t="s">
        <v>10</v>
      </c>
      <c r="H16" s="15" t="s">
        <v>10</v>
      </c>
      <c r="I16" s="15" t="s">
        <v>10</v>
      </c>
      <c r="J16" s="15" t="s">
        <v>10</v>
      </c>
      <c r="K16" s="15" t="s">
        <v>10</v>
      </c>
      <c r="L16" s="15" t="s">
        <v>10</v>
      </c>
      <c r="M16" s="15">
        <v>0.942030655888901</v>
      </c>
      <c r="N16" s="15">
        <v>0.942030655888901</v>
      </c>
      <c r="O16" s="15" t="s">
        <v>10</v>
      </c>
      <c r="P16" s="15" t="s">
        <v>10</v>
      </c>
      <c r="Q16" s="8"/>
      <c r="R16" s="9" t="s">
        <v>24</v>
      </c>
    </row>
    <row r="17" spans="1:18" x14ac:dyDescent="0.25">
      <c r="A17" s="6" t="str">
        <f>HYPERLINK("proteomic_fractions_linear_files/Yang_linear_img/34610207.jpg", "34610207")</f>
        <v>34610207</v>
      </c>
      <c r="B17" s="7"/>
      <c r="C17" s="6" t="str">
        <f>HYPERLINK("http://www.ncbi.nlm.nih.gov/protein/34610207","Aars")</f>
        <v>Aars</v>
      </c>
      <c r="D17" s="8"/>
      <c r="E17" s="8">
        <v>106778</v>
      </c>
      <c r="F17" s="8"/>
      <c r="G17" s="15">
        <v>1.2030058705151119</v>
      </c>
      <c r="H17" s="15">
        <v>1.2030058705151119</v>
      </c>
      <c r="I17" s="15">
        <v>1.0261828394498267</v>
      </c>
      <c r="J17" s="15">
        <v>1.0261828394498267</v>
      </c>
      <c r="K17" s="15">
        <v>1.2030058705151119</v>
      </c>
      <c r="L17" s="15">
        <v>1.2030058705151119</v>
      </c>
      <c r="M17" s="15">
        <v>1.2030058705151119</v>
      </c>
      <c r="N17" s="15">
        <v>1.2030058705151119</v>
      </c>
      <c r="O17" s="15">
        <v>1.2030058705151119</v>
      </c>
      <c r="P17" s="15">
        <v>1.2030058705151119</v>
      </c>
      <c r="Q17" s="8"/>
      <c r="R17" s="9" t="s">
        <v>25</v>
      </c>
    </row>
    <row r="18" spans="1:18" x14ac:dyDescent="0.25">
      <c r="A18" s="6" t="str">
        <f>HYPERLINK("proteomic_fractions_linear_files/Yang_linear_img/52630311.jpg", "52630311")</f>
        <v>52630311</v>
      </c>
      <c r="B18" s="7"/>
      <c r="C18" s="6" t="str">
        <f>HYPERLINK("http://www.ncbi.nlm.nih.gov/protein/52630311","Aars2")</f>
        <v>Aars2</v>
      </c>
      <c r="D18" s="8"/>
      <c r="E18" s="8">
        <v>104404</v>
      </c>
      <c r="F18" s="8"/>
      <c r="G18" s="15" t="s">
        <v>10</v>
      </c>
      <c r="H18" s="15" t="s">
        <v>10</v>
      </c>
      <c r="I18" s="15">
        <v>1.0557842675108795</v>
      </c>
      <c r="J18" s="15">
        <v>1.0557842675108795</v>
      </c>
      <c r="K18" s="15" t="s">
        <v>10</v>
      </c>
      <c r="L18" s="15" t="s">
        <v>10</v>
      </c>
      <c r="M18" s="15" t="s">
        <v>10</v>
      </c>
      <c r="N18" s="15" t="s">
        <v>10</v>
      </c>
      <c r="O18" s="15" t="s">
        <v>10</v>
      </c>
      <c r="P18" s="15" t="s">
        <v>10</v>
      </c>
      <c r="Q18" s="8"/>
      <c r="R18" s="9" t="s">
        <v>26</v>
      </c>
    </row>
    <row r="19" spans="1:18" x14ac:dyDescent="0.25">
      <c r="A19" s="6" t="str">
        <f>HYPERLINK("proteomic_fractions_linear_files/Yang_linear_img/21450213.jpg", "21450213")</f>
        <v>21450213</v>
      </c>
      <c r="B19" s="7"/>
      <c r="C19" s="6" t="str">
        <f>HYPERLINK("http://www.ncbi.nlm.nih.gov/protein/21450213","Aarsd1")</f>
        <v>Aarsd1</v>
      </c>
      <c r="D19" s="8"/>
      <c r="E19" s="8">
        <v>44840</v>
      </c>
      <c r="F19" s="8"/>
      <c r="G19" s="15" t="s">
        <v>10</v>
      </c>
      <c r="H19" s="15" t="s">
        <v>10</v>
      </c>
      <c r="I19" s="15" t="s">
        <v>10</v>
      </c>
      <c r="J19" s="15" t="s">
        <v>10</v>
      </c>
      <c r="K19" s="15">
        <v>1.0731105685425613</v>
      </c>
      <c r="L19" s="15">
        <v>1.0731105685425613</v>
      </c>
      <c r="M19" s="15">
        <v>1.0731105685425613</v>
      </c>
      <c r="N19" s="15">
        <v>1.0731105685425613</v>
      </c>
      <c r="O19" s="15">
        <v>0.98056864993256598</v>
      </c>
      <c r="P19" s="15">
        <v>0.98056864993256598</v>
      </c>
      <c r="Q19" s="8"/>
      <c r="R19" s="9" t="s">
        <v>27</v>
      </c>
    </row>
    <row r="20" spans="1:18" x14ac:dyDescent="0.25">
      <c r="A20" s="6" t="str">
        <f>HYPERLINK("proteomic_fractions_linear_files/Yang_linear_img/227496837.jpg", "227496837")</f>
        <v>227496837</v>
      </c>
      <c r="B20" s="7"/>
      <c r="C20" s="6" t="str">
        <f>HYPERLINK("http://www.ncbi.nlm.nih.gov/protein/227496837","Aasdhppt")</f>
        <v>Aasdhppt</v>
      </c>
      <c r="D20" s="8"/>
      <c r="E20" s="8">
        <v>35633</v>
      </c>
      <c r="F20" s="8"/>
      <c r="G20" s="15" t="s">
        <v>10</v>
      </c>
      <c r="H20" s="15" t="s">
        <v>10</v>
      </c>
      <c r="I20" s="15" t="s">
        <v>10</v>
      </c>
      <c r="J20" s="15" t="s">
        <v>10</v>
      </c>
      <c r="K20" s="15" t="s">
        <v>10</v>
      </c>
      <c r="L20" s="15" t="s">
        <v>10</v>
      </c>
      <c r="M20" s="15" t="s">
        <v>10</v>
      </c>
      <c r="N20" s="15" t="s">
        <v>10</v>
      </c>
      <c r="O20" s="15">
        <v>0.95981601473542177</v>
      </c>
      <c r="P20" s="15">
        <v>0.95981601473542177</v>
      </c>
      <c r="Q20" s="8"/>
      <c r="R20" s="9" t="s">
        <v>28</v>
      </c>
    </row>
    <row r="21" spans="1:18" x14ac:dyDescent="0.25">
      <c r="A21" s="6" t="str">
        <f>HYPERLINK("proteomic_fractions_linear_files/Yang_linear_img/9790013.jpg", "9790013")</f>
        <v>9790013</v>
      </c>
      <c r="B21" s="7"/>
      <c r="C21" s="6" t="str">
        <f>HYPERLINK("http://www.ncbi.nlm.nih.gov/protein/9790013","Aatf")</f>
        <v>Aatf</v>
      </c>
      <c r="D21" s="8"/>
      <c r="E21" s="8">
        <v>59351</v>
      </c>
      <c r="F21" s="8"/>
      <c r="G21" s="15" t="s">
        <v>10</v>
      </c>
      <c r="H21" s="15" t="s">
        <v>10</v>
      </c>
      <c r="I21" s="15" t="s">
        <v>10</v>
      </c>
      <c r="J21" s="15" t="s">
        <v>10</v>
      </c>
      <c r="K21" s="15" t="s">
        <v>10</v>
      </c>
      <c r="L21" s="15" t="s">
        <v>10</v>
      </c>
      <c r="M21" s="15">
        <v>1.4084518385278619</v>
      </c>
      <c r="N21" s="15">
        <v>1.4084518385278619</v>
      </c>
      <c r="O21" s="15" t="s">
        <v>10</v>
      </c>
      <c r="P21" s="15" t="s">
        <v>10</v>
      </c>
      <c r="Q21" s="8"/>
      <c r="R21" s="9" t="s">
        <v>29</v>
      </c>
    </row>
    <row r="22" spans="1:18" x14ac:dyDescent="0.25">
      <c r="A22" s="6" t="str">
        <f>HYPERLINK("proteomic_fractions_linear_files/Yang_linear_img/283483966.jpg", "283483966")</f>
        <v>283483966</v>
      </c>
      <c r="B22" s="7"/>
      <c r="C22" s="6" t="str">
        <f>HYPERLINK("http://www.ncbi.nlm.nih.gov/protein/283483966","Abat")</f>
        <v>Abat</v>
      </c>
      <c r="D22" s="8"/>
      <c r="E22" s="8">
        <v>46349</v>
      </c>
      <c r="F22" s="8"/>
      <c r="G22" s="15" t="s">
        <v>10</v>
      </c>
      <c r="H22" s="15" t="s">
        <v>10</v>
      </c>
      <c r="I22" s="15">
        <v>0.5023820298851619</v>
      </c>
      <c r="J22" s="15">
        <v>0.5023820298851619</v>
      </c>
      <c r="K22" s="15">
        <v>0.53380044811471561</v>
      </c>
      <c r="L22" s="15">
        <v>0.53380044811471561</v>
      </c>
      <c r="M22" s="15" t="s">
        <v>10</v>
      </c>
      <c r="N22" s="15" t="s">
        <v>10</v>
      </c>
      <c r="O22" s="15" t="s">
        <v>10</v>
      </c>
      <c r="P22" s="15" t="s">
        <v>10</v>
      </c>
      <c r="Q22" s="8"/>
      <c r="R22" s="9" t="s">
        <v>30</v>
      </c>
    </row>
    <row r="23" spans="1:18" x14ac:dyDescent="0.25">
      <c r="A23" s="6" t="str">
        <f>HYPERLINK("proteomic_fractions_linear_files/Yang_linear_img/37202121.jpg", "37202121")</f>
        <v>37202121</v>
      </c>
      <c r="B23" s="7"/>
      <c r="C23" s="6" t="str">
        <f>HYPERLINK("http://www.ncbi.nlm.nih.gov/protein/37202121","Abat")</f>
        <v>Abat</v>
      </c>
      <c r="D23" s="8"/>
      <c r="E23" s="8">
        <v>53220</v>
      </c>
      <c r="F23" s="8"/>
      <c r="G23" s="15" t="s">
        <v>10</v>
      </c>
      <c r="H23" s="15" t="s">
        <v>10</v>
      </c>
      <c r="I23" s="15">
        <v>0.43602968631542349</v>
      </c>
      <c r="J23" s="15">
        <v>0.43602968631542349</v>
      </c>
      <c r="K23" s="15">
        <v>0.46329850213730034</v>
      </c>
      <c r="L23" s="15">
        <v>0.46329850213730034</v>
      </c>
      <c r="M23" s="15" t="s">
        <v>10</v>
      </c>
      <c r="N23" s="15" t="s">
        <v>10</v>
      </c>
      <c r="O23" s="15" t="s">
        <v>10</v>
      </c>
      <c r="P23" s="15" t="s">
        <v>10</v>
      </c>
      <c r="Q23" s="8"/>
      <c r="R23" s="9" t="s">
        <v>31</v>
      </c>
    </row>
    <row r="24" spans="1:18" x14ac:dyDescent="0.25">
      <c r="A24" s="6" t="str">
        <f>HYPERLINK("proteomic_fractions_linear_files/Yang_linear_img/116292744.jpg", "116292744")</f>
        <v>116292744</v>
      </c>
      <c r="B24" s="7"/>
      <c r="C24" s="6" t="str">
        <f>HYPERLINK("http://www.ncbi.nlm.nih.gov/protein/116292744","Abca13")</f>
        <v>Abca13</v>
      </c>
      <c r="D24" s="8"/>
      <c r="E24" s="8">
        <v>568769</v>
      </c>
      <c r="F24" s="8"/>
      <c r="G24" s="15" t="s">
        <v>10</v>
      </c>
      <c r="H24" s="15" t="s">
        <v>10</v>
      </c>
      <c r="I24" s="15">
        <v>9.3357767363798028E-2</v>
      </c>
      <c r="J24" s="15">
        <v>9.3357767363798028E-2</v>
      </c>
      <c r="K24" s="15" t="s">
        <v>10</v>
      </c>
      <c r="L24" s="15" t="s">
        <v>10</v>
      </c>
      <c r="M24" s="15">
        <v>9.3357767363798028E-2</v>
      </c>
      <c r="N24" s="15">
        <v>9.3357767363798028E-2</v>
      </c>
      <c r="O24" s="15" t="s">
        <v>10</v>
      </c>
      <c r="P24" s="15" t="s">
        <v>10</v>
      </c>
      <c r="Q24" s="8"/>
      <c r="R24" s="9" t="s">
        <v>32</v>
      </c>
    </row>
    <row r="25" spans="1:18" x14ac:dyDescent="0.25">
      <c r="A25" s="6" t="str">
        <f>HYPERLINK("proteomic_fractions_linear_files/Yang_linear_img/110225379.jpg", "110225379")</f>
        <v>110225379</v>
      </c>
      <c r="B25" s="7"/>
      <c r="C25" s="6" t="str">
        <f>HYPERLINK("http://www.ncbi.nlm.nih.gov/protein/110225379","Abca2")</f>
        <v>Abca2</v>
      </c>
      <c r="D25" s="8"/>
      <c r="E25" s="8">
        <v>270395</v>
      </c>
      <c r="F25" s="8"/>
      <c r="G25" s="15" t="s">
        <v>10</v>
      </c>
      <c r="H25" s="15" t="s">
        <v>10</v>
      </c>
      <c r="I25" s="15" t="s">
        <v>10</v>
      </c>
      <c r="J25" s="15" t="s">
        <v>10</v>
      </c>
      <c r="K25" s="15">
        <v>1.5149761397757029</v>
      </c>
      <c r="L25" s="15">
        <v>1.5149761397757029</v>
      </c>
      <c r="M25" s="15" t="s">
        <v>10</v>
      </c>
      <c r="N25" s="15" t="s">
        <v>10</v>
      </c>
      <c r="O25" s="15" t="s">
        <v>10</v>
      </c>
      <c r="P25" s="15" t="s">
        <v>10</v>
      </c>
      <c r="Q25" s="8"/>
      <c r="R25" s="9" t="s">
        <v>33</v>
      </c>
    </row>
    <row r="26" spans="1:18" x14ac:dyDescent="0.25">
      <c r="A26" s="6" t="str">
        <f>HYPERLINK("proteomic_fractions_linear_files/Yang_linear_img/88759350.jpg", "88759350")</f>
        <v>88759350</v>
      </c>
      <c r="B26" s="7"/>
      <c r="C26" s="6" t="str">
        <f>HYPERLINK("http://www.ncbi.nlm.nih.gov/protein/88759350","Abca3")</f>
        <v>Abca3</v>
      </c>
      <c r="D26" s="8"/>
      <c r="E26" s="8">
        <v>191841</v>
      </c>
      <c r="F26" s="8"/>
      <c r="G26" s="15" t="s">
        <v>10</v>
      </c>
      <c r="H26" s="15" t="s">
        <v>10</v>
      </c>
      <c r="I26" s="15" t="s">
        <v>10</v>
      </c>
      <c r="J26" s="15" t="s">
        <v>10</v>
      </c>
      <c r="K26" s="15" t="s">
        <v>10</v>
      </c>
      <c r="L26" s="15" t="s">
        <v>10</v>
      </c>
      <c r="M26" s="15" t="s">
        <v>10</v>
      </c>
      <c r="N26" s="15" t="s">
        <v>10</v>
      </c>
      <c r="O26" s="15">
        <v>0.22982077732794515</v>
      </c>
      <c r="P26" s="15">
        <v>0.22982077732794515</v>
      </c>
      <c r="Q26" s="8"/>
      <c r="R26" s="9" t="s">
        <v>34</v>
      </c>
    </row>
    <row r="27" spans="1:18" x14ac:dyDescent="0.25">
      <c r="A27" s="6" t="str">
        <f>HYPERLINK("proteomic_fractions_linear_files/Yang_linear_img/6671495.jpg", "6671495")</f>
        <v>6671495</v>
      </c>
      <c r="B27" s="7"/>
      <c r="C27" s="6" t="str">
        <f>HYPERLINK("http://www.ncbi.nlm.nih.gov/protein/6671495","Abca4")</f>
        <v>Abca4</v>
      </c>
      <c r="D27" s="8"/>
      <c r="E27" s="8">
        <v>260080</v>
      </c>
      <c r="F27" s="8"/>
      <c r="G27" s="15" t="s">
        <v>10</v>
      </c>
      <c r="H27" s="15" t="s">
        <v>10</v>
      </c>
      <c r="I27" s="15" t="s">
        <v>10</v>
      </c>
      <c r="J27" s="15" t="s">
        <v>10</v>
      </c>
      <c r="K27" s="15">
        <v>6.1259391473776056E-2</v>
      </c>
      <c r="L27" s="15">
        <v>6.1259391473776056E-2</v>
      </c>
      <c r="M27" s="15" t="s">
        <v>10</v>
      </c>
      <c r="N27" s="15" t="s">
        <v>10</v>
      </c>
      <c r="O27" s="15" t="s">
        <v>10</v>
      </c>
      <c r="P27" s="15" t="s">
        <v>10</v>
      </c>
      <c r="Q27" s="8"/>
      <c r="R27" s="9" t="s">
        <v>35</v>
      </c>
    </row>
    <row r="28" spans="1:18" x14ac:dyDescent="0.25">
      <c r="A28" s="6" t="str">
        <f>HYPERLINK("proteomic_fractions_linear_files/Yang_linear_img/146134400.jpg", "146134400")</f>
        <v>146134400</v>
      </c>
      <c r="B28" s="7"/>
      <c r="C28" s="6" t="str">
        <f>HYPERLINK("http://www.ncbi.nlm.nih.gov/protein/146134400","Abca5")</f>
        <v>Abca5</v>
      </c>
      <c r="D28" s="8"/>
      <c r="E28" s="8">
        <v>185765</v>
      </c>
      <c r="F28" s="8"/>
      <c r="G28" s="15" t="s">
        <v>10</v>
      </c>
      <c r="H28" s="15" t="s">
        <v>10</v>
      </c>
      <c r="I28" s="15" t="s">
        <v>10</v>
      </c>
      <c r="J28" s="15" t="s">
        <v>10</v>
      </c>
      <c r="K28" s="15">
        <v>0.51058054399238983</v>
      </c>
      <c r="L28" s="15">
        <v>0.51058054399238983</v>
      </c>
      <c r="M28" s="15" t="s">
        <v>10</v>
      </c>
      <c r="N28" s="15" t="s">
        <v>10</v>
      </c>
      <c r="O28" s="15" t="s">
        <v>10</v>
      </c>
      <c r="P28" s="15" t="s">
        <v>10</v>
      </c>
      <c r="Q28" s="8"/>
      <c r="R28" s="9" t="s">
        <v>36</v>
      </c>
    </row>
    <row r="29" spans="1:18" x14ac:dyDescent="0.25">
      <c r="A29" s="6" t="str">
        <f>HYPERLINK("proteomic_fractions_linear_files/Yang_linear_img/15451840.jpg", "15451840")</f>
        <v>15451840</v>
      </c>
      <c r="B29" s="7"/>
      <c r="C29" s="6" t="str">
        <f>HYPERLINK("http://www.ncbi.nlm.nih.gov/protein/15451840","Abca7")</f>
        <v>Abca7</v>
      </c>
      <c r="D29" s="8"/>
      <c r="E29" s="8">
        <v>236754</v>
      </c>
      <c r="F29" s="8"/>
      <c r="G29" s="15" t="s">
        <v>10</v>
      </c>
      <c r="H29" s="15" t="s">
        <v>10</v>
      </c>
      <c r="I29" s="15">
        <v>0.98464492669978509</v>
      </c>
      <c r="J29" s="15">
        <v>0.98464492669978509</v>
      </c>
      <c r="K29" s="15">
        <v>0.11033864183723628</v>
      </c>
      <c r="L29" s="15">
        <v>0.11033864183723628</v>
      </c>
      <c r="M29" s="15" t="s">
        <v>10</v>
      </c>
      <c r="N29" s="15" t="s">
        <v>10</v>
      </c>
      <c r="O29" s="15" t="s">
        <v>10</v>
      </c>
      <c r="P29" s="15" t="s">
        <v>10</v>
      </c>
      <c r="Q29" s="8"/>
      <c r="R29" s="9" t="s">
        <v>37</v>
      </c>
    </row>
    <row r="30" spans="1:18" x14ac:dyDescent="0.25">
      <c r="A30" s="6" t="str">
        <f>HYPERLINK("proteomic_fractions_linear_files/Yang_linear_img/153792543.jpg", "153792543")</f>
        <v>153792543</v>
      </c>
      <c r="B30" s="7"/>
      <c r="C30" s="6" t="str">
        <f>HYPERLINK("http://www.ncbi.nlm.nih.gov/protein/153792543","Abca9")</f>
        <v>Abca9</v>
      </c>
      <c r="D30" s="8"/>
      <c r="E30" s="8">
        <v>182984</v>
      </c>
      <c r="F30" s="8"/>
      <c r="G30" s="15" t="s">
        <v>10</v>
      </c>
      <c r="H30" s="15" t="s">
        <v>10</v>
      </c>
      <c r="I30" s="15">
        <v>0.11910241677966531</v>
      </c>
      <c r="J30" s="15">
        <v>0.11910241677966531</v>
      </c>
      <c r="K30" s="15" t="s">
        <v>10</v>
      </c>
      <c r="L30" s="15" t="s">
        <v>10</v>
      </c>
      <c r="M30" s="15" t="s">
        <v>10</v>
      </c>
      <c r="N30" s="15" t="s">
        <v>10</v>
      </c>
      <c r="O30" s="15" t="s">
        <v>10</v>
      </c>
      <c r="P30" s="15" t="s">
        <v>10</v>
      </c>
      <c r="Q30" s="8"/>
      <c r="R30" s="9" t="s">
        <v>38</v>
      </c>
    </row>
    <row r="31" spans="1:18" x14ac:dyDescent="0.25">
      <c r="A31" s="6" t="str">
        <f>HYPERLINK("proteomic_fractions_linear_files/Yang_linear_img/9506367.jpg", "9506367")</f>
        <v>9506367</v>
      </c>
      <c r="B31" s="7"/>
      <c r="C31" s="6" t="str">
        <f>HYPERLINK("http://www.ncbi.nlm.nih.gov/protein/9506367","Abcb10")</f>
        <v>Abcb10</v>
      </c>
      <c r="D31" s="8"/>
      <c r="E31" s="8">
        <v>66082</v>
      </c>
      <c r="F31" s="8"/>
      <c r="G31" s="15" t="s">
        <v>10</v>
      </c>
      <c r="H31" s="15" t="s">
        <v>10</v>
      </c>
      <c r="I31" s="15">
        <v>0.8905031452362705</v>
      </c>
      <c r="J31" s="15">
        <v>0.8905031452362705</v>
      </c>
      <c r="K31" s="15" t="s">
        <v>10</v>
      </c>
      <c r="L31" s="15" t="s">
        <v>10</v>
      </c>
      <c r="M31" s="15" t="s">
        <v>10</v>
      </c>
      <c r="N31" s="15" t="s">
        <v>10</v>
      </c>
      <c r="O31" s="15" t="s">
        <v>10</v>
      </c>
      <c r="P31" s="15" t="s">
        <v>10</v>
      </c>
      <c r="Q31" s="8"/>
      <c r="R31" s="9" t="s">
        <v>39</v>
      </c>
    </row>
    <row r="32" spans="1:18" x14ac:dyDescent="0.25">
      <c r="A32" s="6" t="str">
        <f>HYPERLINK("proteomic_fractions_linear_files/Yang_linear_img/17647117.jpg", "17647117")</f>
        <v>17647117</v>
      </c>
      <c r="B32" s="7"/>
      <c r="C32" s="6" t="str">
        <f>HYPERLINK("http://www.ncbi.nlm.nih.gov/protein/17647117","Abcb6")</f>
        <v>Abcb6</v>
      </c>
      <c r="D32" s="8"/>
      <c r="E32" s="8">
        <v>93640</v>
      </c>
      <c r="F32" s="8"/>
      <c r="G32" s="15" t="s">
        <v>10</v>
      </c>
      <c r="H32" s="15" t="s">
        <v>10</v>
      </c>
      <c r="I32" s="15">
        <v>1.0102976721551544</v>
      </c>
      <c r="J32" s="15">
        <v>1.0102976721551544</v>
      </c>
      <c r="K32" s="15">
        <v>1.1681017427779943</v>
      </c>
      <c r="L32" s="15">
        <v>1.1681017427779943</v>
      </c>
      <c r="M32" s="15" t="s">
        <v>10</v>
      </c>
      <c r="N32" s="15" t="s">
        <v>10</v>
      </c>
      <c r="O32" s="15" t="s">
        <v>10</v>
      </c>
      <c r="P32" s="15" t="s">
        <v>10</v>
      </c>
      <c r="Q32" s="8"/>
      <c r="R32" s="9" t="s">
        <v>40</v>
      </c>
    </row>
    <row r="33" spans="1:18" x14ac:dyDescent="0.25">
      <c r="A33" s="6" t="str">
        <f>HYPERLINK("proteomic_fractions_linear_files/Yang_linear_img/169234938.jpg", "169234938")</f>
        <v>169234938</v>
      </c>
      <c r="B33" s="7"/>
      <c r="C33" s="6" t="str">
        <f>HYPERLINK("http://www.ncbi.nlm.nih.gov/protein/169234938","Abcb7")</f>
        <v>Abcb7</v>
      </c>
      <c r="D33" s="8"/>
      <c r="E33" s="8">
        <v>82450</v>
      </c>
      <c r="F33" s="8"/>
      <c r="G33" s="15" t="s">
        <v>10</v>
      </c>
      <c r="H33" s="15" t="s">
        <v>10</v>
      </c>
      <c r="I33" s="15">
        <v>0.79821052842127238</v>
      </c>
      <c r="J33" s="15">
        <v>0.79821052842127238</v>
      </c>
      <c r="K33" s="15" t="s">
        <v>10</v>
      </c>
      <c r="L33" s="15" t="s">
        <v>10</v>
      </c>
      <c r="M33" s="15" t="s">
        <v>10</v>
      </c>
      <c r="N33" s="15" t="s">
        <v>10</v>
      </c>
      <c r="O33" s="15" t="s">
        <v>10</v>
      </c>
      <c r="P33" s="15" t="s">
        <v>10</v>
      </c>
      <c r="Q33" s="8"/>
      <c r="R33" s="9" t="s">
        <v>41</v>
      </c>
    </row>
    <row r="34" spans="1:18" x14ac:dyDescent="0.25">
      <c r="A34" s="6" t="str">
        <f>HYPERLINK("proteomic_fractions_linear_files/Yang_linear_img/27753995.jpg", "27753995")</f>
        <v>27753995</v>
      </c>
      <c r="B34" s="7"/>
      <c r="C34" s="6" t="str">
        <f>HYPERLINK("http://www.ncbi.nlm.nih.gov/protein/27753995","Abcb8")</f>
        <v>Abcb8</v>
      </c>
      <c r="D34" s="8"/>
      <c r="E34" s="8">
        <v>73711</v>
      </c>
      <c r="F34" s="8"/>
      <c r="G34" s="15" t="s">
        <v>10</v>
      </c>
      <c r="H34" s="15" t="s">
        <v>10</v>
      </c>
      <c r="I34" s="15">
        <v>0.88450355852086937</v>
      </c>
      <c r="J34" s="15">
        <v>0.88450355852086937</v>
      </c>
      <c r="K34" s="15" t="s">
        <v>10</v>
      </c>
      <c r="L34" s="15" t="s">
        <v>10</v>
      </c>
      <c r="M34" s="15" t="s">
        <v>10</v>
      </c>
      <c r="N34" s="15" t="s">
        <v>10</v>
      </c>
      <c r="O34" s="15" t="s">
        <v>10</v>
      </c>
      <c r="P34" s="15" t="s">
        <v>10</v>
      </c>
      <c r="Q34" s="8"/>
      <c r="R34" s="9" t="s">
        <v>42</v>
      </c>
    </row>
    <row r="35" spans="1:18" x14ac:dyDescent="0.25">
      <c r="A35" s="6" t="str">
        <f>HYPERLINK("proteomic_fractions_linear_files/Yang_linear_img/6678848.jpg", "6678848")</f>
        <v>6678848</v>
      </c>
      <c r="B35" s="7"/>
      <c r="C35" s="6" t="str">
        <f>HYPERLINK("http://www.ncbi.nlm.nih.gov/protein/6678848","Abcc1")</f>
        <v>Abcc1</v>
      </c>
      <c r="D35" s="8"/>
      <c r="E35" s="8">
        <v>171054</v>
      </c>
      <c r="F35" s="8"/>
      <c r="G35" s="15">
        <v>1.7648147639561331</v>
      </c>
      <c r="H35" s="15">
        <v>1.7648147639561331</v>
      </c>
      <c r="I35" s="15">
        <v>1.3646833194611057</v>
      </c>
      <c r="J35" s="15">
        <v>1.3646833194611057</v>
      </c>
      <c r="K35" s="15">
        <v>1.3646833194611057</v>
      </c>
      <c r="L35" s="15">
        <v>1.3646833194611057</v>
      </c>
      <c r="M35" s="15" t="s">
        <v>10</v>
      </c>
      <c r="N35" s="15" t="s">
        <v>10</v>
      </c>
      <c r="O35" s="15" t="s">
        <v>10</v>
      </c>
      <c r="P35" s="15" t="s">
        <v>10</v>
      </c>
      <c r="Q35" s="8"/>
      <c r="R35" s="9" t="s">
        <v>43</v>
      </c>
    </row>
    <row r="36" spans="1:18" x14ac:dyDescent="0.25">
      <c r="A36" s="6" t="str">
        <f>HYPERLINK("proteomic_fractions_linear_files/Yang_linear_img/116063566.jpg", "116063566")</f>
        <v>116063566</v>
      </c>
      <c r="B36" s="7"/>
      <c r="C36" s="6" t="str">
        <f>HYPERLINK("http://www.ncbi.nlm.nih.gov/protein/116063566","Abcc2")</f>
        <v>Abcc2</v>
      </c>
      <c r="D36" s="8"/>
      <c r="E36" s="8">
        <v>173541</v>
      </c>
      <c r="F36" s="8"/>
      <c r="G36" s="15">
        <v>0.27752859531273133</v>
      </c>
      <c r="H36" s="15">
        <v>0.27752859531273133</v>
      </c>
      <c r="I36" s="15" t="s">
        <v>10</v>
      </c>
      <c r="J36" s="15" t="s">
        <v>10</v>
      </c>
      <c r="K36" s="15" t="s">
        <v>10</v>
      </c>
      <c r="L36" s="15" t="s">
        <v>10</v>
      </c>
      <c r="M36" s="15" t="s">
        <v>10</v>
      </c>
      <c r="N36" s="15" t="s">
        <v>10</v>
      </c>
      <c r="O36" s="15" t="s">
        <v>10</v>
      </c>
      <c r="P36" s="15" t="s">
        <v>10</v>
      </c>
      <c r="Q36" s="8"/>
      <c r="R36" s="9" t="s">
        <v>44</v>
      </c>
    </row>
    <row r="37" spans="1:18" x14ac:dyDescent="0.25">
      <c r="A37" s="6" t="str">
        <f>HYPERLINK("proteomic_fractions_linear_files/Yang_linear_img/90403595.jpg", "90403595")</f>
        <v>90403595</v>
      </c>
      <c r="B37" s="7"/>
      <c r="C37" s="6" t="str">
        <f>HYPERLINK("http://www.ncbi.nlm.nih.gov/protein/90403595","Abcc3")</f>
        <v>Abcc3</v>
      </c>
      <c r="D37" s="8"/>
      <c r="E37" s="8">
        <v>169021</v>
      </c>
      <c r="F37" s="8"/>
      <c r="G37" s="15" t="s">
        <v>10</v>
      </c>
      <c r="H37" s="15" t="s">
        <v>10</v>
      </c>
      <c r="I37" s="15">
        <v>1.3808334179162667</v>
      </c>
      <c r="J37" s="15">
        <v>1.3808334179162667</v>
      </c>
      <c r="K37" s="15">
        <v>1.3808334179162667</v>
      </c>
      <c r="L37" s="15">
        <v>1.3808334179162667</v>
      </c>
      <c r="M37" s="15" t="s">
        <v>10</v>
      </c>
      <c r="N37" s="15" t="s">
        <v>10</v>
      </c>
      <c r="O37" s="15" t="s">
        <v>10</v>
      </c>
      <c r="P37" s="15" t="s">
        <v>10</v>
      </c>
      <c r="Q37" s="8"/>
      <c r="R37" s="9" t="s">
        <v>45</v>
      </c>
    </row>
    <row r="38" spans="1:18" x14ac:dyDescent="0.25">
      <c r="A38" s="6" t="str">
        <f>HYPERLINK("proteomic_fractions_linear_files/Yang_linear_img/255683320.jpg", "255683320")</f>
        <v>255683320</v>
      </c>
      <c r="B38" s="7"/>
      <c r="C38" s="6" t="str">
        <f>HYPERLINK("http://www.ncbi.nlm.nih.gov/protein/255683320","Abcc4")</f>
        <v>Abcc4</v>
      </c>
      <c r="D38" s="8"/>
      <c r="E38" s="8">
        <v>148758</v>
      </c>
      <c r="F38" s="8"/>
      <c r="G38" s="15">
        <v>2.0253914405134146</v>
      </c>
      <c r="H38" s="15">
        <v>2.0253914405134146</v>
      </c>
      <c r="I38" s="15">
        <v>1.5661801854218058</v>
      </c>
      <c r="J38" s="15">
        <v>1.5661801854218058</v>
      </c>
      <c r="K38" s="15">
        <v>2.0253914405134146</v>
      </c>
      <c r="L38" s="15">
        <v>2.0253914405134146</v>
      </c>
      <c r="M38" s="15">
        <v>1.5661801854218058</v>
      </c>
      <c r="N38" s="15">
        <v>1.5661801854218058</v>
      </c>
      <c r="O38" s="15" t="s">
        <v>10</v>
      </c>
      <c r="P38" s="15" t="s">
        <v>10</v>
      </c>
      <c r="Q38" s="8"/>
      <c r="R38" s="9" t="s">
        <v>46</v>
      </c>
    </row>
    <row r="39" spans="1:18" x14ac:dyDescent="0.25">
      <c r="A39" s="6" t="str">
        <f>HYPERLINK("proteomic_fractions_linear_files/Yang_linear_img/255683324.jpg", "255683324")</f>
        <v>255683324</v>
      </c>
      <c r="B39" s="7"/>
      <c r="C39" s="6" t="str">
        <f>HYPERLINK("http://www.ncbi.nlm.nih.gov/protein/255683324","Abcc4")</f>
        <v>Abcc4</v>
      </c>
      <c r="D39" s="8"/>
      <c r="E39" s="8">
        <v>143597</v>
      </c>
      <c r="F39" s="8"/>
      <c r="G39" s="15">
        <v>2.095717532197908</v>
      </c>
      <c r="H39" s="15">
        <v>2.095717532197908</v>
      </c>
      <c r="I39" s="15">
        <v>1.6205614418600629</v>
      </c>
      <c r="J39" s="15">
        <v>1.6205614418600629</v>
      </c>
      <c r="K39" s="15">
        <v>2.095717532197908</v>
      </c>
      <c r="L39" s="15">
        <v>2.095717532197908</v>
      </c>
      <c r="M39" s="15">
        <v>1.6205614418600629</v>
      </c>
      <c r="N39" s="15">
        <v>1.6205614418600629</v>
      </c>
      <c r="O39" s="15" t="s">
        <v>10</v>
      </c>
      <c r="P39" s="15" t="s">
        <v>10</v>
      </c>
      <c r="Q39" s="8"/>
      <c r="R39" s="9" t="s">
        <v>47</v>
      </c>
    </row>
    <row r="40" spans="1:18" x14ac:dyDescent="0.25">
      <c r="A40" s="6" t="str">
        <f>HYPERLINK("proteomic_fractions_linear_files/Yang_linear_img/255683328.jpg", "255683328")</f>
        <v>255683328</v>
      </c>
      <c r="B40" s="7"/>
      <c r="C40" s="6" t="str">
        <f>HYPERLINK("http://www.ncbi.nlm.nih.gov/protein/255683328","Abcc4")</f>
        <v>Abcc4</v>
      </c>
      <c r="D40" s="8"/>
      <c r="E40" s="8">
        <v>140079</v>
      </c>
      <c r="F40" s="8"/>
      <c r="G40" s="15">
        <v>2.1555951759749914</v>
      </c>
      <c r="H40" s="15">
        <v>2.1555951759749914</v>
      </c>
      <c r="I40" s="15">
        <v>1.6668631973417791</v>
      </c>
      <c r="J40" s="15">
        <v>1.6668631973417791</v>
      </c>
      <c r="K40" s="15">
        <v>2.1555951759749914</v>
      </c>
      <c r="L40" s="15">
        <v>2.1555951759749914</v>
      </c>
      <c r="M40" s="15">
        <v>1.6668631973417791</v>
      </c>
      <c r="N40" s="15">
        <v>1.6668631973417791</v>
      </c>
      <c r="O40" s="15" t="s">
        <v>10</v>
      </c>
      <c r="P40" s="15" t="s">
        <v>10</v>
      </c>
      <c r="Q40" s="8"/>
      <c r="R40" s="9" t="s">
        <v>48</v>
      </c>
    </row>
    <row r="41" spans="1:18" x14ac:dyDescent="0.25">
      <c r="A41" s="6" t="str">
        <f>HYPERLINK("proteomic_fractions_linear_files/Yang_linear_img/6671497.jpg", "6671497")</f>
        <v>6671497</v>
      </c>
      <c r="B41" s="7"/>
      <c r="C41" s="6" t="str">
        <f>HYPERLINK("http://www.ncbi.nlm.nih.gov/protein/6671497","Abcd1")</f>
        <v>Abcd1</v>
      </c>
      <c r="D41" s="8"/>
      <c r="E41" s="8">
        <v>81728</v>
      </c>
      <c r="F41" s="8"/>
      <c r="G41" s="15" t="s">
        <v>10</v>
      </c>
      <c r="H41" s="15" t="s">
        <v>10</v>
      </c>
      <c r="I41" s="15">
        <v>1.0133982740627299</v>
      </c>
      <c r="J41" s="15">
        <v>1.0133982740627299</v>
      </c>
      <c r="K41" s="15">
        <v>1.0133982740627299</v>
      </c>
      <c r="L41" s="15">
        <v>1.0133982740627299</v>
      </c>
      <c r="M41" s="15" t="s">
        <v>10</v>
      </c>
      <c r="N41" s="15" t="s">
        <v>10</v>
      </c>
      <c r="O41" s="15" t="s">
        <v>10</v>
      </c>
      <c r="P41" s="15" t="s">
        <v>10</v>
      </c>
      <c r="Q41" s="8"/>
      <c r="R41" s="9" t="s">
        <v>49</v>
      </c>
    </row>
    <row r="42" spans="1:18" x14ac:dyDescent="0.25">
      <c r="A42" s="6" t="str">
        <f>HYPERLINK("proteomic_fractions_linear_files/Yang_linear_img/60218877.jpg", "60218877")</f>
        <v>60218877</v>
      </c>
      <c r="B42" s="7"/>
      <c r="C42" s="6" t="str">
        <f>HYPERLINK("http://www.ncbi.nlm.nih.gov/protein/60218877","Abcd3")</f>
        <v>Abcd3</v>
      </c>
      <c r="D42" s="8"/>
      <c r="E42" s="8">
        <v>75344</v>
      </c>
      <c r="F42" s="8"/>
      <c r="G42" s="15">
        <v>1.1079821129752514</v>
      </c>
      <c r="H42" s="15">
        <v>1.1079821129752514</v>
      </c>
      <c r="I42" s="15">
        <v>0.87271017774059112</v>
      </c>
      <c r="J42" s="15">
        <v>0.87271017774059112</v>
      </c>
      <c r="K42" s="15">
        <v>0.97914880322242992</v>
      </c>
      <c r="L42" s="15">
        <v>0.97914880322242992</v>
      </c>
      <c r="M42" s="15" t="s">
        <v>10</v>
      </c>
      <c r="N42" s="15" t="s">
        <v>10</v>
      </c>
      <c r="O42" s="15" t="s">
        <v>10</v>
      </c>
      <c r="P42" s="15" t="s">
        <v>10</v>
      </c>
      <c r="Q42" s="8"/>
      <c r="R42" s="9" t="s">
        <v>50</v>
      </c>
    </row>
    <row r="43" spans="1:18" x14ac:dyDescent="0.25">
      <c r="A43" s="6" t="str">
        <f>HYPERLINK("proteomic_fractions_linear_files/Yang_linear_img/226052788.jpg", "226052788")</f>
        <v>226052788</v>
      </c>
      <c r="B43" s="7"/>
      <c r="C43" s="6" t="str">
        <f>HYPERLINK("http://www.ncbi.nlm.nih.gov/protein/226052788","Abcd4")</f>
        <v>Abcd4</v>
      </c>
      <c r="D43" s="8"/>
      <c r="E43" s="8">
        <v>68452</v>
      </c>
      <c r="F43" s="8"/>
      <c r="G43" s="15" t="s">
        <v>10</v>
      </c>
      <c r="H43" s="15" t="s">
        <v>10</v>
      </c>
      <c r="I43" s="15">
        <v>0.86431187625873307</v>
      </c>
      <c r="J43" s="15">
        <v>0.86431187625873307</v>
      </c>
      <c r="K43" s="15">
        <v>0.96254799015506365</v>
      </c>
      <c r="L43" s="15">
        <v>0.96254799015506365</v>
      </c>
      <c r="M43" s="15" t="s">
        <v>10</v>
      </c>
      <c r="N43" s="15" t="s">
        <v>10</v>
      </c>
      <c r="O43" s="15" t="s">
        <v>10</v>
      </c>
      <c r="P43" s="15" t="s">
        <v>10</v>
      </c>
      <c r="Q43" s="8"/>
      <c r="R43" s="9" t="s">
        <v>51</v>
      </c>
    </row>
    <row r="44" spans="1:18" x14ac:dyDescent="0.25">
      <c r="A44" s="6" t="str">
        <f>HYPERLINK("proteomic_fractions_linear_files/Yang_linear_img/114205431.jpg", "114205431")</f>
        <v>114205431</v>
      </c>
      <c r="B44" s="7"/>
      <c r="C44" s="6" t="str">
        <f>HYPERLINK("http://www.ncbi.nlm.nih.gov/protein/114205431","Abce1")</f>
        <v>Abce1</v>
      </c>
      <c r="D44" s="8"/>
      <c r="E44" s="8">
        <v>67184</v>
      </c>
      <c r="F44" s="8"/>
      <c r="G44" s="15" t="s">
        <v>10</v>
      </c>
      <c r="H44" s="15" t="s">
        <v>10</v>
      </c>
      <c r="I44" s="15">
        <v>1.0960620931594365</v>
      </c>
      <c r="J44" s="15">
        <v>1.0960620931594365</v>
      </c>
      <c r="K44" s="15">
        <v>1.0960620931594365</v>
      </c>
      <c r="L44" s="15">
        <v>1.0960620931594365</v>
      </c>
      <c r="M44" s="15">
        <v>1.0960620931594365</v>
      </c>
      <c r="N44" s="15">
        <v>1.0960620931594365</v>
      </c>
      <c r="O44" s="15">
        <v>0.97691437806782588</v>
      </c>
      <c r="P44" s="15">
        <v>0.97691437806782588</v>
      </c>
      <c r="Q44" s="8"/>
      <c r="R44" s="9" t="s">
        <v>52</v>
      </c>
    </row>
    <row r="45" spans="1:18" x14ac:dyDescent="0.25">
      <c r="A45" s="6" t="str">
        <f>HYPERLINK("proteomic_fractions_linear_files/Yang_linear_img/39930335.jpg", "39930335")</f>
        <v>39930335</v>
      </c>
      <c r="B45" s="7"/>
      <c r="C45" s="6" t="str">
        <f>HYPERLINK("http://www.ncbi.nlm.nih.gov/protein/39930335","Abcf1")</f>
        <v>Abcf1</v>
      </c>
      <c r="D45" s="8"/>
      <c r="E45" s="8">
        <v>94815</v>
      </c>
      <c r="F45" s="8"/>
      <c r="G45" s="15">
        <v>1.354964506790705</v>
      </c>
      <c r="H45" s="15">
        <v>1.6152933803814931</v>
      </c>
      <c r="I45" s="15">
        <v>1.1558059349592786</v>
      </c>
      <c r="J45" s="15">
        <v>1.1558059349592786</v>
      </c>
      <c r="K45" s="15">
        <v>1.354964506790705</v>
      </c>
      <c r="L45" s="15">
        <v>1.354964506790705</v>
      </c>
      <c r="M45" s="15">
        <v>1.354964506790705</v>
      </c>
      <c r="N45" s="15">
        <v>1.354964506790705</v>
      </c>
      <c r="O45" s="15" t="s">
        <v>10</v>
      </c>
      <c r="P45" s="15" t="s">
        <v>10</v>
      </c>
      <c r="Q45" s="8"/>
      <c r="R45" s="9" t="s">
        <v>53</v>
      </c>
    </row>
    <row r="46" spans="1:18" x14ac:dyDescent="0.25">
      <c r="A46" s="6" t="str">
        <f>HYPERLINK("proteomic_fractions_linear_files/Yang_linear_img/23956078.jpg", "23956078")</f>
        <v>23956078</v>
      </c>
      <c r="B46" s="7"/>
      <c r="C46" s="6" t="str">
        <f>HYPERLINK("http://www.ncbi.nlm.nih.gov/protein/23956078","Abcf2")</f>
        <v>Abcf2</v>
      </c>
      <c r="D46" s="8"/>
      <c r="E46" s="8">
        <v>71651</v>
      </c>
      <c r="F46" s="8"/>
      <c r="G46" s="15" t="s">
        <v>10</v>
      </c>
      <c r="H46" s="15" t="s">
        <v>10</v>
      </c>
      <c r="I46" s="15">
        <v>1.1541480343492203</v>
      </c>
      <c r="J46" s="15">
        <v>1.1541480343492203</v>
      </c>
      <c r="K46" s="15">
        <v>1.1541480343492203</v>
      </c>
      <c r="L46" s="15">
        <v>1.1541480343492203</v>
      </c>
      <c r="M46" s="15">
        <v>1.1541480343492203</v>
      </c>
      <c r="N46" s="15">
        <v>1.1541480343492203</v>
      </c>
      <c r="O46" s="15" t="s">
        <v>10</v>
      </c>
      <c r="P46" s="15" t="s">
        <v>10</v>
      </c>
      <c r="Q46" s="8"/>
      <c r="R46" s="9" t="s">
        <v>54</v>
      </c>
    </row>
    <row r="47" spans="1:18" x14ac:dyDescent="0.25">
      <c r="A47" s="6" t="str">
        <f>HYPERLINK("proteomic_fractions_linear_files/Yang_linear_img/299473734.jpg", "299473734")</f>
        <v>299473734</v>
      </c>
      <c r="B47" s="7"/>
      <c r="C47" s="6" t="str">
        <f>HYPERLINK("http://www.ncbi.nlm.nih.gov/protein/299473734","Abcf2")</f>
        <v>Abcf2</v>
      </c>
      <c r="D47" s="8"/>
      <c r="E47" s="8">
        <v>71522</v>
      </c>
      <c r="F47" s="8"/>
      <c r="G47" s="15" t="s">
        <v>10</v>
      </c>
      <c r="H47" s="15" t="s">
        <v>10</v>
      </c>
      <c r="I47" s="15">
        <v>1.1541480343492203</v>
      </c>
      <c r="J47" s="15">
        <v>1.1541480343492203</v>
      </c>
      <c r="K47" s="15">
        <v>1.1541480343492203</v>
      </c>
      <c r="L47" s="15">
        <v>1.1541480343492203</v>
      </c>
      <c r="M47" s="15">
        <v>1.1541480343492203</v>
      </c>
      <c r="N47" s="15">
        <v>1.1541480343492203</v>
      </c>
      <c r="O47" s="15" t="s">
        <v>10</v>
      </c>
      <c r="P47" s="15" t="s">
        <v>10</v>
      </c>
      <c r="Q47" s="8"/>
      <c r="R47" s="9" t="s">
        <v>55</v>
      </c>
    </row>
    <row r="48" spans="1:18" x14ac:dyDescent="0.25">
      <c r="A48" s="6" t="str">
        <f>HYPERLINK("proteomic_fractions_linear_files/Yang_linear_img/29789050.jpg", "29789050")</f>
        <v>29789050</v>
      </c>
      <c r="B48" s="7"/>
      <c r="C48" s="6" t="str">
        <f>HYPERLINK("http://www.ncbi.nlm.nih.gov/protein/29789050","Abcf3")</f>
        <v>Abcf3</v>
      </c>
      <c r="D48" s="8"/>
      <c r="E48" s="8">
        <v>79734</v>
      </c>
      <c r="F48" s="8"/>
      <c r="G48" s="15" t="s">
        <v>10</v>
      </c>
      <c r="H48" s="15" t="s">
        <v>10</v>
      </c>
      <c r="I48" s="15" t="s">
        <v>10</v>
      </c>
      <c r="J48" s="15" t="s">
        <v>10</v>
      </c>
      <c r="K48" s="15">
        <v>1.1870997647823063</v>
      </c>
      <c r="L48" s="15">
        <v>1.1870997647823063</v>
      </c>
      <c r="M48" s="15">
        <v>1.0387332309142983</v>
      </c>
      <c r="N48" s="15">
        <v>1.0387332309142983</v>
      </c>
      <c r="O48" s="15">
        <v>1.0387332309142983</v>
      </c>
      <c r="P48" s="15">
        <v>1.0387332309142983</v>
      </c>
      <c r="Q48" s="8"/>
      <c r="R48" s="9" t="s">
        <v>56</v>
      </c>
    </row>
    <row r="49" spans="1:18" x14ac:dyDescent="0.25">
      <c r="A49" s="6" t="str">
        <f>HYPERLINK("proteomic_fractions_linear_files/Yang_linear_img/6752944.jpg", "6752944")</f>
        <v>6752944</v>
      </c>
      <c r="B49" s="7"/>
      <c r="C49" s="6" t="str">
        <f>HYPERLINK("http://www.ncbi.nlm.nih.gov/protein/6752944","Abcg2")</f>
        <v>Abcg2</v>
      </c>
      <c r="D49" s="8"/>
      <c r="E49" s="8">
        <v>72891</v>
      </c>
      <c r="F49" s="8"/>
      <c r="G49" s="15" t="s">
        <v>10</v>
      </c>
      <c r="H49" s="15" t="s">
        <v>10</v>
      </c>
      <c r="I49" s="15" t="s">
        <v>10</v>
      </c>
      <c r="J49" s="15" t="s">
        <v>10</v>
      </c>
      <c r="K49" s="15">
        <v>1.5041310112483763</v>
      </c>
      <c r="L49" s="15">
        <v>0.66150651485500345</v>
      </c>
      <c r="M49" s="15">
        <v>0.89662004562389497</v>
      </c>
      <c r="N49" s="15">
        <v>0.89662004562389497</v>
      </c>
      <c r="O49" s="15" t="s">
        <v>10</v>
      </c>
      <c r="P49" s="15" t="s">
        <v>10</v>
      </c>
      <c r="Q49" s="8"/>
      <c r="R49" s="9" t="s">
        <v>57</v>
      </c>
    </row>
    <row r="50" spans="1:18" x14ac:dyDescent="0.25">
      <c r="A50" s="6" t="str">
        <f>HYPERLINK("proteomic_fractions_linear_files/Yang_linear_img/269784760.jpg", "269784760")</f>
        <v>269784760</v>
      </c>
      <c r="B50" s="7"/>
      <c r="C50" s="6" t="str">
        <f>HYPERLINK("http://www.ncbi.nlm.nih.gov/protein/269784760","Abhd10")</f>
        <v>Abhd10</v>
      </c>
      <c r="D50" s="8"/>
      <c r="E50" s="8">
        <v>28180</v>
      </c>
      <c r="F50" s="8"/>
      <c r="G50" s="15" t="s">
        <v>10</v>
      </c>
      <c r="H50" s="15" t="s">
        <v>10</v>
      </c>
      <c r="I50" s="15">
        <v>0.87695787904560418</v>
      </c>
      <c r="J50" s="15">
        <v>0.87695787904560418</v>
      </c>
      <c r="K50" s="15" t="s">
        <v>10</v>
      </c>
      <c r="L50" s="15" t="s">
        <v>10</v>
      </c>
      <c r="M50" s="15" t="s">
        <v>10</v>
      </c>
      <c r="N50" s="15" t="s">
        <v>10</v>
      </c>
      <c r="O50" s="15" t="s">
        <v>10</v>
      </c>
      <c r="P50" s="15" t="s">
        <v>10</v>
      </c>
      <c r="Q50" s="8"/>
      <c r="R50" s="9" t="s">
        <v>58</v>
      </c>
    </row>
    <row r="51" spans="1:18" x14ac:dyDescent="0.25">
      <c r="A51" s="6" t="str">
        <f>HYPERLINK("proteomic_fractions_linear_files/Yang_linear_img/440918693.jpg", "440918693")</f>
        <v>440918693</v>
      </c>
      <c r="B51" s="7"/>
      <c r="C51" s="6" t="str">
        <f>HYPERLINK("http://www.ncbi.nlm.nih.gov/protein/440918693","Abhd10")</f>
        <v>Abhd10</v>
      </c>
      <c r="D51" s="8"/>
      <c r="E51" s="8">
        <v>27255</v>
      </c>
      <c r="F51" s="8"/>
      <c r="G51" s="15" t="s">
        <v>10</v>
      </c>
      <c r="H51" s="15" t="s">
        <v>10</v>
      </c>
      <c r="I51" s="15">
        <v>0.90943780049173761</v>
      </c>
      <c r="J51" s="15">
        <v>0.90943780049173761</v>
      </c>
      <c r="K51" s="15" t="s">
        <v>10</v>
      </c>
      <c r="L51" s="15" t="s">
        <v>10</v>
      </c>
      <c r="M51" s="15" t="s">
        <v>10</v>
      </c>
      <c r="N51" s="15" t="s">
        <v>10</v>
      </c>
      <c r="O51" s="15" t="s">
        <v>10</v>
      </c>
      <c r="P51" s="15" t="s">
        <v>10</v>
      </c>
      <c r="Q51" s="8"/>
      <c r="R51" s="9" t="s">
        <v>59</v>
      </c>
    </row>
    <row r="52" spans="1:18" x14ac:dyDescent="0.25">
      <c r="A52" s="6" t="str">
        <f>HYPERLINK("proteomic_fractions_linear_files/Yang_linear_img/159110817.jpg", "159110817")</f>
        <v>159110817</v>
      </c>
      <c r="B52" s="7"/>
      <c r="C52" s="6" t="str">
        <f>HYPERLINK("http://www.ncbi.nlm.nih.gov/protein/159110817","Abhd12")</f>
        <v>Abhd12</v>
      </c>
      <c r="D52" s="8"/>
      <c r="E52" s="8">
        <v>45139</v>
      </c>
      <c r="F52" s="8"/>
      <c r="G52" s="15">
        <v>1.3060712796798635</v>
      </c>
      <c r="H52" s="15">
        <v>1.3060712796798635</v>
      </c>
      <c r="I52" s="15">
        <v>0.98056864993256598</v>
      </c>
      <c r="J52" s="15">
        <v>0.98056864993256598</v>
      </c>
      <c r="K52" s="15">
        <v>0.98056864993256598</v>
      </c>
      <c r="L52" s="15">
        <v>0.98056864993256598</v>
      </c>
      <c r="M52" s="15" t="s">
        <v>10</v>
      </c>
      <c r="N52" s="15" t="s">
        <v>10</v>
      </c>
      <c r="O52" s="15" t="s">
        <v>10</v>
      </c>
      <c r="P52" s="15" t="s">
        <v>10</v>
      </c>
      <c r="Q52" s="8"/>
      <c r="R52" s="9" t="s">
        <v>60</v>
      </c>
    </row>
    <row r="53" spans="1:18" x14ac:dyDescent="0.25">
      <c r="A53" s="6" t="str">
        <f>HYPERLINK("proteomic_fractions_linear_files/Yang_linear_img/124487441.jpg", "124487441")</f>
        <v>124487441</v>
      </c>
      <c r="B53" s="7"/>
      <c r="C53" s="6" t="str">
        <f>HYPERLINK("http://www.ncbi.nlm.nih.gov/protein/124487441","Abhd13")</f>
        <v>Abhd13</v>
      </c>
      <c r="D53" s="8"/>
      <c r="E53" s="8">
        <v>38394</v>
      </c>
      <c r="F53" s="8"/>
      <c r="G53" s="15" t="s">
        <v>10</v>
      </c>
      <c r="H53" s="15" t="s">
        <v>10</v>
      </c>
      <c r="I53" s="15">
        <v>0.84431770672983131</v>
      </c>
      <c r="J53" s="15">
        <v>0.84431770672983131</v>
      </c>
      <c r="K53" s="15">
        <v>0.84431770672983131</v>
      </c>
      <c r="L53" s="15">
        <v>0.84431770672983131</v>
      </c>
      <c r="M53" s="15" t="s">
        <v>10</v>
      </c>
      <c r="N53" s="15" t="s">
        <v>10</v>
      </c>
      <c r="O53" s="15" t="s">
        <v>10</v>
      </c>
      <c r="P53" s="15" t="s">
        <v>10</v>
      </c>
      <c r="Q53" s="8"/>
      <c r="R53" s="9" t="s">
        <v>61</v>
      </c>
    </row>
    <row r="54" spans="1:18" x14ac:dyDescent="0.25">
      <c r="A54" s="6" t="str">
        <f>HYPERLINK("proteomic_fractions_linear_files/Yang_linear_img/171460960.jpg", "171460960")</f>
        <v>171460960</v>
      </c>
      <c r="B54" s="7"/>
      <c r="C54" s="6" t="str">
        <f>HYPERLINK("http://www.ncbi.nlm.nih.gov/protein/171460960","Abhd14b")</f>
        <v>Abhd14b</v>
      </c>
      <c r="D54" s="8"/>
      <c r="E54" s="8">
        <v>22320</v>
      </c>
      <c r="F54" s="8"/>
      <c r="G54" s="15">
        <v>1.4583669479878905</v>
      </c>
      <c r="H54" s="15">
        <v>1.4583669479878905</v>
      </c>
      <c r="I54" s="15">
        <v>1.0504351533962475</v>
      </c>
      <c r="J54" s="15">
        <v>1.0504351533962475</v>
      </c>
      <c r="K54" s="15">
        <v>1.0504351533962475</v>
      </c>
      <c r="L54" s="15">
        <v>1.0504351533962475</v>
      </c>
      <c r="M54" s="15">
        <v>1.0504351533962475</v>
      </c>
      <c r="N54" s="15">
        <v>1.0504351533962475</v>
      </c>
      <c r="O54" s="15">
        <v>0.99071555775812503</v>
      </c>
      <c r="P54" s="15">
        <v>0.99071555775812503</v>
      </c>
      <c r="Q54" s="8"/>
      <c r="R54" s="9" t="s">
        <v>62</v>
      </c>
    </row>
    <row r="55" spans="1:18" x14ac:dyDescent="0.25">
      <c r="A55" s="6" t="str">
        <f>HYPERLINK("proteomic_fractions_linear_files/Yang_linear_img/30519896.jpg", "30519896")</f>
        <v>30519896</v>
      </c>
      <c r="B55" s="7"/>
      <c r="C55" s="6" t="str">
        <f>HYPERLINK("http://www.ncbi.nlm.nih.gov/protein/30519896","Abhd16a")</f>
        <v>Abhd16a</v>
      </c>
      <c r="D55" s="8"/>
      <c r="E55" s="8">
        <v>62955</v>
      </c>
      <c r="F55" s="8"/>
      <c r="G55" s="15" t="s">
        <v>10</v>
      </c>
      <c r="H55" s="15" t="s">
        <v>10</v>
      </c>
      <c r="I55" s="15">
        <v>0.9329080569141881</v>
      </c>
      <c r="J55" s="15">
        <v>0.9329080569141881</v>
      </c>
      <c r="K55" s="15">
        <v>0.9329080569141881</v>
      </c>
      <c r="L55" s="15">
        <v>0.9329080569141881</v>
      </c>
      <c r="M55" s="15" t="s">
        <v>10</v>
      </c>
      <c r="N55" s="15" t="s">
        <v>10</v>
      </c>
      <c r="O55" s="15" t="s">
        <v>10</v>
      </c>
      <c r="P55" s="15" t="s">
        <v>10</v>
      </c>
      <c r="Q55" s="8"/>
      <c r="R55" s="9" t="s">
        <v>63</v>
      </c>
    </row>
    <row r="56" spans="1:18" x14ac:dyDescent="0.25">
      <c r="A56" s="6" t="str">
        <f>HYPERLINK("proteomic_fractions_linear_files/Yang_linear_img/38142456.jpg", "38142456")</f>
        <v>38142456</v>
      </c>
      <c r="B56" s="7"/>
      <c r="C56" s="6" t="str">
        <f>HYPERLINK("http://www.ncbi.nlm.nih.gov/protein/38142456","Abhd17b")</f>
        <v>Abhd17b</v>
      </c>
      <c r="D56" s="8"/>
      <c r="E56" s="8">
        <v>29799</v>
      </c>
      <c r="F56" s="8"/>
      <c r="G56" s="15" t="s">
        <v>10</v>
      </c>
      <c r="H56" s="15" t="s">
        <v>10</v>
      </c>
      <c r="I56" s="15" t="s">
        <v>10</v>
      </c>
      <c r="J56" s="15" t="s">
        <v>10</v>
      </c>
      <c r="K56" s="15">
        <v>0.93060704325606869</v>
      </c>
      <c r="L56" s="15">
        <v>0.93060704325606869</v>
      </c>
      <c r="M56" s="15" t="s">
        <v>10</v>
      </c>
      <c r="N56" s="15" t="s">
        <v>10</v>
      </c>
      <c r="O56" s="15" t="s">
        <v>10</v>
      </c>
      <c r="P56" s="15" t="s">
        <v>10</v>
      </c>
      <c r="Q56" s="8"/>
      <c r="R56" s="9" t="s">
        <v>64</v>
      </c>
    </row>
    <row r="57" spans="1:18" x14ac:dyDescent="0.25">
      <c r="A57" s="6" t="str">
        <f>HYPERLINK("proteomic_fractions_linear_files/Yang_linear_img/326937491.jpg", "326937491")</f>
        <v>326937491</v>
      </c>
      <c r="B57" s="7"/>
      <c r="C57" s="6" t="str">
        <f>HYPERLINK("http://www.ncbi.nlm.nih.gov/protein/326937491","Abhd4")</f>
        <v>Abhd4</v>
      </c>
      <c r="D57" s="8"/>
      <c r="E57" s="8">
        <v>40195</v>
      </c>
      <c r="F57" s="8"/>
      <c r="G57" s="15" t="s">
        <v>10</v>
      </c>
      <c r="H57" s="15" t="s">
        <v>10</v>
      </c>
      <c r="I57" s="15" t="s">
        <v>10</v>
      </c>
      <c r="J57" s="15" t="s">
        <v>10</v>
      </c>
      <c r="K57" s="15">
        <v>0.93353316057811475</v>
      </c>
      <c r="L57" s="15">
        <v>0.93353316057811475</v>
      </c>
      <c r="M57" s="15">
        <v>0.93353316057811475</v>
      </c>
      <c r="N57" s="15">
        <v>0.93353316057811475</v>
      </c>
      <c r="O57" s="15" t="s">
        <v>10</v>
      </c>
      <c r="P57" s="15" t="s">
        <v>10</v>
      </c>
      <c r="Q57" s="8"/>
      <c r="R57" s="9" t="s">
        <v>65</v>
      </c>
    </row>
    <row r="58" spans="1:18" x14ac:dyDescent="0.25">
      <c r="A58" s="6" t="str">
        <f>HYPERLINK("proteomic_fractions_linear_files/Yang_linear_img/326937494.jpg", "326937494")</f>
        <v>326937494</v>
      </c>
      <c r="B58" s="7"/>
      <c r="C58" s="6" t="str">
        <f>HYPERLINK("http://www.ncbi.nlm.nih.gov/protein/326937494","Abhd4")</f>
        <v>Abhd4</v>
      </c>
      <c r="D58" s="8"/>
      <c r="E58" s="8">
        <v>35917</v>
      </c>
      <c r="F58" s="8"/>
      <c r="G58" s="15" t="s">
        <v>10</v>
      </c>
      <c r="H58" s="15" t="s">
        <v>10</v>
      </c>
      <c r="I58" s="15" t="s">
        <v>10</v>
      </c>
      <c r="J58" s="15" t="s">
        <v>10</v>
      </c>
      <c r="K58" s="15">
        <v>1.0372590673090165</v>
      </c>
      <c r="L58" s="15">
        <v>1.0372590673090165</v>
      </c>
      <c r="M58" s="15">
        <v>1.0372590673090165</v>
      </c>
      <c r="N58" s="15">
        <v>1.0372590673090165</v>
      </c>
      <c r="O58" s="15" t="s">
        <v>10</v>
      </c>
      <c r="P58" s="15" t="s">
        <v>10</v>
      </c>
      <c r="Q58" s="8"/>
      <c r="R58" s="9" t="s">
        <v>66</v>
      </c>
    </row>
    <row r="59" spans="1:18" x14ac:dyDescent="0.25">
      <c r="A59" s="6" t="str">
        <f>HYPERLINK("proteomic_fractions_linear_files/Yang_linear_img/13385690.jpg", "13385690")</f>
        <v>13385690</v>
      </c>
      <c r="B59" s="7"/>
      <c r="C59" s="6" t="str">
        <f>HYPERLINK("http://www.ncbi.nlm.nih.gov/protein/13385690","Abhd5")</f>
        <v>Abhd5</v>
      </c>
      <c r="D59" s="8"/>
      <c r="E59" s="8">
        <v>39024</v>
      </c>
      <c r="F59" s="8"/>
      <c r="G59" s="15" t="s">
        <v>10</v>
      </c>
      <c r="H59" s="15" t="s">
        <v>10</v>
      </c>
      <c r="I59" s="15">
        <v>1.038649184698019</v>
      </c>
      <c r="J59" s="15">
        <v>1.038649184698019</v>
      </c>
      <c r="K59" s="15">
        <v>1.1314253653068069</v>
      </c>
      <c r="L59" s="15">
        <v>1.1314253653068069</v>
      </c>
      <c r="M59" s="15">
        <v>1.038649184698019</v>
      </c>
      <c r="N59" s="15">
        <v>1.038649184698019</v>
      </c>
      <c r="O59" s="15" t="s">
        <v>10</v>
      </c>
      <c r="P59" s="15" t="s">
        <v>10</v>
      </c>
      <c r="Q59" s="8"/>
      <c r="R59" s="9" t="s">
        <v>67</v>
      </c>
    </row>
    <row r="60" spans="1:18" x14ac:dyDescent="0.25">
      <c r="A60" s="6" t="str">
        <f>HYPERLINK("proteomic_fractions_linear_files/Yang_linear_img/31560264.jpg", "31560264")</f>
        <v>31560264</v>
      </c>
      <c r="B60" s="7"/>
      <c r="C60" s="6" t="str">
        <f>HYPERLINK("http://www.ncbi.nlm.nih.gov/protein/31560264","Abhd6")</f>
        <v>Abhd6</v>
      </c>
      <c r="D60" s="8"/>
      <c r="E60" s="8">
        <v>38074</v>
      </c>
      <c r="F60" s="8"/>
      <c r="G60" s="15">
        <v>0.78645807609771401</v>
      </c>
      <c r="H60" s="15">
        <v>0.78645807609771401</v>
      </c>
      <c r="I60" s="15">
        <v>0.84431770672983131</v>
      </c>
      <c r="J60" s="15">
        <v>0.84431770672983131</v>
      </c>
      <c r="K60" s="15">
        <v>0.84431770672983131</v>
      </c>
      <c r="L60" s="15">
        <v>0.84431770672983131</v>
      </c>
      <c r="M60" s="15" t="s">
        <v>10</v>
      </c>
      <c r="N60" s="15" t="s">
        <v>10</v>
      </c>
      <c r="O60" s="15" t="s">
        <v>10</v>
      </c>
      <c r="P60" s="15" t="s">
        <v>10</v>
      </c>
      <c r="Q60" s="8"/>
      <c r="R60" s="9" t="s">
        <v>68</v>
      </c>
    </row>
    <row r="61" spans="1:18" x14ac:dyDescent="0.25">
      <c r="A61" s="6" t="str">
        <f>HYPERLINK("proteomic_fractions_linear_files/Yang_linear_img/116089341.jpg", "116089341")</f>
        <v>116089341</v>
      </c>
      <c r="B61" s="7"/>
      <c r="C61" s="6" t="str">
        <f>HYPERLINK("http://www.ncbi.nlm.nih.gov/protein/116089341","Abi1")</f>
        <v>Abi1</v>
      </c>
      <c r="D61" s="8"/>
      <c r="E61" s="8">
        <v>52157</v>
      </c>
      <c r="F61" s="8"/>
      <c r="G61" s="15" t="s">
        <v>10</v>
      </c>
      <c r="H61" s="15" t="s">
        <v>10</v>
      </c>
      <c r="I61" s="15">
        <v>0.35567883008777085</v>
      </c>
      <c r="J61" s="15">
        <v>1.2587166025104679</v>
      </c>
      <c r="K61" s="15">
        <v>1.2587166025104679</v>
      </c>
      <c r="L61" s="15">
        <v>1.2587166025104679</v>
      </c>
      <c r="M61" s="15">
        <v>0.41914888982074522</v>
      </c>
      <c r="N61" s="15">
        <v>0.41914888982074522</v>
      </c>
      <c r="O61" s="15">
        <v>0.41914888982074522</v>
      </c>
      <c r="P61" s="15">
        <v>0.41914888982074522</v>
      </c>
      <c r="Q61" s="8"/>
      <c r="R61" s="9" t="s">
        <v>69</v>
      </c>
    </row>
    <row r="62" spans="1:18" x14ac:dyDescent="0.25">
      <c r="A62" s="6" t="str">
        <f>HYPERLINK("proteomic_fractions_linear_files/Yang_linear_img/116089343.jpg", "116089343")</f>
        <v>116089343</v>
      </c>
      <c r="B62" s="7"/>
      <c r="C62" s="6" t="str">
        <f>HYPERLINK("http://www.ncbi.nlm.nih.gov/protein/116089343","Abi1")</f>
        <v>Abi1</v>
      </c>
      <c r="D62" s="8"/>
      <c r="E62" s="8">
        <v>48381</v>
      </c>
      <c r="F62" s="8"/>
      <c r="G62" s="15" t="s">
        <v>10</v>
      </c>
      <c r="H62" s="15" t="s">
        <v>10</v>
      </c>
      <c r="I62" s="15">
        <v>0.38531873259508509</v>
      </c>
      <c r="J62" s="15">
        <v>1.3636096527196735</v>
      </c>
      <c r="K62" s="15">
        <v>1.3636096527196735</v>
      </c>
      <c r="L62" s="15">
        <v>1.3636096527196735</v>
      </c>
      <c r="M62" s="15">
        <v>0.45407796397247396</v>
      </c>
      <c r="N62" s="15">
        <v>0.45407796397247396</v>
      </c>
      <c r="O62" s="15">
        <v>0.45407796397247396</v>
      </c>
      <c r="P62" s="15">
        <v>0.45407796397247396</v>
      </c>
      <c r="Q62" s="8"/>
      <c r="R62" s="9" t="s">
        <v>70</v>
      </c>
    </row>
    <row r="63" spans="1:18" x14ac:dyDescent="0.25">
      <c r="A63" s="6" t="str">
        <f>HYPERLINK("proteomic_fractions_linear_files/Yang_linear_img/116089345.jpg", "116089345")</f>
        <v>116089345</v>
      </c>
      <c r="B63" s="7"/>
      <c r="C63" s="6" t="str">
        <f>HYPERLINK("http://www.ncbi.nlm.nih.gov/protein/116089345","Abi1")</f>
        <v>Abi1</v>
      </c>
      <c r="D63" s="8"/>
      <c r="E63" s="8">
        <v>51530</v>
      </c>
      <c r="F63" s="8"/>
      <c r="G63" s="15" t="s">
        <v>10</v>
      </c>
      <c r="H63" s="15" t="s">
        <v>10</v>
      </c>
      <c r="I63" s="15">
        <v>0.35567883008777085</v>
      </c>
      <c r="J63" s="15">
        <v>1.2587166025104679</v>
      </c>
      <c r="K63" s="15">
        <v>1.2587166025104679</v>
      </c>
      <c r="L63" s="15">
        <v>1.2587166025104679</v>
      </c>
      <c r="M63" s="15">
        <v>0.41914888982074522</v>
      </c>
      <c r="N63" s="15">
        <v>0.41914888982074522</v>
      </c>
      <c r="O63" s="15">
        <v>0.41914888982074522</v>
      </c>
      <c r="P63" s="15">
        <v>0.41914888982074522</v>
      </c>
      <c r="Q63" s="8"/>
      <c r="R63" s="9" t="s">
        <v>71</v>
      </c>
    </row>
    <row r="64" spans="1:18" x14ac:dyDescent="0.25">
      <c r="A64" s="6" t="str">
        <f>HYPERLINK("proteomic_fractions_linear_files/Yang_linear_img/116089347.jpg", "116089347")</f>
        <v>116089347</v>
      </c>
      <c r="B64" s="7"/>
      <c r="C64" s="6" t="str">
        <f>HYPERLINK("http://www.ncbi.nlm.nih.gov/protein/116089347","Abi1")</f>
        <v>Abi1</v>
      </c>
      <c r="D64" s="8"/>
      <c r="E64" s="8">
        <v>51459</v>
      </c>
      <c r="F64" s="8"/>
      <c r="G64" s="15" t="s">
        <v>10</v>
      </c>
      <c r="H64" s="15" t="s">
        <v>10</v>
      </c>
      <c r="I64" s="15">
        <v>0.3626529247953742</v>
      </c>
      <c r="J64" s="15">
        <v>1.2833973202067517</v>
      </c>
      <c r="K64" s="15">
        <v>1.2833973202067517</v>
      </c>
      <c r="L64" s="15">
        <v>1.2833973202067517</v>
      </c>
      <c r="M64" s="15">
        <v>0.42736749550350495</v>
      </c>
      <c r="N64" s="15">
        <v>0.42736749550350495</v>
      </c>
      <c r="O64" s="15">
        <v>0.42736749550350495</v>
      </c>
      <c r="P64" s="15">
        <v>0.42736749550350495</v>
      </c>
      <c r="Q64" s="8"/>
      <c r="R64" s="9" t="s">
        <v>72</v>
      </c>
    </row>
    <row r="65" spans="1:18" x14ac:dyDescent="0.25">
      <c r="A65" s="6" t="str">
        <f>HYPERLINK("proteomic_fractions_linear_files/Yang_linear_img/116089351.jpg", "116089351")</f>
        <v>116089351</v>
      </c>
      <c r="B65" s="7"/>
      <c r="C65" s="6" t="str">
        <f>HYPERLINK("http://www.ncbi.nlm.nih.gov/protein/116089351","Abi1")</f>
        <v>Abi1</v>
      </c>
      <c r="D65" s="8"/>
      <c r="E65" s="8">
        <v>42417</v>
      </c>
      <c r="F65" s="8"/>
      <c r="G65" s="15" t="s">
        <v>10</v>
      </c>
      <c r="H65" s="15" t="s">
        <v>10</v>
      </c>
      <c r="I65" s="15">
        <v>0.4403642658229544</v>
      </c>
      <c r="J65" s="15">
        <v>1.5584110316796269</v>
      </c>
      <c r="K65" s="15">
        <v>1.5584110316796269</v>
      </c>
      <c r="L65" s="15">
        <v>1.5584110316796269</v>
      </c>
      <c r="M65" s="15">
        <v>0.51894624453997029</v>
      </c>
      <c r="N65" s="15">
        <v>0.51894624453997029</v>
      </c>
      <c r="O65" s="15">
        <v>0.51894624453997029</v>
      </c>
      <c r="P65" s="15">
        <v>0.51894624453997029</v>
      </c>
      <c r="Q65" s="8"/>
      <c r="R65" s="9" t="s">
        <v>73</v>
      </c>
    </row>
    <row r="66" spans="1:18" x14ac:dyDescent="0.25">
      <c r="A66" s="6" t="str">
        <f>HYPERLINK("proteomic_fractions_linear_files/Yang_linear_img/162951865.jpg", "162951865")</f>
        <v>162951865</v>
      </c>
      <c r="B66" s="7"/>
      <c r="C66" s="6" t="str">
        <f>HYPERLINK("http://www.ncbi.nlm.nih.gov/protein/162951865","Abl1")</f>
        <v>Abl1</v>
      </c>
      <c r="D66" s="8"/>
      <c r="E66" s="8">
        <v>122542</v>
      </c>
      <c r="F66" s="8"/>
      <c r="G66" s="15" t="s">
        <v>10</v>
      </c>
      <c r="H66" s="15" t="s">
        <v>10</v>
      </c>
      <c r="I66" s="15" t="s">
        <v>10</v>
      </c>
      <c r="J66" s="15" t="s">
        <v>10</v>
      </c>
      <c r="K66" s="15">
        <v>1.5184213954466697</v>
      </c>
      <c r="L66" s="15">
        <v>1.5184213954466697</v>
      </c>
      <c r="M66" s="15" t="s">
        <v>10</v>
      </c>
      <c r="N66" s="15" t="s">
        <v>10</v>
      </c>
      <c r="O66" s="15" t="s">
        <v>10</v>
      </c>
      <c r="P66" s="15" t="s">
        <v>10</v>
      </c>
      <c r="Q66" s="8"/>
      <c r="R66" s="9" t="s">
        <v>74</v>
      </c>
    </row>
    <row r="67" spans="1:18" x14ac:dyDescent="0.25">
      <c r="A67" s="6" t="str">
        <f>HYPERLINK("proteomic_fractions_linear_files/Yang_linear_img/162951870.jpg", "162951870")</f>
        <v>162951870</v>
      </c>
      <c r="B67" s="7"/>
      <c r="C67" s="6" t="str">
        <f>HYPERLINK("http://www.ncbi.nlm.nih.gov/protein/162951870","Abl1")</f>
        <v>Abl1</v>
      </c>
      <c r="D67" s="8"/>
      <c r="E67" s="8">
        <v>124638</v>
      </c>
      <c r="F67" s="8"/>
      <c r="G67" s="15" t="s">
        <v>10</v>
      </c>
      <c r="H67" s="15" t="s">
        <v>10</v>
      </c>
      <c r="I67" s="15" t="s">
        <v>10</v>
      </c>
      <c r="J67" s="15" t="s">
        <v>10</v>
      </c>
      <c r="K67" s="15">
        <v>1.494126653119523</v>
      </c>
      <c r="L67" s="15">
        <v>1.494126653119523</v>
      </c>
      <c r="M67" s="15" t="s">
        <v>10</v>
      </c>
      <c r="N67" s="15" t="s">
        <v>10</v>
      </c>
      <c r="O67" s="15" t="s">
        <v>10</v>
      </c>
      <c r="P67" s="15" t="s">
        <v>10</v>
      </c>
      <c r="Q67" s="8"/>
      <c r="R67" s="9" t="s">
        <v>75</v>
      </c>
    </row>
    <row r="68" spans="1:18" x14ac:dyDescent="0.25">
      <c r="A68" s="6" t="str">
        <f>HYPERLINK("proteomic_fractions_linear_files/Yang_linear_img/157057145.jpg", "157057145")</f>
        <v>157057145</v>
      </c>
      <c r="B68" s="7"/>
      <c r="C68" s="6" t="str">
        <f>HYPERLINK("http://www.ncbi.nlm.nih.gov/protein/157057145","Ablim1")</f>
        <v>Ablim1</v>
      </c>
      <c r="D68" s="8"/>
      <c r="E68" s="8">
        <v>96704</v>
      </c>
      <c r="F68" s="8"/>
      <c r="G68" s="15" t="s">
        <v>10</v>
      </c>
      <c r="H68" s="15" t="s">
        <v>10</v>
      </c>
      <c r="I68" s="15" t="s">
        <v>10</v>
      </c>
      <c r="J68" s="15" t="s">
        <v>10</v>
      </c>
      <c r="K68" s="15" t="s">
        <v>10</v>
      </c>
      <c r="L68" s="15" t="s">
        <v>10</v>
      </c>
      <c r="M68" s="15" t="s">
        <v>10</v>
      </c>
      <c r="N68" s="15" t="s">
        <v>10</v>
      </c>
      <c r="O68" s="15">
        <v>0.85668720075406035</v>
      </c>
      <c r="P68" s="15">
        <v>0.85668720075406035</v>
      </c>
      <c r="Q68" s="8"/>
      <c r="R68" s="9" t="s">
        <v>76</v>
      </c>
    </row>
    <row r="69" spans="1:18" x14ac:dyDescent="0.25">
      <c r="A69" s="6" t="str">
        <f>HYPERLINK("proteomic_fractions_linear_files/Yang_linear_img/157057174.jpg", "157057174")</f>
        <v>157057174</v>
      </c>
      <c r="B69" s="7"/>
      <c r="C69" s="6" t="str">
        <f>HYPERLINK("http://www.ncbi.nlm.nih.gov/protein/157057174","Ablim1")</f>
        <v>Ablim1</v>
      </c>
      <c r="D69" s="8"/>
      <c r="E69" s="8">
        <v>78830</v>
      </c>
      <c r="F69" s="8"/>
      <c r="G69" s="15" t="s">
        <v>10</v>
      </c>
      <c r="H69" s="15" t="s">
        <v>10</v>
      </c>
      <c r="I69" s="15" t="s">
        <v>10</v>
      </c>
      <c r="J69" s="15" t="s">
        <v>10</v>
      </c>
      <c r="K69" s="15" t="s">
        <v>10</v>
      </c>
      <c r="L69" s="15" t="s">
        <v>10</v>
      </c>
      <c r="M69" s="15" t="s">
        <v>10</v>
      </c>
      <c r="N69" s="15" t="s">
        <v>10</v>
      </c>
      <c r="O69" s="15">
        <v>1.0518817528246058</v>
      </c>
      <c r="P69" s="15">
        <v>1.0518817528246058</v>
      </c>
      <c r="Q69" s="8"/>
      <c r="R69" s="9" t="s">
        <v>77</v>
      </c>
    </row>
    <row r="70" spans="1:18" x14ac:dyDescent="0.25">
      <c r="A70" s="6" t="str">
        <f>HYPERLINK("proteomic_fractions_linear_files/Yang_linear_img/157057554.jpg", "157057554")</f>
        <v>157057554</v>
      </c>
      <c r="B70" s="7"/>
      <c r="C70" s="6" t="str">
        <f>HYPERLINK("http://www.ncbi.nlm.nih.gov/protein/157057554","Ablim1")</f>
        <v>Ablim1</v>
      </c>
      <c r="D70" s="8"/>
      <c r="E70" s="8">
        <v>61903</v>
      </c>
      <c r="F70" s="8"/>
      <c r="G70" s="15" t="s">
        <v>10</v>
      </c>
      <c r="H70" s="15" t="s">
        <v>10</v>
      </c>
      <c r="I70" s="15" t="s">
        <v>10</v>
      </c>
      <c r="J70" s="15" t="s">
        <v>10</v>
      </c>
      <c r="K70" s="15" t="s">
        <v>10</v>
      </c>
      <c r="L70" s="15" t="s">
        <v>10</v>
      </c>
      <c r="M70" s="15" t="s">
        <v>10</v>
      </c>
      <c r="N70" s="15" t="s">
        <v>10</v>
      </c>
      <c r="O70" s="15">
        <v>1.3403009431152235</v>
      </c>
      <c r="P70" s="15">
        <v>1.3403009431152235</v>
      </c>
      <c r="Q70" s="8"/>
      <c r="R70" s="9" t="s">
        <v>78</v>
      </c>
    </row>
    <row r="71" spans="1:18" x14ac:dyDescent="0.25">
      <c r="A71" s="6" t="str">
        <f>HYPERLINK("proteomic_fractions_linear_files/Yang_linear_img/37574113.jpg", "37574113")</f>
        <v>37574113</v>
      </c>
      <c r="B71" s="7"/>
      <c r="C71" s="6" t="str">
        <f>HYPERLINK("http://www.ncbi.nlm.nih.gov/protein/37574113","Abr")</f>
        <v>Abr</v>
      </c>
      <c r="D71" s="8"/>
      <c r="E71" s="8">
        <v>98858</v>
      </c>
      <c r="F71" s="8"/>
      <c r="G71" s="15" t="s">
        <v>10</v>
      </c>
      <c r="H71" s="15" t="s">
        <v>10</v>
      </c>
      <c r="I71" s="15">
        <v>0.95927253719782335</v>
      </c>
      <c r="J71" s="15">
        <v>0.95927253719782335</v>
      </c>
      <c r="K71" s="15">
        <v>1.1091067052639543</v>
      </c>
      <c r="L71" s="15">
        <v>1.1091067052639543</v>
      </c>
      <c r="M71" s="15" t="s">
        <v>10</v>
      </c>
      <c r="N71" s="15" t="s">
        <v>10</v>
      </c>
      <c r="O71" s="15" t="s">
        <v>10</v>
      </c>
      <c r="P71" s="15" t="s">
        <v>10</v>
      </c>
      <c r="Q71" s="8"/>
      <c r="R71" s="9" t="s">
        <v>79</v>
      </c>
    </row>
    <row r="72" spans="1:18" x14ac:dyDescent="0.25">
      <c r="A72" s="6" t="str">
        <f>HYPERLINK("proteomic_fractions_linear_files/Yang_linear_img/38683820.jpg", "38683820")</f>
        <v>38683820</v>
      </c>
      <c r="B72" s="7"/>
      <c r="C72" s="6" t="str">
        <f>HYPERLINK("http://www.ncbi.nlm.nih.gov/protein/38683820","Abr")</f>
        <v>Abr</v>
      </c>
      <c r="D72" s="8"/>
      <c r="E72" s="8">
        <v>92357</v>
      </c>
      <c r="F72" s="8"/>
      <c r="G72" s="15" t="s">
        <v>10</v>
      </c>
      <c r="H72" s="15" t="s">
        <v>10</v>
      </c>
      <c r="I72" s="15">
        <v>1.0322606650280925</v>
      </c>
      <c r="J72" s="15">
        <v>1.0322606650280925</v>
      </c>
      <c r="K72" s="15">
        <v>1.193495258925342</v>
      </c>
      <c r="L72" s="15">
        <v>1.193495258925342</v>
      </c>
      <c r="M72" s="15" t="s">
        <v>10</v>
      </c>
      <c r="N72" s="15" t="s">
        <v>10</v>
      </c>
      <c r="O72" s="15" t="s">
        <v>10</v>
      </c>
      <c r="P72" s="15" t="s">
        <v>10</v>
      </c>
      <c r="Q72" s="8"/>
      <c r="R72" s="9" t="s">
        <v>80</v>
      </c>
    </row>
    <row r="73" spans="1:18" x14ac:dyDescent="0.25">
      <c r="A73" s="6" t="str">
        <f>HYPERLINK("proteomic_fractions_linear_files/Yang_linear_img/38683822.jpg", "38683822")</f>
        <v>38683822</v>
      </c>
      <c r="B73" s="7"/>
      <c r="C73" s="6" t="str">
        <f>HYPERLINK("http://www.ncbi.nlm.nih.gov/protein/38683822","Abr")</f>
        <v>Abr</v>
      </c>
      <c r="D73" s="8"/>
      <c r="E73" s="8">
        <v>97536</v>
      </c>
      <c r="F73" s="8"/>
      <c r="G73" s="15" t="s">
        <v>10</v>
      </c>
      <c r="H73" s="15" t="s">
        <v>10</v>
      </c>
      <c r="I73" s="15">
        <v>0.96906103247535214</v>
      </c>
      <c r="J73" s="15">
        <v>0.96906103247535214</v>
      </c>
      <c r="K73" s="15">
        <v>1.1204241206237904</v>
      </c>
      <c r="L73" s="15">
        <v>1.1204241206237904</v>
      </c>
      <c r="M73" s="15" t="s">
        <v>10</v>
      </c>
      <c r="N73" s="15" t="s">
        <v>10</v>
      </c>
      <c r="O73" s="15" t="s">
        <v>10</v>
      </c>
      <c r="P73" s="15" t="s">
        <v>10</v>
      </c>
      <c r="Q73" s="8"/>
      <c r="R73" s="9" t="s">
        <v>81</v>
      </c>
    </row>
    <row r="74" spans="1:18" x14ac:dyDescent="0.25">
      <c r="A74" s="6" t="str">
        <f>HYPERLINK("proteomic_fractions_linear_files/Yang_linear_img/153791468.jpg", "153791468")</f>
        <v>153791468</v>
      </c>
      <c r="B74" s="7"/>
      <c r="C74" s="6" t="str">
        <f>HYPERLINK("http://www.ncbi.nlm.nih.gov/protein/153791468","Abracl")</f>
        <v>Abracl</v>
      </c>
      <c r="D74" s="8"/>
      <c r="E74" s="8">
        <v>8927</v>
      </c>
      <c r="F74" s="8"/>
      <c r="G74" s="15">
        <v>1.3592068102590398</v>
      </c>
      <c r="H74" s="15">
        <v>2.1667944253372529</v>
      </c>
      <c r="I74" s="15">
        <v>1.4163577046597362</v>
      </c>
      <c r="J74" s="15">
        <v>1.4163577046597362</v>
      </c>
      <c r="K74" s="15">
        <v>1.4774515581112815</v>
      </c>
      <c r="L74" s="15">
        <v>1.4774515581112815</v>
      </c>
      <c r="M74" s="15">
        <v>1.4774515581112815</v>
      </c>
      <c r="N74" s="15">
        <v>1.4774515581112815</v>
      </c>
      <c r="O74" s="15">
        <v>1.4774515581112815</v>
      </c>
      <c r="P74" s="15">
        <v>1.4774515581112815</v>
      </c>
      <c r="Q74" s="8"/>
      <c r="R74" s="9" t="s">
        <v>82</v>
      </c>
    </row>
    <row r="75" spans="1:18" x14ac:dyDescent="0.25">
      <c r="A75" s="6" t="str">
        <f>HYPERLINK("proteomic_fractions_linear_files/Yang_linear_img/49402267.jpg", "49402267")</f>
        <v>49402267</v>
      </c>
      <c r="B75" s="7"/>
      <c r="C75" s="6" t="str">
        <f>HYPERLINK("http://www.ncbi.nlm.nih.gov/protein/49402267","Abtb2")</f>
        <v>Abtb2</v>
      </c>
      <c r="D75" s="8"/>
      <c r="E75" s="8">
        <v>113372</v>
      </c>
      <c r="F75" s="8"/>
      <c r="G75" s="15" t="s">
        <v>10</v>
      </c>
      <c r="H75" s="15" t="s">
        <v>10</v>
      </c>
      <c r="I75" s="15">
        <v>0.24706381679364656</v>
      </c>
      <c r="J75" s="15">
        <v>0.24706381679364656</v>
      </c>
      <c r="K75" s="15" t="s">
        <v>10</v>
      </c>
      <c r="L75" s="15" t="s">
        <v>10</v>
      </c>
      <c r="M75" s="15" t="s">
        <v>10</v>
      </c>
      <c r="N75" s="15" t="s">
        <v>10</v>
      </c>
      <c r="O75" s="15" t="s">
        <v>10</v>
      </c>
      <c r="P75" s="15" t="s">
        <v>10</v>
      </c>
      <c r="Q75" s="8"/>
      <c r="R75" s="9" t="s">
        <v>83</v>
      </c>
    </row>
    <row r="76" spans="1:18" x14ac:dyDescent="0.25">
      <c r="A76" s="6" t="str">
        <f>HYPERLINK("proteomic_fractions_linear_files/Yang_linear_img/18700004.jpg", "18700004")</f>
        <v>18700004</v>
      </c>
      <c r="B76" s="7"/>
      <c r="C76" s="6" t="str">
        <f>HYPERLINK("http://www.ncbi.nlm.nih.gov/protein/18700004","Acaa1a")</f>
        <v>Acaa1a</v>
      </c>
      <c r="D76" s="8"/>
      <c r="E76" s="8">
        <v>41242</v>
      </c>
      <c r="F76" s="8"/>
      <c r="G76" s="15">
        <v>1.2956236495122215</v>
      </c>
      <c r="H76" s="15">
        <v>1.2956236495122215</v>
      </c>
      <c r="I76" s="15">
        <v>0.98798337081031085</v>
      </c>
      <c r="J76" s="15">
        <v>0.98798337081031085</v>
      </c>
      <c r="K76" s="15">
        <v>0.98798337081031085</v>
      </c>
      <c r="L76" s="15">
        <v>0.98798337081031085</v>
      </c>
      <c r="M76" s="15" t="s">
        <v>10</v>
      </c>
      <c r="N76" s="15" t="s">
        <v>10</v>
      </c>
      <c r="O76" s="15" t="s">
        <v>10</v>
      </c>
      <c r="P76" s="15" t="s">
        <v>10</v>
      </c>
      <c r="Q76" s="8"/>
      <c r="R76" s="9" t="s">
        <v>84</v>
      </c>
    </row>
    <row r="77" spans="1:18" x14ac:dyDescent="0.25">
      <c r="A77" s="6" t="str">
        <f>HYPERLINK("proteomic_fractions_linear_files/Yang_linear_img/22122797.jpg", "22122797")</f>
        <v>22122797</v>
      </c>
      <c r="B77" s="7"/>
      <c r="C77" s="6" t="str">
        <f>HYPERLINK("http://www.ncbi.nlm.nih.gov/protein/22122797","Acaa1b")</f>
        <v>Acaa1b</v>
      </c>
      <c r="D77" s="8"/>
      <c r="E77" s="8">
        <v>41284</v>
      </c>
      <c r="F77" s="8"/>
      <c r="G77" s="15">
        <v>1.2956236495122215</v>
      </c>
      <c r="H77" s="15">
        <v>1.2956236495122215</v>
      </c>
      <c r="I77" s="15">
        <v>0.98798337081031085</v>
      </c>
      <c r="J77" s="15">
        <v>0.98798337081031085</v>
      </c>
      <c r="K77" s="15">
        <v>0.98798337081031085</v>
      </c>
      <c r="L77" s="15">
        <v>0.98798337081031085</v>
      </c>
      <c r="M77" s="15" t="s">
        <v>10</v>
      </c>
      <c r="N77" s="15" t="s">
        <v>10</v>
      </c>
      <c r="O77" s="15" t="s">
        <v>10</v>
      </c>
      <c r="P77" s="15" t="s">
        <v>10</v>
      </c>
      <c r="Q77" s="8"/>
      <c r="R77" s="9" t="s">
        <v>85</v>
      </c>
    </row>
    <row r="78" spans="1:18" x14ac:dyDescent="0.25">
      <c r="A78" s="6" t="str">
        <f>HYPERLINK("proteomic_fractions_linear_files/Yang_linear_img/29126205.jpg", "29126205")</f>
        <v>29126205</v>
      </c>
      <c r="B78" s="7"/>
      <c r="C78" s="6" t="str">
        <f>HYPERLINK("http://www.ncbi.nlm.nih.gov/protein/29126205","Acaa2")</f>
        <v>Acaa2</v>
      </c>
      <c r="D78" s="8"/>
      <c r="E78" s="8">
        <v>40105</v>
      </c>
      <c r="F78" s="8"/>
      <c r="G78" s="15">
        <v>1.3280142407500271</v>
      </c>
      <c r="H78" s="15">
        <v>1.3280142407500271</v>
      </c>
      <c r="I78" s="15">
        <v>1.0126829550805687</v>
      </c>
      <c r="J78" s="15">
        <v>1.0126829550805687</v>
      </c>
      <c r="K78" s="15">
        <v>1.1031397311741367</v>
      </c>
      <c r="L78" s="15">
        <v>1.1031397311741367</v>
      </c>
      <c r="M78" s="15">
        <v>1.0126829550805687</v>
      </c>
      <c r="N78" s="15">
        <v>1.0126829550805687</v>
      </c>
      <c r="O78" s="15">
        <v>0.93353316057811475</v>
      </c>
      <c r="P78" s="15">
        <v>0.93353316057811475</v>
      </c>
      <c r="Q78" s="8"/>
      <c r="R78" s="9" t="s">
        <v>86</v>
      </c>
    </row>
    <row r="79" spans="1:18" x14ac:dyDescent="0.25">
      <c r="A79" s="6" t="str">
        <f>HYPERLINK("proteomic_fractions_linear_files/Yang_linear_img/125656173.jpg", "125656173")</f>
        <v>125656173</v>
      </c>
      <c r="B79" s="7"/>
      <c r="C79" s="6" t="str">
        <f>HYPERLINK("http://www.ncbi.nlm.nih.gov/protein/125656173","Acaca")</f>
        <v>Acaca</v>
      </c>
      <c r="D79" s="8"/>
      <c r="E79" s="8">
        <v>265127</v>
      </c>
      <c r="F79" s="8"/>
      <c r="G79" s="15" t="s">
        <v>10</v>
      </c>
      <c r="H79" s="15" t="s">
        <v>10</v>
      </c>
      <c r="I79" s="15">
        <v>0.8806069721805625</v>
      </c>
      <c r="J79" s="15">
        <v>0.8806069721805625</v>
      </c>
      <c r="K79" s="15">
        <v>1.1388049986282973</v>
      </c>
      <c r="L79" s="15">
        <v>1.1388049986282973</v>
      </c>
      <c r="M79" s="15">
        <v>1.1388049986282973</v>
      </c>
      <c r="N79" s="15">
        <v>1.1388049986282973</v>
      </c>
      <c r="O79" s="15">
        <v>0.8806069721805625</v>
      </c>
      <c r="P79" s="15">
        <v>0.8806069721805625</v>
      </c>
      <c r="Q79" s="8"/>
      <c r="R79" s="9" t="s">
        <v>87</v>
      </c>
    </row>
    <row r="80" spans="1:18" x14ac:dyDescent="0.25">
      <c r="A80" s="6" t="str">
        <f>HYPERLINK("proteomic_fractions_linear_files/Yang_linear_img/157042798.jpg", "157042798")</f>
        <v>157042798</v>
      </c>
      <c r="B80" s="7"/>
      <c r="C80" s="6" t="str">
        <f>HYPERLINK("http://www.ncbi.nlm.nih.gov/protein/157042798","Acacb")</f>
        <v>Acacb</v>
      </c>
      <c r="D80" s="8"/>
      <c r="E80" s="8">
        <v>273953</v>
      </c>
      <c r="F80" s="8"/>
      <c r="G80" s="15" t="s">
        <v>10</v>
      </c>
      <c r="H80" s="15" t="s">
        <v>10</v>
      </c>
      <c r="I80" s="15" t="s">
        <v>10</v>
      </c>
      <c r="J80" s="15" t="s">
        <v>10</v>
      </c>
      <c r="K80" s="15">
        <v>1.1013989950237182</v>
      </c>
      <c r="L80" s="15">
        <v>1.1013989950237182</v>
      </c>
      <c r="M80" s="15">
        <v>1.1013989950237182</v>
      </c>
      <c r="N80" s="15">
        <v>1.1013989950237182</v>
      </c>
      <c r="O80" s="15">
        <v>0.85168192564908418</v>
      </c>
      <c r="P80" s="15">
        <v>0.85168192564908418</v>
      </c>
      <c r="Q80" s="8"/>
      <c r="R80" s="9" t="s">
        <v>88</v>
      </c>
    </row>
    <row r="81" spans="1:18" x14ac:dyDescent="0.25">
      <c r="A81" s="6" t="str">
        <f>HYPERLINK("proteomic_fractions_linear_files/Yang_linear_img/156255157.jpg", "156255157")</f>
        <v>156255157</v>
      </c>
      <c r="B81" s="7"/>
      <c r="C81" s="6" t="str">
        <f>HYPERLINK("http://www.ncbi.nlm.nih.gov/protein/156255157","Acad10")</f>
        <v>Acad10</v>
      </c>
      <c r="D81" s="8"/>
      <c r="E81" s="8">
        <v>118849</v>
      </c>
      <c r="F81" s="8"/>
      <c r="G81" s="15">
        <v>0.61711059026623738</v>
      </c>
      <c r="H81" s="15">
        <v>0.61711059026623738</v>
      </c>
      <c r="I81" s="15">
        <v>0.37080327098290311</v>
      </c>
      <c r="J81" s="15">
        <v>0.37080327098290311</v>
      </c>
      <c r="K81" s="15" t="s">
        <v>10</v>
      </c>
      <c r="L81" s="15" t="s">
        <v>10</v>
      </c>
      <c r="M81" s="15" t="s">
        <v>10</v>
      </c>
      <c r="N81" s="15" t="s">
        <v>10</v>
      </c>
      <c r="O81" s="15" t="s">
        <v>10</v>
      </c>
      <c r="P81" s="15" t="s">
        <v>10</v>
      </c>
      <c r="Q81" s="8"/>
      <c r="R81" s="9" t="s">
        <v>89</v>
      </c>
    </row>
    <row r="82" spans="1:18" x14ac:dyDescent="0.25">
      <c r="A82" s="6" t="str">
        <f>HYPERLINK("proteomic_fractions_linear_files/Yang_linear_img/74271799.jpg", "74271799")</f>
        <v>74271799</v>
      </c>
      <c r="B82" s="7"/>
      <c r="C82" s="6" t="str">
        <f>HYPERLINK("http://www.ncbi.nlm.nih.gov/protein/74271799","Acad11")</f>
        <v>Acad11</v>
      </c>
      <c r="D82" s="8"/>
      <c r="E82" s="8">
        <v>87218</v>
      </c>
      <c r="F82" s="8"/>
      <c r="G82" s="15">
        <v>1.2620869404727755</v>
      </c>
      <c r="H82" s="15">
        <v>1.2620869404727755</v>
      </c>
      <c r="I82" s="15">
        <v>1.0915859906044196</v>
      </c>
      <c r="J82" s="15">
        <v>1.0915859906044196</v>
      </c>
      <c r="K82" s="15">
        <v>1.0915859906044196</v>
      </c>
      <c r="L82" s="15">
        <v>1.0915859906044196</v>
      </c>
      <c r="M82" s="15" t="s">
        <v>10</v>
      </c>
      <c r="N82" s="15" t="s">
        <v>10</v>
      </c>
      <c r="O82" s="15" t="s">
        <v>10</v>
      </c>
      <c r="P82" s="15" t="s">
        <v>10</v>
      </c>
      <c r="Q82" s="8"/>
      <c r="R82" s="9" t="s">
        <v>90</v>
      </c>
    </row>
    <row r="83" spans="1:18" x14ac:dyDescent="0.25">
      <c r="A83" s="6" t="str">
        <f>HYPERLINK("proteomic_fractions_linear_files/Yang_linear_img/257467675.jpg", "257467675")</f>
        <v>257467675</v>
      </c>
      <c r="B83" s="7"/>
      <c r="C83" s="6" t="str">
        <f>HYPERLINK("http://www.ncbi.nlm.nih.gov/protein/257467675","Acad12")</f>
        <v>Acad12</v>
      </c>
      <c r="D83" s="8"/>
      <c r="E83" s="8">
        <v>61259</v>
      </c>
      <c r="F83" s="8"/>
      <c r="G83" s="15" t="s">
        <v>10</v>
      </c>
      <c r="H83" s="15" t="s">
        <v>10</v>
      </c>
      <c r="I83" s="15">
        <v>0.72337031552402409</v>
      </c>
      <c r="J83" s="15">
        <v>0.72337031552402409</v>
      </c>
      <c r="K83" s="15" t="s">
        <v>10</v>
      </c>
      <c r="L83" s="15" t="s">
        <v>10</v>
      </c>
      <c r="M83" s="15" t="s">
        <v>10</v>
      </c>
      <c r="N83" s="15" t="s">
        <v>10</v>
      </c>
      <c r="O83" s="15" t="s">
        <v>10</v>
      </c>
      <c r="P83" s="15" t="s">
        <v>10</v>
      </c>
      <c r="Q83" s="8"/>
      <c r="R83" s="9" t="s">
        <v>91</v>
      </c>
    </row>
    <row r="84" spans="1:18" x14ac:dyDescent="0.25">
      <c r="A84" s="6" t="str">
        <f>HYPERLINK("proteomic_fractions_linear_files/Yang_linear_img/118403322.jpg", "118403322")</f>
        <v>118403322</v>
      </c>
      <c r="B84" s="7"/>
      <c r="C84" s="6" t="str">
        <f>HYPERLINK("http://www.ncbi.nlm.nih.gov/protein/118403322","Acad8")</f>
        <v>Acad8</v>
      </c>
      <c r="D84" s="8"/>
      <c r="E84" s="8">
        <v>42822</v>
      </c>
      <c r="F84" s="8"/>
      <c r="G84" s="15">
        <v>0.80356689605756237</v>
      </c>
      <c r="H84" s="15">
        <v>0.86840294007266494</v>
      </c>
      <c r="I84" s="15">
        <v>0.86840294007266494</v>
      </c>
      <c r="J84" s="15">
        <v>0.86840294007266494</v>
      </c>
      <c r="K84" s="15" t="s">
        <v>10</v>
      </c>
      <c r="L84" s="15" t="s">
        <v>10</v>
      </c>
      <c r="M84" s="15" t="s">
        <v>10</v>
      </c>
      <c r="N84" s="15" t="s">
        <v>10</v>
      </c>
      <c r="O84" s="15" t="s">
        <v>10</v>
      </c>
      <c r="P84" s="15" t="s">
        <v>10</v>
      </c>
      <c r="Q84" s="8"/>
      <c r="R84" s="9" t="s">
        <v>92</v>
      </c>
    </row>
    <row r="85" spans="1:18" x14ac:dyDescent="0.25">
      <c r="A85" s="6" t="str">
        <f>HYPERLINK("proteomic_fractions_linear_files/Yang_linear_img/100817933.jpg", "100817933")</f>
        <v>100817933</v>
      </c>
      <c r="B85" s="7"/>
      <c r="C85" s="6" t="str">
        <f>HYPERLINK("http://www.ncbi.nlm.nih.gov/protein/100817933","Acad9")</f>
        <v>Acad9</v>
      </c>
      <c r="D85" s="8"/>
      <c r="E85" s="8">
        <v>68591</v>
      </c>
      <c r="F85" s="8"/>
      <c r="G85" s="15">
        <v>1.0642921774156846</v>
      </c>
      <c r="H85" s="15">
        <v>1.0642921774156846</v>
      </c>
      <c r="I85" s="15">
        <v>0.94859801928325116</v>
      </c>
      <c r="J85" s="15">
        <v>0.94859801928325116</v>
      </c>
      <c r="K85" s="15">
        <v>0.94859801928325116</v>
      </c>
      <c r="L85" s="15">
        <v>0.94859801928325116</v>
      </c>
      <c r="M85" s="15" t="s">
        <v>10</v>
      </c>
      <c r="N85" s="15" t="s">
        <v>10</v>
      </c>
      <c r="O85" s="15" t="s">
        <v>10</v>
      </c>
      <c r="P85" s="15" t="s">
        <v>10</v>
      </c>
      <c r="Q85" s="8"/>
      <c r="R85" s="9" t="s">
        <v>93</v>
      </c>
    </row>
    <row r="86" spans="1:18" x14ac:dyDescent="0.25">
      <c r="A86" s="6" t="str">
        <f>HYPERLINK("proteomic_fractions_linear_files/Yang_linear_img/31982520.jpg", "31982520")</f>
        <v>31982520</v>
      </c>
      <c r="B86" s="7"/>
      <c r="C86" s="6" t="str">
        <f>HYPERLINK("http://www.ncbi.nlm.nih.gov/protein/31982520","Acadl")</f>
        <v>Acadl</v>
      </c>
      <c r="D86" s="8"/>
      <c r="E86" s="8">
        <v>44641</v>
      </c>
      <c r="F86" s="8"/>
      <c r="G86" s="15">
        <v>0.8298072538472131</v>
      </c>
      <c r="H86" s="15">
        <v>1.1804571028889128</v>
      </c>
      <c r="I86" s="15">
        <v>0.90016262673828318</v>
      </c>
      <c r="J86" s="15">
        <v>0.90016262673828318</v>
      </c>
      <c r="K86" s="15">
        <v>0.90016262673828318</v>
      </c>
      <c r="L86" s="15">
        <v>0.90016262673828318</v>
      </c>
      <c r="M86" s="15">
        <v>0.90016262673828318</v>
      </c>
      <c r="N86" s="15">
        <v>0.90016262673828318</v>
      </c>
      <c r="O86" s="15">
        <v>0.76785281178833742</v>
      </c>
      <c r="P86" s="15">
        <v>0.8298072538472131</v>
      </c>
      <c r="Q86" s="8"/>
      <c r="R86" s="9" t="s">
        <v>94</v>
      </c>
    </row>
    <row r="87" spans="1:18" x14ac:dyDescent="0.25">
      <c r="A87" s="6" t="str">
        <f>HYPERLINK("proteomic_fractions_linear_files/Yang_linear_img/6680618.jpg", "6680618")</f>
        <v>6680618</v>
      </c>
      <c r="B87" s="7"/>
      <c r="C87" s="6" t="str">
        <f>HYPERLINK("http://www.ncbi.nlm.nih.gov/protein/6680618","Acadm")</f>
        <v>Acadm</v>
      </c>
      <c r="D87" s="8"/>
      <c r="E87" s="8">
        <v>43593</v>
      </c>
      <c r="F87" s="8"/>
      <c r="G87" s="15">
        <v>1.2072856734091155</v>
      </c>
      <c r="H87" s="15">
        <v>1.2072856734091155</v>
      </c>
      <c r="I87" s="15">
        <v>0.9206208682550624</v>
      </c>
      <c r="J87" s="15">
        <v>0.9206208682550624</v>
      </c>
      <c r="K87" s="15">
        <v>0.9206208682550624</v>
      </c>
      <c r="L87" s="15">
        <v>0.9206208682550624</v>
      </c>
      <c r="M87" s="15">
        <v>0.9206208682550624</v>
      </c>
      <c r="N87" s="15">
        <v>0.9206208682550624</v>
      </c>
      <c r="O87" s="15">
        <v>0.84866650961646795</v>
      </c>
      <c r="P87" s="15">
        <v>0.84866650961646795</v>
      </c>
      <c r="Q87" s="8"/>
      <c r="R87" s="9" t="s">
        <v>95</v>
      </c>
    </row>
    <row r="88" spans="1:18" x14ac:dyDescent="0.25">
      <c r="A88" s="6" t="str">
        <f>HYPERLINK("proteomic_fractions_linear_files/Yang_linear_img/31982522.jpg", "31982522")</f>
        <v>31982522</v>
      </c>
      <c r="B88" s="7"/>
      <c r="C88" s="6" t="str">
        <f>HYPERLINK("http://www.ncbi.nlm.nih.gov/protein/31982522","Acads")</f>
        <v>Acads</v>
      </c>
      <c r="D88" s="8"/>
      <c r="E88" s="8">
        <v>42175</v>
      </c>
      <c r="F88" s="8"/>
      <c r="G88" s="15">
        <v>1.2647754673809781</v>
      </c>
      <c r="H88" s="15">
        <v>1.2647754673809781</v>
      </c>
      <c r="I88" s="15">
        <v>0.88907920055058554</v>
      </c>
      <c r="J88" s="15">
        <v>0.88907920055058554</v>
      </c>
      <c r="K88" s="15" t="s">
        <v>10</v>
      </c>
      <c r="L88" s="15" t="s">
        <v>10</v>
      </c>
      <c r="M88" s="15">
        <v>0.88907920055058554</v>
      </c>
      <c r="N88" s="15">
        <v>0.88907920055058554</v>
      </c>
      <c r="O88" s="15">
        <v>0.82269944120179006</v>
      </c>
      <c r="P88" s="15">
        <v>0.82269944120179006</v>
      </c>
      <c r="Q88" s="8"/>
      <c r="R88" s="9" t="s">
        <v>96</v>
      </c>
    </row>
    <row r="89" spans="1:18" x14ac:dyDescent="0.25">
      <c r="A89" s="6" t="str">
        <f>HYPERLINK("proteomic_fractions_linear_files/Yang_linear_img/17647119.jpg", "17647119")</f>
        <v>17647119</v>
      </c>
      <c r="B89" s="7"/>
      <c r="C89" s="6" t="str">
        <f>HYPERLINK("http://www.ncbi.nlm.nih.gov/protein/17647119","Acadsb")</f>
        <v>Acadsb</v>
      </c>
      <c r="D89" s="8"/>
      <c r="E89" s="8">
        <v>44042</v>
      </c>
      <c r="F89" s="8"/>
      <c r="G89" s="15">
        <v>1.4875741666032802</v>
      </c>
      <c r="H89" s="15">
        <v>1.4875741666032802</v>
      </c>
      <c r="I89" s="15">
        <v>0.84866650961646795</v>
      </c>
      <c r="J89" s="15">
        <v>0.84866650961646795</v>
      </c>
      <c r="K89" s="15" t="s">
        <v>10</v>
      </c>
      <c r="L89" s="15" t="s">
        <v>10</v>
      </c>
      <c r="M89" s="15" t="s">
        <v>10</v>
      </c>
      <c r="N89" s="15" t="s">
        <v>10</v>
      </c>
      <c r="O89" s="15" t="s">
        <v>10</v>
      </c>
      <c r="P89" s="15" t="s">
        <v>10</v>
      </c>
      <c r="Q89" s="8"/>
      <c r="R89" s="9" t="s">
        <v>97</v>
      </c>
    </row>
    <row r="90" spans="1:18" x14ac:dyDescent="0.25">
      <c r="A90" s="6" t="str">
        <f>HYPERLINK("proteomic_fractions_linear_files/Yang_linear_img/23956084.jpg", "23956084")</f>
        <v>23956084</v>
      </c>
      <c r="B90" s="7"/>
      <c r="C90" s="6" t="str">
        <f>HYPERLINK("http://www.ncbi.nlm.nih.gov/protein/23956084","Acadvl")</f>
        <v>Acadvl</v>
      </c>
      <c r="D90" s="8"/>
      <c r="E90" s="8">
        <v>66338</v>
      </c>
      <c r="F90" s="8"/>
      <c r="G90" s="15">
        <v>1.2590705829264222</v>
      </c>
      <c r="H90" s="15">
        <v>1.2590705829264222</v>
      </c>
      <c r="I90" s="15">
        <v>1.1126690945709432</v>
      </c>
      <c r="J90" s="15">
        <v>1.1126690945709432</v>
      </c>
      <c r="K90" s="15">
        <v>1.1126690945709432</v>
      </c>
      <c r="L90" s="15">
        <v>1.1126690945709432</v>
      </c>
      <c r="M90" s="15">
        <v>1.1126690945709432</v>
      </c>
      <c r="N90" s="15">
        <v>1.1126690945709432</v>
      </c>
      <c r="O90" s="15" t="s">
        <v>10</v>
      </c>
      <c r="P90" s="15" t="s">
        <v>10</v>
      </c>
      <c r="Q90" s="8"/>
      <c r="R90" s="9" t="s">
        <v>98</v>
      </c>
    </row>
    <row r="91" spans="1:18" x14ac:dyDescent="0.25">
      <c r="A91" s="6" t="str">
        <f>HYPERLINK("proteomic_fractions_linear_files/Yang_linear_img/62079289.jpg", "62079289")</f>
        <v>62079289</v>
      </c>
      <c r="B91" s="7"/>
      <c r="C91" s="6" t="str">
        <f>HYPERLINK("http://www.ncbi.nlm.nih.gov/protein/62079289","Acap2")</f>
        <v>Acap2</v>
      </c>
      <c r="D91" s="8"/>
      <c r="E91" s="8">
        <v>87080</v>
      </c>
      <c r="F91" s="8"/>
      <c r="G91" s="15" t="s">
        <v>10</v>
      </c>
      <c r="H91" s="15" t="s">
        <v>10</v>
      </c>
      <c r="I91" s="15">
        <v>1.0915859906044196</v>
      </c>
      <c r="J91" s="15">
        <v>1.0915859906044196</v>
      </c>
      <c r="K91" s="15">
        <v>1.0915859906044196</v>
      </c>
      <c r="L91" s="15">
        <v>1.0915859906044196</v>
      </c>
      <c r="M91" s="15">
        <v>1.0915859906044196</v>
      </c>
      <c r="N91" s="15">
        <v>1.0915859906044196</v>
      </c>
      <c r="O91" s="15">
        <v>1.0915859906044196</v>
      </c>
      <c r="P91" s="15">
        <v>1.0915859906044196</v>
      </c>
      <c r="Q91" s="8"/>
      <c r="R91" s="9" t="s">
        <v>99</v>
      </c>
    </row>
    <row r="92" spans="1:18" x14ac:dyDescent="0.25">
      <c r="A92" s="6" t="str">
        <f>HYPERLINK("proteomic_fractions_linear_files/Yang_linear_img/21450129.jpg", "21450129")</f>
        <v>21450129</v>
      </c>
      <c r="B92" s="7"/>
      <c r="C92" s="6" t="str">
        <f>HYPERLINK("http://www.ncbi.nlm.nih.gov/protein/21450129","Acat1")</f>
        <v>Acat1</v>
      </c>
      <c r="D92" s="8"/>
      <c r="E92" s="8">
        <v>41414</v>
      </c>
      <c r="F92" s="8"/>
      <c r="G92" s="15">
        <v>0.91076405910059977</v>
      </c>
      <c r="H92" s="15">
        <v>0.91076405910059977</v>
      </c>
      <c r="I92" s="15">
        <v>0.98798337081031085</v>
      </c>
      <c r="J92" s="15">
        <v>0.98798337081031085</v>
      </c>
      <c r="K92" s="15">
        <v>0.98798337081031085</v>
      </c>
      <c r="L92" s="15">
        <v>0.98798337081031085</v>
      </c>
      <c r="M92" s="15">
        <v>0.98798337081031085</v>
      </c>
      <c r="N92" s="15">
        <v>0.98798337081031085</v>
      </c>
      <c r="O92" s="15">
        <v>0.91076405910059977</v>
      </c>
      <c r="P92" s="15">
        <v>0.91076405910059977</v>
      </c>
      <c r="Q92" s="8"/>
      <c r="R92" s="9" t="s">
        <v>100</v>
      </c>
    </row>
    <row r="93" spans="1:18" x14ac:dyDescent="0.25">
      <c r="A93" s="6" t="str">
        <f>HYPERLINK("proteomic_fractions_linear_files/Yang_linear_img/148747461.jpg", "148747461")</f>
        <v>148747461</v>
      </c>
      <c r="B93" s="7"/>
      <c r="C93" s="6" t="str">
        <f>HYPERLINK("http://www.ncbi.nlm.nih.gov/protein/148747461","Acat2")</f>
        <v>Acat2</v>
      </c>
      <c r="D93" s="8"/>
      <c r="E93" s="8">
        <v>41167</v>
      </c>
      <c r="F93" s="8"/>
      <c r="G93" s="15" t="s">
        <v>10</v>
      </c>
      <c r="H93" s="15" t="s">
        <v>10</v>
      </c>
      <c r="I93" s="15">
        <v>0.91076405910059977</v>
      </c>
      <c r="J93" s="15">
        <v>0.91076405910059977</v>
      </c>
      <c r="K93" s="15">
        <v>0.98798337081031085</v>
      </c>
      <c r="L93" s="15">
        <v>0.98798337081031085</v>
      </c>
      <c r="M93" s="15">
        <v>0.91076405910059977</v>
      </c>
      <c r="N93" s="15">
        <v>0.91076405910059977</v>
      </c>
      <c r="O93" s="15">
        <v>0.84276528123110206</v>
      </c>
      <c r="P93" s="15">
        <v>0.84276528123110206</v>
      </c>
      <c r="Q93" s="8"/>
      <c r="R93" s="9" t="s">
        <v>101</v>
      </c>
    </row>
    <row r="94" spans="1:18" x14ac:dyDescent="0.25">
      <c r="A94" s="6" t="str">
        <f>HYPERLINK("proteomic_fractions_linear_files/Yang_linear_img/110625948.jpg", "110625948")</f>
        <v>110625948</v>
      </c>
      <c r="B94" s="7"/>
      <c r="C94" s="6" t="str">
        <f>HYPERLINK("http://www.ncbi.nlm.nih.gov/protein/110625948","Acat3")</f>
        <v>Acat3</v>
      </c>
      <c r="D94" s="8"/>
      <c r="E94" s="8">
        <v>41339</v>
      </c>
      <c r="F94" s="8"/>
      <c r="G94" s="15" t="s">
        <v>10</v>
      </c>
      <c r="H94" s="15" t="s">
        <v>10</v>
      </c>
      <c r="I94" s="15" t="s">
        <v>10</v>
      </c>
      <c r="J94" s="15" t="s">
        <v>10</v>
      </c>
      <c r="K94" s="15">
        <v>0.98798337081031085</v>
      </c>
      <c r="L94" s="15">
        <v>0.98798337081031085</v>
      </c>
      <c r="M94" s="15">
        <v>0.91076405910059977</v>
      </c>
      <c r="N94" s="15">
        <v>0.91076405910059977</v>
      </c>
      <c r="O94" s="15">
        <v>0.84276528123110206</v>
      </c>
      <c r="P94" s="15">
        <v>0.84276528123110206</v>
      </c>
      <c r="Q94" s="8"/>
      <c r="R94" s="9" t="s">
        <v>102</v>
      </c>
    </row>
    <row r="95" spans="1:18" x14ac:dyDescent="0.25">
      <c r="A95" s="6" t="str">
        <f>HYPERLINK("proteomic_fractions_linear_files/Yang_linear_img/229608928.jpg", "229608928")</f>
        <v>229608928</v>
      </c>
      <c r="B95" s="7"/>
      <c r="C95" s="6" t="str">
        <f>HYPERLINK("http://www.ncbi.nlm.nih.gov/protein/229608928","Acbd3")</f>
        <v>Acbd3</v>
      </c>
      <c r="D95" s="8"/>
      <c r="E95" s="8">
        <v>60051</v>
      </c>
      <c r="F95" s="8"/>
      <c r="G95" s="15">
        <v>1.5827996863764084</v>
      </c>
      <c r="H95" s="15">
        <v>1.5827996863764084</v>
      </c>
      <c r="I95" s="15">
        <v>1.2239360040280374</v>
      </c>
      <c r="J95" s="15">
        <v>1.2239360040280374</v>
      </c>
      <c r="K95" s="15">
        <v>1.3849776412190642</v>
      </c>
      <c r="L95" s="15">
        <v>1.3849776412190642</v>
      </c>
      <c r="M95" s="15">
        <v>1.3849776412190642</v>
      </c>
      <c r="N95" s="15">
        <v>1.3849776412190642</v>
      </c>
      <c r="O95" s="15">
        <v>0.62235544038540991</v>
      </c>
      <c r="P95" s="15">
        <v>1.2239360040280374</v>
      </c>
      <c r="Q95" s="8"/>
      <c r="R95" s="9" t="s">
        <v>103</v>
      </c>
    </row>
    <row r="96" spans="1:18" x14ac:dyDescent="0.25">
      <c r="A96" s="6" t="str">
        <f>HYPERLINK("proteomic_fractions_linear_files/Yang_linear_img/156255161.jpg", "156255161")</f>
        <v>156255161</v>
      </c>
      <c r="B96" s="7"/>
      <c r="C96" s="6" t="str">
        <f>HYPERLINK("http://www.ncbi.nlm.nih.gov/protein/156255161","Acbd5")</f>
        <v>Acbd5</v>
      </c>
      <c r="D96" s="8"/>
      <c r="E96" s="8">
        <v>52239</v>
      </c>
      <c r="F96" s="8"/>
      <c r="G96" s="15">
        <v>1.5980511244835358</v>
      </c>
      <c r="H96" s="15">
        <v>1.5980511244835358</v>
      </c>
      <c r="I96" s="15">
        <v>1.2587166025104679</v>
      </c>
      <c r="J96" s="15">
        <v>1.2587166025104679</v>
      </c>
      <c r="K96" s="15">
        <v>1.4122338508015817</v>
      </c>
      <c r="L96" s="15">
        <v>1.4122338508015817</v>
      </c>
      <c r="M96" s="15" t="s">
        <v>10</v>
      </c>
      <c r="N96" s="15" t="s">
        <v>10</v>
      </c>
      <c r="O96" s="15">
        <v>0.77898688852351428</v>
      </c>
      <c r="P96" s="15">
        <v>0.77898688852351428</v>
      </c>
      <c r="Q96" s="8"/>
      <c r="R96" s="9" t="s">
        <v>104</v>
      </c>
    </row>
    <row r="97" spans="1:18" x14ac:dyDescent="0.25">
      <c r="A97" s="6" t="str">
        <f>HYPERLINK("proteomic_fractions_linear_files/Yang_linear_img/156255163.jpg", "156255163")</f>
        <v>156255163</v>
      </c>
      <c r="B97" s="7"/>
      <c r="C97" s="6" t="str">
        <f>HYPERLINK("http://www.ncbi.nlm.nih.gov/protein/156255163","Acbd5")</f>
        <v>Acbd5</v>
      </c>
      <c r="D97" s="8"/>
      <c r="E97" s="8">
        <v>55018</v>
      </c>
      <c r="F97" s="8"/>
      <c r="G97" s="15">
        <v>1.5108846995117065</v>
      </c>
      <c r="H97" s="15">
        <v>1.5108846995117065</v>
      </c>
      <c r="I97" s="15">
        <v>1.1900593332826241</v>
      </c>
      <c r="J97" s="15">
        <v>1.1900593332826241</v>
      </c>
      <c r="K97" s="15">
        <v>1.3352029134851318</v>
      </c>
      <c r="L97" s="15">
        <v>1.3352029134851318</v>
      </c>
      <c r="M97" s="15" t="s">
        <v>10</v>
      </c>
      <c r="N97" s="15" t="s">
        <v>10</v>
      </c>
      <c r="O97" s="15">
        <v>0.73649669460404987</v>
      </c>
      <c r="P97" s="15">
        <v>0.73649669460404987</v>
      </c>
      <c r="Q97" s="8"/>
      <c r="R97" s="9" t="s">
        <v>105</v>
      </c>
    </row>
    <row r="98" spans="1:18" x14ac:dyDescent="0.25">
      <c r="A98" s="6" t="str">
        <f>HYPERLINK("proteomic_fractions_linear_files/Yang_linear_img/156255165.jpg", "156255165")</f>
        <v>156255165</v>
      </c>
      <c r="B98" s="7"/>
      <c r="C98" s="6" t="str">
        <f>HYPERLINK("http://www.ncbi.nlm.nih.gov/protein/156255165","Acbd5")</f>
        <v>Acbd5</v>
      </c>
      <c r="D98" s="8"/>
      <c r="E98" s="8">
        <v>54919</v>
      </c>
      <c r="F98" s="8"/>
      <c r="G98" s="15">
        <v>1.5108846995117065</v>
      </c>
      <c r="H98" s="15">
        <v>1.5108846995117065</v>
      </c>
      <c r="I98" s="15">
        <v>1.1900593332826241</v>
      </c>
      <c r="J98" s="15">
        <v>1.1900593332826241</v>
      </c>
      <c r="K98" s="15">
        <v>1.3352029134851318</v>
      </c>
      <c r="L98" s="15">
        <v>1.3352029134851318</v>
      </c>
      <c r="M98" s="15" t="s">
        <v>10</v>
      </c>
      <c r="N98" s="15" t="s">
        <v>10</v>
      </c>
      <c r="O98" s="15">
        <v>0.73649669460404987</v>
      </c>
      <c r="P98" s="15">
        <v>0.73649669460404987</v>
      </c>
      <c r="Q98" s="8"/>
      <c r="R98" s="9" t="s">
        <v>106</v>
      </c>
    </row>
    <row r="99" spans="1:18" x14ac:dyDescent="0.25">
      <c r="A99" s="6" t="str">
        <f>HYPERLINK("proteomic_fractions_linear_files/Yang_linear_img/27229192.jpg", "27229192")</f>
        <v>27229192</v>
      </c>
      <c r="B99" s="7"/>
      <c r="C99" s="6" t="str">
        <f>HYPERLINK("http://www.ncbi.nlm.nih.gov/protein/27229192","Acbd5")</f>
        <v>Acbd5</v>
      </c>
      <c r="D99" s="8"/>
      <c r="E99" s="8">
        <v>52338</v>
      </c>
      <c r="F99" s="8"/>
      <c r="G99" s="15">
        <v>1.5980511244835358</v>
      </c>
      <c r="H99" s="15">
        <v>1.5980511244835358</v>
      </c>
      <c r="I99" s="15">
        <v>1.2587166025104679</v>
      </c>
      <c r="J99" s="15">
        <v>1.2587166025104679</v>
      </c>
      <c r="K99" s="15">
        <v>1.4122338508015817</v>
      </c>
      <c r="L99" s="15">
        <v>1.4122338508015817</v>
      </c>
      <c r="M99" s="15" t="s">
        <v>10</v>
      </c>
      <c r="N99" s="15" t="s">
        <v>10</v>
      </c>
      <c r="O99" s="15">
        <v>0.77898688852351428</v>
      </c>
      <c r="P99" s="15">
        <v>0.77898688852351428</v>
      </c>
      <c r="Q99" s="8"/>
      <c r="R99" s="9" t="s">
        <v>107</v>
      </c>
    </row>
    <row r="100" spans="1:18" x14ac:dyDescent="0.25">
      <c r="A100" s="6" t="str">
        <f>HYPERLINK("proteomic_fractions_linear_files/Yang_linear_img/224809391.jpg", "224809391")</f>
        <v>224809391</v>
      </c>
      <c r="B100" s="7"/>
      <c r="C100" s="6" t="str">
        <f>HYPERLINK("http://www.ncbi.nlm.nih.gov/protein/224809391","Acbd6")</f>
        <v>Acbd6</v>
      </c>
      <c r="D100" s="8"/>
      <c r="E100" s="8">
        <v>15026</v>
      </c>
      <c r="F100" s="8"/>
      <c r="G100" s="15" t="s">
        <v>10</v>
      </c>
      <c r="H100" s="15" t="s">
        <v>10</v>
      </c>
      <c r="I100" s="15" t="s">
        <v>10</v>
      </c>
      <c r="J100" s="15" t="s">
        <v>10</v>
      </c>
      <c r="K100" s="15" t="s">
        <v>10</v>
      </c>
      <c r="L100" s="15" t="s">
        <v>10</v>
      </c>
      <c r="M100" s="15" t="s">
        <v>10</v>
      </c>
      <c r="N100" s="15" t="s">
        <v>10</v>
      </c>
      <c r="O100" s="15">
        <v>1.8612140865121374</v>
      </c>
      <c r="P100" s="15">
        <v>1.8612140865121374</v>
      </c>
      <c r="Q100" s="8"/>
      <c r="R100" s="9" t="s">
        <v>108</v>
      </c>
    </row>
    <row r="101" spans="1:18" x14ac:dyDescent="0.25">
      <c r="A101" s="6" t="str">
        <f>HYPERLINK("proteomic_fractions_linear_files/Yang_linear_img/224809393.jpg", "224809393")</f>
        <v>224809393</v>
      </c>
      <c r="B101" s="7"/>
      <c r="C101" s="6" t="str">
        <f>HYPERLINK("http://www.ncbi.nlm.nih.gov/protein/224809393","Acbd6")</f>
        <v>Acbd6</v>
      </c>
      <c r="D101" s="8"/>
      <c r="E101" s="8">
        <v>14759</v>
      </c>
      <c r="F101" s="8"/>
      <c r="G101" s="15" t="s">
        <v>10</v>
      </c>
      <c r="H101" s="15" t="s">
        <v>10</v>
      </c>
      <c r="I101" s="15" t="s">
        <v>10</v>
      </c>
      <c r="J101" s="15" t="s">
        <v>10</v>
      </c>
      <c r="K101" s="15" t="s">
        <v>10</v>
      </c>
      <c r="L101" s="15" t="s">
        <v>10</v>
      </c>
      <c r="M101" s="15" t="s">
        <v>10</v>
      </c>
      <c r="N101" s="15" t="s">
        <v>10</v>
      </c>
      <c r="O101" s="15">
        <v>1.8612140865121374</v>
      </c>
      <c r="P101" s="15">
        <v>1.8612140865121374</v>
      </c>
      <c r="Q101" s="8"/>
      <c r="R101" s="9" t="s">
        <v>109</v>
      </c>
    </row>
    <row r="102" spans="1:18" x14ac:dyDescent="0.25">
      <c r="A102" s="6" t="str">
        <f>HYPERLINK("proteomic_fractions_linear_files/Yang_linear_img/224809389.jpg", "224809389")</f>
        <v>224809389</v>
      </c>
      <c r="B102" s="7"/>
      <c r="C102" s="6" t="str">
        <f>HYPERLINK("http://www.ncbi.nlm.nih.gov/protein/224809389","Acbd6")</f>
        <v>Acbd6</v>
      </c>
      <c r="D102" s="8"/>
      <c r="E102" s="8">
        <v>30756</v>
      </c>
      <c r="F102" s="8"/>
      <c r="G102" s="15" t="s">
        <v>10</v>
      </c>
      <c r="H102" s="15" t="s">
        <v>10</v>
      </c>
      <c r="I102" s="15" t="s">
        <v>10</v>
      </c>
      <c r="J102" s="15" t="s">
        <v>10</v>
      </c>
      <c r="K102" s="15">
        <v>1.0349700921204383</v>
      </c>
      <c r="L102" s="15">
        <v>1.0349700921204383</v>
      </c>
      <c r="M102" s="15" t="s">
        <v>10</v>
      </c>
      <c r="N102" s="15" t="s">
        <v>10</v>
      </c>
      <c r="O102" s="15">
        <v>0.90058746121555033</v>
      </c>
      <c r="P102" s="15">
        <v>0.90058746121555033</v>
      </c>
      <c r="Q102" s="8"/>
      <c r="R102" s="9" t="s">
        <v>110</v>
      </c>
    </row>
    <row r="103" spans="1:18" x14ac:dyDescent="0.25">
      <c r="A103" s="6" t="str">
        <f>HYPERLINK("proteomic_fractions_linear_files/Yang_linear_img/60593059.jpg", "60593059")</f>
        <v>60593059</v>
      </c>
      <c r="B103" s="7"/>
      <c r="C103" s="6" t="str">
        <f>HYPERLINK("http://www.ncbi.nlm.nih.gov/protein/60593059","Acd")</f>
        <v>Acd</v>
      </c>
      <c r="D103" s="8"/>
      <c r="E103" s="8">
        <v>44582</v>
      </c>
      <c r="F103" s="8"/>
      <c r="G103" s="15" t="s">
        <v>10</v>
      </c>
      <c r="H103" s="15" t="s">
        <v>10</v>
      </c>
      <c r="I103" s="15" t="s">
        <v>10</v>
      </c>
      <c r="J103" s="15" t="s">
        <v>10</v>
      </c>
      <c r="K103" s="15" t="s">
        <v>10</v>
      </c>
      <c r="L103" s="15" t="s">
        <v>10</v>
      </c>
      <c r="M103" s="15">
        <v>1.0731105685425613</v>
      </c>
      <c r="N103" s="15">
        <v>1.0731105685425613</v>
      </c>
      <c r="O103" s="15">
        <v>0.98056864993256598</v>
      </c>
      <c r="P103" s="15">
        <v>0.98056864993256598</v>
      </c>
      <c r="Q103" s="8"/>
      <c r="R103" s="9" t="s">
        <v>111</v>
      </c>
    </row>
    <row r="104" spans="1:18" x14ac:dyDescent="0.25">
      <c r="A104" s="6" t="str">
        <f>HYPERLINK("proteomic_fractions_linear_files/Yang_linear_img/194394192.jpg", "194394192")</f>
        <v>194394192</v>
      </c>
      <c r="B104" s="7"/>
      <c r="C104" s="6" t="str">
        <f>HYPERLINK("http://www.ncbi.nlm.nih.gov/protein/194394192","Acin1")</f>
        <v>Acin1</v>
      </c>
      <c r="D104" s="8"/>
      <c r="E104" s="8">
        <v>72893</v>
      </c>
      <c r="F104" s="8"/>
      <c r="G104" s="15">
        <v>1.5041310112483763</v>
      </c>
      <c r="H104" s="15">
        <v>1.5041310112483763</v>
      </c>
      <c r="I104" s="15" t="s">
        <v>10</v>
      </c>
      <c r="J104" s="15" t="s">
        <v>10</v>
      </c>
      <c r="K104" s="15">
        <v>1.3009312490765002</v>
      </c>
      <c r="L104" s="15">
        <v>1.3009312490765002</v>
      </c>
      <c r="M104" s="15" t="s">
        <v>10</v>
      </c>
      <c r="N104" s="15" t="s">
        <v>10</v>
      </c>
      <c r="O104" s="15" t="s">
        <v>10</v>
      </c>
      <c r="P104" s="15" t="s">
        <v>10</v>
      </c>
      <c r="Q104" s="8"/>
      <c r="R104" s="9" t="s">
        <v>112</v>
      </c>
    </row>
    <row r="105" spans="1:18" x14ac:dyDescent="0.25">
      <c r="A105" s="6" t="str">
        <f>HYPERLINK("proteomic_fractions_linear_files/Yang_linear_img/194394195.jpg", "194394195")</f>
        <v>194394195</v>
      </c>
      <c r="B105" s="7"/>
      <c r="C105" s="6" t="str">
        <f>HYPERLINK("http://www.ncbi.nlm.nih.gov/protein/194394195","Acin1")</f>
        <v>Acin1</v>
      </c>
      <c r="D105" s="8"/>
      <c r="E105" s="8">
        <v>67054</v>
      </c>
      <c r="F105" s="8"/>
      <c r="G105" s="15">
        <v>1.6388293107631562</v>
      </c>
      <c r="H105" s="15">
        <v>1.6388293107631562</v>
      </c>
      <c r="I105" s="15" t="s">
        <v>10</v>
      </c>
      <c r="J105" s="15" t="s">
        <v>10</v>
      </c>
      <c r="K105" s="15">
        <v>1.4174325549639479</v>
      </c>
      <c r="L105" s="15">
        <v>1.4174325549639479</v>
      </c>
      <c r="M105" s="15" t="s">
        <v>10</v>
      </c>
      <c r="N105" s="15" t="s">
        <v>10</v>
      </c>
      <c r="O105" s="15" t="s">
        <v>10</v>
      </c>
      <c r="P105" s="15" t="s">
        <v>10</v>
      </c>
      <c r="Q105" s="8"/>
      <c r="R105" s="9" t="s">
        <v>113</v>
      </c>
    </row>
    <row r="106" spans="1:18" x14ac:dyDescent="0.25">
      <c r="A106" s="6" t="str">
        <f>HYPERLINK("proteomic_fractions_linear_files/Yang_linear_img/336176080.jpg", "336176080")</f>
        <v>336176080</v>
      </c>
      <c r="B106" s="7"/>
      <c r="C106" s="6" t="str">
        <f>HYPERLINK("http://www.ncbi.nlm.nih.gov/protein/336176080","Acin1")</f>
        <v>Acin1</v>
      </c>
      <c r="D106" s="8"/>
      <c r="E106" s="8">
        <v>65226</v>
      </c>
      <c r="F106" s="8"/>
      <c r="G106" s="15">
        <v>1.6892548280174071</v>
      </c>
      <c r="H106" s="15">
        <v>1.6892548280174071</v>
      </c>
      <c r="I106" s="15" t="s">
        <v>10</v>
      </c>
      <c r="J106" s="15" t="s">
        <v>10</v>
      </c>
      <c r="K106" s="15">
        <v>1.461045864347454</v>
      </c>
      <c r="L106" s="15">
        <v>1.461045864347454</v>
      </c>
      <c r="M106" s="15" t="s">
        <v>10</v>
      </c>
      <c r="N106" s="15" t="s">
        <v>10</v>
      </c>
      <c r="O106" s="15" t="s">
        <v>10</v>
      </c>
      <c r="P106" s="15" t="s">
        <v>10</v>
      </c>
      <c r="Q106" s="8"/>
      <c r="R106" s="9" t="s">
        <v>114</v>
      </c>
    </row>
    <row r="107" spans="1:18" x14ac:dyDescent="0.25">
      <c r="A107" s="6" t="str">
        <f>HYPERLINK("proteomic_fractions_linear_files/Yang_linear_img/336176082.jpg", "336176082")</f>
        <v>336176082</v>
      </c>
      <c r="B107" s="7"/>
      <c r="C107" s="6" t="str">
        <f>HYPERLINK("http://www.ncbi.nlm.nih.gov/protein/336176082","Acin1")</f>
        <v>Acin1</v>
      </c>
      <c r="D107" s="8"/>
      <c r="E107" s="8">
        <v>63921</v>
      </c>
      <c r="F107" s="8"/>
      <c r="G107" s="15">
        <v>1.7156494347051792</v>
      </c>
      <c r="H107" s="15">
        <v>1.7156494347051792</v>
      </c>
      <c r="I107" s="15" t="s">
        <v>10</v>
      </c>
      <c r="J107" s="15" t="s">
        <v>10</v>
      </c>
      <c r="K107" s="15">
        <v>1.483874705977883</v>
      </c>
      <c r="L107" s="15">
        <v>1.483874705977883</v>
      </c>
      <c r="M107" s="15" t="s">
        <v>10</v>
      </c>
      <c r="N107" s="15" t="s">
        <v>10</v>
      </c>
      <c r="O107" s="15" t="s">
        <v>10</v>
      </c>
      <c r="P107" s="15" t="s">
        <v>10</v>
      </c>
      <c r="Q107" s="8"/>
      <c r="R107" s="9" t="s">
        <v>115</v>
      </c>
    </row>
    <row r="108" spans="1:18" x14ac:dyDescent="0.25">
      <c r="A108" s="6" t="str">
        <f>HYPERLINK("proteomic_fractions_linear_files/Yang_linear_img/146231985.jpg", "146231985")</f>
        <v>146231985</v>
      </c>
      <c r="B108" s="7"/>
      <c r="C108" s="6" t="str">
        <f>HYPERLINK("http://www.ncbi.nlm.nih.gov/protein/146231985","Acin1")</f>
        <v>Acin1</v>
      </c>
      <c r="D108" s="8"/>
      <c r="E108" s="8">
        <v>150588</v>
      </c>
      <c r="F108" s="8"/>
      <c r="G108" s="15">
        <v>0.72716267431212889</v>
      </c>
      <c r="H108" s="15">
        <v>0.72716267431212889</v>
      </c>
      <c r="I108" s="15">
        <v>39.689403973509933</v>
      </c>
      <c r="J108" s="15">
        <v>39.689403973509933</v>
      </c>
      <c r="K108" s="15">
        <v>0.62892702769923514</v>
      </c>
      <c r="L108" s="15">
        <v>0.62892702769923514</v>
      </c>
      <c r="M108" s="15">
        <v>39.689403973509933</v>
      </c>
      <c r="N108" s="15">
        <v>39.689403973509933</v>
      </c>
      <c r="O108" s="15">
        <v>1.2368598121850354</v>
      </c>
      <c r="P108" s="15">
        <v>1.2368598121850354</v>
      </c>
      <c r="Q108" s="8"/>
      <c r="R108" s="9" t="s">
        <v>116</v>
      </c>
    </row>
    <row r="109" spans="1:18" x14ac:dyDescent="0.25">
      <c r="A109" s="6" t="str">
        <f>HYPERLINK("proteomic_fractions_linear_files/Yang_linear_img/194394197.jpg", "194394197")</f>
        <v>194394197</v>
      </c>
      <c r="B109" s="7"/>
      <c r="C109" s="6" t="str">
        <f>HYPERLINK("http://www.ncbi.nlm.nih.gov/protein/194394197","Acin1")</f>
        <v>Acin1</v>
      </c>
      <c r="D109" s="8"/>
      <c r="E109" s="8">
        <v>149355</v>
      </c>
      <c r="F109" s="8"/>
      <c r="G109" s="15">
        <v>0.73692324712168766</v>
      </c>
      <c r="H109" s="15">
        <v>0.73692324712168766</v>
      </c>
      <c r="I109" s="15">
        <v>40.222147651006715</v>
      </c>
      <c r="J109" s="15">
        <v>40.222147651006715</v>
      </c>
      <c r="K109" s="15">
        <v>0.63736900122539941</v>
      </c>
      <c r="L109" s="15">
        <v>0.63736900122539941</v>
      </c>
      <c r="M109" s="15">
        <v>40.222147651006715</v>
      </c>
      <c r="N109" s="15">
        <v>40.222147651006715</v>
      </c>
      <c r="O109" s="15">
        <v>1.2534619573150361</v>
      </c>
      <c r="P109" s="15">
        <v>1.2534619573150361</v>
      </c>
      <c r="Q109" s="8"/>
      <c r="R109" s="9" t="s">
        <v>117</v>
      </c>
    </row>
    <row r="110" spans="1:18" x14ac:dyDescent="0.25">
      <c r="A110" s="6" t="str">
        <f>HYPERLINK("proteomic_fractions_linear_files/Yang_linear_img/29293809.jpg", "29293809")</f>
        <v>29293809</v>
      </c>
      <c r="B110" s="7"/>
      <c r="C110" s="6" t="str">
        <f>HYPERLINK("http://www.ncbi.nlm.nih.gov/protein/29293809","Acly")</f>
        <v>Acly</v>
      </c>
      <c r="D110" s="8"/>
      <c r="E110" s="8">
        <v>119597</v>
      </c>
      <c r="F110" s="8"/>
      <c r="G110" s="15" t="s">
        <v>10</v>
      </c>
      <c r="H110" s="15" t="s">
        <v>10</v>
      </c>
      <c r="I110" s="15">
        <v>0.13930395433839185</v>
      </c>
      <c r="J110" s="15">
        <v>0.13930395433839185</v>
      </c>
      <c r="K110" s="15">
        <v>1.0726802345426414</v>
      </c>
      <c r="L110" s="15">
        <v>1.0726802345426414</v>
      </c>
      <c r="M110" s="15">
        <v>1.0726802345426414</v>
      </c>
      <c r="N110" s="15">
        <v>1.0726802345426414</v>
      </c>
      <c r="O110" s="15">
        <v>1.0726802345426414</v>
      </c>
      <c r="P110" s="15">
        <v>1.0726802345426414</v>
      </c>
      <c r="Q110" s="8"/>
      <c r="R110" s="9" t="s">
        <v>118</v>
      </c>
    </row>
    <row r="111" spans="1:18" x14ac:dyDescent="0.25">
      <c r="A111" s="6" t="str">
        <f>HYPERLINK("proteomic_fractions_linear_files/Yang_linear_img/313151222.jpg", "313151222")</f>
        <v>313151222</v>
      </c>
      <c r="B111" s="7"/>
      <c r="C111" s="6" t="str">
        <f>HYPERLINK("http://www.ncbi.nlm.nih.gov/protein/313151222","Acly")</f>
        <v>Acly</v>
      </c>
      <c r="D111" s="8"/>
      <c r="E111" s="8">
        <v>120665</v>
      </c>
      <c r="F111" s="8"/>
      <c r="G111" s="15" t="s">
        <v>10</v>
      </c>
      <c r="H111" s="15" t="s">
        <v>10</v>
      </c>
      <c r="I111" s="15">
        <v>0.13815268198848779</v>
      </c>
      <c r="J111" s="15">
        <v>0.13815268198848779</v>
      </c>
      <c r="K111" s="15">
        <v>1.0638151086373302</v>
      </c>
      <c r="L111" s="15">
        <v>1.0638151086373302</v>
      </c>
      <c r="M111" s="15">
        <v>1.0638151086373302</v>
      </c>
      <c r="N111" s="15">
        <v>1.0638151086373302</v>
      </c>
      <c r="O111" s="15">
        <v>1.0638151086373302</v>
      </c>
      <c r="P111" s="15">
        <v>1.0638151086373302</v>
      </c>
      <c r="Q111" s="8"/>
      <c r="R111" s="9" t="s">
        <v>119</v>
      </c>
    </row>
    <row r="112" spans="1:18" x14ac:dyDescent="0.25">
      <c r="A112" s="6" t="str">
        <f>HYPERLINK("proteomic_fractions_linear_files/Yang_linear_img/110347487.jpg", "110347487")</f>
        <v>110347487</v>
      </c>
      <c r="B112" s="7"/>
      <c r="C112" s="6" t="str">
        <f>HYPERLINK("http://www.ncbi.nlm.nih.gov/protein/110347487","Aco1")</f>
        <v>Aco1</v>
      </c>
      <c r="D112" s="8"/>
      <c r="E112" s="8">
        <v>97995</v>
      </c>
      <c r="F112" s="8"/>
      <c r="G112" s="15" t="s">
        <v>10</v>
      </c>
      <c r="H112" s="15" t="s">
        <v>10</v>
      </c>
      <c r="I112" s="15">
        <v>1.1204241206237904</v>
      </c>
      <c r="J112" s="15">
        <v>1.1204241206237904</v>
      </c>
      <c r="K112" s="15">
        <v>1.1204241206237904</v>
      </c>
      <c r="L112" s="15">
        <v>1.1204241206237904</v>
      </c>
      <c r="M112" s="15">
        <v>1.1204241206237904</v>
      </c>
      <c r="N112" s="15">
        <v>1.1204241206237904</v>
      </c>
      <c r="O112" s="15">
        <v>1.1204241206237904</v>
      </c>
      <c r="P112" s="15">
        <v>1.1204241206237904</v>
      </c>
      <c r="Q112" s="8"/>
      <c r="R112" s="9" t="s">
        <v>120</v>
      </c>
    </row>
    <row r="113" spans="1:18" x14ac:dyDescent="0.25">
      <c r="A113" s="6" t="str">
        <f>HYPERLINK("proteomic_fractions_linear_files/Yang_linear_img/18079339.jpg", "18079339")</f>
        <v>18079339</v>
      </c>
      <c r="B113" s="7"/>
      <c r="C113" s="6" t="str">
        <f>HYPERLINK("http://www.ncbi.nlm.nih.gov/protein/18079339","Aco2")</f>
        <v>Aco2</v>
      </c>
      <c r="D113" s="8"/>
      <c r="E113" s="8">
        <v>82464</v>
      </c>
      <c r="F113" s="8"/>
      <c r="G113" s="15">
        <v>1.3390434612333106</v>
      </c>
      <c r="H113" s="15">
        <v>1.3390434612333106</v>
      </c>
      <c r="I113" s="15">
        <v>1.1581461119827379</v>
      </c>
      <c r="J113" s="15">
        <v>1.1581461119827379</v>
      </c>
      <c r="K113" s="15">
        <v>1.1581461119827379</v>
      </c>
      <c r="L113" s="15">
        <v>1.1581461119827379</v>
      </c>
      <c r="M113" s="15">
        <v>1.1581461119827379</v>
      </c>
      <c r="N113" s="15">
        <v>1.1581461119827379</v>
      </c>
      <c r="O113" s="15">
        <v>1.0133982740627299</v>
      </c>
      <c r="P113" s="15">
        <v>1.0133982740627299</v>
      </c>
      <c r="Q113" s="8"/>
      <c r="R113" s="9" t="s">
        <v>121</v>
      </c>
    </row>
    <row r="114" spans="1:18" x14ac:dyDescent="0.25">
      <c r="A114" s="6" t="str">
        <f>HYPERLINK("proteomic_fractions_linear_files/Yang_linear_img/6753550.jpg", "6753550")</f>
        <v>6753550</v>
      </c>
      <c r="B114" s="7"/>
      <c r="C114" s="6" t="str">
        <f>HYPERLINK("http://www.ncbi.nlm.nih.gov/protein/6753550","Acot1")</f>
        <v>Acot1</v>
      </c>
      <c r="D114" s="8"/>
      <c r="E114" s="8">
        <v>46005</v>
      </c>
      <c r="F114" s="8"/>
      <c r="G114" s="15">
        <v>1.1547949919565452</v>
      </c>
      <c r="H114" s="15">
        <v>1.1547949919565452</v>
      </c>
      <c r="I114" s="15">
        <v>0.88059387398310318</v>
      </c>
      <c r="J114" s="15">
        <v>0.88059387398310318</v>
      </c>
      <c r="K114" s="15">
        <v>0.88059387398310318</v>
      </c>
      <c r="L114" s="15">
        <v>0.88059387398310318</v>
      </c>
      <c r="M114" s="15" t="s">
        <v>10</v>
      </c>
      <c r="N114" s="15" t="s">
        <v>10</v>
      </c>
      <c r="O114" s="15">
        <v>0.81176796572009979</v>
      </c>
      <c r="P114" s="15">
        <v>0.81176796572009979</v>
      </c>
      <c r="Q114" s="8"/>
      <c r="R114" s="9" t="s">
        <v>122</v>
      </c>
    </row>
    <row r="115" spans="1:18" x14ac:dyDescent="0.25">
      <c r="A115" s="6" t="str">
        <f>HYPERLINK("proteomic_fractions_linear_files/Yang_linear_img/154426268.jpg", "154426268")</f>
        <v>154426268</v>
      </c>
      <c r="B115" s="7"/>
      <c r="C115" s="6" t="str">
        <f>HYPERLINK("http://www.ncbi.nlm.nih.gov/protein/154426268","Acot10")</f>
        <v>Acot10</v>
      </c>
      <c r="D115" s="8"/>
      <c r="E115" s="8">
        <v>48160</v>
      </c>
      <c r="F115" s="8"/>
      <c r="G115" s="15" t="s">
        <v>10</v>
      </c>
      <c r="H115" s="15" t="s">
        <v>10</v>
      </c>
      <c r="I115" s="15">
        <v>0.91928310931178059</v>
      </c>
      <c r="J115" s="15">
        <v>0.91928310931178059</v>
      </c>
      <c r="K115" s="15" t="s">
        <v>10</v>
      </c>
      <c r="L115" s="15" t="s">
        <v>10</v>
      </c>
      <c r="M115" s="15" t="s">
        <v>10</v>
      </c>
      <c r="N115" s="15" t="s">
        <v>10</v>
      </c>
      <c r="O115" s="15" t="s">
        <v>10</v>
      </c>
      <c r="P115" s="15" t="s">
        <v>10</v>
      </c>
      <c r="Q115" s="8"/>
      <c r="R115" s="9" t="s">
        <v>123</v>
      </c>
    </row>
    <row r="116" spans="1:18" x14ac:dyDescent="0.25">
      <c r="A116" s="6" t="str">
        <f>HYPERLINK("proteomic_fractions_linear_files/Yang_linear_img/18482377.jpg", "18482377")</f>
        <v>18482377</v>
      </c>
      <c r="B116" s="7"/>
      <c r="C116" s="6" t="str">
        <f>HYPERLINK("http://www.ncbi.nlm.nih.gov/protein/18482377","Acot12")</f>
        <v>Acot12</v>
      </c>
      <c r="D116" s="8"/>
      <c r="E116" s="8">
        <v>61631</v>
      </c>
      <c r="F116" s="8"/>
      <c r="G116" s="15" t="s">
        <v>10</v>
      </c>
      <c r="H116" s="15" t="s">
        <v>10</v>
      </c>
      <c r="I116" s="15">
        <v>0.51748504606021917</v>
      </c>
      <c r="J116" s="15">
        <v>0.51748504606021917</v>
      </c>
      <c r="K116" s="15" t="s">
        <v>10</v>
      </c>
      <c r="L116" s="15" t="s">
        <v>10</v>
      </c>
      <c r="M116" s="15" t="s">
        <v>10</v>
      </c>
      <c r="N116" s="15" t="s">
        <v>10</v>
      </c>
      <c r="O116" s="15" t="s">
        <v>10</v>
      </c>
      <c r="P116" s="15" t="s">
        <v>10</v>
      </c>
      <c r="Q116" s="8"/>
      <c r="R116" s="9" t="s">
        <v>124</v>
      </c>
    </row>
    <row r="117" spans="1:18" x14ac:dyDescent="0.25">
      <c r="A117" s="6" t="str">
        <f>HYPERLINK("proteomic_fractions_linear_files/Yang_linear_img/13385260.jpg", "13385260")</f>
        <v>13385260</v>
      </c>
      <c r="B117" s="7"/>
      <c r="C117" s="6" t="str">
        <f>HYPERLINK("http://www.ncbi.nlm.nih.gov/protein/13385260","Acot13")</f>
        <v>Acot13</v>
      </c>
      <c r="D117" s="8"/>
      <c r="E117" s="8">
        <v>15052</v>
      </c>
      <c r="F117" s="8"/>
      <c r="G117" s="15">
        <v>0.96783158145802317</v>
      </c>
      <c r="H117" s="15">
        <v>0.96783158145802317</v>
      </c>
      <c r="I117" s="15">
        <v>0.96783158145802317</v>
      </c>
      <c r="J117" s="15">
        <v>1.0130892195876191</v>
      </c>
      <c r="K117" s="15">
        <v>0.96783158145802317</v>
      </c>
      <c r="L117" s="15">
        <v>0.96783158145802317</v>
      </c>
      <c r="M117" s="15" t="s">
        <v>10</v>
      </c>
      <c r="N117" s="15" t="s">
        <v>10</v>
      </c>
      <c r="O117" s="15">
        <v>0.92572336666244337</v>
      </c>
      <c r="P117" s="15">
        <v>0.92572336666244337</v>
      </c>
      <c r="Q117" s="8"/>
      <c r="R117" s="9" t="s">
        <v>125</v>
      </c>
    </row>
    <row r="118" spans="1:18" x14ac:dyDescent="0.25">
      <c r="A118" s="6" t="str">
        <f>HYPERLINK("proteomic_fractions_linear_files/Yang_linear_img/238624114.jpg", "238624114")</f>
        <v>238624114</v>
      </c>
      <c r="B118" s="7"/>
      <c r="C118" s="6" t="str">
        <f>HYPERLINK("http://www.ncbi.nlm.nih.gov/protein/238624114","Acot2")</f>
        <v>Acot2</v>
      </c>
      <c r="D118" s="8"/>
      <c r="E118" s="8">
        <v>44939</v>
      </c>
      <c r="F118" s="8"/>
      <c r="G118" s="15">
        <v>1.1804571028889128</v>
      </c>
      <c r="H118" s="15">
        <v>1.1804571028889128</v>
      </c>
      <c r="I118" s="15">
        <v>0.90016262673828318</v>
      </c>
      <c r="J118" s="15">
        <v>0.90016262673828318</v>
      </c>
      <c r="K118" s="15">
        <v>0.90016262673828318</v>
      </c>
      <c r="L118" s="15">
        <v>0.90016262673828318</v>
      </c>
      <c r="M118" s="15" t="s">
        <v>10</v>
      </c>
      <c r="N118" s="15" t="s">
        <v>10</v>
      </c>
      <c r="O118" s="15">
        <v>0.8298072538472131</v>
      </c>
      <c r="P118" s="15">
        <v>0.8298072538472131</v>
      </c>
      <c r="Q118" s="8"/>
      <c r="R118" s="9" t="s">
        <v>126</v>
      </c>
    </row>
    <row r="119" spans="1:18" x14ac:dyDescent="0.25">
      <c r="A119" s="6" t="str">
        <f>HYPERLINK("proteomic_fractions_linear_files/Yang_linear_img/19527406.jpg", "19527406")</f>
        <v>19527406</v>
      </c>
      <c r="B119" s="7"/>
      <c r="C119" s="6" t="str">
        <f>HYPERLINK("http://www.ncbi.nlm.nih.gov/protein/19527406","Acot3")</f>
        <v>Acot3</v>
      </c>
      <c r="D119" s="8"/>
      <c r="E119" s="8">
        <v>47359</v>
      </c>
      <c r="F119" s="8"/>
      <c r="G119" s="15" t="s">
        <v>10</v>
      </c>
      <c r="H119" s="15" t="s">
        <v>10</v>
      </c>
      <c r="I119" s="15" t="s">
        <v>10</v>
      </c>
      <c r="J119" s="15" t="s">
        <v>10</v>
      </c>
      <c r="K119" s="15" t="s">
        <v>10</v>
      </c>
      <c r="L119" s="15" t="s">
        <v>10</v>
      </c>
      <c r="M119" s="15" t="s">
        <v>10</v>
      </c>
      <c r="N119" s="15" t="s">
        <v>10</v>
      </c>
      <c r="O119" s="15">
        <v>0.79449630687499129</v>
      </c>
      <c r="P119" s="15">
        <v>0.79449630687499129</v>
      </c>
      <c r="Q119" s="8"/>
      <c r="R119" s="9" t="s">
        <v>127</v>
      </c>
    </row>
    <row r="120" spans="1:18" x14ac:dyDescent="0.25">
      <c r="A120" s="6" t="str">
        <f>HYPERLINK("proteomic_fractions_linear_files/Yang_linear_img/269308227.jpg", "269308227")</f>
        <v>269308227</v>
      </c>
      <c r="B120" s="7"/>
      <c r="C120" s="6" t="str">
        <f>HYPERLINK("http://www.ncbi.nlm.nih.gov/protein/269308227","Acot4")</f>
        <v>Acot4</v>
      </c>
      <c r="D120" s="8"/>
      <c r="E120" s="8">
        <v>46350</v>
      </c>
      <c r="F120" s="8"/>
      <c r="G120" s="15">
        <v>1.1547949919565452</v>
      </c>
      <c r="H120" s="15">
        <v>1.1547949919565452</v>
      </c>
      <c r="I120" s="15">
        <v>0.88059387398310318</v>
      </c>
      <c r="J120" s="15">
        <v>0.88059387398310318</v>
      </c>
      <c r="K120" s="15" t="s">
        <v>10</v>
      </c>
      <c r="L120" s="15" t="s">
        <v>10</v>
      </c>
      <c r="M120" s="15" t="s">
        <v>10</v>
      </c>
      <c r="N120" s="15" t="s">
        <v>10</v>
      </c>
      <c r="O120" s="15">
        <v>0.81176796572009979</v>
      </c>
      <c r="P120" s="15">
        <v>0.81176796572009979</v>
      </c>
      <c r="Q120" s="8"/>
      <c r="R120" s="9" t="s">
        <v>128</v>
      </c>
    </row>
    <row r="121" spans="1:18" x14ac:dyDescent="0.25">
      <c r="A121" s="6" t="str">
        <f>HYPERLINK("proteomic_fractions_linear_files/Yang_linear_img/238550185.jpg", "238550185")</f>
        <v>238550185</v>
      </c>
      <c r="B121" s="7"/>
      <c r="C121" s="6" t="str">
        <f>HYPERLINK("http://www.ncbi.nlm.nih.gov/protein/238550185","Acot5")</f>
        <v>Acot5</v>
      </c>
      <c r="D121" s="8"/>
      <c r="E121" s="8">
        <v>46442</v>
      </c>
      <c r="F121" s="8"/>
      <c r="G121" s="15" t="s">
        <v>10</v>
      </c>
      <c r="H121" s="15" t="s">
        <v>10</v>
      </c>
      <c r="I121" s="15" t="s">
        <v>10</v>
      </c>
      <c r="J121" s="15" t="s">
        <v>10</v>
      </c>
      <c r="K121" s="15" t="s">
        <v>10</v>
      </c>
      <c r="L121" s="15" t="s">
        <v>10</v>
      </c>
      <c r="M121" s="15" t="s">
        <v>10</v>
      </c>
      <c r="N121" s="15" t="s">
        <v>10</v>
      </c>
      <c r="O121" s="15">
        <v>0.81176796572009979</v>
      </c>
      <c r="P121" s="15">
        <v>0.81176796572009979</v>
      </c>
      <c r="Q121" s="8"/>
      <c r="R121" s="9" t="s">
        <v>129</v>
      </c>
    </row>
    <row r="122" spans="1:18" x14ac:dyDescent="0.25">
      <c r="A122" s="6" t="str">
        <f>HYPERLINK("proteomic_fractions_linear_files/Yang_linear_img/110626167.jpg", "110626167")</f>
        <v>110626167</v>
      </c>
      <c r="B122" s="7"/>
      <c r="C122" s="6" t="str">
        <f>HYPERLINK("http://www.ncbi.nlm.nih.gov/protein/110626167","Acot6")</f>
        <v>Acot6</v>
      </c>
      <c r="D122" s="8"/>
      <c r="E122" s="8">
        <v>46638</v>
      </c>
      <c r="F122" s="8"/>
      <c r="G122" s="15">
        <v>1.1302248857447037</v>
      </c>
      <c r="H122" s="15">
        <v>1.1302248857447037</v>
      </c>
      <c r="I122" s="15">
        <v>0.86185783411112227</v>
      </c>
      <c r="J122" s="15">
        <v>0.86185783411112227</v>
      </c>
      <c r="K122" s="15" t="s">
        <v>10</v>
      </c>
      <c r="L122" s="15" t="s">
        <v>10</v>
      </c>
      <c r="M122" s="15" t="s">
        <v>10</v>
      </c>
      <c r="N122" s="15" t="s">
        <v>10</v>
      </c>
      <c r="O122" s="15">
        <v>0.79449630687499129</v>
      </c>
      <c r="P122" s="15">
        <v>0.79449630687499129</v>
      </c>
      <c r="Q122" s="8"/>
      <c r="R122" s="9" t="s">
        <v>130</v>
      </c>
    </row>
    <row r="123" spans="1:18" x14ac:dyDescent="0.25">
      <c r="A123" s="6" t="str">
        <f>HYPERLINK("proteomic_fractions_linear_files/Yang_linear_img/225690614.jpg", "225690614")</f>
        <v>225690614</v>
      </c>
      <c r="B123" s="7"/>
      <c r="C123" s="6" t="str">
        <f>HYPERLINK("http://www.ncbi.nlm.nih.gov/protein/225690614","Acot7")</f>
        <v>Acot7</v>
      </c>
      <c r="D123" s="8"/>
      <c r="E123" s="8">
        <v>41485</v>
      </c>
      <c r="F123" s="8"/>
      <c r="G123" s="15" t="s">
        <v>10</v>
      </c>
      <c r="H123" s="15" t="s">
        <v>10</v>
      </c>
      <c r="I123" s="15">
        <v>0.91076405910059977</v>
      </c>
      <c r="J123" s="15">
        <v>0.91076405910059977</v>
      </c>
      <c r="K123" s="15">
        <v>0.91076405910059977</v>
      </c>
      <c r="L123" s="15">
        <v>0.91076405910059977</v>
      </c>
      <c r="M123" s="15">
        <v>0.91076405910059977</v>
      </c>
      <c r="N123" s="15">
        <v>0.91076405910059977</v>
      </c>
      <c r="O123" s="15">
        <v>0.84276528123110206</v>
      </c>
      <c r="P123" s="15">
        <v>0.84276528123110206</v>
      </c>
      <c r="Q123" s="8"/>
      <c r="R123" s="9" t="s">
        <v>131</v>
      </c>
    </row>
    <row r="124" spans="1:18" x14ac:dyDescent="0.25">
      <c r="A124" s="6" t="str">
        <f>HYPERLINK("proteomic_fractions_linear_files/Yang_linear_img/225690616.jpg", "225690616")</f>
        <v>225690616</v>
      </c>
      <c r="B124" s="7"/>
      <c r="C124" s="6" t="str">
        <f>HYPERLINK("http://www.ncbi.nlm.nih.gov/protein/225690616","Acot7")</f>
        <v>Acot7</v>
      </c>
      <c r="D124" s="8"/>
      <c r="E124" s="8">
        <v>42695</v>
      </c>
      <c r="F124" s="8"/>
      <c r="G124" s="15" t="s">
        <v>10</v>
      </c>
      <c r="H124" s="15" t="s">
        <v>10</v>
      </c>
      <c r="I124" s="15">
        <v>0.86840294007266494</v>
      </c>
      <c r="J124" s="15">
        <v>0.86840294007266494</v>
      </c>
      <c r="K124" s="15">
        <v>0.86840294007266494</v>
      </c>
      <c r="L124" s="15">
        <v>0.86840294007266494</v>
      </c>
      <c r="M124" s="15">
        <v>0.86840294007266494</v>
      </c>
      <c r="N124" s="15">
        <v>0.86840294007266494</v>
      </c>
      <c r="O124" s="15">
        <v>0.80356689605756237</v>
      </c>
      <c r="P124" s="15">
        <v>0.80356689605756237</v>
      </c>
      <c r="Q124" s="8"/>
      <c r="R124" s="9" t="s">
        <v>132</v>
      </c>
    </row>
    <row r="125" spans="1:18" x14ac:dyDescent="0.25">
      <c r="A125" s="6" t="str">
        <f>HYPERLINK("proteomic_fractions_linear_files/Yang_linear_img/225690618.jpg", "225690618")</f>
        <v>225690618</v>
      </c>
      <c r="B125" s="7"/>
      <c r="C125" s="6" t="str">
        <f>HYPERLINK("http://www.ncbi.nlm.nih.gov/protein/225690618","Acot7")</f>
        <v>Acot7</v>
      </c>
      <c r="D125" s="8"/>
      <c r="E125" s="8">
        <v>39128</v>
      </c>
      <c r="F125" s="8"/>
      <c r="G125" s="15" t="s">
        <v>10</v>
      </c>
      <c r="H125" s="15" t="s">
        <v>10</v>
      </c>
      <c r="I125" s="15">
        <v>0.95746990828524592</v>
      </c>
      <c r="J125" s="15">
        <v>0.95746990828524592</v>
      </c>
      <c r="K125" s="15">
        <v>0.95746990828524592</v>
      </c>
      <c r="L125" s="15">
        <v>0.95746990828524592</v>
      </c>
      <c r="M125" s="15">
        <v>0.95746990828524592</v>
      </c>
      <c r="N125" s="15">
        <v>0.95746990828524592</v>
      </c>
      <c r="O125" s="15">
        <v>0.8859840136019278</v>
      </c>
      <c r="P125" s="15">
        <v>0.8859840136019278</v>
      </c>
      <c r="Q125" s="8"/>
      <c r="R125" s="9" t="s">
        <v>133</v>
      </c>
    </row>
    <row r="126" spans="1:18" x14ac:dyDescent="0.25">
      <c r="A126" s="6" t="str">
        <f>HYPERLINK("proteomic_fractions_linear_files/Yang_linear_img/254587964.jpg", "254587964")</f>
        <v>254587964</v>
      </c>
      <c r="B126" s="7"/>
      <c r="C126" s="6" t="str">
        <f>HYPERLINK("http://www.ncbi.nlm.nih.gov/protein/254587964","Acot8")</f>
        <v>Acot8</v>
      </c>
      <c r="D126" s="8"/>
      <c r="E126" s="8">
        <v>35696</v>
      </c>
      <c r="F126" s="8"/>
      <c r="G126" s="15">
        <v>0.83015019143647584</v>
      </c>
      <c r="H126" s="15">
        <v>0.83015019143647584</v>
      </c>
      <c r="I126" s="15">
        <v>0.89122424599259964</v>
      </c>
      <c r="J126" s="15">
        <v>0.89122424599259964</v>
      </c>
      <c r="K126" s="15">
        <v>0.89122424599259964</v>
      </c>
      <c r="L126" s="15">
        <v>0.89122424599259964</v>
      </c>
      <c r="M126" s="15" t="s">
        <v>10</v>
      </c>
      <c r="N126" s="15" t="s">
        <v>10</v>
      </c>
      <c r="O126" s="15" t="s">
        <v>10</v>
      </c>
      <c r="P126" s="15" t="s">
        <v>10</v>
      </c>
      <c r="Q126" s="8"/>
      <c r="R126" s="9" t="s">
        <v>134</v>
      </c>
    </row>
    <row r="127" spans="1:18" x14ac:dyDescent="0.25">
      <c r="A127" s="6" t="str">
        <f>HYPERLINK("proteomic_fractions_linear_files/Yang_linear_img/31980998.jpg", "31980998")</f>
        <v>31980998</v>
      </c>
      <c r="B127" s="7"/>
      <c r="C127" s="6" t="str">
        <f>HYPERLINK("http://www.ncbi.nlm.nih.gov/protein/31980998","Acot9")</f>
        <v>Acot9</v>
      </c>
      <c r="D127" s="8"/>
      <c r="E127" s="8">
        <v>48186</v>
      </c>
      <c r="F127" s="8"/>
      <c r="G127" s="15">
        <v>1.2244418246998718</v>
      </c>
      <c r="H127" s="15">
        <v>1.2244418246998718</v>
      </c>
      <c r="I127" s="15">
        <v>0.91928310931178059</v>
      </c>
      <c r="J127" s="15">
        <v>0.91928310931178059</v>
      </c>
      <c r="K127" s="15" t="s">
        <v>10</v>
      </c>
      <c r="L127" s="15" t="s">
        <v>10</v>
      </c>
      <c r="M127" s="15" t="s">
        <v>10</v>
      </c>
      <c r="N127" s="15" t="s">
        <v>10</v>
      </c>
      <c r="O127" s="15" t="s">
        <v>10</v>
      </c>
      <c r="P127" s="15" t="s">
        <v>10</v>
      </c>
      <c r="Q127" s="8"/>
      <c r="R127" s="9" t="s">
        <v>135</v>
      </c>
    </row>
    <row r="128" spans="1:18" x14ac:dyDescent="0.25">
      <c r="A128" s="6" t="str">
        <f>HYPERLINK("proteomic_fractions_linear_files/Yang_linear_img/429484484.jpg", "429484484")</f>
        <v>429484484</v>
      </c>
      <c r="B128" s="7"/>
      <c r="C128" s="6" t="str">
        <f>HYPERLINK("http://www.ncbi.nlm.nih.gov/protein/429484484","Acox1")</f>
        <v>Acox1</v>
      </c>
      <c r="D128" s="8"/>
      <c r="E128" s="8">
        <v>74518</v>
      </c>
      <c r="F128" s="8"/>
      <c r="G128" s="15">
        <v>0.39847209188950844</v>
      </c>
      <c r="H128" s="15">
        <v>0.39847209188950844</v>
      </c>
      <c r="I128" s="15">
        <v>0.64386634112553665</v>
      </c>
      <c r="J128" s="15">
        <v>0.64386634112553665</v>
      </c>
      <c r="K128" s="15">
        <v>0.64386634112553665</v>
      </c>
      <c r="L128" s="15">
        <v>0.64386634112553665</v>
      </c>
      <c r="M128" s="15" t="s">
        <v>10</v>
      </c>
      <c r="N128" s="15" t="s">
        <v>10</v>
      </c>
      <c r="O128" s="15">
        <v>0.27463254915541696</v>
      </c>
      <c r="P128" s="15">
        <v>0.27463254915541696</v>
      </c>
      <c r="Q128" s="8"/>
      <c r="R128" s="9" t="s">
        <v>136</v>
      </c>
    </row>
    <row r="129" spans="1:18" x14ac:dyDescent="0.25">
      <c r="A129" s="6" t="str">
        <f>HYPERLINK("proteomic_fractions_linear_files/Yang_linear_img/66793429.jpg", "66793429")</f>
        <v>66793429</v>
      </c>
      <c r="B129" s="7"/>
      <c r="C129" s="6" t="str">
        <f>HYPERLINK("http://www.ncbi.nlm.nih.gov/protein/66793429","Acox1")</f>
        <v>Acox1</v>
      </c>
      <c r="D129" s="8"/>
      <c r="E129" s="8">
        <v>74587</v>
      </c>
      <c r="F129" s="8"/>
      <c r="G129" s="15">
        <v>0.39847209188950844</v>
      </c>
      <c r="H129" s="15">
        <v>0.39847209188950844</v>
      </c>
      <c r="I129" s="15">
        <v>0.64386634112553665</v>
      </c>
      <c r="J129" s="15">
        <v>0.64386634112553665</v>
      </c>
      <c r="K129" s="15">
        <v>0.64386634112553665</v>
      </c>
      <c r="L129" s="15">
        <v>0.64386634112553665</v>
      </c>
      <c r="M129" s="15" t="s">
        <v>10</v>
      </c>
      <c r="N129" s="15" t="s">
        <v>10</v>
      </c>
      <c r="O129" s="15">
        <v>0.27463254915541696</v>
      </c>
      <c r="P129" s="15">
        <v>0.27463254915541696</v>
      </c>
      <c r="Q129" s="8"/>
      <c r="R129" s="9" t="s">
        <v>137</v>
      </c>
    </row>
    <row r="130" spans="1:18" x14ac:dyDescent="0.25">
      <c r="A130" s="6" t="str">
        <f>HYPERLINK("proteomic_fractions_linear_files/Yang_linear_img/34328334.jpg", "34328334")</f>
        <v>34328334</v>
      </c>
      <c r="B130" s="7"/>
      <c r="C130" s="6" t="str">
        <f>HYPERLINK("http://www.ncbi.nlm.nih.gov/protein/34328334","Acox3")</f>
        <v>Acox3</v>
      </c>
      <c r="D130" s="8"/>
      <c r="E130" s="8">
        <v>78273</v>
      </c>
      <c r="F130" s="8"/>
      <c r="G130" s="15" t="s">
        <v>10</v>
      </c>
      <c r="H130" s="15" t="s">
        <v>10</v>
      </c>
      <c r="I130" s="15">
        <v>0.9414892338677211</v>
      </c>
      <c r="J130" s="15">
        <v>0.9414892338677211</v>
      </c>
      <c r="K130" s="15">
        <v>1.0653674163223572</v>
      </c>
      <c r="L130" s="15">
        <v>1.0653674163223572</v>
      </c>
      <c r="M130" s="15" t="s">
        <v>10</v>
      </c>
      <c r="N130" s="15" t="s">
        <v>10</v>
      </c>
      <c r="O130" s="15" t="s">
        <v>10</v>
      </c>
      <c r="P130" s="15" t="s">
        <v>10</v>
      </c>
      <c r="Q130" s="8"/>
      <c r="R130" s="9" t="s">
        <v>138</v>
      </c>
    </row>
    <row r="131" spans="1:18" x14ac:dyDescent="0.25">
      <c r="A131" s="6" t="str">
        <f>HYPERLINK("proteomic_fractions_linear_files/Yang_linear_img/159032062.jpg", "159032062")</f>
        <v>159032062</v>
      </c>
      <c r="B131" s="7"/>
      <c r="C131" s="6" t="str">
        <f>HYPERLINK("http://www.ncbi.nlm.nih.gov/protein/159032062","Acp1")</f>
        <v>Acp1</v>
      </c>
      <c r="D131" s="8"/>
      <c r="E131" s="8">
        <v>17791</v>
      </c>
      <c r="F131" s="8"/>
      <c r="G131" s="15">
        <v>1.3641567007376065</v>
      </c>
      <c r="H131" s="15">
        <v>1.3641567007376065</v>
      </c>
      <c r="I131" s="15">
        <v>0.97610776474216487</v>
      </c>
      <c r="J131" s="15">
        <v>0.97610776474216487</v>
      </c>
      <c r="K131" s="15">
        <v>0.97610776474216487</v>
      </c>
      <c r="L131" s="15">
        <v>0.97610776474216487</v>
      </c>
      <c r="M131" s="15">
        <v>0.97610776474216487</v>
      </c>
      <c r="N131" s="15">
        <v>0.97610776474216487</v>
      </c>
      <c r="O131" s="15">
        <v>1.0275166202535602</v>
      </c>
      <c r="P131" s="15">
        <v>1.0275166202535602</v>
      </c>
      <c r="Q131" s="8"/>
      <c r="R131" s="9" t="s">
        <v>139</v>
      </c>
    </row>
    <row r="132" spans="1:18" x14ac:dyDescent="0.25">
      <c r="A132" s="6" t="str">
        <f>HYPERLINK("proteomic_fractions_linear_files/Yang_linear_img/29150253.jpg", "29150253")</f>
        <v>29150253</v>
      </c>
      <c r="B132" s="7"/>
      <c r="C132" s="6" t="str">
        <f>HYPERLINK("http://www.ncbi.nlm.nih.gov/protein/29150253","Acp2")</f>
        <v>Acp2</v>
      </c>
      <c r="D132" s="8"/>
      <c r="E132" s="8">
        <v>45293</v>
      </c>
      <c r="F132" s="8"/>
      <c r="G132" s="15">
        <v>1.8466368549587524</v>
      </c>
      <c r="H132" s="15">
        <v>1.8466368549587524</v>
      </c>
      <c r="I132" s="15">
        <v>1.4545169629009851</v>
      </c>
      <c r="J132" s="15">
        <v>1.4545169629009851</v>
      </c>
      <c r="K132" s="15">
        <v>1.6319146720373832</v>
      </c>
      <c r="L132" s="15">
        <v>1.6319146720373832</v>
      </c>
      <c r="M132" s="15">
        <v>1.6319146720373832</v>
      </c>
      <c r="N132" s="15">
        <v>1.6319146720373832</v>
      </c>
      <c r="O132" s="15" t="s">
        <v>10</v>
      </c>
      <c r="P132" s="15" t="s">
        <v>10</v>
      </c>
      <c r="Q132" s="8"/>
      <c r="R132" s="9" t="s">
        <v>140</v>
      </c>
    </row>
    <row r="133" spans="1:18" x14ac:dyDescent="0.25">
      <c r="A133" s="6" t="str">
        <f>HYPERLINK("proteomic_fractions_linear_files/Yang_linear_img/66773165.jpg", "66773165")</f>
        <v>66773165</v>
      </c>
      <c r="B133" s="7"/>
      <c r="C133" s="6" t="str">
        <f>HYPERLINK("http://www.ncbi.nlm.nih.gov/protein/66773165","Acp6")</f>
        <v>Acp6</v>
      </c>
      <c r="D133" s="8"/>
      <c r="E133" s="8">
        <v>44770</v>
      </c>
      <c r="F133" s="8"/>
      <c r="G133" s="15" t="s">
        <v>10</v>
      </c>
      <c r="H133" s="15" t="s">
        <v>10</v>
      </c>
      <c r="I133" s="15">
        <v>0.90016262673828318</v>
      </c>
      <c r="J133" s="15">
        <v>0.90016262673828318</v>
      </c>
      <c r="K133" s="15" t="s">
        <v>10</v>
      </c>
      <c r="L133" s="15" t="s">
        <v>10</v>
      </c>
      <c r="M133" s="15" t="s">
        <v>10</v>
      </c>
      <c r="N133" s="15" t="s">
        <v>10</v>
      </c>
      <c r="O133" s="15">
        <v>0.8298072538472131</v>
      </c>
      <c r="P133" s="15">
        <v>0.8298072538472131</v>
      </c>
      <c r="Q133" s="8"/>
      <c r="R133" s="9" t="s">
        <v>141</v>
      </c>
    </row>
    <row r="134" spans="1:18" x14ac:dyDescent="0.25">
      <c r="A134" s="6" t="str">
        <f>HYPERLINK("proteomic_fractions_linear_files/Yang_linear_img/24418933.jpg", "24418933")</f>
        <v>24418933</v>
      </c>
      <c r="B134" s="7"/>
      <c r="C134" s="6" t="str">
        <f>HYPERLINK("http://www.ncbi.nlm.nih.gov/protein/24418933","Acsf2")</f>
        <v>Acsf2</v>
      </c>
      <c r="D134" s="8"/>
      <c r="E134" s="8">
        <v>63431</v>
      </c>
      <c r="F134" s="8"/>
      <c r="G134" s="15">
        <v>1.1656533371695594</v>
      </c>
      <c r="H134" s="15">
        <v>1.1656533371695594</v>
      </c>
      <c r="I134" s="15">
        <v>1.038940687786418</v>
      </c>
      <c r="J134" s="15">
        <v>1.038940687786418</v>
      </c>
      <c r="K134" s="15">
        <v>1.038940687786418</v>
      </c>
      <c r="L134" s="15">
        <v>1.038940687786418</v>
      </c>
      <c r="M134" s="15" t="s">
        <v>10</v>
      </c>
      <c r="N134" s="15" t="s">
        <v>10</v>
      </c>
      <c r="O134" s="15" t="s">
        <v>10</v>
      </c>
      <c r="P134" s="15" t="s">
        <v>10</v>
      </c>
      <c r="Q134" s="8"/>
      <c r="R134" s="9" t="s">
        <v>142</v>
      </c>
    </row>
    <row r="135" spans="1:18" x14ac:dyDescent="0.25">
      <c r="A135" s="6" t="str">
        <f>HYPERLINK("proteomic_fractions_linear_files/Yang_linear_img/113199775.jpg", "113199775")</f>
        <v>113199775</v>
      </c>
      <c r="B135" s="7"/>
      <c r="C135" s="6" t="str">
        <f>HYPERLINK("http://www.ncbi.nlm.nih.gov/protein/113199775","Acsf3")</f>
        <v>Acsf3</v>
      </c>
      <c r="D135" s="8"/>
      <c r="E135" s="8">
        <v>61811</v>
      </c>
      <c r="F135" s="8"/>
      <c r="G135" s="15">
        <v>0.85678338112904961</v>
      </c>
      <c r="H135" s="15">
        <v>0.85678338112904961</v>
      </c>
      <c r="I135" s="15">
        <v>0.9479549610579654</v>
      </c>
      <c r="J135" s="15">
        <v>0.9479549610579654</v>
      </c>
      <c r="K135" s="15" t="s">
        <v>10</v>
      </c>
      <c r="L135" s="15" t="s">
        <v>10</v>
      </c>
      <c r="M135" s="15" t="s">
        <v>10</v>
      </c>
      <c r="N135" s="15" t="s">
        <v>10</v>
      </c>
      <c r="O135" s="15" t="s">
        <v>10</v>
      </c>
      <c r="P135" s="15" t="s">
        <v>10</v>
      </c>
      <c r="Q135" s="8"/>
      <c r="R135" s="9" t="s">
        <v>143</v>
      </c>
    </row>
    <row r="136" spans="1:18" x14ac:dyDescent="0.25">
      <c r="A136" s="6" t="str">
        <f>HYPERLINK("proteomic_fractions_linear_files/Yang_linear_img/31560705.jpg", "31560705")</f>
        <v>31560705</v>
      </c>
      <c r="B136" s="7"/>
      <c r="C136" s="6" t="str">
        <f>HYPERLINK("http://www.ncbi.nlm.nih.gov/protein/31560705","Acsl1")</f>
        <v>Acsl1</v>
      </c>
      <c r="D136" s="8"/>
      <c r="E136" s="8">
        <v>77821</v>
      </c>
      <c r="F136" s="8"/>
      <c r="G136" s="15" t="s">
        <v>10</v>
      </c>
      <c r="H136" s="15" t="s">
        <v>10</v>
      </c>
      <c r="I136" s="15">
        <v>0.9414892338677211</v>
      </c>
      <c r="J136" s="15">
        <v>0.9414892338677211</v>
      </c>
      <c r="K136" s="15">
        <v>1.0653674163223572</v>
      </c>
      <c r="L136" s="15">
        <v>1.0653674163223572</v>
      </c>
      <c r="M136" s="15" t="s">
        <v>10</v>
      </c>
      <c r="N136" s="15" t="s">
        <v>10</v>
      </c>
      <c r="O136" s="15" t="s">
        <v>10</v>
      </c>
      <c r="P136" s="15" t="s">
        <v>10</v>
      </c>
      <c r="Q136" s="8"/>
      <c r="R136" s="9" t="s">
        <v>144</v>
      </c>
    </row>
    <row r="137" spans="1:18" x14ac:dyDescent="0.25">
      <c r="A137" s="6" t="str">
        <f>HYPERLINK("proteomic_fractions_linear_files/Yang_linear_img/209977076.jpg", "209977076")</f>
        <v>209977076</v>
      </c>
      <c r="B137" s="7"/>
      <c r="C137" s="6" t="str">
        <f>HYPERLINK("http://www.ncbi.nlm.nih.gov/protein/209977076","Acsl3")</f>
        <v>Acsl3</v>
      </c>
      <c r="D137" s="8"/>
      <c r="E137" s="8">
        <v>62845</v>
      </c>
      <c r="F137" s="8"/>
      <c r="G137" s="15">
        <v>1.5074282727394366</v>
      </c>
      <c r="H137" s="15">
        <v>1.5074282727394366</v>
      </c>
      <c r="I137" s="15">
        <v>1.3190263249705374</v>
      </c>
      <c r="J137" s="15">
        <v>1.3190263249705374</v>
      </c>
      <c r="K137" s="15">
        <v>1.3190263249705374</v>
      </c>
      <c r="L137" s="15">
        <v>1.3190263249705374</v>
      </c>
      <c r="M137" s="15" t="s">
        <v>10</v>
      </c>
      <c r="N137" s="15" t="s">
        <v>10</v>
      </c>
      <c r="O137" s="15" t="s">
        <v>10</v>
      </c>
      <c r="P137" s="15" t="s">
        <v>10</v>
      </c>
      <c r="Q137" s="8"/>
      <c r="R137" s="9" t="s">
        <v>145</v>
      </c>
    </row>
    <row r="138" spans="1:18" x14ac:dyDescent="0.25">
      <c r="A138" s="6" t="str">
        <f>HYPERLINK("proteomic_fractions_linear_files/Yang_linear_img/75992920.jpg", "75992920")</f>
        <v>75992920</v>
      </c>
      <c r="B138" s="7"/>
      <c r="C138" s="6" t="str">
        <f>HYPERLINK("http://www.ncbi.nlm.nih.gov/protein/75992920","Acsl3")</f>
        <v>Acsl3</v>
      </c>
      <c r="D138" s="8"/>
      <c r="E138" s="8">
        <v>80362</v>
      </c>
      <c r="F138" s="8"/>
      <c r="G138" s="15">
        <v>1.1870997647823063</v>
      </c>
      <c r="H138" s="15">
        <v>1.1870997647823063</v>
      </c>
      <c r="I138" s="15">
        <v>1.0387332309142983</v>
      </c>
      <c r="J138" s="15">
        <v>1.0387332309142983</v>
      </c>
      <c r="K138" s="15">
        <v>1.0387332309142983</v>
      </c>
      <c r="L138" s="15">
        <v>1.0387332309142983</v>
      </c>
      <c r="M138" s="15" t="s">
        <v>10</v>
      </c>
      <c r="N138" s="15" t="s">
        <v>10</v>
      </c>
      <c r="O138" s="15" t="s">
        <v>10</v>
      </c>
      <c r="P138" s="15" t="s">
        <v>10</v>
      </c>
      <c r="Q138" s="8"/>
      <c r="R138" s="9" t="s">
        <v>146</v>
      </c>
    </row>
    <row r="139" spans="1:18" x14ac:dyDescent="0.25">
      <c r="A139" s="6" t="str">
        <f>HYPERLINK("proteomic_fractions_linear_files/Yang_linear_img/46518528.jpg", "46518528")</f>
        <v>46518528</v>
      </c>
      <c r="B139" s="7"/>
      <c r="C139" s="6" t="str">
        <f>HYPERLINK("http://www.ncbi.nlm.nih.gov/protein/46518528","Acsl4")</f>
        <v>Acsl4</v>
      </c>
      <c r="D139" s="8"/>
      <c r="E139" s="8">
        <v>78946</v>
      </c>
      <c r="F139" s="8"/>
      <c r="G139" s="15">
        <v>1.2021263440833483</v>
      </c>
      <c r="H139" s="15">
        <v>1.2021263440833483</v>
      </c>
      <c r="I139" s="15">
        <v>1.0518817528246058</v>
      </c>
      <c r="J139" s="15">
        <v>1.0518817528246058</v>
      </c>
      <c r="K139" s="15">
        <v>1.2021263440833483</v>
      </c>
      <c r="L139" s="15">
        <v>1.2021263440833483</v>
      </c>
      <c r="M139" s="15">
        <v>1.0518817528246058</v>
      </c>
      <c r="N139" s="15">
        <v>1.0518817528246058</v>
      </c>
      <c r="O139" s="15">
        <v>1.0518817528246058</v>
      </c>
      <c r="P139" s="15">
        <v>1.0518817528246058</v>
      </c>
      <c r="Q139" s="8"/>
      <c r="R139" s="9" t="s">
        <v>147</v>
      </c>
    </row>
    <row r="140" spans="1:18" x14ac:dyDescent="0.25">
      <c r="A140" s="6" t="str">
        <f>HYPERLINK("proteomic_fractions_linear_files/Yang_linear_img/75992925.jpg", "75992925")</f>
        <v>75992925</v>
      </c>
      <c r="B140" s="7"/>
      <c r="C140" s="6" t="str">
        <f>HYPERLINK("http://www.ncbi.nlm.nih.gov/protein/75992925","Acsl4")</f>
        <v>Acsl4</v>
      </c>
      <c r="D140" s="8"/>
      <c r="E140" s="8">
        <v>74208</v>
      </c>
      <c r="F140" s="8"/>
      <c r="G140" s="15">
        <v>1.2833510970619528</v>
      </c>
      <c r="H140" s="15">
        <v>1.2833510970619528</v>
      </c>
      <c r="I140" s="15">
        <v>1.1229548442316737</v>
      </c>
      <c r="J140" s="15">
        <v>1.1229548442316737</v>
      </c>
      <c r="K140" s="15">
        <v>1.2833510970619528</v>
      </c>
      <c r="L140" s="15">
        <v>1.2833510970619528</v>
      </c>
      <c r="M140" s="15">
        <v>1.1229548442316737</v>
      </c>
      <c r="N140" s="15">
        <v>1.1229548442316737</v>
      </c>
      <c r="O140" s="15">
        <v>1.1229548442316737</v>
      </c>
      <c r="P140" s="15">
        <v>1.1229548442316737</v>
      </c>
      <c r="Q140" s="8"/>
      <c r="R140" s="9" t="s">
        <v>148</v>
      </c>
    </row>
    <row r="141" spans="1:18" x14ac:dyDescent="0.25">
      <c r="A141" s="6" t="str">
        <f>HYPERLINK("proteomic_fractions_linear_files/Yang_linear_img/58218988.jpg", "58218988")</f>
        <v>58218988</v>
      </c>
      <c r="B141" s="7"/>
      <c r="C141" s="6" t="str">
        <f>HYPERLINK("http://www.ncbi.nlm.nih.gov/protein/58218988","Acsl5")</f>
        <v>Acsl5</v>
      </c>
      <c r="D141" s="8"/>
      <c r="E141" s="8">
        <v>76076</v>
      </c>
      <c r="F141" s="8"/>
      <c r="G141" s="15">
        <v>1.2495786997708489</v>
      </c>
      <c r="H141" s="15">
        <v>1.2495786997708489</v>
      </c>
      <c r="I141" s="15">
        <v>0.96626526633792431</v>
      </c>
      <c r="J141" s="15">
        <v>0.96626526633792431</v>
      </c>
      <c r="K141" s="15">
        <v>1.0934034009624192</v>
      </c>
      <c r="L141" s="15">
        <v>1.0934034009624192</v>
      </c>
      <c r="M141" s="15" t="s">
        <v>10</v>
      </c>
      <c r="N141" s="15" t="s">
        <v>10</v>
      </c>
      <c r="O141" s="15" t="s">
        <v>10</v>
      </c>
      <c r="P141" s="15" t="s">
        <v>10</v>
      </c>
      <c r="Q141" s="8"/>
      <c r="R141" s="9" t="s">
        <v>149</v>
      </c>
    </row>
    <row r="142" spans="1:18" x14ac:dyDescent="0.25">
      <c r="A142" s="6" t="str">
        <f>HYPERLINK("proteomic_fractions_linear_files/Yang_linear_img/31980996.jpg", "31980996")</f>
        <v>31980996</v>
      </c>
      <c r="B142" s="7"/>
      <c r="C142" s="6" t="str">
        <f>HYPERLINK("http://www.ncbi.nlm.nih.gov/protein/31980996","Acss2")</f>
        <v>Acss2</v>
      </c>
      <c r="D142" s="8"/>
      <c r="E142" s="8">
        <v>78731</v>
      </c>
      <c r="F142" s="8"/>
      <c r="G142" s="15" t="s">
        <v>10</v>
      </c>
      <c r="H142" s="15" t="s">
        <v>10</v>
      </c>
      <c r="I142" s="15" t="s">
        <v>10</v>
      </c>
      <c r="J142" s="15" t="s">
        <v>10</v>
      </c>
      <c r="K142" s="15" t="s">
        <v>10</v>
      </c>
      <c r="L142" s="15" t="s">
        <v>10</v>
      </c>
      <c r="M142" s="15" t="s">
        <v>10</v>
      </c>
      <c r="N142" s="15" t="s">
        <v>10</v>
      </c>
      <c r="O142" s="15">
        <v>1.0518817528246058</v>
      </c>
      <c r="P142" s="15">
        <v>1.0518817528246058</v>
      </c>
      <c r="Q142" s="8"/>
      <c r="R142" s="9" t="s">
        <v>150</v>
      </c>
    </row>
    <row r="143" spans="1:18" x14ac:dyDescent="0.25">
      <c r="A143" s="6" t="str">
        <f>HYPERLINK("proteomic_fractions_linear_files/Yang_linear_img/33563240.jpg", "33563240")</f>
        <v>33563240</v>
      </c>
      <c r="B143" s="7"/>
      <c r="C143" s="6" t="str">
        <f>HYPERLINK("http://www.ncbi.nlm.nih.gov/protein/33563240","Acta1")</f>
        <v>Acta1</v>
      </c>
      <c r="D143" s="8"/>
      <c r="E143" s="8">
        <v>41920</v>
      </c>
      <c r="F143" s="8"/>
      <c r="G143" s="15">
        <v>1.2647754673809781</v>
      </c>
      <c r="H143" s="15">
        <v>1.2647754673809781</v>
      </c>
      <c r="I143" s="15">
        <v>0.96445995721958921</v>
      </c>
      <c r="J143" s="15">
        <v>0.96445995721958921</v>
      </c>
      <c r="K143" s="15">
        <v>1.0506092677848922</v>
      </c>
      <c r="L143" s="15">
        <v>1.0506092677848922</v>
      </c>
      <c r="M143" s="15">
        <v>0.96445995721958921</v>
      </c>
      <c r="N143" s="15">
        <v>0.96445995721958921</v>
      </c>
      <c r="O143" s="15">
        <v>0.88907920055058554</v>
      </c>
      <c r="P143" s="15">
        <v>0.88907920055058554</v>
      </c>
      <c r="Q143" s="8"/>
      <c r="R143" s="9" t="s">
        <v>151</v>
      </c>
    </row>
    <row r="144" spans="1:18" x14ac:dyDescent="0.25">
      <c r="A144" s="6" t="str">
        <f>HYPERLINK("proteomic_fractions_linear_files/Yang_linear_img/6671507.jpg", "6671507")</f>
        <v>6671507</v>
      </c>
      <c r="B144" s="7"/>
      <c r="C144" s="6" t="str">
        <f>HYPERLINK("http://www.ncbi.nlm.nih.gov/protein/6671507","Acta2")</f>
        <v>Acta2</v>
      </c>
      <c r="D144" s="8"/>
      <c r="E144" s="8">
        <v>41878</v>
      </c>
      <c r="F144" s="8"/>
      <c r="G144" s="15">
        <v>1.2647754673809781</v>
      </c>
      <c r="H144" s="15">
        <v>1.2647754673809781</v>
      </c>
      <c r="I144" s="15">
        <v>0.96445995721958921</v>
      </c>
      <c r="J144" s="15">
        <v>0.96445995721958921</v>
      </c>
      <c r="K144" s="15">
        <v>1.0506092677848922</v>
      </c>
      <c r="L144" s="15">
        <v>1.0506092677848922</v>
      </c>
      <c r="M144" s="15">
        <v>0.96445995721958921</v>
      </c>
      <c r="N144" s="15">
        <v>0.96445995721958921</v>
      </c>
      <c r="O144" s="15">
        <v>0.88907920055058554</v>
      </c>
      <c r="P144" s="15">
        <v>0.88907920055058554</v>
      </c>
      <c r="Q144" s="8"/>
      <c r="R144" s="9" t="s">
        <v>152</v>
      </c>
    </row>
    <row r="145" spans="1:18" x14ac:dyDescent="0.25">
      <c r="A145" s="6" t="str">
        <f>HYPERLINK("proteomic_fractions_linear_files/Yang_linear_img/6671509.jpg", "6671509")</f>
        <v>6671509</v>
      </c>
      <c r="B145" s="7"/>
      <c r="C145" s="6" t="str">
        <f>HYPERLINK("http://www.ncbi.nlm.nih.gov/protein/6671509","Actb")</f>
        <v>Actb</v>
      </c>
      <c r="D145" s="8"/>
      <c r="E145" s="8">
        <v>41606</v>
      </c>
      <c r="F145" s="8"/>
      <c r="G145" s="15">
        <v>1.3993620853712823</v>
      </c>
      <c r="H145" s="15">
        <v>1.3993620853712823</v>
      </c>
      <c r="I145" s="15">
        <v>0.96445995721958921</v>
      </c>
      <c r="J145" s="15">
        <v>0.96445995721958921</v>
      </c>
      <c r="K145" s="15">
        <v>1.0506092677848922</v>
      </c>
      <c r="L145" s="15">
        <v>1.0506092677848922</v>
      </c>
      <c r="M145" s="15">
        <v>0.96445995721958921</v>
      </c>
      <c r="N145" s="15">
        <v>0.96445995721958921</v>
      </c>
      <c r="O145" s="15">
        <v>0.88907920055058554</v>
      </c>
      <c r="P145" s="15">
        <v>0.88907920055058554</v>
      </c>
      <c r="Q145" s="8"/>
      <c r="R145" s="9" t="s">
        <v>153</v>
      </c>
    </row>
    <row r="146" spans="1:18" x14ac:dyDescent="0.25">
      <c r="A146" s="6" t="str">
        <f>HYPERLINK("proteomic_fractions_linear_files/Yang_linear_img/30425250.jpg", "30425250")</f>
        <v>30425250</v>
      </c>
      <c r="B146" s="7"/>
      <c r="C146" s="6" t="str">
        <f>HYPERLINK("http://www.ncbi.nlm.nih.gov/protein/30425250","Actbl2")</f>
        <v>Actbl2</v>
      </c>
      <c r="D146" s="8"/>
      <c r="E146" s="8">
        <v>41873</v>
      </c>
      <c r="F146" s="8"/>
      <c r="G146" s="15">
        <v>1.2647754673809781</v>
      </c>
      <c r="H146" s="15">
        <v>1.2647754673809781</v>
      </c>
      <c r="I146" s="15">
        <v>0.96445995721958921</v>
      </c>
      <c r="J146" s="15">
        <v>0.96445995721958921</v>
      </c>
      <c r="K146" s="15">
        <v>1.0506092677848922</v>
      </c>
      <c r="L146" s="15">
        <v>1.0506092677848922</v>
      </c>
      <c r="M146" s="15">
        <v>0.96445995721958921</v>
      </c>
      <c r="N146" s="15">
        <v>0.96445995721958921</v>
      </c>
      <c r="O146" s="15">
        <v>0.88907920055058554</v>
      </c>
      <c r="P146" s="15">
        <v>0.88907920055058554</v>
      </c>
      <c r="Q146" s="8"/>
      <c r="R146" s="9" t="s">
        <v>154</v>
      </c>
    </row>
    <row r="147" spans="1:18" x14ac:dyDescent="0.25">
      <c r="A147" s="6" t="str">
        <f>HYPERLINK("proteomic_fractions_linear_files/Yang_linear_img/14192922.jpg", "14192922")</f>
        <v>14192922</v>
      </c>
      <c r="B147" s="7"/>
      <c r="C147" s="6" t="str">
        <f>HYPERLINK("http://www.ncbi.nlm.nih.gov/protein/14192922","Actc1")</f>
        <v>Actc1</v>
      </c>
      <c r="D147" s="8"/>
      <c r="E147" s="8">
        <v>41888</v>
      </c>
      <c r="F147" s="8"/>
      <c r="G147" s="15">
        <v>1.2647754673809781</v>
      </c>
      <c r="H147" s="15">
        <v>1.2647754673809781</v>
      </c>
      <c r="I147" s="15">
        <v>0.96445995721958921</v>
      </c>
      <c r="J147" s="15">
        <v>0.96445995721958921</v>
      </c>
      <c r="K147" s="15">
        <v>1.0506092677848922</v>
      </c>
      <c r="L147" s="15">
        <v>1.0506092677848922</v>
      </c>
      <c r="M147" s="15">
        <v>0.96445995721958921</v>
      </c>
      <c r="N147" s="15">
        <v>0.96445995721958921</v>
      </c>
      <c r="O147" s="15">
        <v>0.88907920055058554</v>
      </c>
      <c r="P147" s="15">
        <v>0.88907920055058554</v>
      </c>
      <c r="Q147" s="8"/>
      <c r="R147" s="9" t="s">
        <v>155</v>
      </c>
    </row>
    <row r="148" spans="1:18" x14ac:dyDescent="0.25">
      <c r="A148" s="6" t="str">
        <f>HYPERLINK("proteomic_fractions_linear_files/Yang_linear_img/6752954.jpg", "6752954")</f>
        <v>6752954</v>
      </c>
      <c r="B148" s="7"/>
      <c r="C148" s="6" t="str">
        <f>HYPERLINK("http://www.ncbi.nlm.nih.gov/protein/6752954","Actg1")</f>
        <v>Actg1</v>
      </c>
      <c r="D148" s="8"/>
      <c r="E148" s="8">
        <v>41662</v>
      </c>
      <c r="F148" s="8"/>
      <c r="G148" s="15">
        <v>1.3993620853712823</v>
      </c>
      <c r="H148" s="15">
        <v>1.3993620853712823</v>
      </c>
      <c r="I148" s="15">
        <v>0.96445995721958921</v>
      </c>
      <c r="J148" s="15">
        <v>0.96445995721958921</v>
      </c>
      <c r="K148" s="15">
        <v>1.0506092677848922</v>
      </c>
      <c r="L148" s="15">
        <v>1.0506092677848922</v>
      </c>
      <c r="M148" s="15">
        <v>0.96445995721958921</v>
      </c>
      <c r="N148" s="15">
        <v>0.96445995721958921</v>
      </c>
      <c r="O148" s="15">
        <v>0.88907920055058554</v>
      </c>
      <c r="P148" s="15">
        <v>0.88907920055058554</v>
      </c>
      <c r="Q148" s="8"/>
      <c r="R148" s="9" t="s">
        <v>156</v>
      </c>
    </row>
    <row r="149" spans="1:18" x14ac:dyDescent="0.25">
      <c r="A149" s="6" t="str">
        <f>HYPERLINK("proteomic_fractions_linear_files/Yang_linear_img/157823889.jpg", "157823889")</f>
        <v>157823889</v>
      </c>
      <c r="B149" s="7"/>
      <c r="C149" s="6" t="str">
        <f>HYPERLINK("http://www.ncbi.nlm.nih.gov/protein/157823889","Actg2")</f>
        <v>Actg2</v>
      </c>
      <c r="D149" s="8"/>
      <c r="E149" s="8">
        <v>41746</v>
      </c>
      <c r="F149" s="8"/>
      <c r="G149" s="15">
        <v>1.2647754673809781</v>
      </c>
      <c r="H149" s="15">
        <v>1.2647754673809781</v>
      </c>
      <c r="I149" s="15">
        <v>0.96445995721958921</v>
      </c>
      <c r="J149" s="15">
        <v>0.96445995721958921</v>
      </c>
      <c r="K149" s="15">
        <v>1.0506092677848922</v>
      </c>
      <c r="L149" s="15">
        <v>1.0506092677848922</v>
      </c>
      <c r="M149" s="15">
        <v>0.96445995721958921</v>
      </c>
      <c r="N149" s="15">
        <v>0.96445995721958921</v>
      </c>
      <c r="O149" s="15">
        <v>0.88907920055058554</v>
      </c>
      <c r="P149" s="15">
        <v>0.88907920055058554</v>
      </c>
      <c r="Q149" s="8"/>
      <c r="R149" s="9" t="s">
        <v>157</v>
      </c>
    </row>
    <row r="150" spans="1:18" x14ac:dyDescent="0.25">
      <c r="A150" s="6" t="str">
        <f>HYPERLINK("proteomic_fractions_linear_files/Yang_linear_img/189181668.jpg", "189181668")</f>
        <v>189181668</v>
      </c>
      <c r="B150" s="7"/>
      <c r="C150" s="6" t="str">
        <f>HYPERLINK("http://www.ncbi.nlm.nih.gov/protein/189181668","Actl6a")</f>
        <v>Actl6a</v>
      </c>
      <c r="D150" s="8"/>
      <c r="E150" s="8">
        <v>47317</v>
      </c>
      <c r="F150" s="8"/>
      <c r="G150" s="15">
        <v>1.2504937784168904</v>
      </c>
      <c r="H150" s="15">
        <v>1.2504937784168904</v>
      </c>
      <c r="I150" s="15">
        <v>0.93884232440352056</v>
      </c>
      <c r="J150" s="15">
        <v>0.93884232440352056</v>
      </c>
      <c r="K150" s="15">
        <v>1.0274462890301117</v>
      </c>
      <c r="L150" s="15">
        <v>1.0274462890301117</v>
      </c>
      <c r="M150" s="15" t="s">
        <v>10</v>
      </c>
      <c r="N150" s="15" t="s">
        <v>10</v>
      </c>
      <c r="O150" s="15">
        <v>0.86185783411112227</v>
      </c>
      <c r="P150" s="15">
        <v>0.86185783411112227</v>
      </c>
      <c r="Q150" s="8"/>
      <c r="R150" s="9" t="s">
        <v>158</v>
      </c>
    </row>
    <row r="151" spans="1:18" x14ac:dyDescent="0.25">
      <c r="A151" s="6" t="str">
        <f>HYPERLINK("proteomic_fractions_linear_files/Yang_linear_img/13937393.jpg", "13937393")</f>
        <v>13937393</v>
      </c>
      <c r="B151" s="7"/>
      <c r="C151" s="6" t="str">
        <f>HYPERLINK("http://www.ncbi.nlm.nih.gov/protein/13937393","Actl6b")</f>
        <v>Actl6b</v>
      </c>
      <c r="D151" s="8"/>
      <c r="E151" s="8">
        <v>46761</v>
      </c>
      <c r="F151" s="8"/>
      <c r="G151" s="15">
        <v>1.2504937784168904</v>
      </c>
      <c r="H151" s="15">
        <v>1.2504937784168904</v>
      </c>
      <c r="I151" s="15" t="s">
        <v>10</v>
      </c>
      <c r="J151" s="15" t="s">
        <v>10</v>
      </c>
      <c r="K151" s="15">
        <v>1.0274462890301117</v>
      </c>
      <c r="L151" s="15">
        <v>1.0274462890301117</v>
      </c>
      <c r="M151" s="15" t="s">
        <v>10</v>
      </c>
      <c r="N151" s="15" t="s">
        <v>10</v>
      </c>
      <c r="O151" s="15">
        <v>0.86185783411112227</v>
      </c>
      <c r="P151" s="15">
        <v>0.86185783411112227</v>
      </c>
      <c r="Q151" s="8"/>
      <c r="R151" s="9" t="s">
        <v>159</v>
      </c>
    </row>
    <row r="152" spans="1:18" x14ac:dyDescent="0.25">
      <c r="A152" s="6" t="str">
        <f>HYPERLINK("proteomic_fractions_linear_files/Yang_linear_img/61097906.jpg", "61097906")</f>
        <v>61097906</v>
      </c>
      <c r="B152" s="7"/>
      <c r="C152" s="6" t="str">
        <f>HYPERLINK("http://www.ncbi.nlm.nih.gov/protein/61097906","Actn1")</f>
        <v>Actn1</v>
      </c>
      <c r="D152" s="8"/>
      <c r="E152" s="8">
        <v>102938</v>
      </c>
      <c r="F152" s="8"/>
      <c r="G152" s="15">
        <v>1.2497245450982231</v>
      </c>
      <c r="H152" s="15">
        <v>1.2497245450982231</v>
      </c>
      <c r="I152" s="15">
        <v>1.0660346002051599</v>
      </c>
      <c r="J152" s="15">
        <v>1.0660346002051599</v>
      </c>
      <c r="K152" s="15">
        <v>1.0660346002051599</v>
      </c>
      <c r="L152" s="15">
        <v>1.0660346002051599</v>
      </c>
      <c r="M152" s="15">
        <v>1.0660346002051599</v>
      </c>
      <c r="N152" s="15">
        <v>1.0660346002051599</v>
      </c>
      <c r="O152" s="15">
        <v>1.0660346002051599</v>
      </c>
      <c r="P152" s="15">
        <v>1.0660346002051599</v>
      </c>
      <c r="Q152" s="8"/>
      <c r="R152" s="9" t="s">
        <v>160</v>
      </c>
    </row>
    <row r="153" spans="1:18" x14ac:dyDescent="0.25">
      <c r="A153" s="6" t="str">
        <f>HYPERLINK("proteomic_fractions_linear_files/Yang_linear_img/157951643.jpg", "157951643")</f>
        <v>157951643</v>
      </c>
      <c r="B153" s="7"/>
      <c r="C153" s="6" t="str">
        <f>HYPERLINK("http://www.ncbi.nlm.nih.gov/protein/157951643","Actn2")</f>
        <v>Actn2</v>
      </c>
      <c r="D153" s="8"/>
      <c r="E153" s="8">
        <v>103703</v>
      </c>
      <c r="F153" s="8"/>
      <c r="G153" s="15">
        <v>1.237707962933817</v>
      </c>
      <c r="H153" s="15">
        <v>1.237707962933817</v>
      </c>
      <c r="I153" s="15">
        <v>1.0557842675108795</v>
      </c>
      <c r="J153" s="15">
        <v>1.0557842675108795</v>
      </c>
      <c r="K153" s="15">
        <v>1.0557842675108795</v>
      </c>
      <c r="L153" s="15">
        <v>1.0557842675108795</v>
      </c>
      <c r="M153" s="15">
        <v>1.0557842675108795</v>
      </c>
      <c r="N153" s="15">
        <v>1.0557842675108795</v>
      </c>
      <c r="O153" s="15">
        <v>1.0557842675108795</v>
      </c>
      <c r="P153" s="15">
        <v>1.0557842675108795</v>
      </c>
      <c r="Q153" s="8"/>
      <c r="R153" s="9" t="s">
        <v>161</v>
      </c>
    </row>
    <row r="154" spans="1:18" x14ac:dyDescent="0.25">
      <c r="A154" s="6" t="str">
        <f>HYPERLINK("proteomic_fractions_linear_files/Yang_linear_img/7304855.jpg", "7304855")</f>
        <v>7304855</v>
      </c>
      <c r="B154" s="7"/>
      <c r="C154" s="6" t="str">
        <f>HYPERLINK("http://www.ncbi.nlm.nih.gov/protein/7304855","Actn3")</f>
        <v>Actn3</v>
      </c>
      <c r="D154" s="8"/>
      <c r="E154" s="8">
        <v>102912</v>
      </c>
      <c r="F154" s="8"/>
      <c r="G154" s="15">
        <v>1.2497245450982231</v>
      </c>
      <c r="H154" s="15">
        <v>1.2497245450982231</v>
      </c>
      <c r="I154" s="15">
        <v>1.0660346002051599</v>
      </c>
      <c r="J154" s="15">
        <v>1.0660346002051599</v>
      </c>
      <c r="K154" s="15">
        <v>1.0660346002051599</v>
      </c>
      <c r="L154" s="15">
        <v>1.0660346002051599</v>
      </c>
      <c r="M154" s="15">
        <v>1.0660346002051599</v>
      </c>
      <c r="N154" s="15">
        <v>1.0660346002051599</v>
      </c>
      <c r="O154" s="15">
        <v>1.0660346002051599</v>
      </c>
      <c r="P154" s="15">
        <v>1.0660346002051599</v>
      </c>
      <c r="Q154" s="8"/>
      <c r="R154" s="9" t="s">
        <v>162</v>
      </c>
    </row>
    <row r="155" spans="1:18" x14ac:dyDescent="0.25">
      <c r="A155" s="6" t="str">
        <f>HYPERLINK("proteomic_fractions_linear_files/Yang_linear_img/11230802.jpg", "11230802")</f>
        <v>11230802</v>
      </c>
      <c r="B155" s="7"/>
      <c r="C155" s="6" t="str">
        <f>HYPERLINK("http://www.ncbi.nlm.nih.gov/protein/11230802","Actn4")</f>
        <v>Actn4</v>
      </c>
      <c r="D155" s="8"/>
      <c r="E155" s="8">
        <v>104846</v>
      </c>
      <c r="F155" s="8"/>
      <c r="G155" s="15">
        <v>1.2259202680487331</v>
      </c>
      <c r="H155" s="15">
        <v>1.2259202680487331</v>
      </c>
      <c r="I155" s="15">
        <v>1.0457291792488712</v>
      </c>
      <c r="J155" s="15">
        <v>1.0457291792488712</v>
      </c>
      <c r="K155" s="15">
        <v>1.0457291792488712</v>
      </c>
      <c r="L155" s="15">
        <v>1.0457291792488712</v>
      </c>
      <c r="M155" s="15">
        <v>1.0457291792488712</v>
      </c>
      <c r="N155" s="15">
        <v>1.0457291792488712</v>
      </c>
      <c r="O155" s="15">
        <v>1.0457291792488712</v>
      </c>
      <c r="P155" s="15">
        <v>1.0457291792488712</v>
      </c>
      <c r="Q155" s="8"/>
      <c r="R155" s="9" t="s">
        <v>163</v>
      </c>
    </row>
    <row r="156" spans="1:18" x14ac:dyDescent="0.25">
      <c r="A156" s="6" t="str">
        <f>HYPERLINK("proteomic_fractions_linear_files/Yang_linear_img/226246593.jpg", "226246593")</f>
        <v>226246593</v>
      </c>
      <c r="B156" s="7"/>
      <c r="C156" s="6" t="str">
        <f>HYPERLINK("http://www.ncbi.nlm.nih.gov/protein/226246593","Actr10")</f>
        <v>Actr10</v>
      </c>
      <c r="D156" s="8"/>
      <c r="E156" s="8">
        <v>46077</v>
      </c>
      <c r="F156" s="8"/>
      <c r="G156" s="15" t="s">
        <v>10</v>
      </c>
      <c r="H156" s="15" t="s">
        <v>10</v>
      </c>
      <c r="I156" s="15" t="s">
        <v>10</v>
      </c>
      <c r="J156" s="15" t="s">
        <v>10</v>
      </c>
      <c r="K156" s="15">
        <v>0.95925194015142323</v>
      </c>
      <c r="L156" s="15">
        <v>0.95925194015142323</v>
      </c>
      <c r="M156" s="15">
        <v>0.88059387398310318</v>
      </c>
      <c r="N156" s="15">
        <v>0.88059387398310318</v>
      </c>
      <c r="O156" s="15" t="s">
        <v>10</v>
      </c>
      <c r="P156" s="15" t="s">
        <v>10</v>
      </c>
      <c r="Q156" s="8"/>
      <c r="R156" s="9" t="s">
        <v>164</v>
      </c>
    </row>
    <row r="157" spans="1:18" x14ac:dyDescent="0.25">
      <c r="A157" s="6" t="str">
        <f>HYPERLINK("proteomic_fractions_linear_files/Yang_linear_img/8392847.jpg", "8392847")</f>
        <v>8392847</v>
      </c>
      <c r="B157" s="7"/>
      <c r="C157" s="6" t="str">
        <f>HYPERLINK("http://www.ncbi.nlm.nih.gov/protein/8392847","Actr1a")</f>
        <v>Actr1a</v>
      </c>
      <c r="D157" s="8"/>
      <c r="E157" s="8">
        <v>42483</v>
      </c>
      <c r="F157" s="8"/>
      <c r="G157" s="15">
        <v>0.96445995721958921</v>
      </c>
      <c r="H157" s="15">
        <v>0.96445995721958921</v>
      </c>
      <c r="I157" s="15">
        <v>0.96445995721958921</v>
      </c>
      <c r="J157" s="15">
        <v>0.96445995721958921</v>
      </c>
      <c r="K157" s="15">
        <v>1.0506092677848922</v>
      </c>
      <c r="L157" s="15">
        <v>1.0506092677848922</v>
      </c>
      <c r="M157" s="15">
        <v>0.96445995721958921</v>
      </c>
      <c r="N157" s="15">
        <v>0.96445995721958921</v>
      </c>
      <c r="O157" s="15">
        <v>0.88907920055058554</v>
      </c>
      <c r="P157" s="15">
        <v>0.88907920055058554</v>
      </c>
      <c r="Q157" s="8"/>
      <c r="R157" s="9" t="s">
        <v>165</v>
      </c>
    </row>
    <row r="158" spans="1:18" x14ac:dyDescent="0.25">
      <c r="A158" s="6" t="str">
        <f>HYPERLINK("proteomic_fractions_linear_files/Yang_linear_img/22122615.jpg", "22122615")</f>
        <v>22122615</v>
      </c>
      <c r="B158" s="7"/>
      <c r="C158" s="6" t="str">
        <f>HYPERLINK("http://www.ncbi.nlm.nih.gov/protein/22122615","Actr1b")</f>
        <v>Actr1b</v>
      </c>
      <c r="D158" s="8"/>
      <c r="E158" s="8">
        <v>42150</v>
      </c>
      <c r="F158" s="8"/>
      <c r="G158" s="15">
        <v>1.2647754673809781</v>
      </c>
      <c r="H158" s="15">
        <v>1.2647754673809781</v>
      </c>
      <c r="I158" s="15">
        <v>0.96445995721958921</v>
      </c>
      <c r="J158" s="15">
        <v>0.96445995721958921</v>
      </c>
      <c r="K158" s="15">
        <v>1.0506092677848922</v>
      </c>
      <c r="L158" s="15">
        <v>1.0506092677848922</v>
      </c>
      <c r="M158" s="15">
        <v>0.96445995721958921</v>
      </c>
      <c r="N158" s="15">
        <v>0.96445995721958921</v>
      </c>
      <c r="O158" s="15">
        <v>0.88907920055058554</v>
      </c>
      <c r="P158" s="15">
        <v>0.88907920055058554</v>
      </c>
      <c r="Q158" s="8"/>
      <c r="R158" s="9" t="s">
        <v>166</v>
      </c>
    </row>
    <row r="159" spans="1:18" x14ac:dyDescent="0.25">
      <c r="A159" s="6" t="str">
        <f>HYPERLINK("proteomic_fractions_linear_files/Yang_linear_img/22122825.jpg", "22122825")</f>
        <v>22122825</v>
      </c>
      <c r="B159" s="7"/>
      <c r="C159" s="6" t="str">
        <f>HYPERLINK("http://www.ncbi.nlm.nih.gov/protein/22122825","Actr2")</f>
        <v>Actr2</v>
      </c>
      <c r="D159" s="8"/>
      <c r="E159" s="8">
        <v>44630</v>
      </c>
      <c r="F159" s="8"/>
      <c r="G159" s="15">
        <v>0.90016262673828318</v>
      </c>
      <c r="H159" s="15">
        <v>0.90016262673828318</v>
      </c>
      <c r="I159" s="15">
        <v>0.90016262673828318</v>
      </c>
      <c r="J159" s="15">
        <v>0.90016262673828318</v>
      </c>
      <c r="K159" s="15">
        <v>0.90016262673828318</v>
      </c>
      <c r="L159" s="15">
        <v>0.90016262673828318</v>
      </c>
      <c r="M159" s="15">
        <v>0.90016262673828318</v>
      </c>
      <c r="N159" s="15">
        <v>0.90016262673828318</v>
      </c>
      <c r="O159" s="15">
        <v>0.76785281178833742</v>
      </c>
      <c r="P159" s="15">
        <v>0.76785281178833742</v>
      </c>
      <c r="Q159" s="8"/>
      <c r="R159" s="9" t="s">
        <v>167</v>
      </c>
    </row>
    <row r="160" spans="1:18" x14ac:dyDescent="0.25">
      <c r="A160" s="6" t="str">
        <f>HYPERLINK("proteomic_fractions_linear_files/Yang_linear_img/329664963.jpg", "329664963")</f>
        <v>329664963</v>
      </c>
      <c r="B160" s="7"/>
      <c r="C160" s="6" t="str">
        <f>HYPERLINK("http://www.ncbi.nlm.nih.gov/protein/329664963","Actr3")</f>
        <v>Actr3</v>
      </c>
      <c r="D160" s="8"/>
      <c r="E160" s="8">
        <v>47226</v>
      </c>
      <c r="F160" s="8"/>
      <c r="G160" s="15">
        <v>1.2504937784168904</v>
      </c>
      <c r="H160" s="15">
        <v>1.2504937784168904</v>
      </c>
      <c r="I160" s="15">
        <v>0.93884232440352056</v>
      </c>
      <c r="J160" s="15">
        <v>0.93884232440352056</v>
      </c>
      <c r="K160" s="15">
        <v>1.0274462890301117</v>
      </c>
      <c r="L160" s="15">
        <v>1.0274462890301117</v>
      </c>
      <c r="M160" s="15">
        <v>1.0274462890301117</v>
      </c>
      <c r="N160" s="15">
        <v>1.0274462890301117</v>
      </c>
      <c r="O160" s="15">
        <v>0.93884232440352056</v>
      </c>
      <c r="P160" s="15">
        <v>0.93884232440352056</v>
      </c>
      <c r="Q160" s="8"/>
      <c r="R160" s="9" t="s">
        <v>168</v>
      </c>
    </row>
    <row r="161" spans="1:18" x14ac:dyDescent="0.25">
      <c r="A161" s="6" t="str">
        <f>HYPERLINK("proteomic_fractions_linear_files/Yang_linear_img/52345394.jpg", "52345394")</f>
        <v>52345394</v>
      </c>
      <c r="B161" s="7"/>
      <c r="C161" s="6" t="str">
        <f>HYPERLINK("http://www.ncbi.nlm.nih.gov/protein/52345394","Actr3b")</f>
        <v>Actr3b</v>
      </c>
      <c r="D161" s="8"/>
      <c r="E161" s="8">
        <v>47449</v>
      </c>
      <c r="F161" s="8"/>
      <c r="G161" s="15">
        <v>1.2504937784168904</v>
      </c>
      <c r="H161" s="15">
        <v>1.2504937784168904</v>
      </c>
      <c r="I161" s="15">
        <v>0.93884232440352056</v>
      </c>
      <c r="J161" s="15">
        <v>0.93884232440352056</v>
      </c>
      <c r="K161" s="15">
        <v>1.0274462890301117</v>
      </c>
      <c r="L161" s="15">
        <v>1.0274462890301117</v>
      </c>
      <c r="M161" s="15">
        <v>1.0274462890301117</v>
      </c>
      <c r="N161" s="15">
        <v>1.0274462890301117</v>
      </c>
      <c r="O161" s="15">
        <v>0.93884232440352056</v>
      </c>
      <c r="P161" s="15">
        <v>0.93884232440352056</v>
      </c>
      <c r="Q161" s="8"/>
      <c r="R161" s="9" t="s">
        <v>169</v>
      </c>
    </row>
    <row r="162" spans="1:18" x14ac:dyDescent="0.25">
      <c r="A162" s="6" t="str">
        <f>HYPERLINK("proteomic_fractions_linear_files/Yang_linear_img/13384746.jpg", "13384746")</f>
        <v>13384746</v>
      </c>
      <c r="B162" s="7"/>
      <c r="C162" s="6" t="str">
        <f>HYPERLINK("http://www.ncbi.nlm.nih.gov/protein/13384746","Acy1")</f>
        <v>Acy1</v>
      </c>
      <c r="D162" s="8"/>
      <c r="E162" s="8">
        <v>45664</v>
      </c>
      <c r="F162" s="8"/>
      <c r="G162" s="15" t="s">
        <v>10</v>
      </c>
      <c r="H162" s="15" t="s">
        <v>10</v>
      </c>
      <c r="I162" s="15" t="s">
        <v>10</v>
      </c>
      <c r="J162" s="15" t="s">
        <v>10</v>
      </c>
      <c r="K162" s="15">
        <v>0.88059387398310318</v>
      </c>
      <c r="L162" s="15">
        <v>0.88059387398310318</v>
      </c>
      <c r="M162" s="15" t="s">
        <v>10</v>
      </c>
      <c r="N162" s="15" t="s">
        <v>10</v>
      </c>
      <c r="O162" s="15">
        <v>0.81176796572009979</v>
      </c>
      <c r="P162" s="15">
        <v>0.81176796572009979</v>
      </c>
      <c r="Q162" s="8"/>
      <c r="R162" s="9" t="s">
        <v>170</v>
      </c>
    </row>
    <row r="163" spans="1:18" x14ac:dyDescent="0.25">
      <c r="A163" s="6" t="str">
        <f>HYPERLINK("proteomic_fractions_linear_files/Yang_linear_img/31982632.jpg", "31982632")</f>
        <v>31982632</v>
      </c>
      <c r="B163" s="7"/>
      <c r="C163" s="6" t="str">
        <f>HYPERLINK("http://www.ncbi.nlm.nih.gov/protein/31982632","Acy3")</f>
        <v>Acy3</v>
      </c>
      <c r="D163" s="8"/>
      <c r="E163" s="8">
        <v>35155</v>
      </c>
      <c r="F163" s="8"/>
      <c r="G163" s="15" t="s">
        <v>10</v>
      </c>
      <c r="H163" s="15" t="s">
        <v>10</v>
      </c>
      <c r="I163" s="15" t="s">
        <v>10</v>
      </c>
      <c r="J163" s="15" t="s">
        <v>10</v>
      </c>
      <c r="K163" s="15" t="s">
        <v>10</v>
      </c>
      <c r="L163" s="15" t="s">
        <v>10</v>
      </c>
      <c r="M163" s="15" t="s">
        <v>10</v>
      </c>
      <c r="N163" s="15" t="s">
        <v>10</v>
      </c>
      <c r="O163" s="15">
        <v>0.79766317993377311</v>
      </c>
      <c r="P163" s="15">
        <v>0.79766317993377311</v>
      </c>
      <c r="Q163" s="8"/>
      <c r="R163" s="9" t="s">
        <v>171</v>
      </c>
    </row>
    <row r="164" spans="1:18" x14ac:dyDescent="0.25">
      <c r="A164" s="6" t="str">
        <f>HYPERLINK("proteomic_fractions_linear_files/Yang_linear_img/13384810.jpg", "13384810")</f>
        <v>13384810</v>
      </c>
      <c r="B164" s="7"/>
      <c r="C164" s="6" t="str">
        <f>HYPERLINK("http://www.ncbi.nlm.nih.gov/protein/13384810","Acyp1")</f>
        <v>Acyp1</v>
      </c>
      <c r="D164" s="8"/>
      <c r="E164" s="8">
        <v>11110</v>
      </c>
      <c r="F164" s="8"/>
      <c r="G164" s="15">
        <v>1.7728318025486614</v>
      </c>
      <c r="H164" s="15">
        <v>1.7728318025486614</v>
      </c>
      <c r="I164" s="15">
        <v>1.1588381219943296</v>
      </c>
      <c r="J164" s="15">
        <v>1.1588381219943296</v>
      </c>
      <c r="K164" s="15">
        <v>1.2623500454487864</v>
      </c>
      <c r="L164" s="15">
        <v>1.2623500454487864</v>
      </c>
      <c r="M164" s="15">
        <v>1.2623500454487864</v>
      </c>
      <c r="N164" s="15">
        <v>1.2623500454487864</v>
      </c>
      <c r="O164" s="15">
        <v>1.1120782993028506</v>
      </c>
      <c r="P164" s="15">
        <v>1.1120782993028506</v>
      </c>
      <c r="Q164" s="8"/>
      <c r="R164" s="9" t="s">
        <v>172</v>
      </c>
    </row>
    <row r="165" spans="1:18" x14ac:dyDescent="0.25">
      <c r="A165" s="6" t="str">
        <f>HYPERLINK("proteomic_fractions_linear_files/Yang_linear_img/150378458.jpg", "150378458")</f>
        <v>150378458</v>
      </c>
      <c r="B165" s="7"/>
      <c r="C165" s="6" t="str">
        <f>HYPERLINK("http://www.ncbi.nlm.nih.gov/protein/150378458","Adam10")</f>
        <v>Adam10</v>
      </c>
      <c r="D165" s="8"/>
      <c r="E165" s="8">
        <v>59361</v>
      </c>
      <c r="F165" s="8"/>
      <c r="G165" s="15" t="s">
        <v>10</v>
      </c>
      <c r="H165" s="15" t="s">
        <v>10</v>
      </c>
      <c r="I165" s="15">
        <v>1.244680682062411</v>
      </c>
      <c r="J165" s="15">
        <v>1.244680682062411</v>
      </c>
      <c r="K165" s="15">
        <v>1.4084518385278619</v>
      </c>
      <c r="L165" s="15">
        <v>1.4084518385278619</v>
      </c>
      <c r="M165" s="15" t="s">
        <v>10</v>
      </c>
      <c r="N165" s="15" t="s">
        <v>10</v>
      </c>
      <c r="O165" s="15" t="s">
        <v>10</v>
      </c>
      <c r="P165" s="15" t="s">
        <v>10</v>
      </c>
      <c r="Q165" s="8"/>
      <c r="R165" s="9" t="s">
        <v>173</v>
      </c>
    </row>
    <row r="166" spans="1:18" x14ac:dyDescent="0.25">
      <c r="A166" s="6" t="str">
        <f>HYPERLINK("proteomic_fractions_linear_files/Yang_linear_img/471270257.jpg", "471270257")</f>
        <v>471270257</v>
      </c>
      <c r="B166" s="7"/>
      <c r="C166" s="6" t="str">
        <f>HYPERLINK("http://www.ncbi.nlm.nih.gov/protein/471270257","Adam17")</f>
        <v>Adam17</v>
      </c>
      <c r="D166" s="8"/>
      <c r="E166" s="8">
        <v>93238</v>
      </c>
      <c r="F166" s="8"/>
      <c r="G166" s="15" t="s">
        <v>10</v>
      </c>
      <c r="H166" s="15" t="s">
        <v>10</v>
      </c>
      <c r="I166" s="15" t="s">
        <v>10</v>
      </c>
      <c r="J166" s="15" t="s">
        <v>10</v>
      </c>
      <c r="K166" s="15">
        <v>1.3841035284421179</v>
      </c>
      <c r="L166" s="15">
        <v>1.3841035284421179</v>
      </c>
      <c r="M166" s="15" t="s">
        <v>10</v>
      </c>
      <c r="N166" s="15" t="s">
        <v>10</v>
      </c>
      <c r="O166" s="15" t="s">
        <v>10</v>
      </c>
      <c r="P166" s="15" t="s">
        <v>10</v>
      </c>
      <c r="Q166" s="8"/>
      <c r="R166" s="9" t="s">
        <v>174</v>
      </c>
    </row>
    <row r="167" spans="1:18" x14ac:dyDescent="0.25">
      <c r="A167" s="6" t="str">
        <f>HYPERLINK("proteomic_fractions_linear_files/Yang_linear_img/110347485.jpg", "110347485")</f>
        <v>110347485</v>
      </c>
      <c r="B167" s="7"/>
      <c r="C167" s="6" t="str">
        <f>HYPERLINK("http://www.ncbi.nlm.nih.gov/protein/110347485","Adam17")</f>
        <v>Adam17</v>
      </c>
      <c r="D167" s="8"/>
      <c r="E167" s="8">
        <v>91062</v>
      </c>
      <c r="F167" s="8"/>
      <c r="G167" s="15" t="s">
        <v>10</v>
      </c>
      <c r="H167" s="15" t="s">
        <v>10</v>
      </c>
      <c r="I167" s="15">
        <v>1.0436041888196099</v>
      </c>
      <c r="J167" s="15">
        <v>1.0436041888196099</v>
      </c>
      <c r="K167" s="15">
        <v>1.6862952872114487</v>
      </c>
      <c r="L167" s="15">
        <v>1.6862952872114487</v>
      </c>
      <c r="M167" s="15" t="s">
        <v>10</v>
      </c>
      <c r="N167" s="15" t="s">
        <v>10</v>
      </c>
      <c r="O167" s="15" t="s">
        <v>10</v>
      </c>
      <c r="P167" s="15" t="s">
        <v>10</v>
      </c>
      <c r="Q167" s="8"/>
      <c r="R167" s="9" t="s">
        <v>175</v>
      </c>
    </row>
    <row r="168" spans="1:18" x14ac:dyDescent="0.25">
      <c r="A168" s="6" t="str">
        <f>HYPERLINK("proteomic_fractions_linear_files/Yang_linear_img/160358787.jpg", "160358787")</f>
        <v>160358787</v>
      </c>
      <c r="B168" s="7"/>
      <c r="C168" s="6" t="str">
        <f>HYPERLINK("http://www.ncbi.nlm.nih.gov/protein/160358787","Adam9")</f>
        <v>Adam9</v>
      </c>
      <c r="D168" s="8"/>
      <c r="E168" s="8">
        <v>89023</v>
      </c>
      <c r="F168" s="8"/>
      <c r="G168" s="15" t="s">
        <v>10</v>
      </c>
      <c r="H168" s="15" t="s">
        <v>10</v>
      </c>
      <c r="I168" s="15">
        <v>0.93369279183307707</v>
      </c>
      <c r="J168" s="15">
        <v>0.93369279183307707</v>
      </c>
      <c r="K168" s="15">
        <v>1.0670559683436462</v>
      </c>
      <c r="L168" s="15">
        <v>1.0670559683436462</v>
      </c>
      <c r="M168" s="15">
        <v>1.0670559683436462</v>
      </c>
      <c r="N168" s="15">
        <v>1.0670559683436462</v>
      </c>
      <c r="O168" s="15" t="s">
        <v>10</v>
      </c>
      <c r="P168" s="15" t="s">
        <v>10</v>
      </c>
      <c r="Q168" s="8"/>
      <c r="R168" s="9" t="s">
        <v>176</v>
      </c>
    </row>
    <row r="169" spans="1:18" x14ac:dyDescent="0.25">
      <c r="A169" s="6" t="str">
        <f>HYPERLINK("proteomic_fractions_linear_files/Yang_linear_img/401782598.jpg", "401782598")</f>
        <v>401782598</v>
      </c>
      <c r="B169" s="7"/>
      <c r="C169" s="6" t="str">
        <f>HYPERLINK("http://www.ncbi.nlm.nih.gov/protein/401782598","Adam9")</f>
        <v>Adam9</v>
      </c>
      <c r="D169" s="8"/>
      <c r="E169" s="8">
        <v>90633</v>
      </c>
      <c r="F169" s="8"/>
      <c r="G169" s="15" t="s">
        <v>10</v>
      </c>
      <c r="H169" s="15" t="s">
        <v>10</v>
      </c>
      <c r="I169" s="15">
        <v>0.913172071133449</v>
      </c>
      <c r="J169" s="15">
        <v>0.913172071133449</v>
      </c>
      <c r="K169" s="15">
        <v>1.0436041888196099</v>
      </c>
      <c r="L169" s="15">
        <v>1.0436041888196099</v>
      </c>
      <c r="M169" s="15">
        <v>1.0436041888196099</v>
      </c>
      <c r="N169" s="15">
        <v>1.0436041888196099</v>
      </c>
      <c r="O169" s="15" t="s">
        <v>10</v>
      </c>
      <c r="P169" s="15" t="s">
        <v>10</v>
      </c>
      <c r="Q169" s="8"/>
      <c r="R169" s="9" t="s">
        <v>177</v>
      </c>
    </row>
    <row r="170" spans="1:18" x14ac:dyDescent="0.25">
      <c r="A170" s="6" t="str">
        <f>HYPERLINK("proteomic_fractions_linear_files/Yang_linear_img/148529020.jpg", "148529020")</f>
        <v>148529020</v>
      </c>
      <c r="B170" s="7"/>
      <c r="C170" s="6" t="str">
        <f>HYPERLINK("http://www.ncbi.nlm.nih.gov/protein/148529020","Adamts17")</f>
        <v>Adamts17</v>
      </c>
      <c r="D170" s="8"/>
      <c r="E170" s="8">
        <v>121483</v>
      </c>
      <c r="F170" s="8"/>
      <c r="G170" s="15">
        <v>0.30860600349689743</v>
      </c>
      <c r="H170" s="15">
        <v>0.30860600349689743</v>
      </c>
      <c r="I170" s="15">
        <v>0.20293240176261915</v>
      </c>
      <c r="J170" s="15">
        <v>0.20293240176261915</v>
      </c>
      <c r="K170" s="15">
        <v>0.21611783566466941</v>
      </c>
      <c r="L170" s="15">
        <v>0.21611783566466941</v>
      </c>
      <c r="M170" s="15">
        <v>0.20293240176261915</v>
      </c>
      <c r="N170" s="15">
        <v>0.20293240176261915</v>
      </c>
      <c r="O170" s="15">
        <v>0.18013010141056818</v>
      </c>
      <c r="P170" s="15">
        <v>0.18013010141056818</v>
      </c>
      <c r="Q170" s="8"/>
      <c r="R170" s="9" t="s">
        <v>178</v>
      </c>
    </row>
    <row r="171" spans="1:18" x14ac:dyDescent="0.25">
      <c r="A171" s="6" t="str">
        <f>HYPERLINK("proteomic_fractions_linear_files/Yang_linear_img/165905595.jpg", "165905595")</f>
        <v>165905595</v>
      </c>
      <c r="B171" s="7"/>
      <c r="C171" s="6" t="str">
        <f>HYPERLINK("http://www.ncbi.nlm.nih.gov/protein/165905595","Adamtsl5")</f>
        <v>Adamtsl5</v>
      </c>
      <c r="D171" s="8"/>
      <c r="E171" s="8">
        <v>48841</v>
      </c>
      <c r="F171" s="8"/>
      <c r="G171" s="15" t="s">
        <v>10</v>
      </c>
      <c r="H171" s="15" t="s">
        <v>10</v>
      </c>
      <c r="I171" s="15" t="s">
        <v>10</v>
      </c>
      <c r="J171" s="15" t="s">
        <v>10</v>
      </c>
      <c r="K171" s="15" t="s">
        <v>10</v>
      </c>
      <c r="L171" s="15" t="s">
        <v>10</v>
      </c>
      <c r="M171" s="15">
        <v>1.9381220649507043</v>
      </c>
      <c r="N171" s="15">
        <v>1.9381220649507043</v>
      </c>
      <c r="O171" s="15" t="s">
        <v>10</v>
      </c>
      <c r="P171" s="15" t="s">
        <v>10</v>
      </c>
      <c r="Q171" s="8"/>
      <c r="R171" s="9" t="s">
        <v>179</v>
      </c>
    </row>
    <row r="172" spans="1:18" x14ac:dyDescent="0.25">
      <c r="A172" s="6" t="str">
        <f>HYPERLINK("proteomic_fractions_linear_files/Yang_linear_img/148368976.jpg", "148368976")</f>
        <v>148368976</v>
      </c>
      <c r="B172" s="7"/>
      <c r="C172" s="6" t="str">
        <f>HYPERLINK("http://www.ncbi.nlm.nih.gov/protein/148368976","Adap1")</f>
        <v>Adap1</v>
      </c>
      <c r="D172" s="8"/>
      <c r="E172" s="8">
        <v>43239</v>
      </c>
      <c r="F172" s="8"/>
      <c r="G172" s="15" t="s">
        <v>10</v>
      </c>
      <c r="H172" s="15" t="s">
        <v>10</v>
      </c>
      <c r="I172" s="15" t="s">
        <v>10</v>
      </c>
      <c r="J172" s="15" t="s">
        <v>10</v>
      </c>
      <c r="K172" s="15" t="s">
        <v>10</v>
      </c>
      <c r="L172" s="15" t="s">
        <v>10</v>
      </c>
      <c r="M172" s="15" t="s">
        <v>10</v>
      </c>
      <c r="N172" s="15" t="s">
        <v>10</v>
      </c>
      <c r="O172" s="15">
        <v>0.80356689605756237</v>
      </c>
      <c r="P172" s="15">
        <v>0.80356689605756237</v>
      </c>
      <c r="Q172" s="8"/>
      <c r="R172" s="9" t="s">
        <v>180</v>
      </c>
    </row>
    <row r="173" spans="1:18" x14ac:dyDescent="0.25">
      <c r="A173" s="6" t="str">
        <f>HYPERLINK("proteomic_fractions_linear_files/Yang_linear_img/26006859.jpg", "26006859")</f>
        <v>26006859</v>
      </c>
      <c r="B173" s="7"/>
      <c r="C173" s="6" t="str">
        <f>HYPERLINK("http://www.ncbi.nlm.nih.gov/protein/26006859","Adap2")</f>
        <v>Adap2</v>
      </c>
      <c r="D173" s="8"/>
      <c r="E173" s="8">
        <v>43858</v>
      </c>
      <c r="F173" s="8"/>
      <c r="G173" s="15" t="s">
        <v>10</v>
      </c>
      <c r="H173" s="15" t="s">
        <v>10</v>
      </c>
      <c r="I173" s="15" t="s">
        <v>10</v>
      </c>
      <c r="J173" s="15" t="s">
        <v>10</v>
      </c>
      <c r="K173" s="15" t="s">
        <v>10</v>
      </c>
      <c r="L173" s="15" t="s">
        <v>10</v>
      </c>
      <c r="M173" s="15" t="s">
        <v>10</v>
      </c>
      <c r="N173" s="15" t="s">
        <v>10</v>
      </c>
      <c r="O173" s="15">
        <v>0.78530401205625422</v>
      </c>
      <c r="P173" s="15">
        <v>0.78530401205625422</v>
      </c>
      <c r="Q173" s="8"/>
      <c r="R173" s="9" t="s">
        <v>181</v>
      </c>
    </row>
    <row r="174" spans="1:18" x14ac:dyDescent="0.25">
      <c r="A174" s="6" t="str">
        <f>HYPERLINK("proteomic_fractions_linear_files/Yang_linear_img/226371677.jpg", "226371677")</f>
        <v>226371677</v>
      </c>
      <c r="B174" s="7"/>
      <c r="C174" s="6" t="str">
        <f>HYPERLINK("http://www.ncbi.nlm.nih.gov/protein/226371677","Adar")</f>
        <v>Adar</v>
      </c>
      <c r="D174" s="8"/>
      <c r="E174" s="8">
        <v>130317</v>
      </c>
      <c r="F174" s="8"/>
      <c r="G174" s="15" t="s">
        <v>10</v>
      </c>
      <c r="H174" s="15" t="s">
        <v>10</v>
      </c>
      <c r="I174" s="15" t="s">
        <v>10</v>
      </c>
      <c r="J174" s="15" t="s">
        <v>10</v>
      </c>
      <c r="K174" s="15">
        <v>1.4366602433841567</v>
      </c>
      <c r="L174" s="15">
        <v>1.4366602433841567</v>
      </c>
      <c r="M174" s="15" t="s">
        <v>10</v>
      </c>
      <c r="N174" s="15" t="s">
        <v>10</v>
      </c>
      <c r="O174" s="15" t="s">
        <v>10</v>
      </c>
      <c r="P174" s="15" t="s">
        <v>10</v>
      </c>
      <c r="Q174" s="8"/>
      <c r="R174" s="9" t="s">
        <v>182</v>
      </c>
    </row>
    <row r="175" spans="1:18" x14ac:dyDescent="0.25">
      <c r="A175" s="6" t="str">
        <f>HYPERLINK("proteomic_fractions_linear_files/Yang_linear_img/226371679.jpg", "226371679")</f>
        <v>226371679</v>
      </c>
      <c r="B175" s="7"/>
      <c r="C175" s="6" t="str">
        <f>HYPERLINK("http://www.ncbi.nlm.nih.gov/protein/226371679","Adar")</f>
        <v>Adar</v>
      </c>
      <c r="D175" s="8"/>
      <c r="E175" s="8">
        <v>127529</v>
      </c>
      <c r="F175" s="8"/>
      <c r="G175" s="15" t="s">
        <v>10</v>
      </c>
      <c r="H175" s="15" t="s">
        <v>10</v>
      </c>
      <c r="I175" s="15" t="s">
        <v>10</v>
      </c>
      <c r="J175" s="15" t="s">
        <v>10</v>
      </c>
      <c r="K175" s="15">
        <v>1.4591080596870341</v>
      </c>
      <c r="L175" s="15">
        <v>1.4591080596870341</v>
      </c>
      <c r="M175" s="15" t="s">
        <v>10</v>
      </c>
      <c r="N175" s="15" t="s">
        <v>10</v>
      </c>
      <c r="O175" s="15" t="s">
        <v>10</v>
      </c>
      <c r="P175" s="15" t="s">
        <v>10</v>
      </c>
      <c r="Q175" s="8"/>
      <c r="R175" s="9" t="s">
        <v>183</v>
      </c>
    </row>
    <row r="176" spans="1:18" x14ac:dyDescent="0.25">
      <c r="A176" s="6" t="str">
        <f>HYPERLINK("proteomic_fractions_linear_files/Yang_linear_img/226371684.jpg", "226371684")</f>
        <v>226371684</v>
      </c>
      <c r="B176" s="7"/>
      <c r="C176" s="6" t="str">
        <f>HYPERLINK("http://www.ncbi.nlm.nih.gov/protein/226371684","Adar")</f>
        <v>Adar</v>
      </c>
      <c r="D176" s="8"/>
      <c r="E176" s="8">
        <v>102449</v>
      </c>
      <c r="F176" s="8"/>
      <c r="G176" s="15" t="s">
        <v>10</v>
      </c>
      <c r="H176" s="15" t="s">
        <v>10</v>
      </c>
      <c r="I176" s="15" t="s">
        <v>10</v>
      </c>
      <c r="J176" s="15" t="s">
        <v>10</v>
      </c>
      <c r="K176" s="15">
        <v>1.8310375650974544</v>
      </c>
      <c r="L176" s="15">
        <v>1.8310375650974544</v>
      </c>
      <c r="M176" s="15" t="s">
        <v>10</v>
      </c>
      <c r="N176" s="15" t="s">
        <v>10</v>
      </c>
      <c r="O176" s="15" t="s">
        <v>10</v>
      </c>
      <c r="P176" s="15" t="s">
        <v>10</v>
      </c>
      <c r="Q176" s="8"/>
      <c r="R176" s="9" t="s">
        <v>184</v>
      </c>
    </row>
    <row r="177" spans="1:18" x14ac:dyDescent="0.25">
      <c r="A177" s="6" t="str">
        <f>HYPERLINK("proteomic_fractions_linear_files/Yang_linear_img/7304859.jpg", "7304859")</f>
        <v>7304859</v>
      </c>
      <c r="B177" s="7"/>
      <c r="C177" s="6" t="str">
        <f>HYPERLINK("http://www.ncbi.nlm.nih.gov/protein/7304859","Adat1")</f>
        <v>Adat1</v>
      </c>
      <c r="D177" s="8"/>
      <c r="E177" s="8">
        <v>55224</v>
      </c>
      <c r="F177" s="8"/>
      <c r="G177" s="15" t="s">
        <v>10</v>
      </c>
      <c r="H177" s="15" t="s">
        <v>10</v>
      </c>
      <c r="I177" s="15" t="s">
        <v>10</v>
      </c>
      <c r="J177" s="15" t="s">
        <v>10</v>
      </c>
      <c r="K177" s="15" t="s">
        <v>10</v>
      </c>
      <c r="L177" s="15" t="s">
        <v>10</v>
      </c>
      <c r="M177" s="15" t="s">
        <v>10</v>
      </c>
      <c r="N177" s="15" t="s">
        <v>10</v>
      </c>
      <c r="O177" s="15">
        <v>0.96582853872729235</v>
      </c>
      <c r="P177" s="15">
        <v>0.96582853872729235</v>
      </c>
      <c r="Q177" s="8"/>
      <c r="R177" s="9" t="s">
        <v>185</v>
      </c>
    </row>
    <row r="178" spans="1:18" x14ac:dyDescent="0.25">
      <c r="A178" s="6" t="str">
        <f>HYPERLINK("proteomic_fractions_linear_files/Yang_linear_img/61098160.jpg", "61098160")</f>
        <v>61098160</v>
      </c>
      <c r="B178" s="7"/>
      <c r="C178" s="6" t="str">
        <f>HYPERLINK("http://www.ncbi.nlm.nih.gov/protein/61098160","Adat2")</f>
        <v>Adat2</v>
      </c>
      <c r="D178" s="8"/>
      <c r="E178" s="8">
        <v>21177</v>
      </c>
      <c r="F178" s="8"/>
      <c r="G178" s="15" t="s">
        <v>10</v>
      </c>
      <c r="H178" s="15" t="s">
        <v>10</v>
      </c>
      <c r="I178" s="15" t="s">
        <v>10</v>
      </c>
      <c r="J178" s="15" t="s">
        <v>10</v>
      </c>
      <c r="K178" s="15" t="s">
        <v>10</v>
      </c>
      <c r="L178" s="15" t="s">
        <v>10</v>
      </c>
      <c r="M178" s="15" t="s">
        <v>10</v>
      </c>
      <c r="N178" s="15" t="s">
        <v>10</v>
      </c>
      <c r="O178" s="15">
        <v>1.0378924890799406</v>
      </c>
      <c r="P178" s="15">
        <v>1.0378924890799406</v>
      </c>
      <c r="Q178" s="8"/>
      <c r="R178" s="9" t="s">
        <v>186</v>
      </c>
    </row>
    <row r="179" spans="1:18" x14ac:dyDescent="0.25">
      <c r="A179" s="6" t="str">
        <f>HYPERLINK("proteomic_fractions_linear_files/Yang_linear_img/154759286.jpg", "154759286")</f>
        <v>154759286</v>
      </c>
      <c r="B179" s="7"/>
      <c r="C179" s="6" t="str">
        <f>HYPERLINK("http://www.ncbi.nlm.nih.gov/protein/154759286","Adat3")</f>
        <v>Adat3</v>
      </c>
      <c r="D179" s="8"/>
      <c r="E179" s="8">
        <v>37386</v>
      </c>
      <c r="F179" s="8"/>
      <c r="G179" s="15" t="s">
        <v>10</v>
      </c>
      <c r="H179" s="15" t="s">
        <v>10</v>
      </c>
      <c r="I179" s="15" t="s">
        <v>10</v>
      </c>
      <c r="J179" s="15" t="s">
        <v>10</v>
      </c>
      <c r="K179" s="15" t="s">
        <v>10</v>
      </c>
      <c r="L179" s="15" t="s">
        <v>10</v>
      </c>
      <c r="M179" s="15" t="s">
        <v>10</v>
      </c>
      <c r="N179" s="15" t="s">
        <v>10</v>
      </c>
      <c r="O179" s="15">
        <v>0.93387504136419419</v>
      </c>
      <c r="P179" s="15">
        <v>0.93387504136419419</v>
      </c>
      <c r="Q179" s="8"/>
      <c r="R179" s="9" t="s">
        <v>187</v>
      </c>
    </row>
    <row r="180" spans="1:18" x14ac:dyDescent="0.25">
      <c r="A180" s="6" t="str">
        <f>HYPERLINK("proteomic_fractions_linear_files/Yang_linear_img/21312430.jpg", "21312430")</f>
        <v>21312430</v>
      </c>
      <c r="B180" s="7"/>
      <c r="C180" s="6" t="str">
        <f>HYPERLINK("http://www.ncbi.nlm.nih.gov/protein/21312430","Adck1")</f>
        <v>Adck1</v>
      </c>
      <c r="D180" s="8"/>
      <c r="E180" s="8">
        <v>57937</v>
      </c>
      <c r="F180" s="8"/>
      <c r="G180" s="15" t="s">
        <v>10</v>
      </c>
      <c r="H180" s="15" t="s">
        <v>10</v>
      </c>
      <c r="I180" s="15">
        <v>0.91587189017243242</v>
      </c>
      <c r="J180" s="15">
        <v>0.91587189017243242</v>
      </c>
      <c r="K180" s="15" t="s">
        <v>10</v>
      </c>
      <c r="L180" s="15" t="s">
        <v>10</v>
      </c>
      <c r="M180" s="15" t="s">
        <v>10</v>
      </c>
      <c r="N180" s="15" t="s">
        <v>10</v>
      </c>
      <c r="O180" s="15" t="s">
        <v>10</v>
      </c>
      <c r="P180" s="15" t="s">
        <v>10</v>
      </c>
      <c r="Q180" s="8"/>
      <c r="R180" s="9" t="s">
        <v>188</v>
      </c>
    </row>
    <row r="181" spans="1:18" x14ac:dyDescent="0.25">
      <c r="A181" s="6" t="str">
        <f>HYPERLINK("proteomic_fractions_linear_files/Yang_linear_img/169234776.jpg", "169234776")</f>
        <v>169234776</v>
      </c>
      <c r="B181" s="7"/>
      <c r="C181" s="6" t="str">
        <f>HYPERLINK("http://www.ncbi.nlm.nih.gov/protein/169234776","Adck5")</f>
        <v>Adck5</v>
      </c>
      <c r="D181" s="8"/>
      <c r="E181" s="8">
        <v>66554</v>
      </c>
      <c r="F181" s="8"/>
      <c r="G181" s="15" t="s">
        <v>10</v>
      </c>
      <c r="H181" s="15" t="s">
        <v>10</v>
      </c>
      <c r="I181" s="15">
        <v>0.87721205351632614</v>
      </c>
      <c r="J181" s="15">
        <v>0.87721205351632614</v>
      </c>
      <c r="K181" s="15" t="s">
        <v>10</v>
      </c>
      <c r="L181" s="15" t="s">
        <v>10</v>
      </c>
      <c r="M181" s="15" t="s">
        <v>10</v>
      </c>
      <c r="N181" s="15" t="s">
        <v>10</v>
      </c>
      <c r="O181" s="15" t="s">
        <v>10</v>
      </c>
      <c r="P181" s="15" t="s">
        <v>10</v>
      </c>
      <c r="Q181" s="8"/>
      <c r="R181" s="9" t="s">
        <v>189</v>
      </c>
    </row>
    <row r="182" spans="1:18" x14ac:dyDescent="0.25">
      <c r="A182" s="6" t="str">
        <f>HYPERLINK("proteomic_fractions_linear_files/Yang_linear_img/148747309.jpg", "148747309")</f>
        <v>148747309</v>
      </c>
      <c r="B182" s="7"/>
      <c r="C182" s="6" t="str">
        <f>HYPERLINK("http://www.ncbi.nlm.nih.gov/protein/148747309","Adcy5")</f>
        <v>Adcy5</v>
      </c>
      <c r="D182" s="8"/>
      <c r="E182" s="8">
        <v>138991</v>
      </c>
      <c r="F182" s="8"/>
      <c r="G182" s="15" t="s">
        <v>10</v>
      </c>
      <c r="H182" s="15" t="s">
        <v>10</v>
      </c>
      <c r="I182" s="15" t="s">
        <v>10</v>
      </c>
      <c r="J182" s="15" t="s">
        <v>10</v>
      </c>
      <c r="K182" s="15">
        <v>2.1711030549388401</v>
      </c>
      <c r="L182" s="15">
        <v>2.1711030549388401</v>
      </c>
      <c r="M182" s="15" t="s">
        <v>10</v>
      </c>
      <c r="N182" s="15" t="s">
        <v>10</v>
      </c>
      <c r="O182" s="15" t="s">
        <v>10</v>
      </c>
      <c r="P182" s="15" t="s">
        <v>10</v>
      </c>
      <c r="Q182" s="8"/>
      <c r="R182" s="9" t="s">
        <v>190</v>
      </c>
    </row>
    <row r="183" spans="1:18" x14ac:dyDescent="0.25">
      <c r="A183" s="6" t="str">
        <f>HYPERLINK("proteomic_fractions_linear_files/Yang_linear_img/86604721.jpg", "86604721")</f>
        <v>86604721</v>
      </c>
      <c r="B183" s="7"/>
      <c r="C183" s="6" t="str">
        <f>HYPERLINK("http://www.ncbi.nlm.nih.gov/protein/86604721","Adcy6")</f>
        <v>Adcy6</v>
      </c>
      <c r="D183" s="8"/>
      <c r="E183" s="8">
        <v>130515</v>
      </c>
      <c r="F183" s="8"/>
      <c r="G183" s="15" t="s">
        <v>10</v>
      </c>
      <c r="H183" s="15" t="s">
        <v>10</v>
      </c>
      <c r="I183" s="15">
        <v>1.7813805162431227</v>
      </c>
      <c r="J183" s="15">
        <v>1.7813805162431227</v>
      </c>
      <c r="K183" s="15">
        <v>2.3036895010419753</v>
      </c>
      <c r="L183" s="15">
        <v>2.3036895010419753</v>
      </c>
      <c r="M183" s="15" t="s">
        <v>10</v>
      </c>
      <c r="N183" s="15" t="s">
        <v>10</v>
      </c>
      <c r="O183" s="15" t="s">
        <v>10</v>
      </c>
      <c r="P183" s="15" t="s">
        <v>10</v>
      </c>
      <c r="Q183" s="8"/>
      <c r="R183" s="9" t="s">
        <v>191</v>
      </c>
    </row>
    <row r="184" spans="1:18" x14ac:dyDescent="0.25">
      <c r="A184" s="6" t="str">
        <f>HYPERLINK("proteomic_fractions_linear_files/Yang_linear_img/156255171.jpg", "156255171")</f>
        <v>156255171</v>
      </c>
      <c r="B184" s="7"/>
      <c r="C184" s="6" t="str">
        <f>HYPERLINK("http://www.ncbi.nlm.nih.gov/protein/156255171","Add1")</f>
        <v>Add1</v>
      </c>
      <c r="D184" s="8"/>
      <c r="E184" s="8">
        <v>80516</v>
      </c>
      <c r="F184" s="8"/>
      <c r="G184" s="15">
        <v>1.8944798905708868</v>
      </c>
      <c r="H184" s="15">
        <v>1.8944798905708868</v>
      </c>
      <c r="I184" s="15">
        <v>1.3555748619892773</v>
      </c>
      <c r="J184" s="15">
        <v>0.54476036107364778</v>
      </c>
      <c r="K184" s="15">
        <v>1.5891559030261353</v>
      </c>
      <c r="L184" s="15">
        <v>1.5891559030261353</v>
      </c>
      <c r="M184" s="15" t="s">
        <v>10</v>
      </c>
      <c r="N184" s="15" t="s">
        <v>10</v>
      </c>
      <c r="O184" s="15">
        <v>1.5891559030261353</v>
      </c>
      <c r="P184" s="15">
        <v>1.5891559030261353</v>
      </c>
      <c r="Q184" s="8"/>
      <c r="R184" s="9" t="s">
        <v>192</v>
      </c>
    </row>
    <row r="185" spans="1:18" x14ac:dyDescent="0.25">
      <c r="A185" s="6" t="str">
        <f>HYPERLINK("proteomic_fractions_linear_files/Yang_linear_img/156255173.jpg", "156255173")</f>
        <v>156255173</v>
      </c>
      <c r="B185" s="7"/>
      <c r="C185" s="6" t="str">
        <f>HYPERLINK("http://www.ncbi.nlm.nih.gov/protein/156255173","Add1")</f>
        <v>Add1</v>
      </c>
      <c r="D185" s="8"/>
      <c r="E185" s="8">
        <v>73104</v>
      </c>
      <c r="F185" s="8"/>
      <c r="G185" s="15">
        <v>2.102094125153998</v>
      </c>
      <c r="H185" s="15">
        <v>2.102094125153998</v>
      </c>
      <c r="I185" s="15">
        <v>1.5041310112483763</v>
      </c>
      <c r="J185" s="15">
        <v>0.60446012667075988</v>
      </c>
      <c r="K185" s="15">
        <v>1.7633099745906433</v>
      </c>
      <c r="L185" s="15">
        <v>1.7633099745906433</v>
      </c>
      <c r="M185" s="15" t="s">
        <v>10</v>
      </c>
      <c r="N185" s="15" t="s">
        <v>10</v>
      </c>
      <c r="O185" s="15">
        <v>1.5041310112483763</v>
      </c>
      <c r="P185" s="15">
        <v>1.5041310112483763</v>
      </c>
      <c r="Q185" s="8"/>
      <c r="R185" s="9" t="s">
        <v>193</v>
      </c>
    </row>
    <row r="186" spans="1:18" x14ac:dyDescent="0.25">
      <c r="A186" s="6" t="str">
        <f>HYPERLINK("proteomic_fractions_linear_files/Yang_linear_img/7304861.jpg", "7304861")</f>
        <v>7304861</v>
      </c>
      <c r="B186" s="7"/>
      <c r="C186" s="6" t="str">
        <f>HYPERLINK("http://www.ncbi.nlm.nih.gov/protein/7304861","Add1")</f>
        <v>Add1</v>
      </c>
      <c r="D186" s="8"/>
      <c r="E186" s="8">
        <v>69756</v>
      </c>
      <c r="F186" s="8"/>
      <c r="G186" s="15">
        <v>2.1921838733748835</v>
      </c>
      <c r="H186" s="15">
        <v>2.1921838733748835</v>
      </c>
      <c r="I186" s="15">
        <v>1.5685937688733067</v>
      </c>
      <c r="J186" s="15">
        <v>0.6303655606709353</v>
      </c>
      <c r="K186" s="15">
        <v>1.8388804020730996</v>
      </c>
      <c r="L186" s="15">
        <v>1.8388804020730996</v>
      </c>
      <c r="M186" s="15" t="s">
        <v>10</v>
      </c>
      <c r="N186" s="15" t="s">
        <v>10</v>
      </c>
      <c r="O186" s="15">
        <v>1.5685937688733067</v>
      </c>
      <c r="P186" s="15">
        <v>1.5685937688733067</v>
      </c>
      <c r="Q186" s="8"/>
      <c r="R186" s="9" t="s">
        <v>194</v>
      </c>
    </row>
    <row r="187" spans="1:18" x14ac:dyDescent="0.25">
      <c r="A187" s="6" t="str">
        <f>HYPERLINK("proteomic_fractions_linear_files/Yang_linear_img/427918090.jpg", "427918090")</f>
        <v>427918090</v>
      </c>
      <c r="B187" s="7"/>
      <c r="C187" s="6" t="str">
        <f>HYPERLINK("http://www.ncbi.nlm.nih.gov/protein/427918090","Add2")</f>
        <v>Add2</v>
      </c>
      <c r="D187" s="8"/>
      <c r="E187" s="8">
        <v>80511</v>
      </c>
      <c r="F187" s="8"/>
      <c r="G187" s="15" t="s">
        <v>10</v>
      </c>
      <c r="H187" s="15" t="s">
        <v>10</v>
      </c>
      <c r="I187" s="15" t="s">
        <v>10</v>
      </c>
      <c r="J187" s="15" t="s">
        <v>10</v>
      </c>
      <c r="K187" s="15">
        <v>0.65580950160495155</v>
      </c>
      <c r="L187" s="15">
        <v>0.65580950160495155</v>
      </c>
      <c r="M187" s="15" t="s">
        <v>10</v>
      </c>
      <c r="N187" s="15" t="s">
        <v>10</v>
      </c>
      <c r="O187" s="15" t="s">
        <v>10</v>
      </c>
      <c r="P187" s="15" t="s">
        <v>10</v>
      </c>
      <c r="Q187" s="8"/>
      <c r="R187" s="9" t="s">
        <v>195</v>
      </c>
    </row>
    <row r="188" spans="1:18" x14ac:dyDescent="0.25">
      <c r="A188" s="6" t="str">
        <f>HYPERLINK("proteomic_fractions_linear_files/Yang_linear_img/427918097.jpg", "427918097")</f>
        <v>427918097</v>
      </c>
      <c r="B188" s="7"/>
      <c r="C188" s="6" t="str">
        <f>HYPERLINK("http://www.ncbi.nlm.nih.gov/protein/427918097","Add2")</f>
        <v>Add2</v>
      </c>
      <c r="D188" s="8"/>
      <c r="E188" s="8">
        <v>62685</v>
      </c>
      <c r="F188" s="8"/>
      <c r="G188" s="15" t="s">
        <v>10</v>
      </c>
      <c r="H188" s="15" t="s">
        <v>10</v>
      </c>
      <c r="I188" s="15" t="s">
        <v>10</v>
      </c>
      <c r="J188" s="15" t="s">
        <v>10</v>
      </c>
      <c r="K188" s="15">
        <v>0.84318364492065201</v>
      </c>
      <c r="L188" s="15">
        <v>0.84318364492065201</v>
      </c>
      <c r="M188" s="15" t="s">
        <v>10</v>
      </c>
      <c r="N188" s="15" t="s">
        <v>10</v>
      </c>
      <c r="O188" s="15" t="s">
        <v>10</v>
      </c>
      <c r="P188" s="15" t="s">
        <v>10</v>
      </c>
      <c r="Q188" s="8"/>
      <c r="R188" s="9" t="s">
        <v>196</v>
      </c>
    </row>
    <row r="189" spans="1:18" x14ac:dyDescent="0.25">
      <c r="A189" s="6" t="str">
        <f>HYPERLINK("proteomic_fractions_linear_files/Yang_linear_img/6724311.jpg", "6724311")</f>
        <v>6724311</v>
      </c>
      <c r="B189" s="7"/>
      <c r="C189" s="6" t="str">
        <f>HYPERLINK("http://www.ncbi.nlm.nih.gov/protein/6724311","Adh1")</f>
        <v>Adh1</v>
      </c>
      <c r="D189" s="8"/>
      <c r="E189" s="8">
        <v>39640</v>
      </c>
      <c r="F189" s="8"/>
      <c r="G189" s="15" t="s">
        <v>10</v>
      </c>
      <c r="H189" s="15" t="s">
        <v>10</v>
      </c>
      <c r="I189" s="15">
        <v>0.93353316057811475</v>
      </c>
      <c r="J189" s="15">
        <v>0.93353316057811475</v>
      </c>
      <c r="K189" s="15">
        <v>1.0126829550805687</v>
      </c>
      <c r="L189" s="15">
        <v>1.0126829550805687</v>
      </c>
      <c r="M189" s="15">
        <v>0.93353316057811475</v>
      </c>
      <c r="N189" s="15">
        <v>0.93353316057811475</v>
      </c>
      <c r="O189" s="15">
        <v>0.8638344132618796</v>
      </c>
      <c r="P189" s="15">
        <v>0.8638344132618796</v>
      </c>
      <c r="Q189" s="8"/>
      <c r="R189" s="9" t="s">
        <v>197</v>
      </c>
    </row>
    <row r="190" spans="1:18" x14ac:dyDescent="0.25">
      <c r="A190" s="6" t="str">
        <f>HYPERLINK("proteomic_fractions_linear_files/Yang_linear_img/31982511.jpg", "31982511")</f>
        <v>31982511</v>
      </c>
      <c r="B190" s="7"/>
      <c r="C190" s="6" t="str">
        <f>HYPERLINK("http://www.ncbi.nlm.nih.gov/protein/31982511","Adh5")</f>
        <v>Adh5</v>
      </c>
      <c r="D190" s="8"/>
      <c r="E190" s="8">
        <v>39417</v>
      </c>
      <c r="F190" s="8"/>
      <c r="G190" s="15">
        <v>1.2382045021644936</v>
      </c>
      <c r="H190" s="15">
        <v>1.2382045021644936</v>
      </c>
      <c r="I190" s="15">
        <v>0.95746990828524592</v>
      </c>
      <c r="J190" s="15">
        <v>0.95746990828524592</v>
      </c>
      <c r="K190" s="15">
        <v>1.038649184698019</v>
      </c>
      <c r="L190" s="15">
        <v>1.038649184698019</v>
      </c>
      <c r="M190" s="15">
        <v>0.95746990828524592</v>
      </c>
      <c r="N190" s="15">
        <v>0.95746990828524592</v>
      </c>
      <c r="O190" s="15">
        <v>0.8859840136019278</v>
      </c>
      <c r="P190" s="15">
        <v>0.8859840136019278</v>
      </c>
      <c r="Q190" s="8"/>
      <c r="R190" s="9" t="s">
        <v>198</v>
      </c>
    </row>
    <row r="191" spans="1:18" x14ac:dyDescent="0.25">
      <c r="A191" s="6" t="str">
        <f>HYPERLINK("proteomic_fractions_linear_files/Yang_linear_img/31560625.jpg", "31560625")</f>
        <v>31560625</v>
      </c>
      <c r="B191" s="7"/>
      <c r="C191" s="6" t="str">
        <f>HYPERLINK("http://www.ncbi.nlm.nih.gov/protein/31560625","Adh7")</f>
        <v>Adh7</v>
      </c>
      <c r="D191" s="8"/>
      <c r="E191" s="8">
        <v>39773</v>
      </c>
      <c r="F191" s="8"/>
      <c r="G191" s="15" t="s">
        <v>10</v>
      </c>
      <c r="H191" s="15" t="s">
        <v>10</v>
      </c>
      <c r="I191" s="15">
        <v>0.93353316057811475</v>
      </c>
      <c r="J191" s="15">
        <v>0.93353316057811475</v>
      </c>
      <c r="K191" s="15">
        <v>1.0126829550805687</v>
      </c>
      <c r="L191" s="15">
        <v>1.0126829550805687</v>
      </c>
      <c r="M191" s="15">
        <v>1.0126829550805687</v>
      </c>
      <c r="N191" s="15">
        <v>1.0126829550805687</v>
      </c>
      <c r="O191" s="15">
        <v>0.8638344132618796</v>
      </c>
      <c r="P191" s="15">
        <v>0.8638344132618796</v>
      </c>
      <c r="Q191" s="8"/>
      <c r="R191" s="9" t="s">
        <v>199</v>
      </c>
    </row>
    <row r="192" spans="1:18" x14ac:dyDescent="0.25">
      <c r="A192" s="6" t="str">
        <f>HYPERLINK("proteomic_fractions_linear_files/Yang_linear_img/19527270.jpg", "19527270")</f>
        <v>19527270</v>
      </c>
      <c r="B192" s="7"/>
      <c r="C192" s="6" t="str">
        <f>HYPERLINK("http://www.ncbi.nlm.nih.gov/protein/19527270","Adi1")</f>
        <v>Adi1</v>
      </c>
      <c r="D192" s="8"/>
      <c r="E192" s="8">
        <v>21392</v>
      </c>
      <c r="F192" s="8"/>
      <c r="G192" s="15" t="s">
        <v>10</v>
      </c>
      <c r="H192" s="15" t="s">
        <v>10</v>
      </c>
      <c r="I192" s="15">
        <v>0.88072853164590881</v>
      </c>
      <c r="J192" s="15">
        <v>0.88072853164590881</v>
      </c>
      <c r="K192" s="15">
        <v>0.88072853164590881</v>
      </c>
      <c r="L192" s="15">
        <v>0.88072853164590881</v>
      </c>
      <c r="M192" s="15" t="s">
        <v>10</v>
      </c>
      <c r="N192" s="15" t="s">
        <v>10</v>
      </c>
      <c r="O192" s="15">
        <v>0.88072853164590881</v>
      </c>
      <c r="P192" s="15">
        <v>0.88072853164590881</v>
      </c>
      <c r="Q192" s="8"/>
      <c r="R192" s="9" t="s">
        <v>200</v>
      </c>
    </row>
    <row r="193" spans="1:18" x14ac:dyDescent="0.25">
      <c r="A193" s="6" t="str">
        <f>HYPERLINK("proteomic_fractions_linear_files/Yang_linear_img/38259186.jpg", "38259186")</f>
        <v>38259186</v>
      </c>
      <c r="B193" s="7"/>
      <c r="C193" s="6" t="str">
        <f>HYPERLINK("http://www.ncbi.nlm.nih.gov/protein/38259186","Adipor1")</f>
        <v>Adipor1</v>
      </c>
      <c r="D193" s="8"/>
      <c r="E193" s="8">
        <v>42235</v>
      </c>
      <c r="F193" s="8"/>
      <c r="G193" s="15" t="s">
        <v>10</v>
      </c>
      <c r="H193" s="15" t="s">
        <v>10</v>
      </c>
      <c r="I193" s="15" t="s">
        <v>10</v>
      </c>
      <c r="J193" s="15" t="s">
        <v>10</v>
      </c>
      <c r="K193" s="15">
        <v>0.82269944120179006</v>
      </c>
      <c r="L193" s="15">
        <v>0.82269944120179006</v>
      </c>
      <c r="M193" s="15" t="s">
        <v>10</v>
      </c>
      <c r="N193" s="15" t="s">
        <v>10</v>
      </c>
      <c r="O193" s="15" t="s">
        <v>10</v>
      </c>
      <c r="P193" s="15" t="s">
        <v>10</v>
      </c>
      <c r="Q193" s="8"/>
      <c r="R193" s="9" t="s">
        <v>201</v>
      </c>
    </row>
    <row r="194" spans="1:18" x14ac:dyDescent="0.25">
      <c r="A194" s="6" t="str">
        <f>HYPERLINK("proteomic_fractions_linear_files/Yang_linear_img/19527306.jpg", "19527306")</f>
        <v>19527306</v>
      </c>
      <c r="B194" s="7"/>
      <c r="C194" s="6" t="str">
        <f>HYPERLINK("http://www.ncbi.nlm.nih.gov/protein/19527306","Adk")</f>
        <v>Adk</v>
      </c>
      <c r="D194" s="8"/>
      <c r="E194" s="8">
        <v>40018</v>
      </c>
      <c r="F194" s="8"/>
      <c r="G194" s="15" t="s">
        <v>10</v>
      </c>
      <c r="H194" s="15" t="s">
        <v>10</v>
      </c>
      <c r="I194" s="15">
        <v>1.1031397311741367</v>
      </c>
      <c r="J194" s="15">
        <v>1.1031397311741367</v>
      </c>
      <c r="K194" s="15">
        <v>1.2072493896103813</v>
      </c>
      <c r="L194" s="15">
        <v>1.2072493896103813</v>
      </c>
      <c r="M194" s="15">
        <v>1.0126829550805687</v>
      </c>
      <c r="N194" s="15">
        <v>1.0126829550805687</v>
      </c>
      <c r="O194" s="15">
        <v>1.0126829550805687</v>
      </c>
      <c r="P194" s="15">
        <v>1.0126829550805687</v>
      </c>
      <c r="Q194" s="8"/>
      <c r="R194" s="9" t="s">
        <v>202</v>
      </c>
    </row>
    <row r="195" spans="1:18" x14ac:dyDescent="0.25">
      <c r="A195" s="6" t="str">
        <f>HYPERLINK("proteomic_fractions_linear_files/Yang_linear_img/339895909.jpg", "339895909")</f>
        <v>339895909</v>
      </c>
      <c r="B195" s="7"/>
      <c r="C195" s="6" t="str">
        <f>HYPERLINK("http://www.ncbi.nlm.nih.gov/protein/339895909","Adk")</f>
        <v>Adk</v>
      </c>
      <c r="D195" s="8"/>
      <c r="E195" s="8">
        <v>38321</v>
      </c>
      <c r="F195" s="8"/>
      <c r="G195" s="15" t="s">
        <v>10</v>
      </c>
      <c r="H195" s="15" t="s">
        <v>10</v>
      </c>
      <c r="I195" s="15">
        <v>1.1611997170254071</v>
      </c>
      <c r="J195" s="15">
        <v>1.1611997170254071</v>
      </c>
      <c r="K195" s="15">
        <v>1.2707888311688225</v>
      </c>
      <c r="L195" s="15">
        <v>1.2707888311688225</v>
      </c>
      <c r="M195" s="15">
        <v>1.0659820579795458</v>
      </c>
      <c r="N195" s="15">
        <v>1.0659820579795458</v>
      </c>
      <c r="O195" s="15">
        <v>1.0659820579795458</v>
      </c>
      <c r="P195" s="15">
        <v>1.0659820579795458</v>
      </c>
      <c r="Q195" s="8"/>
      <c r="R195" s="9" t="s">
        <v>203</v>
      </c>
    </row>
    <row r="196" spans="1:18" x14ac:dyDescent="0.25">
      <c r="A196" s="6" t="str">
        <f>HYPERLINK("proteomic_fractions_linear_files/Yang_linear_img/90093349.jpg", "90093349")</f>
        <v>90093349</v>
      </c>
      <c r="B196" s="7"/>
      <c r="C196" s="6" t="str">
        <f>HYPERLINK("http://www.ncbi.nlm.nih.gov/protein/90093349","Adnp")</f>
        <v>Adnp</v>
      </c>
      <c r="D196" s="8"/>
      <c r="E196" s="8">
        <v>124177</v>
      </c>
      <c r="F196" s="8"/>
      <c r="G196" s="15">
        <v>1.2375231543245309</v>
      </c>
      <c r="H196" s="15">
        <v>1.2375231543245309</v>
      </c>
      <c r="I196" s="15" t="s">
        <v>10</v>
      </c>
      <c r="J196" s="15" t="s">
        <v>10</v>
      </c>
      <c r="K196" s="15" t="s">
        <v>10</v>
      </c>
      <c r="L196" s="15" t="s">
        <v>10</v>
      </c>
      <c r="M196" s="15" t="s">
        <v>10</v>
      </c>
      <c r="N196" s="15" t="s">
        <v>10</v>
      </c>
      <c r="O196" s="15" t="s">
        <v>10</v>
      </c>
      <c r="P196" s="15" t="s">
        <v>10</v>
      </c>
      <c r="Q196" s="8"/>
      <c r="R196" s="9" t="s">
        <v>204</v>
      </c>
    </row>
    <row r="197" spans="1:18" x14ac:dyDescent="0.25">
      <c r="A197" s="6" t="str">
        <f>HYPERLINK("proteomic_fractions_linear_files/Yang_linear_img/225703118.jpg", "225703118")</f>
        <v>225703118</v>
      </c>
      <c r="B197" s="7"/>
      <c r="C197" s="6" t="str">
        <f>HYPERLINK("http://www.ncbi.nlm.nih.gov/protein/225703118","Ado")</f>
        <v>Ado</v>
      </c>
      <c r="D197" s="8"/>
      <c r="E197" s="8">
        <v>28241</v>
      </c>
      <c r="F197" s="8"/>
      <c r="G197" s="15" t="s">
        <v>10</v>
      </c>
      <c r="H197" s="15" t="s">
        <v>10</v>
      </c>
      <c r="I197" s="15" t="s">
        <v>10</v>
      </c>
      <c r="J197" s="15" t="s">
        <v>10</v>
      </c>
      <c r="K197" s="15">
        <v>1.1458597448476282</v>
      </c>
      <c r="L197" s="15">
        <v>1.1458597448476282</v>
      </c>
      <c r="M197" s="15" t="s">
        <v>10</v>
      </c>
      <c r="N197" s="15" t="s">
        <v>10</v>
      </c>
      <c r="O197" s="15">
        <v>0.99707897491721642</v>
      </c>
      <c r="P197" s="15">
        <v>0.99707897491721642</v>
      </c>
      <c r="Q197" s="8"/>
      <c r="R197" s="9" t="s">
        <v>205</v>
      </c>
    </row>
    <row r="198" spans="1:18" x14ac:dyDescent="0.25">
      <c r="A198" s="6" t="str">
        <f>HYPERLINK("proteomic_fractions_linear_files/Yang_linear_img/21312406.jpg", "21312406")</f>
        <v>21312406</v>
      </c>
      <c r="B198" s="7"/>
      <c r="C198" s="6" t="str">
        <f>HYPERLINK("http://www.ncbi.nlm.nih.gov/protein/21312406","Adpgk")</f>
        <v>Adpgk</v>
      </c>
      <c r="D198" s="8"/>
      <c r="E198" s="8">
        <v>51678</v>
      </c>
      <c r="F198" s="8"/>
      <c r="G198" s="15" t="s">
        <v>10</v>
      </c>
      <c r="H198" s="15" t="s">
        <v>10</v>
      </c>
      <c r="I198" s="15">
        <v>0.92865337662337022</v>
      </c>
      <c r="J198" s="15">
        <v>0.92865337662337022</v>
      </c>
      <c r="K198" s="15">
        <v>1.0215494159615592</v>
      </c>
      <c r="L198" s="15">
        <v>1.0215494159615592</v>
      </c>
      <c r="M198" s="15" t="s">
        <v>10</v>
      </c>
      <c r="N198" s="15" t="s">
        <v>10</v>
      </c>
      <c r="O198" s="15" t="s">
        <v>10</v>
      </c>
      <c r="P198" s="15" t="s">
        <v>10</v>
      </c>
      <c r="Q198" s="8"/>
      <c r="R198" s="9" t="s">
        <v>206</v>
      </c>
    </row>
    <row r="199" spans="1:18" x14ac:dyDescent="0.25">
      <c r="A199" s="6" t="str">
        <f>HYPERLINK("proteomic_fractions_linear_files/Yang_linear_img/6680658.jpg", "6680658")</f>
        <v>6680658</v>
      </c>
      <c r="B199" s="7"/>
      <c r="C199" s="6" t="str">
        <f>HYPERLINK("http://www.ncbi.nlm.nih.gov/protein/6680658","Adprh")</f>
        <v>Adprh</v>
      </c>
      <c r="D199" s="8"/>
      <c r="E199" s="8">
        <v>39937</v>
      </c>
      <c r="F199" s="8"/>
      <c r="G199" s="15" t="s">
        <v>10</v>
      </c>
      <c r="H199" s="15" t="s">
        <v>10</v>
      </c>
      <c r="I199" s="15" t="s">
        <v>10</v>
      </c>
      <c r="J199" s="15" t="s">
        <v>10</v>
      </c>
      <c r="K199" s="15">
        <v>0.93353316057811475</v>
      </c>
      <c r="L199" s="15">
        <v>0.93353316057811475</v>
      </c>
      <c r="M199" s="15" t="s">
        <v>10</v>
      </c>
      <c r="N199" s="15" t="s">
        <v>10</v>
      </c>
      <c r="O199" s="15">
        <v>0.80210182139333974</v>
      </c>
      <c r="P199" s="15">
        <v>0.80210182139333974</v>
      </c>
      <c r="Q199" s="8"/>
      <c r="R199" s="9" t="s">
        <v>207</v>
      </c>
    </row>
    <row r="200" spans="1:18" x14ac:dyDescent="0.25">
      <c r="A200" s="6" t="str">
        <f>HYPERLINK("proteomic_fractions_linear_files/Yang_linear_img/28916671.jpg", "28916671")</f>
        <v>28916671</v>
      </c>
      <c r="B200" s="7"/>
      <c r="C200" s="6" t="str">
        <f>HYPERLINK("http://www.ncbi.nlm.nih.gov/protein/28916671","Adprhl2")</f>
        <v>Adprhl2</v>
      </c>
      <c r="D200" s="8"/>
      <c r="E200" s="8">
        <v>36449</v>
      </c>
      <c r="F200" s="8"/>
      <c r="G200" s="15" t="s">
        <v>10</v>
      </c>
      <c r="H200" s="15" t="s">
        <v>10</v>
      </c>
      <c r="I200" s="15">
        <v>1.0372590673090165</v>
      </c>
      <c r="J200" s="15">
        <v>1.0372590673090165</v>
      </c>
      <c r="K200" s="15">
        <v>1.0372590673090165</v>
      </c>
      <c r="L200" s="15">
        <v>1.0372590673090165</v>
      </c>
      <c r="M200" s="15" t="s">
        <v>10</v>
      </c>
      <c r="N200" s="15" t="s">
        <v>10</v>
      </c>
      <c r="O200" s="15">
        <v>0.95981601473542177</v>
      </c>
      <c r="P200" s="15">
        <v>0.95981601473542177</v>
      </c>
      <c r="Q200" s="8"/>
      <c r="R200" s="9" t="s">
        <v>208</v>
      </c>
    </row>
    <row r="201" spans="1:18" x14ac:dyDescent="0.25">
      <c r="A201" s="6" t="str">
        <f>HYPERLINK("proteomic_fractions_linear_files/Yang_linear_img/33859769.jpg", "33859769")</f>
        <v>33859769</v>
      </c>
      <c r="B201" s="7"/>
      <c r="C201" s="6" t="str">
        <f>HYPERLINK("http://www.ncbi.nlm.nih.gov/protein/33859769","Adrbk1")</f>
        <v>Adrbk1</v>
      </c>
      <c r="D201" s="8"/>
      <c r="E201" s="8">
        <v>75023</v>
      </c>
      <c r="F201" s="8"/>
      <c r="G201" s="15" t="s">
        <v>10</v>
      </c>
      <c r="H201" s="15" t="s">
        <v>10</v>
      </c>
      <c r="I201" s="15">
        <v>1.1079821129752514</v>
      </c>
      <c r="J201" s="15">
        <v>1.1079821129752514</v>
      </c>
      <c r="K201" s="15">
        <v>1.2662397491011268</v>
      </c>
      <c r="L201" s="15">
        <v>1.2662397491011268</v>
      </c>
      <c r="M201" s="15">
        <v>1.1079821129752514</v>
      </c>
      <c r="N201" s="15">
        <v>1.1079821129752514</v>
      </c>
      <c r="O201" s="15">
        <v>1.1079821129752514</v>
      </c>
      <c r="P201" s="15">
        <v>1.1079821129752514</v>
      </c>
      <c r="Q201" s="8"/>
      <c r="R201" s="9" t="s">
        <v>209</v>
      </c>
    </row>
    <row r="202" spans="1:18" x14ac:dyDescent="0.25">
      <c r="A202" s="6" t="str">
        <f>HYPERLINK("proteomic_fractions_linear_files/Yang_linear_img/78711830.jpg", "78711830")</f>
        <v>78711830</v>
      </c>
      <c r="B202" s="7"/>
      <c r="C202" s="6" t="str">
        <f>HYPERLINK("http://www.ncbi.nlm.nih.gov/protein/78711830","Adrbk2")</f>
        <v>Adrbk2</v>
      </c>
      <c r="D202" s="8"/>
      <c r="E202" s="8">
        <v>79526</v>
      </c>
      <c r="F202" s="8"/>
      <c r="G202" s="15" t="s">
        <v>10</v>
      </c>
      <c r="H202" s="15" t="s">
        <v>10</v>
      </c>
      <c r="I202" s="15">
        <v>1.0387332309142983</v>
      </c>
      <c r="J202" s="15">
        <v>1.0387332309142983</v>
      </c>
      <c r="K202" s="15">
        <v>1.1870997647823063</v>
      </c>
      <c r="L202" s="15">
        <v>1.1870997647823063</v>
      </c>
      <c r="M202" s="15" t="s">
        <v>10</v>
      </c>
      <c r="N202" s="15" t="s">
        <v>10</v>
      </c>
      <c r="O202" s="15">
        <v>1.0387332309142983</v>
      </c>
      <c r="P202" s="15">
        <v>1.0387332309142983</v>
      </c>
      <c r="Q202" s="8"/>
      <c r="R202" s="9" t="s">
        <v>210</v>
      </c>
    </row>
    <row r="203" spans="1:18" x14ac:dyDescent="0.25">
      <c r="A203" s="6" t="str">
        <f>HYPERLINK("proteomic_fractions_linear_files/Yang_linear_img/31981027.jpg", "31981027")</f>
        <v>31981027</v>
      </c>
      <c r="B203" s="7"/>
      <c r="C203" s="6" t="str">
        <f>HYPERLINK("http://www.ncbi.nlm.nih.gov/protein/31981027","Adrm1")</f>
        <v>Adrm1</v>
      </c>
      <c r="D203" s="8"/>
      <c r="E203" s="8">
        <v>41929</v>
      </c>
      <c r="F203" s="8"/>
      <c r="G203" s="15">
        <v>1.3993620853712823</v>
      </c>
      <c r="H203" s="15">
        <v>1.3993620853712823</v>
      </c>
      <c r="I203" s="15">
        <v>1.0506092677848922</v>
      </c>
      <c r="J203" s="15">
        <v>1.0506092677848922</v>
      </c>
      <c r="K203" s="15">
        <v>1.0506092677848922</v>
      </c>
      <c r="L203" s="15">
        <v>1.0506092677848922</v>
      </c>
      <c r="M203" s="15">
        <v>1.0506092677848922</v>
      </c>
      <c r="N203" s="15">
        <v>1.0506092677848922</v>
      </c>
      <c r="O203" s="15" t="s">
        <v>10</v>
      </c>
      <c r="P203" s="15" t="s">
        <v>10</v>
      </c>
      <c r="Q203" s="8"/>
      <c r="R203" s="9" t="s">
        <v>211</v>
      </c>
    </row>
    <row r="204" spans="1:18" x14ac:dyDescent="0.25">
      <c r="A204" s="6" t="str">
        <f>HYPERLINK("proteomic_fractions_linear_files/Yang_linear_img/29788764.jpg", "29788764")</f>
        <v>29788764</v>
      </c>
      <c r="B204" s="7"/>
      <c r="C204" s="6" t="str">
        <f>HYPERLINK("http://www.ncbi.nlm.nih.gov/protein/29788764","Adsl")</f>
        <v>Adsl</v>
      </c>
      <c r="D204" s="8"/>
      <c r="E204" s="8">
        <v>54735</v>
      </c>
      <c r="F204" s="8"/>
      <c r="G204" s="15" t="s">
        <v>10</v>
      </c>
      <c r="H204" s="15" t="s">
        <v>10</v>
      </c>
      <c r="I204" s="15">
        <v>0.96582853872729235</v>
      </c>
      <c r="J204" s="15">
        <v>0.96582853872729235</v>
      </c>
      <c r="K204" s="15">
        <v>0.96582853872729235</v>
      </c>
      <c r="L204" s="15">
        <v>0.96582853872729235</v>
      </c>
      <c r="M204" s="15">
        <v>0.96582853872729235</v>
      </c>
      <c r="N204" s="15">
        <v>0.96582853872729235</v>
      </c>
      <c r="O204" s="15">
        <v>0.87799955608027735</v>
      </c>
      <c r="P204" s="15">
        <v>0.87799955608027735</v>
      </c>
      <c r="Q204" s="8"/>
      <c r="R204" s="9" t="s">
        <v>212</v>
      </c>
    </row>
    <row r="205" spans="1:18" x14ac:dyDescent="0.25">
      <c r="A205" s="6" t="str">
        <f>HYPERLINK("proteomic_fractions_linear_files/Yang_linear_img/31560737.jpg", "31560737")</f>
        <v>31560737</v>
      </c>
      <c r="B205" s="7"/>
      <c r="C205" s="6" t="str">
        <f>HYPERLINK("http://www.ncbi.nlm.nih.gov/protein/31560737","Adss")</f>
        <v>Adss</v>
      </c>
      <c r="D205" s="8"/>
      <c r="E205" s="8">
        <v>49890</v>
      </c>
      <c r="F205" s="8"/>
      <c r="G205" s="15" t="s">
        <v>10</v>
      </c>
      <c r="H205" s="15" t="s">
        <v>10</v>
      </c>
      <c r="I205" s="15">
        <v>0.88251178493930937</v>
      </c>
      <c r="J205" s="15">
        <v>0.88251178493930937</v>
      </c>
      <c r="K205" s="15">
        <v>0.96579951168830502</v>
      </c>
      <c r="L205" s="15">
        <v>0.96579951168830502</v>
      </c>
      <c r="M205" s="15">
        <v>0.96579951168830502</v>
      </c>
      <c r="N205" s="15">
        <v>0.96579951168830502</v>
      </c>
      <c r="O205" s="15">
        <v>0.88251178493930937</v>
      </c>
      <c r="P205" s="15">
        <v>0.88251178493930937</v>
      </c>
      <c r="Q205" s="8"/>
      <c r="R205" s="9" t="s">
        <v>213</v>
      </c>
    </row>
    <row r="206" spans="1:18" x14ac:dyDescent="0.25">
      <c r="A206" s="6" t="str">
        <f>HYPERLINK("proteomic_fractions_linear_files/Yang_linear_img/6671519.jpg", "6671519")</f>
        <v>6671519</v>
      </c>
      <c r="B206" s="7"/>
      <c r="C206" s="6" t="str">
        <f>HYPERLINK("http://www.ncbi.nlm.nih.gov/protein/6671519","Adssl1")</f>
        <v>Adssl1</v>
      </c>
      <c r="D206" s="8"/>
      <c r="E206" s="8">
        <v>50123</v>
      </c>
      <c r="F206" s="8"/>
      <c r="G206" s="15">
        <v>1.1754641517118771</v>
      </c>
      <c r="H206" s="15">
        <v>1.1754641517118771</v>
      </c>
      <c r="I206" s="15">
        <v>0.96579951168830502</v>
      </c>
      <c r="J206" s="15">
        <v>0.96579951168830502</v>
      </c>
      <c r="K206" s="15">
        <v>0.96579951168830502</v>
      </c>
      <c r="L206" s="15">
        <v>0.96579951168830502</v>
      </c>
      <c r="M206" s="15">
        <v>0.96579951168830502</v>
      </c>
      <c r="N206" s="15">
        <v>0.96579951168830502</v>
      </c>
      <c r="O206" s="15">
        <v>0.88251178493930937</v>
      </c>
      <c r="P206" s="15">
        <v>0.88251178493930937</v>
      </c>
      <c r="Q206" s="8"/>
      <c r="R206" s="9" t="s">
        <v>214</v>
      </c>
    </row>
    <row r="207" spans="1:18" x14ac:dyDescent="0.25">
      <c r="A207" s="6" t="str">
        <f>HYPERLINK("proteomic_fractions_linear_files/Yang_linear_img/33859696.jpg", "33859696")</f>
        <v>33859696</v>
      </c>
      <c r="B207" s="7"/>
      <c r="C207" s="6" t="str">
        <f>HYPERLINK("http://www.ncbi.nlm.nih.gov/protein/33859696","Afap1")</f>
        <v>Afap1</v>
      </c>
      <c r="D207" s="8"/>
      <c r="E207" s="8">
        <v>80484</v>
      </c>
      <c r="F207" s="8"/>
      <c r="G207" s="15" t="s">
        <v>10</v>
      </c>
      <c r="H207" s="15" t="s">
        <v>10</v>
      </c>
      <c r="I207" s="15" t="s">
        <v>10</v>
      </c>
      <c r="J207" s="15" t="s">
        <v>10</v>
      </c>
      <c r="K207" s="15">
        <v>0.30693525766596147</v>
      </c>
      <c r="L207" s="15">
        <v>0.30693525766596147</v>
      </c>
      <c r="M207" s="15" t="s">
        <v>10</v>
      </c>
      <c r="N207" s="15" t="s">
        <v>10</v>
      </c>
      <c r="O207" s="15" t="s">
        <v>10</v>
      </c>
      <c r="P207" s="15" t="s">
        <v>10</v>
      </c>
      <c r="Q207" s="8"/>
      <c r="R207" s="9" t="s">
        <v>215</v>
      </c>
    </row>
    <row r="208" spans="1:18" x14ac:dyDescent="0.25">
      <c r="A208" s="6" t="str">
        <f>HYPERLINK("proteomic_fractions_linear_files/Yang_linear_img/22122607.jpg", "22122607")</f>
        <v>22122607</v>
      </c>
      <c r="B208" s="7"/>
      <c r="C208" s="6" t="str">
        <f>HYPERLINK("http://www.ncbi.nlm.nih.gov/protein/22122607","Afap1l2")</f>
        <v>Afap1l2</v>
      </c>
      <c r="D208" s="8"/>
      <c r="E208" s="8">
        <v>85587</v>
      </c>
      <c r="F208" s="8"/>
      <c r="G208" s="15" t="s">
        <v>10</v>
      </c>
      <c r="H208" s="15" t="s">
        <v>10</v>
      </c>
      <c r="I208" s="15" t="s">
        <v>10</v>
      </c>
      <c r="J208" s="15" t="s">
        <v>10</v>
      </c>
      <c r="K208" s="15" t="s">
        <v>10</v>
      </c>
      <c r="L208" s="15" t="s">
        <v>10</v>
      </c>
      <c r="M208" s="15">
        <v>1.784335710886533</v>
      </c>
      <c r="N208" s="15">
        <v>1.784335710886533</v>
      </c>
      <c r="O208" s="15" t="s">
        <v>10</v>
      </c>
      <c r="P208" s="15" t="s">
        <v>10</v>
      </c>
      <c r="Q208" s="8"/>
      <c r="R208" s="9" t="s">
        <v>216</v>
      </c>
    </row>
    <row r="209" spans="1:18" x14ac:dyDescent="0.25">
      <c r="A209" s="6" t="str">
        <f>HYPERLINK("proteomic_fractions_linear_files/Yang_linear_img/295317357.jpg", "295317357")</f>
        <v>295317357</v>
      </c>
      <c r="B209" s="7"/>
      <c r="C209" s="6" t="str">
        <f>HYPERLINK("http://www.ncbi.nlm.nih.gov/protein/295317357","Afap1l2")</f>
        <v>Afap1l2</v>
      </c>
      <c r="D209" s="8"/>
      <c r="E209" s="8">
        <v>93989</v>
      </c>
      <c r="F209" s="8"/>
      <c r="G209" s="15" t="s">
        <v>10</v>
      </c>
      <c r="H209" s="15" t="s">
        <v>10</v>
      </c>
      <c r="I209" s="15" t="s">
        <v>10</v>
      </c>
      <c r="J209" s="15" t="s">
        <v>10</v>
      </c>
      <c r="K209" s="15" t="s">
        <v>10</v>
      </c>
      <c r="L209" s="15" t="s">
        <v>10</v>
      </c>
      <c r="M209" s="15">
        <v>1.632477352513211</v>
      </c>
      <c r="N209" s="15">
        <v>1.632477352513211</v>
      </c>
      <c r="O209" s="15" t="s">
        <v>10</v>
      </c>
      <c r="P209" s="15" t="s">
        <v>10</v>
      </c>
      <c r="Q209" s="8"/>
      <c r="R209" s="9" t="s">
        <v>217</v>
      </c>
    </row>
    <row r="210" spans="1:18" x14ac:dyDescent="0.25">
      <c r="A210" s="6" t="str">
        <f>HYPERLINK("proteomic_fractions_linear_files/Yang_linear_img/295317359.jpg", "295317359")</f>
        <v>295317359</v>
      </c>
      <c r="B210" s="7"/>
      <c r="C210" s="6" t="str">
        <f>HYPERLINK("http://www.ncbi.nlm.nih.gov/protein/295317359","Afap1l2")</f>
        <v>Afap1l2</v>
      </c>
      <c r="D210" s="8"/>
      <c r="E210" s="8">
        <v>92044</v>
      </c>
      <c r="F210" s="8"/>
      <c r="G210" s="15" t="s">
        <v>10</v>
      </c>
      <c r="H210" s="15" t="s">
        <v>10</v>
      </c>
      <c r="I210" s="15" t="s">
        <v>10</v>
      </c>
      <c r="J210" s="15" t="s">
        <v>10</v>
      </c>
      <c r="K210" s="15" t="s">
        <v>10</v>
      </c>
      <c r="L210" s="15" t="s">
        <v>10</v>
      </c>
      <c r="M210" s="15">
        <v>1.6679659906113244</v>
      </c>
      <c r="N210" s="15">
        <v>1.6679659906113244</v>
      </c>
      <c r="O210" s="15" t="s">
        <v>10</v>
      </c>
      <c r="P210" s="15" t="s">
        <v>10</v>
      </c>
      <c r="Q210" s="8"/>
      <c r="R210" s="9" t="s">
        <v>218</v>
      </c>
    </row>
    <row r="211" spans="1:18" x14ac:dyDescent="0.25">
      <c r="A211" s="6" t="str">
        <f>HYPERLINK("proteomic_fractions_linear_files/Yang_linear_img/17298672.jpg", "17298672")</f>
        <v>17298672</v>
      </c>
      <c r="B211" s="7"/>
      <c r="C211" s="6" t="str">
        <f>HYPERLINK("http://www.ncbi.nlm.nih.gov/protein/17298672","Aff4")</f>
        <v>Aff4</v>
      </c>
      <c r="D211" s="8"/>
      <c r="E211" s="8">
        <v>126509</v>
      </c>
      <c r="F211" s="8"/>
      <c r="G211" s="15" t="s">
        <v>10</v>
      </c>
      <c r="H211" s="15" t="s">
        <v>10</v>
      </c>
      <c r="I211" s="15">
        <v>47.18976377952756</v>
      </c>
      <c r="J211" s="15">
        <v>47.18976377952756</v>
      </c>
      <c r="K211" s="15" t="s">
        <v>10</v>
      </c>
      <c r="L211" s="15" t="s">
        <v>10</v>
      </c>
      <c r="M211" s="15" t="s">
        <v>10</v>
      </c>
      <c r="N211" s="15" t="s">
        <v>10</v>
      </c>
      <c r="O211" s="15" t="s">
        <v>10</v>
      </c>
      <c r="P211" s="15" t="s">
        <v>10</v>
      </c>
      <c r="Q211" s="8"/>
      <c r="R211" s="9" t="s">
        <v>219</v>
      </c>
    </row>
    <row r="212" spans="1:18" x14ac:dyDescent="0.25">
      <c r="A212" s="6" t="str">
        <f>HYPERLINK("proteomic_fractions_linear_files/Yang_linear_img/66792806.jpg", "66792806")</f>
        <v>66792806</v>
      </c>
      <c r="B212" s="7"/>
      <c r="C212" s="6" t="str">
        <f>HYPERLINK("http://www.ncbi.nlm.nih.gov/protein/66792806","Afg3l1")</f>
        <v>Afg3l1</v>
      </c>
      <c r="D212" s="8"/>
      <c r="E212" s="8">
        <v>86916</v>
      </c>
      <c r="F212" s="8"/>
      <c r="G212" s="15" t="s">
        <v>10</v>
      </c>
      <c r="H212" s="15" t="s">
        <v>10</v>
      </c>
      <c r="I212" s="15">
        <v>0.9551569939441823</v>
      </c>
      <c r="J212" s="15">
        <v>0.9551569939441823</v>
      </c>
      <c r="K212" s="15" t="s">
        <v>10</v>
      </c>
      <c r="L212" s="15" t="s">
        <v>10</v>
      </c>
      <c r="M212" s="15" t="s">
        <v>10</v>
      </c>
      <c r="N212" s="15" t="s">
        <v>10</v>
      </c>
      <c r="O212" s="15" t="s">
        <v>10</v>
      </c>
      <c r="P212" s="15" t="s">
        <v>10</v>
      </c>
      <c r="Q212" s="8"/>
      <c r="R212" s="9" t="s">
        <v>220</v>
      </c>
    </row>
    <row r="213" spans="1:18" x14ac:dyDescent="0.25">
      <c r="A213" s="6" t="str">
        <f>HYPERLINK("proteomic_fractions_linear_files/Yang_linear_img/110625761.jpg", "110625761")</f>
        <v>110625761</v>
      </c>
      <c r="B213" s="7"/>
      <c r="C213" s="6" t="str">
        <f>HYPERLINK("http://www.ncbi.nlm.nih.gov/protein/110625761","Afg3l2")</f>
        <v>Afg3l2</v>
      </c>
      <c r="D213" s="8"/>
      <c r="E213" s="8">
        <v>89388</v>
      </c>
      <c r="F213" s="8"/>
      <c r="G213" s="15" t="s">
        <v>10</v>
      </c>
      <c r="H213" s="15" t="s">
        <v>10</v>
      </c>
      <c r="I213" s="15">
        <v>0.93369279183307707</v>
      </c>
      <c r="J213" s="15">
        <v>0.93369279183307707</v>
      </c>
      <c r="K213" s="15">
        <v>1.0670559683436462</v>
      </c>
      <c r="L213" s="15">
        <v>1.0670559683436462</v>
      </c>
      <c r="M213" s="15" t="s">
        <v>10</v>
      </c>
      <c r="N213" s="15" t="s">
        <v>10</v>
      </c>
      <c r="O213" s="15" t="s">
        <v>10</v>
      </c>
      <c r="P213" s="15" t="s">
        <v>10</v>
      </c>
      <c r="Q213" s="8"/>
      <c r="R213" s="9" t="s">
        <v>221</v>
      </c>
    </row>
    <row r="214" spans="1:18" x14ac:dyDescent="0.25">
      <c r="A214" s="6" t="str">
        <f>HYPERLINK("proteomic_fractions_linear_files/Yang_linear_img/21746157.jpg", "21746157")</f>
        <v>21746157</v>
      </c>
      <c r="B214" s="7"/>
      <c r="C214" s="6" t="str">
        <f>HYPERLINK("http://www.ncbi.nlm.nih.gov/protein/21746157","Afmid")</f>
        <v>Afmid</v>
      </c>
      <c r="D214" s="8"/>
      <c r="E214" s="8">
        <v>34098</v>
      </c>
      <c r="F214" s="8"/>
      <c r="G214" s="15" t="s">
        <v>10</v>
      </c>
      <c r="H214" s="15" t="s">
        <v>10</v>
      </c>
      <c r="I214" s="15" t="s">
        <v>10</v>
      </c>
      <c r="J214" s="15" t="s">
        <v>10</v>
      </c>
      <c r="K214" s="15" t="s">
        <v>10</v>
      </c>
      <c r="L214" s="15" t="s">
        <v>10</v>
      </c>
      <c r="M214" s="15" t="s">
        <v>10</v>
      </c>
      <c r="N214" s="15" t="s">
        <v>10</v>
      </c>
      <c r="O214" s="15">
        <v>0.82112386169653118</v>
      </c>
      <c r="P214" s="15">
        <v>0.82112386169653118</v>
      </c>
      <c r="Q214" s="8"/>
      <c r="R214" s="9" t="s">
        <v>222</v>
      </c>
    </row>
    <row r="215" spans="1:18" x14ac:dyDescent="0.25">
      <c r="A215" s="6" t="str">
        <f>HYPERLINK("proteomic_fractions_linear_files/Yang_linear_img/31088896.jpg", "31088896")</f>
        <v>31088896</v>
      </c>
      <c r="B215" s="7"/>
      <c r="C215" s="6" t="str">
        <f>HYPERLINK("http://www.ncbi.nlm.nih.gov/protein/31088896","Aftph")</f>
        <v>Aftph</v>
      </c>
      <c r="D215" s="8"/>
      <c r="E215" s="8">
        <v>98359</v>
      </c>
      <c r="F215" s="8"/>
      <c r="G215" s="15" t="s">
        <v>10</v>
      </c>
      <c r="H215" s="15" t="s">
        <v>10</v>
      </c>
      <c r="I215" s="15" t="s">
        <v>10</v>
      </c>
      <c r="J215" s="15" t="s">
        <v>10</v>
      </c>
      <c r="K215" s="15">
        <v>1.9057737922442894</v>
      </c>
      <c r="L215" s="15">
        <v>1.9057737922442894</v>
      </c>
      <c r="M215" s="15" t="s">
        <v>10</v>
      </c>
      <c r="N215" s="15" t="s">
        <v>10</v>
      </c>
      <c r="O215" s="15">
        <v>1.5658456238392024</v>
      </c>
      <c r="P215" s="15">
        <v>1.5658456238392024</v>
      </c>
      <c r="Q215" s="8"/>
      <c r="R215" s="9" t="s">
        <v>223</v>
      </c>
    </row>
    <row r="216" spans="1:18" x14ac:dyDescent="0.25">
      <c r="A216" s="6" t="str">
        <f>HYPERLINK("proteomic_fractions_linear_files/Yang_linear_img/357394879.jpg", "357394879")</f>
        <v>357394879</v>
      </c>
      <c r="B216" s="7"/>
      <c r="C216" s="6" t="str">
        <f>HYPERLINK("http://www.ncbi.nlm.nih.gov/protein/357394879","Aftph")</f>
        <v>Aftph</v>
      </c>
      <c r="D216" s="8"/>
      <c r="E216" s="8">
        <v>89387</v>
      </c>
      <c r="F216" s="8"/>
      <c r="G216" s="15" t="s">
        <v>10</v>
      </c>
      <c r="H216" s="15" t="s">
        <v>10</v>
      </c>
      <c r="I216" s="15" t="s">
        <v>10</v>
      </c>
      <c r="J216" s="15" t="s">
        <v>10</v>
      </c>
      <c r="K216" s="15">
        <v>2.0984924903364086</v>
      </c>
      <c r="L216" s="15">
        <v>2.0984924903364086</v>
      </c>
      <c r="M216" s="15" t="s">
        <v>10</v>
      </c>
      <c r="N216" s="15" t="s">
        <v>10</v>
      </c>
      <c r="O216" s="15">
        <v>1.72418956332856</v>
      </c>
      <c r="P216" s="15">
        <v>1.72418956332856</v>
      </c>
      <c r="Q216" s="8"/>
      <c r="R216" s="9" t="s">
        <v>224</v>
      </c>
    </row>
    <row r="217" spans="1:18" x14ac:dyDescent="0.25">
      <c r="A217" s="6" t="str">
        <f>HYPERLINK("proteomic_fractions_linear_files/Yang_linear_img/326439050.jpg", "326439050")</f>
        <v>326439050</v>
      </c>
      <c r="B217" s="7"/>
      <c r="C217" s="6" t="str">
        <f>HYPERLINK("http://www.ncbi.nlm.nih.gov/protein/326439050","Aga")</f>
        <v>Aga</v>
      </c>
      <c r="D217" s="8"/>
      <c r="E217" s="8">
        <v>33378</v>
      </c>
      <c r="F217" s="8"/>
      <c r="G217" s="15">
        <v>0.90561839065797367</v>
      </c>
      <c r="H217" s="15">
        <v>0.90561839065797367</v>
      </c>
      <c r="I217" s="15">
        <v>0.66047703850541672</v>
      </c>
      <c r="J217" s="15">
        <v>0.66047703850541672</v>
      </c>
      <c r="K217" s="15">
        <v>3.9006553983368777</v>
      </c>
      <c r="L217" s="15">
        <v>3.9006553983368777</v>
      </c>
      <c r="M217" s="15" t="s">
        <v>10</v>
      </c>
      <c r="N217" s="15" t="s">
        <v>10</v>
      </c>
      <c r="O217" s="15">
        <v>3.9006553983368777</v>
      </c>
      <c r="P217" s="15">
        <v>3.9006553983368777</v>
      </c>
      <c r="Q217" s="8"/>
      <c r="R217" s="9" t="s">
        <v>225</v>
      </c>
    </row>
    <row r="218" spans="1:18" x14ac:dyDescent="0.25">
      <c r="A218" s="6" t="str">
        <f>HYPERLINK("proteomic_fractions_linear_files/Yang_linear_img/54292135.jpg", "54292135")</f>
        <v>54292135</v>
      </c>
      <c r="B218" s="7"/>
      <c r="C218" s="6" t="str">
        <f>HYPERLINK("http://www.ncbi.nlm.nih.gov/protein/54292135","Aga")</f>
        <v>Aga</v>
      </c>
      <c r="D218" s="8"/>
      <c r="E218" s="8">
        <v>19682</v>
      </c>
      <c r="F218" s="8"/>
      <c r="G218" s="15">
        <v>1.4942703445856567</v>
      </c>
      <c r="H218" s="15">
        <v>1.4942703445856567</v>
      </c>
      <c r="I218" s="15">
        <v>1.0897871135339376</v>
      </c>
      <c r="J218" s="15">
        <v>1.0897871135339376</v>
      </c>
      <c r="K218" s="15">
        <v>6.4360814072558483</v>
      </c>
      <c r="L218" s="15">
        <v>6.4360814072558483</v>
      </c>
      <c r="M218" s="15" t="s">
        <v>10</v>
      </c>
      <c r="N218" s="15" t="s">
        <v>10</v>
      </c>
      <c r="O218" s="15">
        <v>6.4360814072558483</v>
      </c>
      <c r="P218" s="15">
        <v>6.4360814072558483</v>
      </c>
      <c r="Q218" s="8"/>
      <c r="R218" s="9" t="s">
        <v>226</v>
      </c>
    </row>
    <row r="219" spans="1:18" x14ac:dyDescent="0.25">
      <c r="A219" s="6" t="str">
        <f>HYPERLINK("proteomic_fractions_linear_files/Yang_linear_img/312839828.jpg", "312839828")</f>
        <v>312839828</v>
      </c>
      <c r="B219" s="7"/>
      <c r="C219" s="6" t="str">
        <f>HYPERLINK("http://www.ncbi.nlm.nih.gov/protein/312839828","Agbl1")</f>
        <v>Agbl1</v>
      </c>
      <c r="D219" s="8"/>
      <c r="E219" s="8">
        <v>126011</v>
      </c>
      <c r="F219" s="8"/>
      <c r="G219" s="15" t="s">
        <v>10</v>
      </c>
      <c r="H219" s="15" t="s">
        <v>10</v>
      </c>
      <c r="I219" s="15">
        <v>0.32148665240652974</v>
      </c>
      <c r="J219" s="15">
        <v>0.32148665240652974</v>
      </c>
      <c r="K219" s="15">
        <v>0.32148665240652974</v>
      </c>
      <c r="L219" s="15">
        <v>0.32148665240652974</v>
      </c>
      <c r="M219" s="15" t="s">
        <v>10</v>
      </c>
      <c r="N219" s="15" t="s">
        <v>10</v>
      </c>
      <c r="O219" s="15">
        <v>0.32148665240652974</v>
      </c>
      <c r="P219" s="15">
        <v>0.32148665240652974</v>
      </c>
      <c r="Q219" s="8"/>
      <c r="R219" s="9" t="s">
        <v>227</v>
      </c>
    </row>
    <row r="220" spans="1:18" x14ac:dyDescent="0.25">
      <c r="A220" s="6" t="str">
        <f>HYPERLINK("proteomic_fractions_linear_files/Yang_linear_img/33563260.jpg", "33563260")</f>
        <v>33563260</v>
      </c>
      <c r="B220" s="7"/>
      <c r="C220" s="6" t="str">
        <f>HYPERLINK("http://www.ncbi.nlm.nih.gov/protein/33563260","Agfg1")</f>
        <v>Agfg1</v>
      </c>
      <c r="D220" s="8"/>
      <c r="E220" s="8">
        <v>57784</v>
      </c>
      <c r="F220" s="8"/>
      <c r="G220" s="15" t="s">
        <v>10</v>
      </c>
      <c r="H220" s="15" t="s">
        <v>10</v>
      </c>
      <c r="I220" s="15" t="s">
        <v>10</v>
      </c>
      <c r="J220" s="15" t="s">
        <v>10</v>
      </c>
      <c r="K220" s="15" t="s">
        <v>10</v>
      </c>
      <c r="L220" s="15" t="s">
        <v>10</v>
      </c>
      <c r="M220" s="15" t="s">
        <v>10</v>
      </c>
      <c r="N220" s="15" t="s">
        <v>10</v>
      </c>
      <c r="O220" s="15">
        <v>1.0133311652688595</v>
      </c>
      <c r="P220" s="15">
        <v>1.0133311652688595</v>
      </c>
      <c r="Q220" s="8"/>
      <c r="R220" s="9" t="s">
        <v>228</v>
      </c>
    </row>
    <row r="221" spans="1:18" x14ac:dyDescent="0.25">
      <c r="A221" s="6" t="str">
        <f>HYPERLINK("proteomic_fractions_linear_files/Yang_linear_img/21704138.jpg", "21704138")</f>
        <v>21704138</v>
      </c>
      <c r="B221" s="7"/>
      <c r="C221" s="6" t="str">
        <f>HYPERLINK("http://www.ncbi.nlm.nih.gov/protein/21704138","Agfg2")</f>
        <v>Agfg2</v>
      </c>
      <c r="D221" s="8"/>
      <c r="E221" s="8">
        <v>30675</v>
      </c>
      <c r="F221" s="8"/>
      <c r="G221" s="15" t="s">
        <v>10</v>
      </c>
      <c r="H221" s="15" t="s">
        <v>10</v>
      </c>
      <c r="I221" s="15">
        <v>1.557741147884363</v>
      </c>
      <c r="J221" s="15">
        <v>1.557741147884363</v>
      </c>
      <c r="K221" s="15" t="s">
        <v>10</v>
      </c>
      <c r="L221" s="15" t="s">
        <v>10</v>
      </c>
      <c r="M221" s="15" t="s">
        <v>10</v>
      </c>
      <c r="N221" s="15" t="s">
        <v>10</v>
      </c>
      <c r="O221" s="15">
        <v>1.4234061047408215</v>
      </c>
      <c r="P221" s="15">
        <v>1.4234061047408215</v>
      </c>
      <c r="Q221" s="8"/>
      <c r="R221" s="9" t="s">
        <v>229</v>
      </c>
    </row>
    <row r="222" spans="1:18" x14ac:dyDescent="0.25">
      <c r="A222" s="6" t="str">
        <f>HYPERLINK("proteomic_fractions_linear_files/Yang_linear_img/30039690.jpg", "30039690")</f>
        <v>30039690</v>
      </c>
      <c r="B222" s="7"/>
      <c r="C222" s="6" t="str">
        <f>HYPERLINK("http://www.ncbi.nlm.nih.gov/protein/30039690","Agfg2")</f>
        <v>Agfg2</v>
      </c>
      <c r="D222" s="8"/>
      <c r="E222" s="8">
        <v>48837</v>
      </c>
      <c r="F222" s="8"/>
      <c r="G222" s="15" t="s">
        <v>10</v>
      </c>
      <c r="H222" s="15" t="s">
        <v>10</v>
      </c>
      <c r="I222" s="15">
        <v>0.9855097058043929</v>
      </c>
      <c r="J222" s="15">
        <v>0.9855097058043929</v>
      </c>
      <c r="K222" s="15" t="s">
        <v>10</v>
      </c>
      <c r="L222" s="15" t="s">
        <v>10</v>
      </c>
      <c r="M222" s="15" t="s">
        <v>10</v>
      </c>
      <c r="N222" s="15" t="s">
        <v>10</v>
      </c>
      <c r="O222" s="15">
        <v>0.90052222952990757</v>
      </c>
      <c r="P222" s="15">
        <v>0.90052222952990757</v>
      </c>
      <c r="Q222" s="8"/>
      <c r="R222" s="9" t="s">
        <v>230</v>
      </c>
    </row>
    <row r="223" spans="1:18" x14ac:dyDescent="0.25">
      <c r="A223" s="6" t="str">
        <f>HYPERLINK("proteomic_fractions_linear_files/Yang_linear_img/37537518.jpg", "37537518")</f>
        <v>37537518</v>
      </c>
      <c r="B223" s="7"/>
      <c r="C223" s="6" t="str">
        <f>HYPERLINK("http://www.ncbi.nlm.nih.gov/protein/37537518","Agk")</f>
        <v>Agk</v>
      </c>
      <c r="D223" s="8"/>
      <c r="E223" s="8">
        <v>43355</v>
      </c>
      <c r="F223" s="8"/>
      <c r="G223" s="15" t="s">
        <v>10</v>
      </c>
      <c r="H223" s="15" t="s">
        <v>10</v>
      </c>
      <c r="I223" s="15">
        <v>1.0261764941154761</v>
      </c>
      <c r="J223" s="15">
        <v>1.0261764941154761</v>
      </c>
      <c r="K223" s="15" t="s">
        <v>10</v>
      </c>
      <c r="L223" s="15" t="s">
        <v>10</v>
      </c>
      <c r="M223" s="15" t="s">
        <v>10</v>
      </c>
      <c r="N223" s="15" t="s">
        <v>10</v>
      </c>
      <c r="O223" s="15" t="s">
        <v>10</v>
      </c>
      <c r="P223" s="15" t="s">
        <v>10</v>
      </c>
      <c r="Q223" s="8"/>
      <c r="R223" s="9" t="s">
        <v>231</v>
      </c>
    </row>
    <row r="224" spans="1:18" x14ac:dyDescent="0.25">
      <c r="A224" s="6" t="str">
        <f>HYPERLINK("proteomic_fractions_linear_files/Yang_linear_img/124486747.jpg", "124486747")</f>
        <v>124486747</v>
      </c>
      <c r="B224" s="7"/>
      <c r="C224" s="6" t="str">
        <f>HYPERLINK("http://www.ncbi.nlm.nih.gov/protein/124486747","Agl")</f>
        <v>Agl</v>
      </c>
      <c r="D224" s="8"/>
      <c r="E224" s="8">
        <v>174157</v>
      </c>
      <c r="F224" s="8"/>
      <c r="G224" s="15" t="s">
        <v>10</v>
      </c>
      <c r="H224" s="15" t="s">
        <v>10</v>
      </c>
      <c r="I224" s="15" t="s">
        <v>10</v>
      </c>
      <c r="J224" s="15" t="s">
        <v>10</v>
      </c>
      <c r="K224" s="15" t="s">
        <v>10</v>
      </c>
      <c r="L224" s="15" t="s">
        <v>10</v>
      </c>
      <c r="M224" s="15" t="s">
        <v>10</v>
      </c>
      <c r="N224" s="15" t="s">
        <v>10</v>
      </c>
      <c r="O224" s="15">
        <v>1.0733668485054044</v>
      </c>
      <c r="P224" s="15">
        <v>1.0733668485054044</v>
      </c>
      <c r="Q224" s="8"/>
      <c r="R224" s="9" t="s">
        <v>232</v>
      </c>
    </row>
    <row r="225" spans="1:18" x14ac:dyDescent="0.25">
      <c r="A225" s="6" t="str">
        <f>HYPERLINK("proteomic_fractions_linear_files/Yang_linear_img/251823852.jpg", "251823852")</f>
        <v>251823852</v>
      </c>
      <c r="B225" s="7"/>
      <c r="C225" s="6" t="str">
        <f>HYPERLINK("http://www.ncbi.nlm.nih.gov/protein/251823852","Ago1")</f>
        <v>Ago1</v>
      </c>
      <c r="D225" s="8"/>
      <c r="E225" s="8">
        <v>97084</v>
      </c>
      <c r="F225" s="8"/>
      <c r="G225" s="15" t="s">
        <v>10</v>
      </c>
      <c r="H225" s="15" t="s">
        <v>10</v>
      </c>
      <c r="I225" s="15">
        <v>1.1319748847539326</v>
      </c>
      <c r="J225" s="15">
        <v>1.1319748847539326</v>
      </c>
      <c r="K225" s="15">
        <v>1.1319748847539326</v>
      </c>
      <c r="L225" s="15">
        <v>1.1319748847539326</v>
      </c>
      <c r="M225" s="15">
        <v>1.1319748847539326</v>
      </c>
      <c r="N225" s="15">
        <v>1.1319748847539326</v>
      </c>
      <c r="O225" s="15" t="s">
        <v>10</v>
      </c>
      <c r="P225" s="15" t="s">
        <v>10</v>
      </c>
      <c r="Q225" s="8"/>
      <c r="R225" s="9" t="s">
        <v>233</v>
      </c>
    </row>
    <row r="226" spans="1:18" x14ac:dyDescent="0.25">
      <c r="A226" s="6" t="str">
        <f>HYPERLINK("proteomic_fractions_linear_files/Yang_linear_img/219842353.jpg", "219842353")</f>
        <v>219842353</v>
      </c>
      <c r="B226" s="7"/>
      <c r="C226" s="6" t="str">
        <f>HYPERLINK("http://www.ncbi.nlm.nih.gov/protein/219842353","Ago2")</f>
        <v>Ago2</v>
      </c>
      <c r="D226" s="8"/>
      <c r="E226" s="8">
        <v>97174</v>
      </c>
      <c r="F226" s="8"/>
      <c r="G226" s="15" t="s">
        <v>10</v>
      </c>
      <c r="H226" s="15" t="s">
        <v>10</v>
      </c>
      <c r="I226" s="15">
        <v>1.1319748847539326</v>
      </c>
      <c r="J226" s="15">
        <v>1.1319748847539326</v>
      </c>
      <c r="K226" s="15">
        <v>1.1319748847539326</v>
      </c>
      <c r="L226" s="15">
        <v>1.1319748847539326</v>
      </c>
      <c r="M226" s="15">
        <v>1.1319748847539326</v>
      </c>
      <c r="N226" s="15">
        <v>1.1319748847539326</v>
      </c>
      <c r="O226" s="15" t="s">
        <v>10</v>
      </c>
      <c r="P226" s="15" t="s">
        <v>10</v>
      </c>
      <c r="Q226" s="8"/>
      <c r="R226" s="9" t="s">
        <v>234</v>
      </c>
    </row>
    <row r="227" spans="1:18" x14ac:dyDescent="0.25">
      <c r="A227" s="6" t="str">
        <f>HYPERLINK("proteomic_fractions_linear_files/Yang_linear_img/240120065.jpg", "240120065")</f>
        <v>240120065</v>
      </c>
      <c r="B227" s="7"/>
      <c r="C227" s="6" t="str">
        <f>HYPERLINK("http://www.ncbi.nlm.nih.gov/protein/240120065","Ago3")</f>
        <v>Ago3</v>
      </c>
      <c r="D227" s="8"/>
      <c r="E227" s="8">
        <v>97146</v>
      </c>
      <c r="F227" s="8"/>
      <c r="G227" s="15" t="s">
        <v>10</v>
      </c>
      <c r="H227" s="15" t="s">
        <v>10</v>
      </c>
      <c r="I227" s="15">
        <v>1.1319748847539326</v>
      </c>
      <c r="J227" s="15">
        <v>1.1319748847539326</v>
      </c>
      <c r="K227" s="15">
        <v>1.1319748847539326</v>
      </c>
      <c r="L227" s="15">
        <v>1.1319748847539326</v>
      </c>
      <c r="M227" s="15">
        <v>1.1319748847539326</v>
      </c>
      <c r="N227" s="15">
        <v>1.1319748847539326</v>
      </c>
      <c r="O227" s="15" t="s">
        <v>10</v>
      </c>
      <c r="P227" s="15" t="s">
        <v>10</v>
      </c>
      <c r="Q227" s="8"/>
      <c r="R227" s="9" t="s">
        <v>235</v>
      </c>
    </row>
    <row r="228" spans="1:18" x14ac:dyDescent="0.25">
      <c r="A228" s="6" t="str">
        <f>HYPERLINK("proteomic_fractions_linear_files/Yang_linear_img/68448547.jpg", "68448547")</f>
        <v>68448547</v>
      </c>
      <c r="B228" s="7"/>
      <c r="C228" s="6" t="str">
        <f>HYPERLINK("http://www.ncbi.nlm.nih.gov/protein/68448547","Ago4")</f>
        <v>Ago4</v>
      </c>
      <c r="D228" s="8"/>
      <c r="E228" s="8">
        <v>96906</v>
      </c>
      <c r="F228" s="8"/>
      <c r="G228" s="15" t="s">
        <v>10</v>
      </c>
      <c r="H228" s="15" t="s">
        <v>10</v>
      </c>
      <c r="I228" s="15">
        <v>1.1319748847539326</v>
      </c>
      <c r="J228" s="15">
        <v>1.1319748847539326</v>
      </c>
      <c r="K228" s="15">
        <v>1.1319748847539326</v>
      </c>
      <c r="L228" s="15">
        <v>1.1319748847539326</v>
      </c>
      <c r="M228" s="15">
        <v>1.1319748847539326</v>
      </c>
      <c r="N228" s="15">
        <v>1.1319748847539326</v>
      </c>
      <c r="O228" s="15" t="s">
        <v>10</v>
      </c>
      <c r="P228" s="15" t="s">
        <v>10</v>
      </c>
      <c r="Q228" s="8"/>
      <c r="R228" s="9" t="s">
        <v>236</v>
      </c>
    </row>
    <row r="229" spans="1:18" x14ac:dyDescent="0.25">
      <c r="A229" s="6" t="str">
        <f>HYPERLINK("proteomic_fractions_linear_files/Yang_linear_img/23956162.jpg", "23956162")</f>
        <v>23956162</v>
      </c>
      <c r="B229" s="7"/>
      <c r="C229" s="6" t="str">
        <f>HYPERLINK("http://www.ncbi.nlm.nih.gov/protein/23956162","Agpat2")</f>
        <v>Agpat2</v>
      </c>
      <c r="D229" s="8"/>
      <c r="E229" s="8">
        <v>28364</v>
      </c>
      <c r="F229" s="8"/>
      <c r="G229" s="15" t="s">
        <v>10</v>
      </c>
      <c r="H229" s="15" t="s">
        <v>10</v>
      </c>
      <c r="I229" s="15">
        <v>0.87695787904560418</v>
      </c>
      <c r="J229" s="15">
        <v>0.87695787904560418</v>
      </c>
      <c r="K229" s="15">
        <v>0.87695787904560418</v>
      </c>
      <c r="L229" s="15">
        <v>0.87695787904560418</v>
      </c>
      <c r="M229" s="15" t="s">
        <v>10</v>
      </c>
      <c r="N229" s="15" t="s">
        <v>10</v>
      </c>
      <c r="O229" s="15" t="s">
        <v>10</v>
      </c>
      <c r="P229" s="15" t="s">
        <v>10</v>
      </c>
      <c r="Q229" s="8"/>
      <c r="R229" s="9" t="s">
        <v>237</v>
      </c>
    </row>
    <row r="230" spans="1:18" x14ac:dyDescent="0.25">
      <c r="A230" s="6" t="str">
        <f>HYPERLINK("proteomic_fractions_linear_files/Yang_linear_img/27229278.jpg", "27229278")</f>
        <v>27229278</v>
      </c>
      <c r="B230" s="7"/>
      <c r="C230" s="6" t="str">
        <f>HYPERLINK("http://www.ncbi.nlm.nih.gov/protein/27229278","Agpat3")</f>
        <v>Agpat3</v>
      </c>
      <c r="D230" s="8"/>
      <c r="E230" s="8">
        <v>43165</v>
      </c>
      <c r="F230" s="8"/>
      <c r="G230" s="15">
        <v>1.0261764941154761</v>
      </c>
      <c r="H230" s="15">
        <v>1.0261764941154761</v>
      </c>
      <c r="I230" s="15">
        <v>0.74614122920310666</v>
      </c>
      <c r="J230" s="15">
        <v>0.74614122920310666</v>
      </c>
      <c r="K230" s="15">
        <v>0.80356689605756237</v>
      </c>
      <c r="L230" s="15">
        <v>0.80356689605756237</v>
      </c>
      <c r="M230" s="15">
        <v>0.74614122920310666</v>
      </c>
      <c r="N230" s="15">
        <v>0.74614122920310666</v>
      </c>
      <c r="O230" s="15" t="s">
        <v>10</v>
      </c>
      <c r="P230" s="15" t="s">
        <v>10</v>
      </c>
      <c r="Q230" s="8"/>
      <c r="R230" s="9" t="s">
        <v>238</v>
      </c>
    </row>
    <row r="231" spans="1:18" x14ac:dyDescent="0.25">
      <c r="A231" s="6" t="str">
        <f>HYPERLINK("proteomic_fractions_linear_files/Yang_linear_img/27229064.jpg", "27229064")</f>
        <v>27229064</v>
      </c>
      <c r="B231" s="7"/>
      <c r="C231" s="6" t="str">
        <f>HYPERLINK("http://www.ncbi.nlm.nih.gov/protein/27229064","Agpat4")</f>
        <v>Agpat4</v>
      </c>
      <c r="D231" s="8"/>
      <c r="E231" s="8">
        <v>43679</v>
      </c>
      <c r="F231" s="8"/>
      <c r="G231" s="15" t="s">
        <v>10</v>
      </c>
      <c r="H231" s="15" t="s">
        <v>10</v>
      </c>
      <c r="I231" s="15" t="s">
        <v>10</v>
      </c>
      <c r="J231" s="15" t="s">
        <v>10</v>
      </c>
      <c r="K231" s="15">
        <v>0.84866650961646795</v>
      </c>
      <c r="L231" s="15">
        <v>0.84866650961646795</v>
      </c>
      <c r="M231" s="15" t="s">
        <v>10</v>
      </c>
      <c r="N231" s="15" t="s">
        <v>10</v>
      </c>
      <c r="O231" s="15" t="s">
        <v>10</v>
      </c>
      <c r="P231" s="15" t="s">
        <v>10</v>
      </c>
      <c r="Q231" s="8"/>
      <c r="R231" s="9" t="s">
        <v>239</v>
      </c>
    </row>
    <row r="232" spans="1:18" x14ac:dyDescent="0.25">
      <c r="A232" s="6" t="str">
        <f>HYPERLINK("proteomic_fractions_linear_files/Yang_linear_img/27229077.jpg", "27229077")</f>
        <v>27229077</v>
      </c>
      <c r="B232" s="7"/>
      <c r="C232" s="6" t="str">
        <f>HYPERLINK("http://www.ncbi.nlm.nih.gov/protein/27229077","Agpat5")</f>
        <v>Agpat5</v>
      </c>
      <c r="D232" s="8"/>
      <c r="E232" s="8">
        <v>42071</v>
      </c>
      <c r="F232" s="8"/>
      <c r="G232" s="15" t="s">
        <v>10</v>
      </c>
      <c r="H232" s="15" t="s">
        <v>10</v>
      </c>
      <c r="I232" s="15">
        <v>0.76390649656508547</v>
      </c>
      <c r="J232" s="15">
        <v>0.76390649656508547</v>
      </c>
      <c r="K232" s="15" t="s">
        <v>10</v>
      </c>
      <c r="L232" s="15" t="s">
        <v>10</v>
      </c>
      <c r="M232" s="15" t="s">
        <v>10</v>
      </c>
      <c r="N232" s="15" t="s">
        <v>10</v>
      </c>
      <c r="O232" s="15" t="s">
        <v>10</v>
      </c>
      <c r="P232" s="15" t="s">
        <v>10</v>
      </c>
      <c r="Q232" s="8"/>
      <c r="R232" s="9" t="s">
        <v>240</v>
      </c>
    </row>
    <row r="233" spans="1:18" x14ac:dyDescent="0.25">
      <c r="A233" s="6" t="str">
        <f>HYPERLINK("proteomic_fractions_linear_files/Yang_linear_img/295444834.jpg", "295444834")</f>
        <v>295444834</v>
      </c>
      <c r="B233" s="7"/>
      <c r="C233" s="6" t="str">
        <f>HYPERLINK("http://www.ncbi.nlm.nih.gov/protein/295444834","Agps")</f>
        <v>Agps</v>
      </c>
      <c r="D233" s="8"/>
      <c r="E233" s="8">
        <v>74212</v>
      </c>
      <c r="F233" s="8"/>
      <c r="G233" s="15">
        <v>1.1229548442316737</v>
      </c>
      <c r="H233" s="15">
        <v>0.88450355852086937</v>
      </c>
      <c r="I233" s="15">
        <v>0.99238054380651686</v>
      </c>
      <c r="J233" s="15">
        <v>0.99238054380651686</v>
      </c>
      <c r="K233" s="15">
        <v>0.99238054380651686</v>
      </c>
      <c r="L233" s="15">
        <v>0.99238054380651686</v>
      </c>
      <c r="M233" s="15" t="s">
        <v>10</v>
      </c>
      <c r="N233" s="15" t="s">
        <v>10</v>
      </c>
      <c r="O233" s="15" t="s">
        <v>10</v>
      </c>
      <c r="P233" s="15" t="s">
        <v>10</v>
      </c>
      <c r="Q233" s="8"/>
      <c r="R233" s="9" t="s">
        <v>241</v>
      </c>
    </row>
    <row r="234" spans="1:18" x14ac:dyDescent="0.25">
      <c r="A234" s="6" t="str">
        <f>HYPERLINK("proteomic_fractions_linear_files/Yang_linear_img/344217723.jpg", "344217723")</f>
        <v>344217723</v>
      </c>
      <c r="B234" s="7"/>
      <c r="C234" s="6" t="str">
        <f>HYPERLINK("http://www.ncbi.nlm.nih.gov/protein/344217723","Agrn")</f>
        <v>Agrn</v>
      </c>
      <c r="D234" s="8"/>
      <c r="E234" s="8">
        <v>213588</v>
      </c>
      <c r="F234" s="8"/>
      <c r="G234" s="15" t="s">
        <v>10</v>
      </c>
      <c r="H234" s="15" t="s">
        <v>10</v>
      </c>
      <c r="I234" s="15">
        <v>2.7733308676135708</v>
      </c>
      <c r="J234" s="15">
        <v>2.7733308676135708</v>
      </c>
      <c r="K234" s="15">
        <v>2.7733308676135708</v>
      </c>
      <c r="L234" s="15">
        <v>2.7733308676135708</v>
      </c>
      <c r="M234" s="15" t="s">
        <v>10</v>
      </c>
      <c r="N234" s="15" t="s">
        <v>10</v>
      </c>
      <c r="O234" s="15" t="s">
        <v>10</v>
      </c>
      <c r="P234" s="15" t="s">
        <v>10</v>
      </c>
      <c r="Q234" s="8"/>
      <c r="R234" s="9" t="s">
        <v>242</v>
      </c>
    </row>
    <row r="235" spans="1:18" x14ac:dyDescent="0.25">
      <c r="A235" s="6" t="str">
        <f>HYPERLINK("proteomic_fractions_linear_files/Yang_linear_img/262263372.jpg", "262263372")</f>
        <v>262263372</v>
      </c>
      <c r="B235" s="7"/>
      <c r="C235" s="6" t="str">
        <f>HYPERLINK("http://www.ncbi.nlm.nih.gov/protein/262263372","Ahcy")</f>
        <v>Ahcy</v>
      </c>
      <c r="D235" s="8"/>
      <c r="E235" s="8">
        <v>47557</v>
      </c>
      <c r="F235" s="8"/>
      <c r="G235" s="15">
        <v>0.84390246256714052</v>
      </c>
      <c r="H235" s="15">
        <v>0.84390246256714052</v>
      </c>
      <c r="I235" s="15">
        <v>0.84390246256714052</v>
      </c>
      <c r="J235" s="15">
        <v>0.84390246256714052</v>
      </c>
      <c r="K235" s="15">
        <v>0.91928310931178059</v>
      </c>
      <c r="L235" s="15">
        <v>0.91928310931178059</v>
      </c>
      <c r="M235" s="15">
        <v>0.84390246256714052</v>
      </c>
      <c r="N235" s="15">
        <v>0.84390246256714052</v>
      </c>
      <c r="O235" s="15">
        <v>0.77794430048176233</v>
      </c>
      <c r="P235" s="15">
        <v>0.77794430048176233</v>
      </c>
      <c r="Q235" s="8"/>
      <c r="R235" s="9" t="s">
        <v>243</v>
      </c>
    </row>
    <row r="236" spans="1:18" x14ac:dyDescent="0.25">
      <c r="A236" s="6" t="str">
        <f>HYPERLINK("proteomic_fractions_linear_files/Yang_linear_img/27734986.jpg", "27734986")</f>
        <v>27734986</v>
      </c>
      <c r="B236" s="7"/>
      <c r="C236" s="6" t="str">
        <f>HYPERLINK("http://www.ncbi.nlm.nih.gov/protein/27734986","Ahcyl1")</f>
        <v>Ahcyl1</v>
      </c>
      <c r="D236" s="8"/>
      <c r="E236" s="8">
        <v>58821</v>
      </c>
      <c r="F236" s="8"/>
      <c r="G236" s="15" t="s">
        <v>10</v>
      </c>
      <c r="H236" s="15" t="s">
        <v>10</v>
      </c>
      <c r="I236" s="15">
        <v>1.1093773445854971</v>
      </c>
      <c r="J236" s="15">
        <v>1.1093773445854971</v>
      </c>
      <c r="K236" s="15">
        <v>1.1093773445854971</v>
      </c>
      <c r="L236" s="15">
        <v>1.1093773445854971</v>
      </c>
      <c r="M236" s="15">
        <v>0.74789134316890626</v>
      </c>
      <c r="N236" s="15">
        <v>1.1093773445854971</v>
      </c>
      <c r="O236" s="15">
        <v>0.99615606077277719</v>
      </c>
      <c r="P236" s="15">
        <v>0.99615606077277719</v>
      </c>
      <c r="Q236" s="8"/>
      <c r="R236" s="9" t="s">
        <v>244</v>
      </c>
    </row>
    <row r="237" spans="1:18" x14ac:dyDescent="0.25">
      <c r="A237" s="6" t="str">
        <f>HYPERLINK("proteomic_fractions_linear_files/Yang_linear_img/283837832.jpg", "283837832")</f>
        <v>283837832</v>
      </c>
      <c r="B237" s="7"/>
      <c r="C237" s="6" t="str">
        <f>HYPERLINK("http://www.ncbi.nlm.nih.gov/protein/283837832","Ahcyl2")</f>
        <v>Ahcyl2</v>
      </c>
      <c r="D237" s="8"/>
      <c r="E237" s="8">
        <v>56626</v>
      </c>
      <c r="F237" s="8"/>
      <c r="G237" s="15" t="s">
        <v>10</v>
      </c>
      <c r="H237" s="15" t="s">
        <v>10</v>
      </c>
      <c r="I237" s="15">
        <v>105.1421052631579</v>
      </c>
      <c r="J237" s="15">
        <v>105.1421052631579</v>
      </c>
      <c r="K237" s="15">
        <v>1.1483028654481462</v>
      </c>
      <c r="L237" s="15">
        <v>1.1483028654481462</v>
      </c>
      <c r="M237" s="15">
        <v>0.77413314468360472</v>
      </c>
      <c r="N237" s="15">
        <v>1.1483028654481462</v>
      </c>
      <c r="O237" s="15">
        <v>1.0311089050104185</v>
      </c>
      <c r="P237" s="15">
        <v>1.0311089050104185</v>
      </c>
      <c r="Q237" s="8"/>
      <c r="R237" s="9" t="s">
        <v>245</v>
      </c>
    </row>
    <row r="238" spans="1:18" x14ac:dyDescent="0.25">
      <c r="A238" s="6" t="str">
        <f>HYPERLINK("proteomic_fractions_linear_files/Yang_linear_img/342307099.jpg", "342307099")</f>
        <v>342307099</v>
      </c>
      <c r="B238" s="7"/>
      <c r="C238" s="6" t="str">
        <f>HYPERLINK("http://www.ncbi.nlm.nih.gov/protein/342307099","Ahcyl2")</f>
        <v>Ahcyl2</v>
      </c>
      <c r="D238" s="8"/>
      <c r="E238" s="8">
        <v>66769</v>
      </c>
      <c r="F238" s="8"/>
      <c r="G238" s="15" t="s">
        <v>10</v>
      </c>
      <c r="H238" s="15" t="s">
        <v>10</v>
      </c>
      <c r="I238" s="15">
        <v>89.44925373134329</v>
      </c>
      <c r="J238" s="15">
        <v>89.44925373134329</v>
      </c>
      <c r="K238" s="15">
        <v>0.97691437806782588</v>
      </c>
      <c r="L238" s="15">
        <v>0.97691437806782588</v>
      </c>
      <c r="M238" s="15">
        <v>0.65859088428306667</v>
      </c>
      <c r="N238" s="15">
        <v>0.97691437806782588</v>
      </c>
      <c r="O238" s="15">
        <v>0.87721205351632614</v>
      </c>
      <c r="P238" s="15">
        <v>0.87721205351632614</v>
      </c>
      <c r="Q238" s="8"/>
      <c r="R238" s="9" t="s">
        <v>246</v>
      </c>
    </row>
    <row r="239" spans="1:18" x14ac:dyDescent="0.25">
      <c r="A239" s="6" t="str">
        <f>HYPERLINK("proteomic_fractions_linear_files/Yang_linear_img/342307101.jpg", "342307101")</f>
        <v>342307101</v>
      </c>
      <c r="B239" s="7"/>
      <c r="C239" s="6" t="str">
        <f>HYPERLINK("http://www.ncbi.nlm.nih.gov/protein/342307101","Ahcyl2")</f>
        <v>Ahcyl2</v>
      </c>
      <c r="D239" s="8"/>
      <c r="E239" s="8">
        <v>66640</v>
      </c>
      <c r="F239" s="8"/>
      <c r="G239" s="15" t="s">
        <v>10</v>
      </c>
      <c r="H239" s="15" t="s">
        <v>10</v>
      </c>
      <c r="I239" s="15">
        <v>89.44925373134329</v>
      </c>
      <c r="J239" s="15">
        <v>89.44925373134329</v>
      </c>
      <c r="K239" s="15">
        <v>0.97691437806782588</v>
      </c>
      <c r="L239" s="15">
        <v>0.97691437806782588</v>
      </c>
      <c r="M239" s="15">
        <v>0.65859088428306667</v>
      </c>
      <c r="N239" s="15">
        <v>0.97691437806782588</v>
      </c>
      <c r="O239" s="15">
        <v>0.87721205351632614</v>
      </c>
      <c r="P239" s="15">
        <v>0.87721205351632614</v>
      </c>
      <c r="Q239" s="8"/>
      <c r="R239" s="9" t="s">
        <v>247</v>
      </c>
    </row>
    <row r="240" spans="1:18" x14ac:dyDescent="0.25">
      <c r="A240" s="6" t="str">
        <f>HYPERLINK("proteomic_fractions_linear_files/Yang_linear_img/90403607.jpg", "90403607")</f>
        <v>90403607</v>
      </c>
      <c r="B240" s="7"/>
      <c r="C240" s="6" t="str">
        <f>HYPERLINK("http://www.ncbi.nlm.nih.gov/protein/90403607","Ahnak")</f>
        <v>Ahnak</v>
      </c>
      <c r="D240" s="8"/>
      <c r="E240" s="8">
        <v>16124</v>
      </c>
      <c r="F240" s="8"/>
      <c r="G240" s="15" t="s">
        <v>10</v>
      </c>
      <c r="H240" s="15" t="s">
        <v>10</v>
      </c>
      <c r="I240" s="15" t="s">
        <v>10</v>
      </c>
      <c r="J240" s="15" t="s">
        <v>10</v>
      </c>
      <c r="K240" s="15">
        <v>25.565222358714987</v>
      </c>
      <c r="L240" s="15">
        <v>25.565222358714987</v>
      </c>
      <c r="M240" s="15" t="s">
        <v>10</v>
      </c>
      <c r="N240" s="15" t="s">
        <v>10</v>
      </c>
      <c r="O240" s="15" t="s">
        <v>10</v>
      </c>
      <c r="P240" s="15" t="s">
        <v>10</v>
      </c>
      <c r="Q240" s="8"/>
      <c r="R240" s="9" t="s">
        <v>248</v>
      </c>
    </row>
    <row r="241" spans="1:18" x14ac:dyDescent="0.25">
      <c r="A241" s="6" t="str">
        <f>HYPERLINK("proteomic_fractions_linear_files/Yang_linear_img/61743961.jpg", "61743961")</f>
        <v>61743961</v>
      </c>
      <c r="B241" s="7"/>
      <c r="C241" s="6" t="str">
        <f>HYPERLINK("http://www.ncbi.nlm.nih.gov/protein/61743961","Ahnak")</f>
        <v>Ahnak</v>
      </c>
      <c r="D241" s="8"/>
      <c r="E241" s="8">
        <v>604125</v>
      </c>
      <c r="F241" s="8"/>
      <c r="G241" s="15">
        <v>0.49964126595446817</v>
      </c>
      <c r="H241" s="15">
        <v>0.49964126595446817</v>
      </c>
      <c r="I241" s="15">
        <v>0.38635901925140576</v>
      </c>
      <c r="J241" s="15">
        <v>0.49964126595446817</v>
      </c>
      <c r="K241" s="15">
        <v>0.6772244333434434</v>
      </c>
      <c r="L241" s="15">
        <v>0.6772244333434434</v>
      </c>
      <c r="M241" s="15">
        <v>0.49964126595446817</v>
      </c>
      <c r="N241" s="15">
        <v>0.49964126595446817</v>
      </c>
      <c r="O241" s="15">
        <v>0.49964126595446817</v>
      </c>
      <c r="P241" s="15">
        <v>0.49964126595446817</v>
      </c>
      <c r="Q241" s="8"/>
      <c r="R241" s="9" t="s">
        <v>249</v>
      </c>
    </row>
    <row r="242" spans="1:18" x14ac:dyDescent="0.25">
      <c r="A242" s="6" t="str">
        <f>HYPERLINK("proteomic_fractions_linear_files/Yang_linear_img/309262791.jpg", "309262791")</f>
        <v>309262791</v>
      </c>
      <c r="B242" s="7"/>
      <c r="C242" s="6" t="str">
        <f>HYPERLINK("http://www.ncbi.nlm.nih.gov/protein/309262791","Ahnak2")</f>
        <v>Ahnak2</v>
      </c>
      <c r="D242" s="8"/>
      <c r="E242" s="8">
        <v>83077</v>
      </c>
      <c r="F242" s="8"/>
      <c r="G242" s="15" t="s">
        <v>10</v>
      </c>
      <c r="H242" s="15" t="s">
        <v>10</v>
      </c>
      <c r="I242" s="15" t="s">
        <v>10</v>
      </c>
      <c r="J242" s="15" t="s">
        <v>10</v>
      </c>
      <c r="K242" s="15">
        <v>4.9282356354149375</v>
      </c>
      <c r="L242" s="15">
        <v>4.9282356354149375</v>
      </c>
      <c r="M242" s="15" t="s">
        <v>10</v>
      </c>
      <c r="N242" s="15" t="s">
        <v>10</v>
      </c>
      <c r="O242" s="15" t="s">
        <v>10</v>
      </c>
      <c r="P242" s="15" t="s">
        <v>10</v>
      </c>
      <c r="Q242" s="8"/>
      <c r="R242" s="9" t="s">
        <v>8042</v>
      </c>
    </row>
    <row r="243" spans="1:18" x14ac:dyDescent="0.25">
      <c r="A243" s="6" t="str">
        <f>HYPERLINK("proteomic_fractions_linear_files/Yang_linear_img/22122515.jpg", "22122515")</f>
        <v>22122515</v>
      </c>
      <c r="B243" s="7"/>
      <c r="C243" s="6" t="str">
        <f>HYPERLINK("http://www.ncbi.nlm.nih.gov/protein/22122515","Ahsa1")</f>
        <v>Ahsa1</v>
      </c>
      <c r="D243" s="8"/>
      <c r="E243" s="8">
        <v>37986</v>
      </c>
      <c r="F243" s="8"/>
      <c r="G243" s="15">
        <v>0.98266648481906815</v>
      </c>
      <c r="H243" s="15">
        <v>1.3979097271052916</v>
      </c>
      <c r="I243" s="15">
        <v>1.0659820579795458</v>
      </c>
      <c r="J243" s="15">
        <v>1.0659820579795458</v>
      </c>
      <c r="K243" s="15">
        <v>1.0659820579795458</v>
      </c>
      <c r="L243" s="15">
        <v>1.0659820579795458</v>
      </c>
      <c r="M243" s="15">
        <v>1.0659820579795458</v>
      </c>
      <c r="N243" s="15">
        <v>1.0659820579795458</v>
      </c>
      <c r="O243" s="15">
        <v>0.98266648481906815</v>
      </c>
      <c r="P243" s="15">
        <v>0.98266648481906815</v>
      </c>
      <c r="Q243" s="8"/>
      <c r="R243" s="9" t="s">
        <v>250</v>
      </c>
    </row>
    <row r="244" spans="1:18" x14ac:dyDescent="0.25">
      <c r="A244" s="6" t="str">
        <f>HYPERLINK("proteomic_fractions_linear_files/Yang_linear_img/62530188.jpg", "62530188")</f>
        <v>62530188</v>
      </c>
      <c r="B244" s="7"/>
      <c r="C244" s="6" t="str">
        <f>HYPERLINK("http://www.ncbi.nlm.nih.gov/protein/62530188","Ahsa2")</f>
        <v>Ahsa2</v>
      </c>
      <c r="D244" s="8"/>
      <c r="E244" s="8">
        <v>37517</v>
      </c>
      <c r="F244" s="8"/>
      <c r="G244" s="15" t="s">
        <v>10</v>
      </c>
      <c r="H244" s="15" t="s">
        <v>10</v>
      </c>
      <c r="I244" s="15" t="s">
        <v>10</v>
      </c>
      <c r="J244" s="15" t="s">
        <v>10</v>
      </c>
      <c r="K244" s="15" t="s">
        <v>10</v>
      </c>
      <c r="L244" s="15" t="s">
        <v>10</v>
      </c>
      <c r="M244" s="15" t="s">
        <v>10</v>
      </c>
      <c r="N244" s="15" t="s">
        <v>10</v>
      </c>
      <c r="O244" s="15">
        <v>0.90929938238092589</v>
      </c>
      <c r="P244" s="15">
        <v>0.90929938238092589</v>
      </c>
      <c r="Q244" s="8"/>
      <c r="R244" s="9" t="s">
        <v>251</v>
      </c>
    </row>
    <row r="245" spans="1:18" x14ac:dyDescent="0.25">
      <c r="A245" s="6" t="str">
        <f>HYPERLINK("proteomic_fractions_linear_files/Yang_linear_img/37718970.jpg", "37718970")</f>
        <v>37718970</v>
      </c>
      <c r="B245" s="7"/>
      <c r="C245" s="6" t="str">
        <f>HYPERLINK("http://www.ncbi.nlm.nih.gov/protein/37718970","AI314180")</f>
        <v>AI314180</v>
      </c>
      <c r="D245" s="8"/>
      <c r="E245" s="8">
        <v>203573</v>
      </c>
      <c r="F245" s="8"/>
      <c r="G245" s="15" t="s">
        <v>10</v>
      </c>
      <c r="H245" s="15" t="s">
        <v>10</v>
      </c>
      <c r="I245" s="15">
        <v>1.1439257236659268</v>
      </c>
      <c r="J245" s="15">
        <v>1.1439257236659268</v>
      </c>
      <c r="K245" s="15">
        <v>1.1439257236659268</v>
      </c>
      <c r="L245" s="15">
        <v>1.1439257236659268</v>
      </c>
      <c r="M245" s="15">
        <v>1.1439257236659268</v>
      </c>
      <c r="N245" s="15">
        <v>1.1439257236659268</v>
      </c>
      <c r="O245" s="15">
        <v>1.1439257236659268</v>
      </c>
      <c r="P245" s="15">
        <v>1.1439257236659268</v>
      </c>
      <c r="Q245" s="8"/>
      <c r="R245" s="9" t="s">
        <v>252</v>
      </c>
    </row>
    <row r="246" spans="1:18" x14ac:dyDescent="0.25">
      <c r="A246" s="6" t="str">
        <f>HYPERLINK("proteomic_fractions_linear_files/Yang_linear_img/237858808.jpg", "237858808")</f>
        <v>237858808</v>
      </c>
      <c r="B246" s="7"/>
      <c r="C246" s="6" t="str">
        <f>HYPERLINK("http://www.ncbi.nlm.nih.gov/protein/237858808","AI462493")</f>
        <v>AI462493</v>
      </c>
      <c r="D246" s="8"/>
      <c r="E246" s="8">
        <v>9453</v>
      </c>
      <c r="F246" s="8"/>
      <c r="G246" s="15" t="s">
        <v>10</v>
      </c>
      <c r="H246" s="15" t="s">
        <v>10</v>
      </c>
      <c r="I246" s="15">
        <v>1.821031334562518</v>
      </c>
      <c r="J246" s="15">
        <v>1.6787022322605194</v>
      </c>
      <c r="K246" s="15">
        <v>1.7475516131901938</v>
      </c>
      <c r="L246" s="15">
        <v>1.7475516131901938</v>
      </c>
      <c r="M246" s="15" t="s">
        <v>10</v>
      </c>
      <c r="N246" s="15" t="s">
        <v>10</v>
      </c>
      <c r="O246" s="15" t="s">
        <v>10</v>
      </c>
      <c r="P246" s="15" t="s">
        <v>10</v>
      </c>
      <c r="Q246" s="8"/>
      <c r="R246" s="9" t="s">
        <v>253</v>
      </c>
    </row>
    <row r="247" spans="1:18" x14ac:dyDescent="0.25">
      <c r="A247" s="6" t="str">
        <f>HYPERLINK("proteomic_fractions_linear_files/Yang_linear_img/61557491.jpg", "61557491")</f>
        <v>61557491</v>
      </c>
      <c r="B247" s="7"/>
      <c r="C247" s="6" t="str">
        <f>HYPERLINK("http://www.ncbi.nlm.nih.gov/protein/61557491","AI597468")</f>
        <v>AI597468</v>
      </c>
      <c r="D247" s="8"/>
      <c r="E247" s="8">
        <v>11418</v>
      </c>
      <c r="F247" s="8"/>
      <c r="G247" s="15" t="s">
        <v>10</v>
      </c>
      <c r="H247" s="15" t="s">
        <v>10</v>
      </c>
      <c r="I247" s="15">
        <v>1.447949253016525</v>
      </c>
      <c r="J247" s="15">
        <v>1.447949253016525</v>
      </c>
      <c r="K247" s="15">
        <v>1.5196795018733658</v>
      </c>
      <c r="L247" s="15">
        <v>1.5196795018733658</v>
      </c>
      <c r="M247" s="15">
        <v>1.5196795018733658</v>
      </c>
      <c r="N247" s="15">
        <v>1.5196795018733658</v>
      </c>
      <c r="O247" s="15" t="s">
        <v>10</v>
      </c>
      <c r="P247" s="15" t="s">
        <v>10</v>
      </c>
      <c r="Q247" s="8"/>
      <c r="R247" s="9" t="s">
        <v>254</v>
      </c>
    </row>
    <row r="248" spans="1:18" x14ac:dyDescent="0.25">
      <c r="A248" s="6" t="str">
        <f>HYPERLINK("proteomic_fractions_linear_files/Yang_linear_img/161484644.jpg", "161484644")</f>
        <v>161484644</v>
      </c>
      <c r="B248" s="7"/>
      <c r="C248" s="6" t="str">
        <f>HYPERLINK("http://www.ncbi.nlm.nih.gov/protein/161484644","AI661453")</f>
        <v>AI661453</v>
      </c>
      <c r="D248" s="8"/>
      <c r="E248" s="8">
        <v>127750</v>
      </c>
      <c r="F248" s="8"/>
      <c r="G248" s="15" t="s">
        <v>10</v>
      </c>
      <c r="H248" s="15" t="s">
        <v>10</v>
      </c>
      <c r="I248" s="15" t="s">
        <v>10</v>
      </c>
      <c r="J248" s="15" t="s">
        <v>10</v>
      </c>
      <c r="K248" s="15">
        <v>1.8231316220925708</v>
      </c>
      <c r="L248" s="15">
        <v>1.8231316220925708</v>
      </c>
      <c r="M248" s="15">
        <v>0.10848320703075508</v>
      </c>
      <c r="N248" s="15">
        <v>0.10848320703075508</v>
      </c>
      <c r="O248" s="15" t="s">
        <v>10</v>
      </c>
      <c r="P248" s="15" t="s">
        <v>10</v>
      </c>
      <c r="Q248" s="8"/>
      <c r="R248" s="9" t="s">
        <v>255</v>
      </c>
    </row>
    <row r="249" spans="1:18" x14ac:dyDescent="0.25">
      <c r="A249" s="6" t="str">
        <f>HYPERLINK("proteomic_fractions_linear_files/Yang_linear_img/208431789.jpg", "208431789")</f>
        <v>208431789</v>
      </c>
      <c r="B249" s="7"/>
      <c r="C249" s="6" t="str">
        <f>HYPERLINK("http://www.ncbi.nlm.nih.gov/protein/208431789","AI837181")</f>
        <v>AI837181</v>
      </c>
      <c r="D249" s="8"/>
      <c r="E249" s="8">
        <v>31714</v>
      </c>
      <c r="F249" s="8"/>
      <c r="G249" s="15" t="s">
        <v>10</v>
      </c>
      <c r="H249" s="15" t="s">
        <v>10</v>
      </c>
      <c r="I249" s="15">
        <v>1.0026272767416746</v>
      </c>
      <c r="J249" s="15">
        <v>1.0026272767416746</v>
      </c>
      <c r="K249" s="15">
        <v>1.0797930165773495</v>
      </c>
      <c r="L249" s="15">
        <v>1.0797930165773495</v>
      </c>
      <c r="M249" s="15">
        <v>1.0026272767416746</v>
      </c>
      <c r="N249" s="15">
        <v>1.0026272767416746</v>
      </c>
      <c r="O249" s="15">
        <v>0.93391896536603536</v>
      </c>
      <c r="P249" s="15">
        <v>0.93391896536603536</v>
      </c>
      <c r="Q249" s="8"/>
      <c r="R249" s="9" t="s">
        <v>256</v>
      </c>
    </row>
    <row r="250" spans="1:18" x14ac:dyDescent="0.25">
      <c r="A250" s="6" t="str">
        <f>HYPERLINK("proteomic_fractions_linear_files/Yang_linear_img/32189430.jpg", "32189430")</f>
        <v>32189430</v>
      </c>
      <c r="B250" s="7"/>
      <c r="C250" s="6" t="str">
        <f>HYPERLINK("http://www.ncbi.nlm.nih.gov/protein/32189430","Aida")</f>
        <v>Aida</v>
      </c>
      <c r="D250" s="8"/>
      <c r="E250" s="8">
        <v>34757</v>
      </c>
      <c r="F250" s="8"/>
      <c r="G250" s="15" t="s">
        <v>10</v>
      </c>
      <c r="H250" s="15" t="s">
        <v>10</v>
      </c>
      <c r="I250" s="15" t="s">
        <v>10</v>
      </c>
      <c r="J250" s="15" t="s">
        <v>10</v>
      </c>
      <c r="K250" s="15" t="s">
        <v>10</v>
      </c>
      <c r="L250" s="15" t="s">
        <v>10</v>
      </c>
      <c r="M250" s="15" t="s">
        <v>10</v>
      </c>
      <c r="N250" s="15" t="s">
        <v>10</v>
      </c>
      <c r="O250" s="15">
        <v>0.85386876833466085</v>
      </c>
      <c r="P250" s="15">
        <v>0.85386876833466085</v>
      </c>
      <c r="Q250" s="8"/>
      <c r="R250" s="9" t="s">
        <v>257</v>
      </c>
    </row>
    <row r="251" spans="1:18" x14ac:dyDescent="0.25">
      <c r="A251" s="6" t="str">
        <f>HYPERLINK("proteomic_fractions_linear_files/Yang_linear_img/21553105.jpg", "21553105")</f>
        <v>21553105</v>
      </c>
      <c r="B251" s="7"/>
      <c r="C251" s="6" t="str">
        <f>HYPERLINK("http://www.ncbi.nlm.nih.gov/protein/21553105","Aif1l")</f>
        <v>Aif1l</v>
      </c>
      <c r="D251" s="8"/>
      <c r="E251" s="8">
        <v>16893</v>
      </c>
      <c r="F251" s="8"/>
      <c r="G251" s="15">
        <v>1.0335258685505275</v>
      </c>
      <c r="H251" s="15">
        <v>1.0335258685505275</v>
      </c>
      <c r="I251" s="15">
        <v>0.98332203062394252</v>
      </c>
      <c r="J251" s="15">
        <v>0.98332203062394252</v>
      </c>
      <c r="K251" s="15">
        <v>0.98332203062394252</v>
      </c>
      <c r="L251" s="15">
        <v>0.98332203062394252</v>
      </c>
      <c r="M251" s="15">
        <v>0.98332203062394252</v>
      </c>
      <c r="N251" s="15">
        <v>0.98332203062394252</v>
      </c>
      <c r="O251" s="15">
        <v>0.93690834018716329</v>
      </c>
      <c r="P251" s="15">
        <v>0.93690834018716329</v>
      </c>
      <c r="Q251" s="8"/>
      <c r="R251" s="9" t="s">
        <v>258</v>
      </c>
    </row>
    <row r="252" spans="1:18" x14ac:dyDescent="0.25">
      <c r="A252" s="6" t="str">
        <f>HYPERLINK("proteomic_fractions_linear_files/Yang_linear_img/6755004.jpg", "6755004")</f>
        <v>6755004</v>
      </c>
      <c r="B252" s="7"/>
      <c r="C252" s="6" t="str">
        <f>HYPERLINK("http://www.ncbi.nlm.nih.gov/protein/6755004","Aifm1")</f>
        <v>Aifm1</v>
      </c>
      <c r="D252" s="8"/>
      <c r="E252" s="8">
        <v>55509</v>
      </c>
      <c r="F252" s="8"/>
      <c r="G252" s="15">
        <v>1.4839046155918545</v>
      </c>
      <c r="H252" s="15">
        <v>1.4839046155918545</v>
      </c>
      <c r="I252" s="15">
        <v>1.1688082737597203</v>
      </c>
      <c r="J252" s="15">
        <v>1.1688082737597203</v>
      </c>
      <c r="K252" s="15">
        <v>1.3113600043157543</v>
      </c>
      <c r="L252" s="15">
        <v>1.3113600043157543</v>
      </c>
      <c r="M252" s="15" t="s">
        <v>10</v>
      </c>
      <c r="N252" s="15" t="s">
        <v>10</v>
      </c>
      <c r="O252" s="15" t="s">
        <v>10</v>
      </c>
      <c r="P252" s="15" t="s">
        <v>10</v>
      </c>
      <c r="Q252" s="8"/>
      <c r="R252" s="9" t="s">
        <v>259</v>
      </c>
    </row>
    <row r="253" spans="1:18" x14ac:dyDescent="0.25">
      <c r="A253" s="6" t="str">
        <f>HYPERLINK("proteomic_fractions_linear_files/Yang_linear_img/262050654.jpg", "262050654")</f>
        <v>262050654</v>
      </c>
      <c r="B253" s="7"/>
      <c r="C253" s="6" t="str">
        <f>HYPERLINK("http://www.ncbi.nlm.nih.gov/protein/262050654","Aifm2")</f>
        <v>Aifm2</v>
      </c>
      <c r="D253" s="8"/>
      <c r="E253" s="8">
        <v>41225</v>
      </c>
      <c r="F253" s="8"/>
      <c r="G253" s="15" t="s">
        <v>10</v>
      </c>
      <c r="H253" s="15" t="s">
        <v>10</v>
      </c>
      <c r="I253" s="15">
        <v>0.91076405910059977</v>
      </c>
      <c r="J253" s="15">
        <v>0.91076405910059977</v>
      </c>
      <c r="K253" s="15">
        <v>0.98798337081031085</v>
      </c>
      <c r="L253" s="15">
        <v>0.98798337081031085</v>
      </c>
      <c r="M253" s="15">
        <v>0.91076405910059977</v>
      </c>
      <c r="N253" s="15">
        <v>0.91076405910059977</v>
      </c>
      <c r="O253" s="15" t="s">
        <v>10</v>
      </c>
      <c r="P253" s="15" t="s">
        <v>10</v>
      </c>
      <c r="Q253" s="8"/>
      <c r="R253" s="9" t="s">
        <v>260</v>
      </c>
    </row>
    <row r="254" spans="1:18" x14ac:dyDescent="0.25">
      <c r="A254" s="6" t="str">
        <f>HYPERLINK("proteomic_fractions_linear_files/Yang_linear_img/30017355.jpg", "30017355")</f>
        <v>30017355</v>
      </c>
      <c r="B254" s="7"/>
      <c r="C254" s="6" t="str">
        <f>HYPERLINK("http://www.ncbi.nlm.nih.gov/protein/30017355","Aifm2")</f>
        <v>Aifm2</v>
      </c>
      <c r="D254" s="8"/>
      <c r="E254" s="8">
        <v>40504</v>
      </c>
      <c r="F254" s="8"/>
      <c r="G254" s="15" t="s">
        <v>10</v>
      </c>
      <c r="H254" s="15" t="s">
        <v>10</v>
      </c>
      <c r="I254" s="15">
        <v>0.91076405910059977</v>
      </c>
      <c r="J254" s="15">
        <v>0.91076405910059977</v>
      </c>
      <c r="K254" s="15">
        <v>0.98798337081031085</v>
      </c>
      <c r="L254" s="15">
        <v>0.98798337081031085</v>
      </c>
      <c r="M254" s="15">
        <v>0.91076405910059977</v>
      </c>
      <c r="N254" s="15">
        <v>0.91076405910059977</v>
      </c>
      <c r="O254" s="15" t="s">
        <v>10</v>
      </c>
      <c r="P254" s="15" t="s">
        <v>10</v>
      </c>
      <c r="Q254" s="8"/>
      <c r="R254" s="9" t="s">
        <v>261</v>
      </c>
    </row>
    <row r="255" spans="1:18" x14ac:dyDescent="0.25">
      <c r="A255" s="6" t="str">
        <f>HYPERLINK("proteomic_fractions_linear_files/Yang_linear_img/163965368.jpg", "163965368")</f>
        <v>163965368</v>
      </c>
      <c r="B255" s="7"/>
      <c r="C255" s="6" t="str">
        <f>HYPERLINK("http://www.ncbi.nlm.nih.gov/protein/163965368","Aim1")</f>
        <v>Aim1</v>
      </c>
      <c r="D255" s="8"/>
      <c r="E255" s="8">
        <v>184600</v>
      </c>
      <c r="F255" s="8"/>
      <c r="G255" s="15" t="s">
        <v>10</v>
      </c>
      <c r="H255" s="15" t="s">
        <v>10</v>
      </c>
      <c r="I255" s="15" t="s">
        <v>10</v>
      </c>
      <c r="J255" s="15" t="s">
        <v>10</v>
      </c>
      <c r="K255" s="15">
        <v>1.6312612142513447</v>
      </c>
      <c r="L255" s="15">
        <v>1.6312612142513447</v>
      </c>
      <c r="M255" s="15">
        <v>10.194402184502653</v>
      </c>
      <c r="N255" s="15">
        <v>10.194402184502653</v>
      </c>
      <c r="O255" s="15">
        <v>1.2614099871775626</v>
      </c>
      <c r="P255" s="15">
        <v>1.2614099871775626</v>
      </c>
      <c r="Q255" s="8"/>
      <c r="R255" s="9" t="s">
        <v>262</v>
      </c>
    </row>
    <row r="256" spans="1:18" x14ac:dyDescent="0.25">
      <c r="A256" s="6" t="str">
        <f>HYPERLINK("proteomic_fractions_linear_files/Yang_linear_img/126012517.jpg", "126012517")</f>
        <v>126012517</v>
      </c>
      <c r="B256" s="7"/>
      <c r="C256" s="6" t="str">
        <f>HYPERLINK("http://www.ncbi.nlm.nih.gov/protein/126012517","Aimp1")</f>
        <v>Aimp1</v>
      </c>
      <c r="D256" s="8"/>
      <c r="E256" s="8">
        <v>35036</v>
      </c>
      <c r="F256" s="8"/>
      <c r="G256" s="15" t="s">
        <v>10</v>
      </c>
      <c r="H256" s="15" t="s">
        <v>10</v>
      </c>
      <c r="I256" s="15">
        <v>1.0668950406607027</v>
      </c>
      <c r="J256" s="15">
        <v>1.0668950406607027</v>
      </c>
      <c r="K256" s="15">
        <v>1.0668950406607027</v>
      </c>
      <c r="L256" s="15">
        <v>1.0668950406607027</v>
      </c>
      <c r="M256" s="15">
        <v>1.0668950406607027</v>
      </c>
      <c r="N256" s="15">
        <v>1.0668950406607027</v>
      </c>
      <c r="O256" s="15">
        <v>0.98723932944214809</v>
      </c>
      <c r="P256" s="15">
        <v>0.98723932944214809</v>
      </c>
      <c r="Q256" s="8"/>
      <c r="R256" s="9" t="s">
        <v>263</v>
      </c>
    </row>
    <row r="257" spans="1:18" x14ac:dyDescent="0.25">
      <c r="A257" s="6" t="str">
        <f>HYPERLINK("proteomic_fractions_linear_files/Yang_linear_img/22122695.jpg", "22122695")</f>
        <v>22122695</v>
      </c>
      <c r="B257" s="7"/>
      <c r="C257" s="6" t="str">
        <f>HYPERLINK("http://www.ncbi.nlm.nih.gov/protein/22122695","Aimp2")</f>
        <v>Aimp2</v>
      </c>
      <c r="D257" s="8"/>
      <c r="E257" s="8">
        <v>30967</v>
      </c>
      <c r="F257" s="8"/>
      <c r="G257" s="15">
        <v>1.1146250493701673</v>
      </c>
      <c r="H257" s="15">
        <v>1.1146250493701673</v>
      </c>
      <c r="I257" s="15">
        <v>1.1146250493701673</v>
      </c>
      <c r="J257" s="15">
        <v>1.1146250493701673</v>
      </c>
      <c r="K257" s="15">
        <v>1.2045589168749868</v>
      </c>
      <c r="L257" s="15">
        <v>1.2045589168749868</v>
      </c>
      <c r="M257" s="15">
        <v>1.2045589168749868</v>
      </c>
      <c r="N257" s="15">
        <v>1.2045589168749868</v>
      </c>
      <c r="O257" s="15">
        <v>1.0349700921204383</v>
      </c>
      <c r="P257" s="15">
        <v>1.0349700921204383</v>
      </c>
      <c r="Q257" s="8"/>
      <c r="R257" s="9" t="s">
        <v>264</v>
      </c>
    </row>
    <row r="258" spans="1:18" x14ac:dyDescent="0.25">
      <c r="A258" s="6" t="str">
        <f>HYPERLINK("proteomic_fractions_linear_files/Yang_linear_img/288541337.jpg", "288541337")</f>
        <v>288541337</v>
      </c>
      <c r="B258" s="7"/>
      <c r="C258" s="6" t="str">
        <f>HYPERLINK("http://www.ncbi.nlm.nih.gov/protein/288541337","Aimp2")</f>
        <v>Aimp2</v>
      </c>
      <c r="D258" s="8"/>
      <c r="E258" s="8">
        <v>35247</v>
      </c>
      <c r="F258" s="8"/>
      <c r="G258" s="15">
        <v>0.98723932944214809</v>
      </c>
      <c r="H258" s="15">
        <v>0.98723932944214809</v>
      </c>
      <c r="I258" s="15">
        <v>0.98723932944214809</v>
      </c>
      <c r="J258" s="15">
        <v>0.98723932944214809</v>
      </c>
      <c r="K258" s="15">
        <v>1.0668950406607027</v>
      </c>
      <c r="L258" s="15">
        <v>1.0668950406607027</v>
      </c>
      <c r="M258" s="15">
        <v>1.0668950406607027</v>
      </c>
      <c r="N258" s="15">
        <v>1.0668950406607027</v>
      </c>
      <c r="O258" s="15">
        <v>0.91668779587810256</v>
      </c>
      <c r="P258" s="15">
        <v>0.91668779587810256</v>
      </c>
      <c r="Q258" s="8"/>
      <c r="R258" s="9" t="s">
        <v>265</v>
      </c>
    </row>
    <row r="259" spans="1:18" x14ac:dyDescent="0.25">
      <c r="A259" s="6" t="str">
        <f>HYPERLINK("proteomic_fractions_linear_files/Yang_linear_img/7709982.jpg", "7709982")</f>
        <v>7709982</v>
      </c>
      <c r="B259" s="7"/>
      <c r="C259" s="6" t="str">
        <f>HYPERLINK("http://www.ncbi.nlm.nih.gov/protein/7709982","Aip")</f>
        <v>Aip</v>
      </c>
      <c r="D259" s="8"/>
      <c r="E259" s="8">
        <v>37474</v>
      </c>
      <c r="F259" s="8"/>
      <c r="G259" s="15">
        <v>1.1925834931612289</v>
      </c>
      <c r="H259" s="15">
        <v>1.1925834931612289</v>
      </c>
      <c r="I259" s="15">
        <v>0.86713710420901591</v>
      </c>
      <c r="J259" s="15">
        <v>0.86713710420901591</v>
      </c>
      <c r="K259" s="15">
        <v>0.93387504136419419</v>
      </c>
      <c r="L259" s="15">
        <v>0.93387504136419419</v>
      </c>
      <c r="M259" s="15">
        <v>0.93387504136419419</v>
      </c>
      <c r="N259" s="15">
        <v>0.93387504136419419</v>
      </c>
      <c r="O259" s="15">
        <v>0.80771369977603058</v>
      </c>
      <c r="P259" s="15">
        <v>0.80771369977603058</v>
      </c>
      <c r="Q259" s="8"/>
      <c r="R259" s="9" t="s">
        <v>266</v>
      </c>
    </row>
    <row r="260" spans="1:18" x14ac:dyDescent="0.25">
      <c r="A260" s="6" t="str">
        <f>HYPERLINK("proteomic_fractions_linear_files/Yang_linear_img/219283242.jpg", "219283242")</f>
        <v>219283242</v>
      </c>
      <c r="B260" s="7"/>
      <c r="C260" s="6" t="str">
        <f>HYPERLINK("http://www.ncbi.nlm.nih.gov/protein/219283242","AK010878")</f>
        <v>AK010878</v>
      </c>
      <c r="D260" s="8"/>
      <c r="E260" s="8">
        <v>10215</v>
      </c>
      <c r="F260" s="8"/>
      <c r="G260" s="15" t="s">
        <v>10</v>
      </c>
      <c r="H260" s="15" t="s">
        <v>10</v>
      </c>
      <c r="I260" s="15" t="s">
        <v>10</v>
      </c>
      <c r="J260" s="15" t="s">
        <v>10</v>
      </c>
      <c r="K260" s="15" t="s">
        <v>10</v>
      </c>
      <c r="L260" s="15" t="s">
        <v>10</v>
      </c>
      <c r="M260" s="15">
        <v>1.5196338293814287</v>
      </c>
      <c r="N260" s="15">
        <v>1.5196338293814287</v>
      </c>
      <c r="O260" s="15">
        <v>1.5927441783181775</v>
      </c>
      <c r="P260" s="15">
        <v>1.5927441783181775</v>
      </c>
      <c r="Q260" s="8"/>
      <c r="R260" s="9" t="s">
        <v>267</v>
      </c>
    </row>
    <row r="261" spans="1:18" x14ac:dyDescent="0.25">
      <c r="A261" s="6" t="str">
        <f>HYPERLINK("proteomic_fractions_linear_files/Yang_linear_img/34328230.jpg", "34328230")</f>
        <v>34328230</v>
      </c>
      <c r="B261" s="7"/>
      <c r="C261" s="6" t="str">
        <f>HYPERLINK("http://www.ncbi.nlm.nih.gov/protein/34328230","Ak2")</f>
        <v>Ak2</v>
      </c>
      <c r="D261" s="8"/>
      <c r="E261" s="8">
        <v>25475</v>
      </c>
      <c r="F261" s="8"/>
      <c r="G261" s="15">
        <v>1.3821350612190073</v>
      </c>
      <c r="H261" s="15">
        <v>1.3821350612190073</v>
      </c>
      <c r="I261" s="15">
        <v>0.9821928245310767</v>
      </c>
      <c r="J261" s="15">
        <v>0.9821928245310767</v>
      </c>
      <c r="K261" s="15">
        <v>1.0460103246170001</v>
      </c>
      <c r="L261" s="15">
        <v>1.0460103246170001</v>
      </c>
      <c r="M261" s="15" t="s">
        <v>10</v>
      </c>
      <c r="N261" s="15" t="s">
        <v>10</v>
      </c>
      <c r="O261" s="15">
        <v>0.87182969082715001</v>
      </c>
      <c r="P261" s="15">
        <v>0.87182969082715001</v>
      </c>
      <c r="Q261" s="8"/>
      <c r="R261" s="9" t="s">
        <v>268</v>
      </c>
    </row>
    <row r="262" spans="1:18" x14ac:dyDescent="0.25">
      <c r="A262" s="6" t="str">
        <f>HYPERLINK("proteomic_fractions_linear_files/Yang_linear_img/77020262.jpg", "77020262")</f>
        <v>77020262</v>
      </c>
      <c r="B262" s="7"/>
      <c r="C262" s="6" t="str">
        <f>HYPERLINK("http://www.ncbi.nlm.nih.gov/protein/77020262","Ak2")</f>
        <v>Ak2</v>
      </c>
      <c r="D262" s="8"/>
      <c r="E262" s="8">
        <v>26338</v>
      </c>
      <c r="F262" s="8"/>
      <c r="G262" s="15">
        <v>1.3289760204028918</v>
      </c>
      <c r="H262" s="15">
        <v>1.3289760204028918</v>
      </c>
      <c r="I262" s="15">
        <v>0.94441617743372752</v>
      </c>
      <c r="J262" s="15">
        <v>0.94441617743372752</v>
      </c>
      <c r="K262" s="15">
        <v>1.0057791582855768</v>
      </c>
      <c r="L262" s="15">
        <v>1.0057791582855768</v>
      </c>
      <c r="M262" s="15" t="s">
        <v>10</v>
      </c>
      <c r="N262" s="15" t="s">
        <v>10</v>
      </c>
      <c r="O262" s="15">
        <v>0.83829777964149044</v>
      </c>
      <c r="P262" s="15">
        <v>0.83829777964149044</v>
      </c>
      <c r="Q262" s="8"/>
      <c r="R262" s="9" t="s">
        <v>269</v>
      </c>
    </row>
    <row r="263" spans="1:18" x14ac:dyDescent="0.25">
      <c r="A263" s="6" t="str">
        <f>HYPERLINK("proteomic_fractions_linear_files/Yang_linear_img/23956104.jpg", "23956104")</f>
        <v>23956104</v>
      </c>
      <c r="B263" s="7"/>
      <c r="C263" s="6" t="str">
        <f>HYPERLINK("http://www.ncbi.nlm.nih.gov/protein/23956104","Ak3")</f>
        <v>Ak3</v>
      </c>
      <c r="D263" s="8"/>
      <c r="E263" s="8">
        <v>25295</v>
      </c>
      <c r="F263" s="8"/>
      <c r="G263" s="15">
        <v>1.3821350612190073</v>
      </c>
      <c r="H263" s="15">
        <v>1.3821350612190073</v>
      </c>
      <c r="I263" s="15">
        <v>0.9821928245310767</v>
      </c>
      <c r="J263" s="15">
        <v>0.9821928245310767</v>
      </c>
      <c r="K263" s="15">
        <v>0.9821928245310767</v>
      </c>
      <c r="L263" s="15">
        <v>0.9821928245310767</v>
      </c>
      <c r="M263" s="15" t="s">
        <v>10</v>
      </c>
      <c r="N263" s="15" t="s">
        <v>10</v>
      </c>
      <c r="O263" s="15">
        <v>0.87182969082715001</v>
      </c>
      <c r="P263" s="15">
        <v>0.87182969082715001</v>
      </c>
      <c r="Q263" s="8"/>
      <c r="R263" s="9" t="s">
        <v>270</v>
      </c>
    </row>
    <row r="264" spans="1:18" x14ac:dyDescent="0.25">
      <c r="A264" s="6" t="str">
        <f>HYPERLINK("proteomic_fractions_linear_files/Yang_linear_img/13626040.jpg", "13626040")</f>
        <v>13626040</v>
      </c>
      <c r="B264" s="7"/>
      <c r="C264" s="6" t="str">
        <f>HYPERLINK("http://www.ncbi.nlm.nih.gov/protein/13626040","Akap12")</f>
        <v>Akap12</v>
      </c>
      <c r="D264" s="8"/>
      <c r="E264" s="8">
        <v>180564</v>
      </c>
      <c r="F264" s="8"/>
      <c r="G264" s="15">
        <v>1.6673111858370098</v>
      </c>
      <c r="H264" s="15">
        <v>1.6673111858370098</v>
      </c>
      <c r="I264" s="15">
        <v>1.6673111858370098</v>
      </c>
      <c r="J264" s="15">
        <v>1.6673111858370098</v>
      </c>
      <c r="K264" s="15">
        <v>2.2599091587814355</v>
      </c>
      <c r="L264" s="15">
        <v>2.2599091587814355</v>
      </c>
      <c r="M264" s="15">
        <v>2.2599091587814355</v>
      </c>
      <c r="N264" s="15">
        <v>2.2599091587814355</v>
      </c>
      <c r="O264" s="15">
        <v>1.6673111858370098</v>
      </c>
      <c r="P264" s="15">
        <v>1.6673111858370098</v>
      </c>
      <c r="Q264" s="8"/>
      <c r="R264" s="9" t="s">
        <v>271</v>
      </c>
    </row>
    <row r="265" spans="1:18" x14ac:dyDescent="0.25">
      <c r="A265" s="6" t="str">
        <f>HYPERLINK("proteomic_fractions_linear_files/Yang_linear_img/189181672.jpg", "189181672")</f>
        <v>189181672</v>
      </c>
      <c r="B265" s="7"/>
      <c r="C265" s="6" t="str">
        <f>HYPERLINK("http://www.ncbi.nlm.nih.gov/protein/189181672","Akap13")</f>
        <v>Akap13</v>
      </c>
      <c r="D265" s="8"/>
      <c r="E265" s="8">
        <v>303846</v>
      </c>
      <c r="F265" s="8"/>
      <c r="G265" s="15" t="s">
        <v>10</v>
      </c>
      <c r="H265" s="15" t="s">
        <v>10</v>
      </c>
      <c r="I265" s="15" t="s">
        <v>10</v>
      </c>
      <c r="J265" s="15" t="s">
        <v>10</v>
      </c>
      <c r="K265" s="15">
        <v>1.3455380188797361</v>
      </c>
      <c r="L265" s="15">
        <v>1.3455380188797361</v>
      </c>
      <c r="M265" s="15">
        <v>0.9927083047253249</v>
      </c>
      <c r="N265" s="15">
        <v>0.9927083047253249</v>
      </c>
      <c r="O265" s="15">
        <v>0.76763436719687195</v>
      </c>
      <c r="P265" s="15">
        <v>0.76763436719687195</v>
      </c>
      <c r="Q265" s="8"/>
      <c r="R265" s="9" t="s">
        <v>272</v>
      </c>
    </row>
    <row r="266" spans="1:18" x14ac:dyDescent="0.25">
      <c r="A266" s="6" t="str">
        <f>HYPERLINK("proteomic_fractions_linear_files/Yang_linear_img/78711832.jpg", "78711832")</f>
        <v>78711832</v>
      </c>
      <c r="B266" s="7"/>
      <c r="C266" s="6" t="str">
        <f>HYPERLINK("http://www.ncbi.nlm.nih.gov/protein/78711832","Akap2")</f>
        <v>Akap2</v>
      </c>
      <c r="D266" s="8"/>
      <c r="E266" s="8">
        <v>87139</v>
      </c>
      <c r="F266" s="8"/>
      <c r="G266" s="15" t="s">
        <v>10</v>
      </c>
      <c r="H266" s="15" t="s">
        <v>10</v>
      </c>
      <c r="I266" s="15" t="s">
        <v>10</v>
      </c>
      <c r="J266" s="15" t="s">
        <v>10</v>
      </c>
      <c r="K266" s="15" t="s">
        <v>10</v>
      </c>
      <c r="L266" s="15" t="s">
        <v>10</v>
      </c>
      <c r="M266" s="15" t="s">
        <v>10</v>
      </c>
      <c r="N266" s="15" t="s">
        <v>10</v>
      </c>
      <c r="O266" s="15">
        <v>1.4795589441967467</v>
      </c>
      <c r="P266" s="15">
        <v>1.4795589441967467</v>
      </c>
      <c r="Q266" s="8"/>
      <c r="R266" s="9" t="s">
        <v>273</v>
      </c>
    </row>
    <row r="267" spans="1:18" x14ac:dyDescent="0.25">
      <c r="A267" s="6" t="str">
        <f>HYPERLINK("proteomic_fractions_linear_files/Yang_linear_img/78711834.jpg", "78711834")</f>
        <v>78711834</v>
      </c>
      <c r="B267" s="7"/>
      <c r="C267" s="6" t="str">
        <f>HYPERLINK("http://www.ncbi.nlm.nih.gov/protein/78711834","Akap2")</f>
        <v>Akap2</v>
      </c>
      <c r="D267" s="8"/>
      <c r="E267" s="8">
        <v>97007</v>
      </c>
      <c r="F267" s="8"/>
      <c r="G267" s="15" t="s">
        <v>10</v>
      </c>
      <c r="H267" s="15" t="s">
        <v>10</v>
      </c>
      <c r="I267" s="15" t="s">
        <v>10</v>
      </c>
      <c r="J267" s="15" t="s">
        <v>10</v>
      </c>
      <c r="K267" s="15" t="s">
        <v>10</v>
      </c>
      <c r="L267" s="15" t="s">
        <v>10</v>
      </c>
      <c r="M267" s="15" t="s">
        <v>10</v>
      </c>
      <c r="N267" s="15" t="s">
        <v>10</v>
      </c>
      <c r="O267" s="15">
        <v>1.3270270942795563</v>
      </c>
      <c r="P267" s="15">
        <v>1.3270270942795563</v>
      </c>
      <c r="Q267" s="8"/>
      <c r="R267" s="9" t="s">
        <v>274</v>
      </c>
    </row>
    <row r="268" spans="1:18" x14ac:dyDescent="0.25">
      <c r="A268" s="6" t="str">
        <f>HYPERLINK("proteomic_fractions_linear_files/Yang_linear_img/78711836.jpg", "78711836")</f>
        <v>78711836</v>
      </c>
      <c r="B268" s="7"/>
      <c r="C268" s="6" t="str">
        <f>HYPERLINK("http://www.ncbi.nlm.nih.gov/protein/78711836","Akap2")</f>
        <v>Akap2</v>
      </c>
      <c r="D268" s="8"/>
      <c r="E268" s="8">
        <v>98448</v>
      </c>
      <c r="F268" s="8"/>
      <c r="G268" s="15" t="s">
        <v>10</v>
      </c>
      <c r="H268" s="15" t="s">
        <v>10</v>
      </c>
      <c r="I268" s="15" t="s">
        <v>10</v>
      </c>
      <c r="J268" s="15" t="s">
        <v>10</v>
      </c>
      <c r="K268" s="15" t="s">
        <v>10</v>
      </c>
      <c r="L268" s="15" t="s">
        <v>10</v>
      </c>
      <c r="M268" s="15" t="s">
        <v>10</v>
      </c>
      <c r="N268" s="15" t="s">
        <v>10</v>
      </c>
      <c r="O268" s="15">
        <v>1.3134860014807854</v>
      </c>
      <c r="P268" s="15">
        <v>1.3134860014807854</v>
      </c>
      <c r="Q268" s="8"/>
      <c r="R268" s="9" t="s">
        <v>275</v>
      </c>
    </row>
    <row r="269" spans="1:18" x14ac:dyDescent="0.25">
      <c r="A269" s="6" t="str">
        <f>HYPERLINK("proteomic_fractions_linear_files/Yang_linear_img/31560394.jpg", "31560394")</f>
        <v>31560394</v>
      </c>
      <c r="B269" s="7"/>
      <c r="C269" s="6" t="str">
        <f>HYPERLINK("http://www.ncbi.nlm.nih.gov/protein/31560394","Akap8")</f>
        <v>Akap8</v>
      </c>
      <c r="D269" s="8"/>
      <c r="E269" s="8">
        <v>76163</v>
      </c>
      <c r="F269" s="8"/>
      <c r="G269" s="15" t="s">
        <v>10</v>
      </c>
      <c r="H269" s="15" t="s">
        <v>10</v>
      </c>
      <c r="I269" s="15" t="s">
        <v>10</v>
      </c>
      <c r="J269" s="15" t="s">
        <v>10</v>
      </c>
      <c r="K269" s="15">
        <v>1.4447574186990984</v>
      </c>
      <c r="L269" s="15">
        <v>1.4447574186990984</v>
      </c>
      <c r="M269" s="15">
        <v>1.0934034009624192</v>
      </c>
      <c r="N269" s="15">
        <v>0.49133324240953408</v>
      </c>
      <c r="O269" s="15">
        <v>1.2495786997708489</v>
      </c>
      <c r="P269" s="15">
        <v>1.2495786997708489</v>
      </c>
      <c r="Q269" s="8"/>
      <c r="R269" s="9" t="s">
        <v>276</v>
      </c>
    </row>
    <row r="270" spans="1:18" x14ac:dyDescent="0.25">
      <c r="A270" s="6" t="str">
        <f>HYPERLINK("proteomic_fractions_linear_files/Yang_linear_img/125661048.jpg", "125661048")</f>
        <v>125661048</v>
      </c>
      <c r="B270" s="7"/>
      <c r="C270" s="6" t="str">
        <f>HYPERLINK("http://www.ncbi.nlm.nih.gov/protein/125661048","Akap9")</f>
        <v>Akap9</v>
      </c>
      <c r="D270" s="8"/>
      <c r="E270" s="8">
        <v>434011</v>
      </c>
      <c r="F270" s="8"/>
      <c r="G270" s="15" t="s">
        <v>10</v>
      </c>
      <c r="H270" s="15" t="s">
        <v>10</v>
      </c>
      <c r="I270" s="15">
        <v>0.69535328257257778</v>
      </c>
      <c r="J270" s="15">
        <v>0.69535328257257778</v>
      </c>
      <c r="K270" s="15">
        <v>0.94249667681898575</v>
      </c>
      <c r="L270" s="15">
        <v>0.94249667681898575</v>
      </c>
      <c r="M270" s="15">
        <v>0.94249667681898575</v>
      </c>
      <c r="N270" s="15">
        <v>0.94249667681898575</v>
      </c>
      <c r="O270" s="15">
        <v>0.94249667681898575</v>
      </c>
      <c r="P270" s="15">
        <v>0.94249667681898575</v>
      </c>
      <c r="Q270" s="8"/>
      <c r="R270" s="9" t="s">
        <v>277</v>
      </c>
    </row>
    <row r="271" spans="1:18" x14ac:dyDescent="0.25">
      <c r="A271" s="6" t="str">
        <f>HYPERLINK("proteomic_fractions_linear_files/Yang_linear_img/10946870.jpg", "10946870")</f>
        <v>10946870</v>
      </c>
      <c r="B271" s="7"/>
      <c r="C271" s="6" t="str">
        <f>HYPERLINK("http://www.ncbi.nlm.nih.gov/protein/10946870","Akr1a1")</f>
        <v>Akr1a1</v>
      </c>
      <c r="D271" s="8"/>
      <c r="E271" s="8">
        <v>36456</v>
      </c>
      <c r="F271" s="8"/>
      <c r="G271" s="15" t="s">
        <v>10</v>
      </c>
      <c r="H271" s="15" t="s">
        <v>10</v>
      </c>
      <c r="I271" s="15">
        <v>0.95981601473542177</v>
      </c>
      <c r="J271" s="15">
        <v>0.95981601473542177</v>
      </c>
      <c r="K271" s="15">
        <v>1.0372590673090165</v>
      </c>
      <c r="L271" s="15">
        <v>1.0372590673090165</v>
      </c>
      <c r="M271" s="15">
        <v>0.95981601473542177</v>
      </c>
      <c r="N271" s="15">
        <v>0.95981601473542177</v>
      </c>
      <c r="O271" s="15">
        <v>0.89122424599259964</v>
      </c>
      <c r="P271" s="15">
        <v>0.89122424599259964</v>
      </c>
      <c r="Q271" s="8"/>
      <c r="R271" s="9" t="s">
        <v>278</v>
      </c>
    </row>
    <row r="272" spans="1:18" x14ac:dyDescent="0.25">
      <c r="A272" s="6" t="str">
        <f>HYPERLINK("proteomic_fractions_linear_files/Yang_linear_img/71067102.jpg", "71067102")</f>
        <v>71067102</v>
      </c>
      <c r="B272" s="7"/>
      <c r="C272" s="6" t="str">
        <f>HYPERLINK("http://www.ncbi.nlm.nih.gov/protein/71067102","Akr1b10")</f>
        <v>Akr1b10</v>
      </c>
      <c r="D272" s="8"/>
      <c r="E272" s="8">
        <v>35717</v>
      </c>
      <c r="F272" s="8"/>
      <c r="G272" s="15">
        <v>1.3413882106782014</v>
      </c>
      <c r="H272" s="15">
        <v>1.3413882106782014</v>
      </c>
      <c r="I272" s="15" t="s">
        <v>10</v>
      </c>
      <c r="J272" s="15" t="s">
        <v>10</v>
      </c>
      <c r="K272" s="15">
        <v>0.95981601473542177</v>
      </c>
      <c r="L272" s="15">
        <v>0.95981601473542177</v>
      </c>
      <c r="M272" s="15" t="s">
        <v>10</v>
      </c>
      <c r="N272" s="15" t="s">
        <v>10</v>
      </c>
      <c r="O272" s="15">
        <v>0.83015019143647584</v>
      </c>
      <c r="P272" s="15">
        <v>0.83015019143647584</v>
      </c>
      <c r="Q272" s="8"/>
      <c r="R272" s="9" t="s">
        <v>279</v>
      </c>
    </row>
    <row r="273" spans="1:18" x14ac:dyDescent="0.25">
      <c r="A273" s="6" t="str">
        <f>HYPERLINK("proteomic_fractions_linear_files/Yang_linear_img/160707894.jpg", "160707894")</f>
        <v>160707894</v>
      </c>
      <c r="B273" s="7"/>
      <c r="C273" s="6" t="str">
        <f>HYPERLINK("http://www.ncbi.nlm.nih.gov/protein/160707894","Akr1b3")</f>
        <v>Akr1b3</v>
      </c>
      <c r="D273" s="8"/>
      <c r="E273" s="8">
        <v>35601</v>
      </c>
      <c r="F273" s="8"/>
      <c r="G273" s="15">
        <v>1.2257108124157075</v>
      </c>
      <c r="H273" s="15">
        <v>1.2257108124157075</v>
      </c>
      <c r="I273" s="15">
        <v>0.95981601473542177</v>
      </c>
      <c r="J273" s="15">
        <v>0.95981601473542177</v>
      </c>
      <c r="K273" s="15">
        <v>0.95981601473542177</v>
      </c>
      <c r="L273" s="15">
        <v>0.95981601473542177</v>
      </c>
      <c r="M273" s="15">
        <v>0.95981601473542177</v>
      </c>
      <c r="N273" s="15">
        <v>0.95981601473542177</v>
      </c>
      <c r="O273" s="15">
        <v>0.83015019143647584</v>
      </c>
      <c r="P273" s="15">
        <v>0.83015019143647584</v>
      </c>
      <c r="Q273" s="8"/>
      <c r="R273" s="9" t="s">
        <v>280</v>
      </c>
    </row>
    <row r="274" spans="1:18" x14ac:dyDescent="0.25">
      <c r="A274" s="6" t="str">
        <f>HYPERLINK("proteomic_fractions_linear_files/Yang_linear_img/160415215.jpg", "160415215")</f>
        <v>160415215</v>
      </c>
      <c r="B274" s="7"/>
      <c r="C274" s="6" t="str">
        <f>HYPERLINK("http://www.ncbi.nlm.nih.gov/protein/160415215","Akr1b7")</f>
        <v>Akr1b7</v>
      </c>
      <c r="D274" s="8"/>
      <c r="E274" s="8">
        <v>35857</v>
      </c>
      <c r="F274" s="8"/>
      <c r="G274" s="15">
        <v>1.3413882106782014</v>
      </c>
      <c r="H274" s="15">
        <v>1.3413882106782014</v>
      </c>
      <c r="I274" s="15" t="s">
        <v>10</v>
      </c>
      <c r="J274" s="15" t="s">
        <v>10</v>
      </c>
      <c r="K274" s="15">
        <v>0.95981601473542177</v>
      </c>
      <c r="L274" s="15">
        <v>0.95981601473542177</v>
      </c>
      <c r="M274" s="15" t="s">
        <v>10</v>
      </c>
      <c r="N274" s="15" t="s">
        <v>10</v>
      </c>
      <c r="O274" s="15">
        <v>0.83015019143647584</v>
      </c>
      <c r="P274" s="15">
        <v>0.83015019143647584</v>
      </c>
      <c r="Q274" s="8"/>
      <c r="R274" s="9" t="s">
        <v>281</v>
      </c>
    </row>
    <row r="275" spans="1:18" x14ac:dyDescent="0.25">
      <c r="A275" s="6" t="str">
        <f>HYPERLINK("proteomic_fractions_linear_files/Yang_linear_img/6679791.jpg", "6679791")</f>
        <v>6679791</v>
      </c>
      <c r="B275" s="7"/>
      <c r="C275" s="6" t="str">
        <f>HYPERLINK("http://www.ncbi.nlm.nih.gov/protein/6679791","Akr1b8")</f>
        <v>Akr1b8</v>
      </c>
      <c r="D275" s="8"/>
      <c r="E275" s="8">
        <v>35989</v>
      </c>
      <c r="F275" s="8"/>
      <c r="G275" s="15">
        <v>1.3413882106782014</v>
      </c>
      <c r="H275" s="15">
        <v>1.3413882106782014</v>
      </c>
      <c r="I275" s="15" t="s">
        <v>10</v>
      </c>
      <c r="J275" s="15" t="s">
        <v>10</v>
      </c>
      <c r="K275" s="15">
        <v>0.95981601473542177</v>
      </c>
      <c r="L275" s="15">
        <v>0.95981601473542177</v>
      </c>
      <c r="M275" s="15" t="s">
        <v>10</v>
      </c>
      <c r="N275" s="15" t="s">
        <v>10</v>
      </c>
      <c r="O275" s="15">
        <v>0.83015019143647584</v>
      </c>
      <c r="P275" s="15">
        <v>0.83015019143647584</v>
      </c>
      <c r="Q275" s="8"/>
      <c r="R275" s="9" t="s">
        <v>282</v>
      </c>
    </row>
    <row r="276" spans="1:18" x14ac:dyDescent="0.25">
      <c r="A276" s="6" t="str">
        <f>HYPERLINK("proteomic_fractions_linear_files/Yang_linear_img/85719330.jpg", "85719330")</f>
        <v>85719330</v>
      </c>
      <c r="B276" s="7"/>
      <c r="C276" s="6" t="str">
        <f>HYPERLINK("http://www.ncbi.nlm.nih.gov/protein/85719330","Akr1c12")</f>
        <v>Akr1c12</v>
      </c>
      <c r="D276" s="8"/>
      <c r="E276" s="8">
        <v>36933</v>
      </c>
      <c r="F276" s="8"/>
      <c r="G276" s="15">
        <v>1.3051344752544662</v>
      </c>
      <c r="H276" s="15">
        <v>1.3051344752544662</v>
      </c>
      <c r="I276" s="15">
        <v>0.86713710420901591</v>
      </c>
      <c r="J276" s="15">
        <v>0.86713710420901591</v>
      </c>
      <c r="K276" s="15">
        <v>0.93387504136419419</v>
      </c>
      <c r="L276" s="15">
        <v>0.93387504136419419</v>
      </c>
      <c r="M276" s="15" t="s">
        <v>10</v>
      </c>
      <c r="N276" s="15" t="s">
        <v>10</v>
      </c>
      <c r="O276" s="15">
        <v>0.80771369977603058</v>
      </c>
      <c r="P276" s="15">
        <v>0.80771369977603058</v>
      </c>
      <c r="Q276" s="8"/>
      <c r="R276" s="9" t="s">
        <v>283</v>
      </c>
    </row>
    <row r="277" spans="1:18" x14ac:dyDescent="0.25">
      <c r="A277" s="6" t="str">
        <f>HYPERLINK("proteomic_fractions_linear_files/Yang_linear_img/171846276.jpg", "171846276")</f>
        <v>171846276</v>
      </c>
      <c r="B277" s="7"/>
      <c r="C277" s="6" t="str">
        <f>HYPERLINK("http://www.ncbi.nlm.nih.gov/protein/171846276","Akr1c13")</f>
        <v>Akr1c13</v>
      </c>
      <c r="D277" s="8"/>
      <c r="E277" s="8">
        <v>36927</v>
      </c>
      <c r="F277" s="8"/>
      <c r="G277" s="15">
        <v>1.3051344752544662</v>
      </c>
      <c r="H277" s="15">
        <v>1.3051344752544662</v>
      </c>
      <c r="I277" s="15">
        <v>0.86713710420901591</v>
      </c>
      <c r="J277" s="15">
        <v>0.86713710420901591</v>
      </c>
      <c r="K277" s="15">
        <v>0.93387504136419419</v>
      </c>
      <c r="L277" s="15">
        <v>0.93387504136419419</v>
      </c>
      <c r="M277" s="15" t="s">
        <v>10</v>
      </c>
      <c r="N277" s="15" t="s">
        <v>10</v>
      </c>
      <c r="O277" s="15">
        <v>0.80771369977603058</v>
      </c>
      <c r="P277" s="15">
        <v>0.80771369977603058</v>
      </c>
      <c r="Q277" s="8"/>
      <c r="R277" s="9" t="s">
        <v>284</v>
      </c>
    </row>
    <row r="278" spans="1:18" x14ac:dyDescent="0.25">
      <c r="A278" s="6" t="str">
        <f>HYPERLINK("proteomic_fractions_linear_files/Yang_linear_img/282398141.jpg", "282398141")</f>
        <v>282398141</v>
      </c>
      <c r="B278" s="7"/>
      <c r="C278" s="6" t="str">
        <f>HYPERLINK("http://www.ncbi.nlm.nih.gov/protein/282398141","Akr1c19")</f>
        <v>Akr1c19</v>
      </c>
      <c r="D278" s="8"/>
      <c r="E278" s="8">
        <v>36915</v>
      </c>
      <c r="F278" s="8"/>
      <c r="G278" s="15">
        <v>1.3051344752544662</v>
      </c>
      <c r="H278" s="15">
        <v>1.3051344752544662</v>
      </c>
      <c r="I278" s="15">
        <v>0.93387504136419419</v>
      </c>
      <c r="J278" s="15">
        <v>0.93387504136419419</v>
      </c>
      <c r="K278" s="15">
        <v>0.93387504136419419</v>
      </c>
      <c r="L278" s="15">
        <v>0.93387504136419419</v>
      </c>
      <c r="M278" s="15">
        <v>0.93387504136419419</v>
      </c>
      <c r="N278" s="15">
        <v>0.93387504136419419</v>
      </c>
      <c r="O278" s="15">
        <v>0.86713710420901591</v>
      </c>
      <c r="P278" s="15">
        <v>0.86713710420901591</v>
      </c>
      <c r="Q278" s="8"/>
      <c r="R278" s="9" t="s">
        <v>285</v>
      </c>
    </row>
    <row r="279" spans="1:18" x14ac:dyDescent="0.25">
      <c r="A279" s="6" t="str">
        <f>HYPERLINK("proteomic_fractions_linear_files/Yang_linear_img/93277108.jpg", "93277108")</f>
        <v>93277108</v>
      </c>
      <c r="B279" s="7"/>
      <c r="C279" s="6" t="str">
        <f>HYPERLINK("http://www.ncbi.nlm.nih.gov/protein/93277108","Akr1e1")</f>
        <v>Akr1e1</v>
      </c>
      <c r="D279" s="8"/>
      <c r="E279" s="8">
        <v>34330</v>
      </c>
      <c r="F279" s="8"/>
      <c r="G279" s="15" t="s">
        <v>10</v>
      </c>
      <c r="H279" s="15" t="s">
        <v>10</v>
      </c>
      <c r="I279" s="15">
        <v>0.94364920163922317</v>
      </c>
      <c r="J279" s="15">
        <v>0.94364920163922317</v>
      </c>
      <c r="K279" s="15">
        <v>1.0162757803080937</v>
      </c>
      <c r="L279" s="15">
        <v>1.0162757803080937</v>
      </c>
      <c r="M279" s="15">
        <v>0.94364920163922317</v>
      </c>
      <c r="N279" s="15">
        <v>0.94364920163922317</v>
      </c>
      <c r="O279" s="15">
        <v>0.94364920163922317</v>
      </c>
      <c r="P279" s="15">
        <v>0.94364920163922317</v>
      </c>
      <c r="Q279" s="8"/>
      <c r="R279" s="9" t="s">
        <v>286</v>
      </c>
    </row>
    <row r="280" spans="1:18" x14ac:dyDescent="0.25">
      <c r="A280" s="6" t="str">
        <f>HYPERLINK("proteomic_fractions_linear_files/Yang_linear_img/240120054.jpg", "240120054")</f>
        <v>240120054</v>
      </c>
      <c r="B280" s="7"/>
      <c r="C280" s="6" t="str">
        <f>HYPERLINK("http://www.ncbi.nlm.nih.gov/protein/240120054","Akr7a5")</f>
        <v>Akr7a5</v>
      </c>
      <c r="D280" s="8"/>
      <c r="E280" s="8">
        <v>40481</v>
      </c>
      <c r="F280" s="8"/>
      <c r="G280" s="15">
        <v>0.80210182139333974</v>
      </c>
      <c r="H280" s="15">
        <v>0.80210182139333974</v>
      </c>
      <c r="I280" s="15">
        <v>0.8638344132618796</v>
      </c>
      <c r="J280" s="15">
        <v>0.8638344132618796</v>
      </c>
      <c r="K280" s="15">
        <v>0.8638344132618796</v>
      </c>
      <c r="L280" s="15">
        <v>0.8638344132618796</v>
      </c>
      <c r="M280" s="15">
        <v>0.8638344132618796</v>
      </c>
      <c r="N280" s="15">
        <v>0.8638344132618796</v>
      </c>
      <c r="O280" s="15">
        <v>0.80210182139333974</v>
      </c>
      <c r="P280" s="15">
        <v>0.80210182139333974</v>
      </c>
      <c r="Q280" s="8"/>
      <c r="R280" s="9" t="s">
        <v>287</v>
      </c>
    </row>
    <row r="281" spans="1:18" x14ac:dyDescent="0.25">
      <c r="A281" s="6" t="str">
        <f>HYPERLINK("proteomic_fractions_linear_files/Yang_linear_img/260166608.jpg", "260166608")</f>
        <v>260166608</v>
      </c>
      <c r="B281" s="7"/>
      <c r="C281" s="6" t="str">
        <f>HYPERLINK("http://www.ncbi.nlm.nih.gov/protein/260166608","Akt1")</f>
        <v>Akt1</v>
      </c>
      <c r="D281" s="8"/>
      <c r="E281" s="8">
        <v>56262</v>
      </c>
      <c r="F281" s="8"/>
      <c r="G281" s="15" t="s">
        <v>10</v>
      </c>
      <c r="H281" s="15" t="s">
        <v>10</v>
      </c>
      <c r="I281" s="15">
        <v>1.0495215640284616</v>
      </c>
      <c r="J281" s="15">
        <v>1.0495215640284616</v>
      </c>
      <c r="K281" s="15">
        <v>1.1688082737597203</v>
      </c>
      <c r="L281" s="15">
        <v>1.1688082737597203</v>
      </c>
      <c r="M281" s="15">
        <v>1.0495215640284616</v>
      </c>
      <c r="N281" s="15">
        <v>1.0495215640284616</v>
      </c>
      <c r="O281" s="15">
        <v>0.94858160053573359</v>
      </c>
      <c r="P281" s="15">
        <v>0.94858160053573359</v>
      </c>
      <c r="Q281" s="8"/>
      <c r="R281" s="9" t="s">
        <v>288</v>
      </c>
    </row>
    <row r="282" spans="1:18" x14ac:dyDescent="0.25">
      <c r="A282" s="6" t="str">
        <f>HYPERLINK("proteomic_fractions_linear_files/Yang_linear_img/6753034.jpg", "6753034")</f>
        <v>6753034</v>
      </c>
      <c r="B282" s="7"/>
      <c r="C282" s="6" t="str">
        <f>HYPERLINK("http://www.ncbi.nlm.nih.gov/protein/6753034","Akt1")</f>
        <v>Akt1</v>
      </c>
      <c r="D282" s="8"/>
      <c r="E282" s="8">
        <v>55576</v>
      </c>
      <c r="F282" s="8"/>
      <c r="G282" s="15" t="s">
        <v>10</v>
      </c>
      <c r="H282" s="15" t="s">
        <v>10</v>
      </c>
      <c r="I282" s="15">
        <v>1.0495215640284616</v>
      </c>
      <c r="J282" s="15">
        <v>1.0495215640284616</v>
      </c>
      <c r="K282" s="15">
        <v>1.1688082737597203</v>
      </c>
      <c r="L282" s="15">
        <v>1.1688082737597203</v>
      </c>
      <c r="M282" s="15">
        <v>1.0495215640284616</v>
      </c>
      <c r="N282" s="15">
        <v>1.0495215640284616</v>
      </c>
      <c r="O282" s="15">
        <v>0.94858160053573359</v>
      </c>
      <c r="P282" s="15">
        <v>0.94858160053573359</v>
      </c>
      <c r="Q282" s="8"/>
      <c r="R282" s="9" t="s">
        <v>289</v>
      </c>
    </row>
    <row r="283" spans="1:18" x14ac:dyDescent="0.25">
      <c r="A283" s="6" t="str">
        <f>HYPERLINK("proteomic_fractions_linear_files/Yang_linear_img/21312878.jpg", "21312878")</f>
        <v>21312878</v>
      </c>
      <c r="B283" s="7"/>
      <c r="C283" s="6" t="str">
        <f>HYPERLINK("http://www.ncbi.nlm.nih.gov/protein/21312878","Akt1s1")</f>
        <v>Akt1s1</v>
      </c>
      <c r="D283" s="8"/>
      <c r="E283" s="8">
        <v>27352</v>
      </c>
      <c r="F283" s="8"/>
      <c r="G283" s="15" t="s">
        <v>10</v>
      </c>
      <c r="H283" s="15" t="s">
        <v>10</v>
      </c>
      <c r="I283" s="15" t="s">
        <v>10</v>
      </c>
      <c r="J283" s="15" t="s">
        <v>10</v>
      </c>
      <c r="K283" s="15" t="s">
        <v>10</v>
      </c>
      <c r="L283" s="15" t="s">
        <v>10</v>
      </c>
      <c r="M283" s="15" t="s">
        <v>10</v>
      </c>
      <c r="N283" s="15" t="s">
        <v>10</v>
      </c>
      <c r="O283" s="15">
        <v>1.2797546863138958</v>
      </c>
      <c r="P283" s="15">
        <v>1.2797546863138958</v>
      </c>
      <c r="Q283" s="8"/>
      <c r="R283" s="9" t="s">
        <v>290</v>
      </c>
    </row>
    <row r="284" spans="1:18" x14ac:dyDescent="0.25">
      <c r="A284" s="6" t="str">
        <f>HYPERLINK("proteomic_fractions_linear_files/Yang_linear_img/6680674.jpg", "6680674")</f>
        <v>6680674</v>
      </c>
      <c r="B284" s="7"/>
      <c r="C284" s="6" t="str">
        <f>HYPERLINK("http://www.ncbi.nlm.nih.gov/protein/6680674","Akt2")</f>
        <v>Akt2</v>
      </c>
      <c r="D284" s="8"/>
      <c r="E284" s="8">
        <v>55611</v>
      </c>
      <c r="F284" s="8"/>
      <c r="G284" s="15" t="s">
        <v>10</v>
      </c>
      <c r="H284" s="15" t="s">
        <v>10</v>
      </c>
      <c r="I284" s="15">
        <v>1.0495215640284616</v>
      </c>
      <c r="J284" s="15">
        <v>1.0495215640284616</v>
      </c>
      <c r="K284" s="15" t="s">
        <v>10</v>
      </c>
      <c r="L284" s="15" t="s">
        <v>10</v>
      </c>
      <c r="M284" s="15">
        <v>1.0495215640284616</v>
      </c>
      <c r="N284" s="15">
        <v>1.0495215640284616</v>
      </c>
      <c r="O284" s="15">
        <v>1.0495215640284616</v>
      </c>
      <c r="P284" s="15">
        <v>1.0495215640284616</v>
      </c>
      <c r="Q284" s="8"/>
      <c r="R284" s="9" t="s">
        <v>291</v>
      </c>
    </row>
    <row r="285" spans="1:18" x14ac:dyDescent="0.25">
      <c r="A285" s="6" t="str">
        <f>HYPERLINK("proteomic_fractions_linear_files/Yang_linear_img/190883484.jpg", "190883484")</f>
        <v>190883484</v>
      </c>
      <c r="B285" s="7"/>
      <c r="C285" s="6" t="str">
        <f>HYPERLINK("http://www.ncbi.nlm.nih.gov/protein/190883484","Akt3")</f>
        <v>Akt3</v>
      </c>
      <c r="D285" s="8"/>
      <c r="E285" s="8">
        <v>55584</v>
      </c>
      <c r="F285" s="8"/>
      <c r="G285" s="15" t="s">
        <v>10</v>
      </c>
      <c r="H285" s="15" t="s">
        <v>10</v>
      </c>
      <c r="I285" s="15">
        <v>1.0495215640284616</v>
      </c>
      <c r="J285" s="15">
        <v>1.0495215640284616</v>
      </c>
      <c r="K285" s="15" t="s">
        <v>10</v>
      </c>
      <c r="L285" s="15" t="s">
        <v>10</v>
      </c>
      <c r="M285" s="15">
        <v>1.0495215640284616</v>
      </c>
      <c r="N285" s="15">
        <v>1.0495215640284616</v>
      </c>
      <c r="O285" s="15">
        <v>1.0495215640284616</v>
      </c>
      <c r="P285" s="15">
        <v>1.0495215640284616</v>
      </c>
      <c r="Q285" s="8"/>
      <c r="R285" s="9" t="s">
        <v>292</v>
      </c>
    </row>
    <row r="286" spans="1:18" x14ac:dyDescent="0.25">
      <c r="A286" s="6" t="str">
        <f>HYPERLINK("proteomic_fractions_linear_files/Yang_linear_img/6753918.jpg", "6753918")</f>
        <v>6753918</v>
      </c>
      <c r="B286" s="7"/>
      <c r="C286" s="6" t="str">
        <f>HYPERLINK("http://www.ncbi.nlm.nih.gov/protein/6753918","Aktip")</f>
        <v>Aktip</v>
      </c>
      <c r="D286" s="8"/>
      <c r="E286" s="8">
        <v>32811</v>
      </c>
      <c r="F286" s="8"/>
      <c r="G286" s="15" t="s">
        <v>10</v>
      </c>
      <c r="H286" s="15" t="s">
        <v>10</v>
      </c>
      <c r="I286" s="15">
        <v>0.90561839065797367</v>
      </c>
      <c r="J286" s="15">
        <v>0.90561839065797367</v>
      </c>
      <c r="K286" s="15">
        <v>0.9722446319919269</v>
      </c>
      <c r="L286" s="15">
        <v>0.9722446319919269</v>
      </c>
      <c r="M286" s="15">
        <v>0.90561839065797367</v>
      </c>
      <c r="N286" s="15">
        <v>0.90561839065797367</v>
      </c>
      <c r="O286" s="15">
        <v>0.84600640296006246</v>
      </c>
      <c r="P286" s="15">
        <v>0.84600640296006246</v>
      </c>
      <c r="Q286" s="8"/>
      <c r="R286" s="9" t="s">
        <v>293</v>
      </c>
    </row>
    <row r="287" spans="1:18" x14ac:dyDescent="0.25">
      <c r="A287" s="6" t="str">
        <f>HYPERLINK("proteomic_fractions_linear_files/Yang_linear_img/34328485.jpg", "34328485")</f>
        <v>34328485</v>
      </c>
      <c r="B287" s="7"/>
      <c r="C287" s="6" t="str">
        <f>HYPERLINK("http://www.ncbi.nlm.nih.gov/protein/34328485","Alad")</f>
        <v>Alad</v>
      </c>
      <c r="D287" s="8"/>
      <c r="E287" s="8">
        <v>35893</v>
      </c>
      <c r="F287" s="8"/>
      <c r="G287" s="15">
        <v>0.89122424599259964</v>
      </c>
      <c r="H287" s="15">
        <v>0.89122424599259964</v>
      </c>
      <c r="I287" s="15">
        <v>0.95981601473542177</v>
      </c>
      <c r="J287" s="15">
        <v>0.95981601473542177</v>
      </c>
      <c r="K287" s="15">
        <v>0.95981601473542177</v>
      </c>
      <c r="L287" s="15">
        <v>0.95981601473542177</v>
      </c>
      <c r="M287" s="15">
        <v>0.95981601473542177</v>
      </c>
      <c r="N287" s="15">
        <v>0.95981601473542177</v>
      </c>
      <c r="O287" s="15">
        <v>0.83015019143647584</v>
      </c>
      <c r="P287" s="15">
        <v>0.83015019143647584</v>
      </c>
      <c r="Q287" s="8"/>
      <c r="R287" s="9" t="s">
        <v>294</v>
      </c>
    </row>
    <row r="288" spans="1:18" x14ac:dyDescent="0.25">
      <c r="A288" s="6" t="str">
        <f>HYPERLINK("proteomic_fractions_linear_files/Yang_linear_img/163310765.jpg", "163310765")</f>
        <v>163310765</v>
      </c>
      <c r="B288" s="7"/>
      <c r="C288" s="6" t="str">
        <f>HYPERLINK("http://www.ncbi.nlm.nih.gov/protein/163310765","Alb")</f>
        <v>Alb</v>
      </c>
      <c r="D288" s="8"/>
      <c r="E288" s="8">
        <v>65893</v>
      </c>
      <c r="F288" s="8"/>
      <c r="G288" s="15" t="s">
        <v>10</v>
      </c>
      <c r="H288" s="15" t="s">
        <v>10</v>
      </c>
      <c r="I288" s="15">
        <v>8.992315237413699</v>
      </c>
      <c r="J288" s="15">
        <v>8.992315237413699</v>
      </c>
      <c r="K288" s="15" t="s">
        <v>10</v>
      </c>
      <c r="L288" s="15" t="s">
        <v>10</v>
      </c>
      <c r="M288" s="15" t="s">
        <v>10</v>
      </c>
      <c r="N288" s="15" t="s">
        <v>10</v>
      </c>
      <c r="O288" s="15" t="s">
        <v>10</v>
      </c>
      <c r="P288" s="15" t="s">
        <v>10</v>
      </c>
      <c r="Q288" s="8"/>
      <c r="R288" s="9" t="s">
        <v>295</v>
      </c>
    </row>
    <row r="289" spans="1:18" x14ac:dyDescent="0.25">
      <c r="A289" s="6" t="str">
        <f>HYPERLINK("proteomic_fractions_linear_files/Yang_linear_img/31791059.jpg", "31791059")</f>
        <v>31791059</v>
      </c>
      <c r="B289" s="7"/>
      <c r="C289" s="6" t="str">
        <f>HYPERLINK("http://www.ncbi.nlm.nih.gov/protein/31791059","Alcam")</f>
        <v>Alcam</v>
      </c>
      <c r="D289" s="8"/>
      <c r="E289" s="8">
        <v>62321</v>
      </c>
      <c r="F289" s="8"/>
      <c r="G289" s="15">
        <v>2.0761552926631768</v>
      </c>
      <c r="H289" s="15">
        <v>2.0761552926631768</v>
      </c>
      <c r="I289" s="15">
        <v>1.7709929648569591</v>
      </c>
      <c r="J289" s="15">
        <v>1.7709929648569591</v>
      </c>
      <c r="K289" s="15">
        <v>2.0761552926631768</v>
      </c>
      <c r="L289" s="15">
        <v>2.0761552926631768</v>
      </c>
      <c r="M289" s="15" t="s">
        <v>10</v>
      </c>
      <c r="N289" s="15" t="s">
        <v>10</v>
      </c>
      <c r="O289" s="15" t="s">
        <v>10</v>
      </c>
      <c r="P289" s="15" t="s">
        <v>10</v>
      </c>
      <c r="Q289" s="8"/>
      <c r="R289" s="9" t="s">
        <v>296</v>
      </c>
    </row>
    <row r="290" spans="1:18" x14ac:dyDescent="0.25">
      <c r="A290" s="6" t="str">
        <f>HYPERLINK("proteomic_fractions_linear_files/Yang_linear_img/26080429.jpg", "26080429")</f>
        <v>26080429</v>
      </c>
      <c r="B290" s="7"/>
      <c r="C290" s="6" t="str">
        <f>HYPERLINK("http://www.ncbi.nlm.nih.gov/protein/26080429","Aldh16a1")</f>
        <v>Aldh16a1</v>
      </c>
      <c r="D290" s="8"/>
      <c r="E290" s="8">
        <v>84667</v>
      </c>
      <c r="F290" s="8"/>
      <c r="G290" s="15" t="s">
        <v>10</v>
      </c>
      <c r="H290" s="15" t="s">
        <v>10</v>
      </c>
      <c r="I290" s="15">
        <v>0.97763127615463363</v>
      </c>
      <c r="J290" s="15">
        <v>0.97763127615463363</v>
      </c>
      <c r="K290" s="15">
        <v>1.1172703668539354</v>
      </c>
      <c r="L290" s="15">
        <v>1.1172703668539354</v>
      </c>
      <c r="M290" s="15">
        <v>0.97763127615463363</v>
      </c>
      <c r="N290" s="15">
        <v>1.1172703668539354</v>
      </c>
      <c r="O290" s="15">
        <v>0.97763127615463363</v>
      </c>
      <c r="P290" s="15">
        <v>0.97763127615463363</v>
      </c>
      <c r="Q290" s="8"/>
      <c r="R290" s="9" t="s">
        <v>297</v>
      </c>
    </row>
    <row r="291" spans="1:18" x14ac:dyDescent="0.25">
      <c r="A291" s="6" t="str">
        <f>HYPERLINK("proteomic_fractions_linear_files/Yang_linear_img/255958292.jpg", "255958292")</f>
        <v>255958292</v>
      </c>
      <c r="B291" s="7"/>
      <c r="C291" s="6" t="str">
        <f>HYPERLINK("http://www.ncbi.nlm.nih.gov/protein/255958292","Aldh18a1")</f>
        <v>Aldh18a1</v>
      </c>
      <c r="D291" s="8"/>
      <c r="E291" s="8">
        <v>87136</v>
      </c>
      <c r="F291" s="8"/>
      <c r="G291" s="15">
        <v>1.2620869404727755</v>
      </c>
      <c r="H291" s="15">
        <v>1.2620869404727755</v>
      </c>
      <c r="I291" s="15">
        <v>0.9551569939441823</v>
      </c>
      <c r="J291" s="15">
        <v>0.9551569939441823</v>
      </c>
      <c r="K291" s="15">
        <v>1.0915859906044196</v>
      </c>
      <c r="L291" s="15">
        <v>1.0915859906044196</v>
      </c>
      <c r="M291" s="15">
        <v>0.9551569939441823</v>
      </c>
      <c r="N291" s="15">
        <v>0.9551569939441823</v>
      </c>
      <c r="O291" s="15">
        <v>0.9551569939441823</v>
      </c>
      <c r="P291" s="15">
        <v>0.9551569939441823</v>
      </c>
      <c r="Q291" s="8"/>
      <c r="R291" s="9" t="s">
        <v>298</v>
      </c>
    </row>
    <row r="292" spans="1:18" x14ac:dyDescent="0.25">
      <c r="A292" s="6" t="str">
        <f>HYPERLINK("proteomic_fractions_linear_files/Yang_linear_img/255958294.jpg", "255958294")</f>
        <v>255958294</v>
      </c>
      <c r="B292" s="7"/>
      <c r="C292" s="6" t="str">
        <f>HYPERLINK("http://www.ncbi.nlm.nih.gov/protein/255958294","Aldh18a1")</f>
        <v>Aldh18a1</v>
      </c>
      <c r="D292" s="8"/>
      <c r="E292" s="8">
        <v>86922</v>
      </c>
      <c r="F292" s="8"/>
      <c r="G292" s="15">
        <v>1.2620869404727755</v>
      </c>
      <c r="H292" s="15">
        <v>1.2620869404727755</v>
      </c>
      <c r="I292" s="15">
        <v>0.9551569939441823</v>
      </c>
      <c r="J292" s="15">
        <v>0.9551569939441823</v>
      </c>
      <c r="K292" s="15">
        <v>1.0915859906044196</v>
      </c>
      <c r="L292" s="15">
        <v>1.0915859906044196</v>
      </c>
      <c r="M292" s="15">
        <v>0.9551569939441823</v>
      </c>
      <c r="N292" s="15">
        <v>0.9551569939441823</v>
      </c>
      <c r="O292" s="15">
        <v>0.9551569939441823</v>
      </c>
      <c r="P292" s="15">
        <v>0.9551569939441823</v>
      </c>
      <c r="Q292" s="8"/>
      <c r="R292" s="9" t="s">
        <v>299</v>
      </c>
    </row>
    <row r="293" spans="1:18" x14ac:dyDescent="0.25">
      <c r="A293" s="6" t="str">
        <f>HYPERLINK("proteomic_fractions_linear_files/Yang_linear_img/85861182.jpg", "85861182")</f>
        <v>85861182</v>
      </c>
      <c r="B293" s="7"/>
      <c r="C293" s="6" t="str">
        <f>HYPERLINK("http://www.ncbi.nlm.nih.gov/protein/85861182","Aldh1a1")</f>
        <v>Aldh1a1</v>
      </c>
      <c r="D293" s="8"/>
      <c r="E293" s="8">
        <v>54337</v>
      </c>
      <c r="F293" s="8"/>
      <c r="G293" s="15" t="s">
        <v>10</v>
      </c>
      <c r="H293" s="15" t="s">
        <v>10</v>
      </c>
      <c r="I293" s="15" t="s">
        <v>10</v>
      </c>
      <c r="J293" s="15" t="s">
        <v>10</v>
      </c>
      <c r="K293" s="15" t="s">
        <v>10</v>
      </c>
      <c r="L293" s="15" t="s">
        <v>10</v>
      </c>
      <c r="M293" s="15">
        <v>0.98371425240742738</v>
      </c>
      <c r="N293" s="15">
        <v>0.98371425240742738</v>
      </c>
      <c r="O293" s="15">
        <v>0.89425880711880101</v>
      </c>
      <c r="P293" s="15">
        <v>0.89425880711880101</v>
      </c>
      <c r="Q293" s="8"/>
      <c r="R293" s="9" t="s">
        <v>300</v>
      </c>
    </row>
    <row r="294" spans="1:18" x14ac:dyDescent="0.25">
      <c r="A294" s="6" t="str">
        <f>HYPERLINK("proteomic_fractions_linear_files/Yang_linear_img/7106242.jpg", "7106242")</f>
        <v>7106242</v>
      </c>
      <c r="B294" s="7"/>
      <c r="C294" s="6" t="str">
        <f>HYPERLINK("http://www.ncbi.nlm.nih.gov/protein/7106242","Aldh1a7")</f>
        <v>Aldh1a7</v>
      </c>
      <c r="D294" s="8"/>
      <c r="E294" s="8">
        <v>54457</v>
      </c>
      <c r="F294" s="8"/>
      <c r="G294" s="15" t="s">
        <v>10</v>
      </c>
      <c r="H294" s="15" t="s">
        <v>10</v>
      </c>
      <c r="I294" s="15" t="s">
        <v>10</v>
      </c>
      <c r="J294" s="15" t="s">
        <v>10</v>
      </c>
      <c r="K294" s="15" t="s">
        <v>10</v>
      </c>
      <c r="L294" s="15" t="s">
        <v>10</v>
      </c>
      <c r="M294" s="15">
        <v>0.98371425240742738</v>
      </c>
      <c r="N294" s="15">
        <v>0.98371425240742738</v>
      </c>
      <c r="O294" s="15">
        <v>0.89425880711880101</v>
      </c>
      <c r="P294" s="15">
        <v>0.89425880711880101</v>
      </c>
      <c r="Q294" s="8"/>
      <c r="R294" s="9" t="s">
        <v>301</v>
      </c>
    </row>
    <row r="295" spans="1:18" x14ac:dyDescent="0.25">
      <c r="A295" s="6" t="str">
        <f>HYPERLINK("proteomic_fractions_linear_files/Yang_linear_img/6753036.jpg", "6753036")</f>
        <v>6753036</v>
      </c>
      <c r="B295" s="7"/>
      <c r="C295" s="6" t="str">
        <f>HYPERLINK("http://www.ncbi.nlm.nih.gov/protein/6753036","Aldh2")</f>
        <v>Aldh2</v>
      </c>
      <c r="D295" s="8"/>
      <c r="E295" s="8">
        <v>54375</v>
      </c>
      <c r="F295" s="8"/>
      <c r="G295" s="15">
        <v>1.2120974690841544</v>
      </c>
      <c r="H295" s="15">
        <v>1.2120974690841544</v>
      </c>
      <c r="I295" s="15">
        <v>0.98371425240742738</v>
      </c>
      <c r="J295" s="15">
        <v>0.98371425240742738</v>
      </c>
      <c r="K295" s="15">
        <v>3.4586265118507473</v>
      </c>
      <c r="L295" s="15">
        <v>3.4586265118507473</v>
      </c>
      <c r="M295" s="15" t="s">
        <v>10</v>
      </c>
      <c r="N295" s="15" t="s">
        <v>10</v>
      </c>
      <c r="O295" s="15" t="s">
        <v>10</v>
      </c>
      <c r="P295" s="15" t="s">
        <v>10</v>
      </c>
      <c r="Q295" s="8"/>
      <c r="R295" s="9" t="s">
        <v>302</v>
      </c>
    </row>
    <row r="296" spans="1:18" x14ac:dyDescent="0.25">
      <c r="A296" s="6" t="str">
        <f>HYPERLINK("proteomic_fractions_linear_files/Yang_linear_img/163310769.jpg", "163310769")</f>
        <v>163310769</v>
      </c>
      <c r="B296" s="7"/>
      <c r="C296" s="6" t="str">
        <f>HYPERLINK("http://www.ncbi.nlm.nih.gov/protein/163310769","Aldh3a1")</f>
        <v>Aldh3a1</v>
      </c>
      <c r="D296" s="8"/>
      <c r="E296" s="8">
        <v>50350</v>
      </c>
      <c r="F296" s="8"/>
      <c r="G296" s="15" t="s">
        <v>10</v>
      </c>
      <c r="H296" s="15" t="s">
        <v>10</v>
      </c>
      <c r="I296" s="15">
        <v>1.0624113926000216</v>
      </c>
      <c r="J296" s="15">
        <v>1.0624113926000216</v>
      </c>
      <c r="K296" s="15">
        <v>1.0624113926000216</v>
      </c>
      <c r="L296" s="15">
        <v>1.0624113926000216</v>
      </c>
      <c r="M296" s="15" t="s">
        <v>10</v>
      </c>
      <c r="N296" s="15" t="s">
        <v>10</v>
      </c>
      <c r="O296" s="15" t="s">
        <v>10</v>
      </c>
      <c r="P296" s="15" t="s">
        <v>10</v>
      </c>
      <c r="Q296" s="8"/>
      <c r="R296" s="9" t="s">
        <v>303</v>
      </c>
    </row>
    <row r="297" spans="1:18" x14ac:dyDescent="0.25">
      <c r="A297" s="6" t="str">
        <f>HYPERLINK("proteomic_fractions_linear_files/Yang_linear_img/75677435.jpg", "75677435")</f>
        <v>75677435</v>
      </c>
      <c r="B297" s="7"/>
      <c r="C297" s="6" t="str">
        <f>HYPERLINK("http://www.ncbi.nlm.nih.gov/protein/75677435","Aldh3a2")</f>
        <v>Aldh3a2</v>
      </c>
      <c r="D297" s="8"/>
      <c r="E297" s="8">
        <v>53840</v>
      </c>
      <c r="F297" s="8"/>
      <c r="G297" s="15">
        <v>1.2120974690841544</v>
      </c>
      <c r="H297" s="15">
        <v>1.2120974690841544</v>
      </c>
      <c r="I297" s="15">
        <v>0.98371425240742738</v>
      </c>
      <c r="J297" s="15">
        <v>0.98371425240742738</v>
      </c>
      <c r="K297" s="15">
        <v>0.98371425240742738</v>
      </c>
      <c r="L297" s="15">
        <v>0.98371425240742738</v>
      </c>
      <c r="M297" s="15">
        <v>0.63987734315694789</v>
      </c>
      <c r="N297" s="15">
        <v>0.63987734315694789</v>
      </c>
      <c r="O297" s="15" t="s">
        <v>10</v>
      </c>
      <c r="P297" s="15" t="s">
        <v>10</v>
      </c>
      <c r="Q297" s="8"/>
      <c r="R297" s="9" t="s">
        <v>304</v>
      </c>
    </row>
    <row r="298" spans="1:18" x14ac:dyDescent="0.25">
      <c r="A298" s="6" t="str">
        <f>HYPERLINK("proteomic_fractions_linear_files/Yang_linear_img/34328288.jpg", "34328288")</f>
        <v>34328288</v>
      </c>
      <c r="B298" s="7"/>
      <c r="C298" s="6" t="str">
        <f>HYPERLINK("http://www.ncbi.nlm.nih.gov/protein/34328288","Aldh3b1")</f>
        <v>Aldh3b1</v>
      </c>
      <c r="D298" s="8"/>
      <c r="E298" s="8">
        <v>52161</v>
      </c>
      <c r="F298" s="8"/>
      <c r="G298" s="15">
        <v>5.8035254737788229</v>
      </c>
      <c r="H298" s="15">
        <v>5.8035254737788229</v>
      </c>
      <c r="I298" s="15">
        <v>0.92865337662337022</v>
      </c>
      <c r="J298" s="15">
        <v>1.0215494159615592</v>
      </c>
      <c r="K298" s="15">
        <v>1.0215494159615592</v>
      </c>
      <c r="L298" s="15">
        <v>1.0215494159615592</v>
      </c>
      <c r="M298" s="15">
        <v>1.1302539920306509</v>
      </c>
      <c r="N298" s="15">
        <v>1.1302539920306509</v>
      </c>
      <c r="O298" s="15">
        <v>0.92865337662337022</v>
      </c>
      <c r="P298" s="15">
        <v>0.92865337662337022</v>
      </c>
      <c r="Q298" s="8"/>
      <c r="R298" s="9" t="s">
        <v>305</v>
      </c>
    </row>
    <row r="299" spans="1:18" x14ac:dyDescent="0.25">
      <c r="A299" s="6" t="str">
        <f>HYPERLINK("proteomic_fractions_linear_files/Yang_linear_img/294460012.jpg", "294460012")</f>
        <v>294460012</v>
      </c>
      <c r="B299" s="7"/>
      <c r="C299" s="6" t="str">
        <f>HYPERLINK("http://www.ncbi.nlm.nih.gov/protein/294460012","Aldh3b2")</f>
        <v>Aldh3b2</v>
      </c>
      <c r="D299" s="8"/>
      <c r="E299" s="8">
        <v>52852</v>
      </c>
      <c r="F299" s="8"/>
      <c r="G299" s="15">
        <v>5.6940249931414861</v>
      </c>
      <c r="H299" s="15">
        <v>5.6940249931414861</v>
      </c>
      <c r="I299" s="15">
        <v>1.0022748986792656</v>
      </c>
      <c r="J299" s="15">
        <v>1.0022748986792656</v>
      </c>
      <c r="K299" s="15">
        <v>1.1089284450112047</v>
      </c>
      <c r="L299" s="15">
        <v>1.1089284450112047</v>
      </c>
      <c r="M299" s="15">
        <v>1.0022748986792656</v>
      </c>
      <c r="N299" s="15">
        <v>1.0022748986792656</v>
      </c>
      <c r="O299" s="15">
        <v>0.91113161480028781</v>
      </c>
      <c r="P299" s="15">
        <v>0.91113161480028781</v>
      </c>
      <c r="Q299" s="8"/>
      <c r="R299" s="9" t="s">
        <v>306</v>
      </c>
    </row>
    <row r="300" spans="1:18" x14ac:dyDescent="0.25">
      <c r="A300" s="6" t="str">
        <f>HYPERLINK("proteomic_fractions_linear_files/Yang_linear_img/407262588.jpg", "407262588")</f>
        <v>407262588</v>
      </c>
      <c r="B300" s="7"/>
      <c r="C300" s="6" t="str">
        <f>HYPERLINK("http://www.ncbi.nlm.nih.gov/protein/407262588","Aldh3b2")</f>
        <v>Aldh3b2</v>
      </c>
      <c r="D300" s="8"/>
      <c r="E300" s="8">
        <v>31010</v>
      </c>
      <c r="F300" s="8"/>
      <c r="G300" s="15">
        <v>9.7349459560160891</v>
      </c>
      <c r="H300" s="15">
        <v>9.7349459560160891</v>
      </c>
      <c r="I300" s="15">
        <v>1.557741147884363</v>
      </c>
      <c r="J300" s="15">
        <v>1.7135667622580992</v>
      </c>
      <c r="K300" s="15">
        <v>1.8959099221159308</v>
      </c>
      <c r="L300" s="15">
        <v>1.8959099221159308</v>
      </c>
      <c r="M300" s="15">
        <v>1.8959099221159308</v>
      </c>
      <c r="N300" s="15">
        <v>1.8959099221159308</v>
      </c>
      <c r="O300" s="15">
        <v>1.557741147884363</v>
      </c>
      <c r="P300" s="15">
        <v>1.557741147884363</v>
      </c>
      <c r="Q300" s="8"/>
      <c r="R300" s="9" t="s">
        <v>8043</v>
      </c>
    </row>
    <row r="301" spans="1:18" x14ac:dyDescent="0.25">
      <c r="A301" s="6" t="str">
        <f>HYPERLINK("proteomic_fractions_linear_files/Yang_linear_img/27369748.jpg", "27369748")</f>
        <v>27369748</v>
      </c>
      <c r="B301" s="7"/>
      <c r="C301" s="6" t="str">
        <f>HYPERLINK("http://www.ncbi.nlm.nih.gov/protein/27369748","Aldh5a1")</f>
        <v>Aldh5a1</v>
      </c>
      <c r="D301" s="8"/>
      <c r="E301" s="8">
        <v>52012</v>
      </c>
      <c r="F301" s="8"/>
      <c r="G301" s="15">
        <v>1.2587166025104679</v>
      </c>
      <c r="H301" s="15">
        <v>1.2587166025104679</v>
      </c>
      <c r="I301" s="15">
        <v>0.92865337662337022</v>
      </c>
      <c r="J301" s="15">
        <v>0.92865337662337022</v>
      </c>
      <c r="K301" s="15" t="s">
        <v>10</v>
      </c>
      <c r="L301" s="15" t="s">
        <v>10</v>
      </c>
      <c r="M301" s="15" t="s">
        <v>10</v>
      </c>
      <c r="N301" s="15" t="s">
        <v>10</v>
      </c>
      <c r="O301" s="15" t="s">
        <v>10</v>
      </c>
      <c r="P301" s="15" t="s">
        <v>10</v>
      </c>
      <c r="Q301" s="8"/>
      <c r="R301" s="9" t="s">
        <v>307</v>
      </c>
    </row>
    <row r="302" spans="1:18" x14ac:dyDescent="0.25">
      <c r="A302" s="6" t="str">
        <f>HYPERLINK("proteomic_fractions_linear_files/Yang_linear_img/19527258.jpg", "19527258")</f>
        <v>19527258</v>
      </c>
      <c r="B302" s="7"/>
      <c r="C302" s="6" t="str">
        <f>HYPERLINK("http://www.ncbi.nlm.nih.gov/protein/19527258","Aldh6a1")</f>
        <v>Aldh6a1</v>
      </c>
      <c r="D302" s="8"/>
      <c r="E302" s="8">
        <v>54606</v>
      </c>
      <c r="F302" s="8"/>
      <c r="G302" s="15">
        <v>1.3352029134851318</v>
      </c>
      <c r="H302" s="15">
        <v>1.3352029134851318</v>
      </c>
      <c r="I302" s="15">
        <v>0.96582853872729235</v>
      </c>
      <c r="J302" s="15">
        <v>0.96582853872729235</v>
      </c>
      <c r="K302" s="15" t="s">
        <v>10</v>
      </c>
      <c r="L302" s="15" t="s">
        <v>10</v>
      </c>
      <c r="M302" s="15" t="s">
        <v>10</v>
      </c>
      <c r="N302" s="15" t="s">
        <v>10</v>
      </c>
      <c r="O302" s="15" t="s">
        <v>10</v>
      </c>
      <c r="P302" s="15" t="s">
        <v>10</v>
      </c>
      <c r="Q302" s="8"/>
      <c r="R302" s="9" t="s">
        <v>308</v>
      </c>
    </row>
    <row r="303" spans="1:18" x14ac:dyDescent="0.25">
      <c r="A303" s="6" t="str">
        <f>HYPERLINK("proteomic_fractions_linear_files/Yang_linear_img/188035915.jpg", "188035915")</f>
        <v>188035915</v>
      </c>
      <c r="B303" s="7"/>
      <c r="C303" s="6" t="str">
        <f>HYPERLINK("http://www.ncbi.nlm.nih.gov/protein/188035915","Aldh7a1")</f>
        <v>Aldh7a1</v>
      </c>
      <c r="D303" s="8"/>
      <c r="E303" s="8">
        <v>55514</v>
      </c>
      <c r="F303" s="8"/>
      <c r="G303" s="15" t="s">
        <v>10</v>
      </c>
      <c r="H303" s="15" t="s">
        <v>10</v>
      </c>
      <c r="I303" s="15">
        <v>0.94858160053573359</v>
      </c>
      <c r="J303" s="15">
        <v>0.94858160053573359</v>
      </c>
      <c r="K303" s="15">
        <v>0.27136318381811225</v>
      </c>
      <c r="L303" s="15">
        <v>0.27136318381811225</v>
      </c>
      <c r="M303" s="15">
        <v>0.94858160053573359</v>
      </c>
      <c r="N303" s="15">
        <v>0.94858160053573359</v>
      </c>
      <c r="O303" s="15">
        <v>0.86232099257884376</v>
      </c>
      <c r="P303" s="15">
        <v>0.86232099257884376</v>
      </c>
      <c r="Q303" s="8"/>
      <c r="R303" s="9" t="s">
        <v>309</v>
      </c>
    </row>
    <row r="304" spans="1:18" x14ac:dyDescent="0.25">
      <c r="A304" s="6" t="str">
        <f>HYPERLINK("proteomic_fractions_linear_files/Yang_linear_img/188219757.jpg", "188219757")</f>
        <v>188219757</v>
      </c>
      <c r="B304" s="7"/>
      <c r="C304" s="6" t="str">
        <f>HYPERLINK("http://www.ncbi.nlm.nih.gov/protein/188219757","Aldh7a1")</f>
        <v>Aldh7a1</v>
      </c>
      <c r="D304" s="8"/>
      <c r="E304" s="8">
        <v>55853</v>
      </c>
      <c r="F304" s="8"/>
      <c r="G304" s="15" t="s">
        <v>10</v>
      </c>
      <c r="H304" s="15" t="s">
        <v>10</v>
      </c>
      <c r="I304" s="15">
        <v>0.94858160053573359</v>
      </c>
      <c r="J304" s="15">
        <v>0.94858160053573359</v>
      </c>
      <c r="K304" s="15">
        <v>0.27136318381811225</v>
      </c>
      <c r="L304" s="15">
        <v>0.27136318381811225</v>
      </c>
      <c r="M304" s="15">
        <v>0.94858160053573359</v>
      </c>
      <c r="N304" s="15">
        <v>0.94858160053573359</v>
      </c>
      <c r="O304" s="15">
        <v>0.86232099257884376</v>
      </c>
      <c r="P304" s="15">
        <v>0.86232099257884376</v>
      </c>
      <c r="Q304" s="8"/>
      <c r="R304" s="9" t="s">
        <v>310</v>
      </c>
    </row>
    <row r="305" spans="1:18" x14ac:dyDescent="0.25">
      <c r="A305" s="6" t="str">
        <f>HYPERLINK("proteomic_fractions_linear_files/Yang_linear_img/115334671.jpg", "115334671")</f>
        <v>115334671</v>
      </c>
      <c r="B305" s="7"/>
      <c r="C305" s="6" t="str">
        <f>HYPERLINK("http://www.ncbi.nlm.nih.gov/protein/115334671","Aldh9a1")</f>
        <v>Aldh9a1</v>
      </c>
      <c r="D305" s="8"/>
      <c r="E305" s="8">
        <v>53756</v>
      </c>
      <c r="F305" s="8"/>
      <c r="G305" s="15" t="s">
        <v>10</v>
      </c>
      <c r="H305" s="15" t="s">
        <v>10</v>
      </c>
      <c r="I305" s="15">
        <v>0.98371425240742738</v>
      </c>
      <c r="J305" s="15">
        <v>0.98371425240742738</v>
      </c>
      <c r="K305" s="15">
        <v>0.98371425240742738</v>
      </c>
      <c r="L305" s="15">
        <v>0.98371425240742738</v>
      </c>
      <c r="M305" s="15">
        <v>0.98371425240742738</v>
      </c>
      <c r="N305" s="15">
        <v>0.98371425240742738</v>
      </c>
      <c r="O305" s="15">
        <v>0.89425880711880101</v>
      </c>
      <c r="P305" s="15">
        <v>0.89425880711880101</v>
      </c>
      <c r="Q305" s="8"/>
      <c r="R305" s="9" t="s">
        <v>311</v>
      </c>
    </row>
    <row r="306" spans="1:18" x14ac:dyDescent="0.25">
      <c r="A306" s="6" t="str">
        <f>HYPERLINK("proteomic_fractions_linear_files/Yang_linear_img/293597567.jpg", "293597567")</f>
        <v>293597567</v>
      </c>
      <c r="B306" s="7"/>
      <c r="C306" s="6" t="str">
        <f>HYPERLINK("http://www.ncbi.nlm.nih.gov/protein/293597567","Aldoa")</f>
        <v>Aldoa</v>
      </c>
      <c r="D306" s="8"/>
      <c r="E306" s="8">
        <v>42010</v>
      </c>
      <c r="F306" s="8"/>
      <c r="G306" s="15">
        <v>1.1497613234384585</v>
      </c>
      <c r="H306" s="15">
        <v>1.2647754673809781</v>
      </c>
      <c r="I306" s="15">
        <v>0.96445995721958921</v>
      </c>
      <c r="J306" s="15">
        <v>0.96445995721958921</v>
      </c>
      <c r="K306" s="15">
        <v>0.96445995721958921</v>
      </c>
      <c r="L306" s="15">
        <v>0.96445995721958921</v>
      </c>
      <c r="M306" s="15">
        <v>0.96445995721958921</v>
      </c>
      <c r="N306" s="15">
        <v>0.96445995721958921</v>
      </c>
      <c r="O306" s="15">
        <v>0.82269944120179006</v>
      </c>
      <c r="P306" s="15">
        <v>0.82269944120179006</v>
      </c>
      <c r="Q306" s="8"/>
      <c r="R306" s="9" t="s">
        <v>312</v>
      </c>
    </row>
    <row r="307" spans="1:18" x14ac:dyDescent="0.25">
      <c r="A307" s="6" t="str">
        <f>HYPERLINK("proteomic_fractions_linear_files/Yang_linear_img/6671539.jpg", "6671539")</f>
        <v>6671539</v>
      </c>
      <c r="B307" s="7"/>
      <c r="C307" s="6" t="str">
        <f>HYPERLINK("http://www.ncbi.nlm.nih.gov/protein/6671539","Aldoa")</f>
        <v>Aldoa</v>
      </c>
      <c r="D307" s="8"/>
      <c r="E307" s="8">
        <v>39225</v>
      </c>
      <c r="F307" s="8"/>
      <c r="G307" s="15">
        <v>1.2382045021644936</v>
      </c>
      <c r="H307" s="15">
        <v>1.3620658879487455</v>
      </c>
      <c r="I307" s="15">
        <v>1.038649184698019</v>
      </c>
      <c r="J307" s="15">
        <v>1.038649184698019</v>
      </c>
      <c r="K307" s="15">
        <v>1.038649184698019</v>
      </c>
      <c r="L307" s="15">
        <v>1.038649184698019</v>
      </c>
      <c r="M307" s="15">
        <v>1.038649184698019</v>
      </c>
      <c r="N307" s="15">
        <v>1.038649184698019</v>
      </c>
      <c r="O307" s="15">
        <v>0.8859840136019278</v>
      </c>
      <c r="P307" s="15">
        <v>0.8859840136019278</v>
      </c>
      <c r="Q307" s="8"/>
      <c r="R307" s="9" t="s">
        <v>313</v>
      </c>
    </row>
    <row r="308" spans="1:18" x14ac:dyDescent="0.25">
      <c r="A308" s="6" t="str">
        <f>HYPERLINK("proteomic_fractions_linear_files/Yang_linear_img/312922382.jpg", "312922382")</f>
        <v>312922382</v>
      </c>
      <c r="B308" s="7"/>
      <c r="C308" s="6" t="str">
        <f>HYPERLINK("http://www.ncbi.nlm.nih.gov/protein/312922382","Aldoart1")</f>
        <v>Aldoart1</v>
      </c>
      <c r="D308" s="8"/>
      <c r="E308" s="8">
        <v>45213</v>
      </c>
      <c r="F308" s="8"/>
      <c r="G308" s="15">
        <v>1.1804571028889128</v>
      </c>
      <c r="H308" s="15">
        <v>1.1804571028889128</v>
      </c>
      <c r="I308" s="15">
        <v>0.90016262673828318</v>
      </c>
      <c r="J308" s="15">
        <v>0.90016262673828318</v>
      </c>
      <c r="K308" s="15">
        <v>0.90016262673828318</v>
      </c>
      <c r="L308" s="15">
        <v>0.90016262673828318</v>
      </c>
      <c r="M308" s="15">
        <v>0.8298072538472131</v>
      </c>
      <c r="N308" s="15">
        <v>0.8298072538472131</v>
      </c>
      <c r="O308" s="15">
        <v>0.76785281178833742</v>
      </c>
      <c r="P308" s="15">
        <v>0.76785281178833742</v>
      </c>
      <c r="Q308" s="8"/>
      <c r="R308" s="9" t="s">
        <v>314</v>
      </c>
    </row>
    <row r="309" spans="1:18" x14ac:dyDescent="0.25">
      <c r="A309" s="6" t="str">
        <f>HYPERLINK("proteomic_fractions_linear_files/Yang_linear_img/476007882.jpg", "476007882")</f>
        <v>476007882</v>
      </c>
      <c r="B309" s="7"/>
      <c r="C309" s="6" t="str">
        <f>HYPERLINK("http://www.ncbi.nlm.nih.gov/protein/476007882","Aldoart2")</f>
        <v>Aldoart2</v>
      </c>
      <c r="D309" s="8"/>
      <c r="E309" s="8">
        <v>39240</v>
      </c>
      <c r="F309" s="8"/>
      <c r="G309" s="15">
        <v>1.2382045021644936</v>
      </c>
      <c r="H309" s="15">
        <v>1.2382045021644936</v>
      </c>
      <c r="I309" s="15" t="s">
        <v>10</v>
      </c>
      <c r="J309" s="15" t="s">
        <v>10</v>
      </c>
      <c r="K309" s="15">
        <v>1.038649184698019</v>
      </c>
      <c r="L309" s="15">
        <v>1.038649184698019</v>
      </c>
      <c r="M309" s="15" t="s">
        <v>10</v>
      </c>
      <c r="N309" s="15" t="s">
        <v>10</v>
      </c>
      <c r="O309" s="15" t="s">
        <v>10</v>
      </c>
      <c r="P309" s="15" t="s">
        <v>10</v>
      </c>
      <c r="Q309" s="8"/>
      <c r="R309" s="9" t="s">
        <v>315</v>
      </c>
    </row>
    <row r="310" spans="1:18" x14ac:dyDescent="0.25">
      <c r="A310" s="6" t="str">
        <f>HYPERLINK("proteomic_fractions_linear_files/Yang_linear_img/21450291.jpg", "21450291")</f>
        <v>21450291</v>
      </c>
      <c r="B310" s="7"/>
      <c r="C310" s="6" t="str">
        <f>HYPERLINK("http://www.ncbi.nlm.nih.gov/protein/21450291","Aldob")</f>
        <v>Aldob</v>
      </c>
      <c r="D310" s="8"/>
      <c r="E310" s="8">
        <v>39376</v>
      </c>
      <c r="F310" s="8"/>
      <c r="G310" s="15" t="s">
        <v>10</v>
      </c>
      <c r="H310" s="15" t="s">
        <v>10</v>
      </c>
      <c r="I310" s="15">
        <v>1.038649184698019</v>
      </c>
      <c r="J310" s="15">
        <v>1.038649184698019</v>
      </c>
      <c r="K310" s="15">
        <v>1.038649184698019</v>
      </c>
      <c r="L310" s="15">
        <v>1.038649184698019</v>
      </c>
      <c r="M310" s="15">
        <v>1.038649184698019</v>
      </c>
      <c r="N310" s="15">
        <v>1.038649184698019</v>
      </c>
      <c r="O310" s="15">
        <v>0.8859840136019278</v>
      </c>
      <c r="P310" s="15">
        <v>0.8859840136019278</v>
      </c>
      <c r="Q310" s="8"/>
      <c r="R310" s="9" t="s">
        <v>316</v>
      </c>
    </row>
    <row r="311" spans="1:18" x14ac:dyDescent="0.25">
      <c r="A311" s="6" t="str">
        <f>HYPERLINK("proteomic_fractions_linear_files/Yang_linear_img/60687506.jpg", "60687506")</f>
        <v>60687506</v>
      </c>
      <c r="B311" s="7"/>
      <c r="C311" s="6" t="str">
        <f>HYPERLINK("http://www.ncbi.nlm.nih.gov/protein/60687506","Aldoc")</f>
        <v>Aldoc</v>
      </c>
      <c r="D311" s="8"/>
      <c r="E311" s="8">
        <v>39264</v>
      </c>
      <c r="F311" s="8"/>
      <c r="G311" s="15">
        <v>0.95746990828524592</v>
      </c>
      <c r="H311" s="15">
        <v>1.2382045021644936</v>
      </c>
      <c r="I311" s="15">
        <v>1.038649184698019</v>
      </c>
      <c r="J311" s="15">
        <v>1.038649184698019</v>
      </c>
      <c r="K311" s="15">
        <v>1.038649184698019</v>
      </c>
      <c r="L311" s="15">
        <v>1.038649184698019</v>
      </c>
      <c r="M311" s="15">
        <v>1.038649184698019</v>
      </c>
      <c r="N311" s="15">
        <v>1.038649184698019</v>
      </c>
      <c r="O311" s="15">
        <v>0.8859840136019278</v>
      </c>
      <c r="P311" s="15">
        <v>0.8859840136019278</v>
      </c>
      <c r="Q311" s="8"/>
      <c r="R311" s="9" t="s">
        <v>317</v>
      </c>
    </row>
    <row r="312" spans="1:18" x14ac:dyDescent="0.25">
      <c r="A312" s="6" t="str">
        <f>HYPERLINK("proteomic_fractions_linear_files/Yang_linear_img/215276946.jpg", "215276946")</f>
        <v>215276946</v>
      </c>
      <c r="B312" s="7"/>
      <c r="C312" s="6" t="str">
        <f>HYPERLINK("http://www.ncbi.nlm.nih.gov/protein/215276946","Alg12")</f>
        <v>Alg12</v>
      </c>
      <c r="D312" s="8"/>
      <c r="E312" s="8">
        <v>54413</v>
      </c>
      <c r="F312" s="8"/>
      <c r="G312" s="15" t="s">
        <v>10</v>
      </c>
      <c r="H312" s="15" t="s">
        <v>10</v>
      </c>
      <c r="I312" s="15">
        <v>0.75013552228190272</v>
      </c>
      <c r="J312" s="15">
        <v>0.75013552228190272</v>
      </c>
      <c r="K312" s="15">
        <v>0.81714054161047167</v>
      </c>
      <c r="L312" s="15">
        <v>0.81714054161047167</v>
      </c>
      <c r="M312" s="15" t="s">
        <v>10</v>
      </c>
      <c r="N312" s="15" t="s">
        <v>10</v>
      </c>
      <c r="O312" s="15" t="s">
        <v>10</v>
      </c>
      <c r="P312" s="15" t="s">
        <v>10</v>
      </c>
      <c r="Q312" s="8"/>
      <c r="R312" s="9" t="s">
        <v>318</v>
      </c>
    </row>
    <row r="313" spans="1:18" x14ac:dyDescent="0.25">
      <c r="A313" s="6" t="str">
        <f>HYPERLINK("proteomic_fractions_linear_files/Yang_linear_img/13195608.jpg", "13195608")</f>
        <v>13195608</v>
      </c>
      <c r="B313" s="7"/>
      <c r="C313" s="6" t="str">
        <f>HYPERLINK("http://www.ncbi.nlm.nih.gov/protein/13195608","Alg14")</f>
        <v>Alg14</v>
      </c>
      <c r="D313" s="8"/>
      <c r="E313" s="8">
        <v>24298</v>
      </c>
      <c r="F313" s="8"/>
      <c r="G313" s="15">
        <v>0.77063746519017018</v>
      </c>
      <c r="H313" s="15">
        <v>0.77063746519017018</v>
      </c>
      <c r="I313" s="15">
        <v>0.81254790950146971</v>
      </c>
      <c r="J313" s="15">
        <v>0.81254790950146971</v>
      </c>
      <c r="K313" s="15">
        <v>0.81254790950146971</v>
      </c>
      <c r="L313" s="15">
        <v>0.81254790950146971</v>
      </c>
      <c r="M313" s="15" t="s">
        <v>10</v>
      </c>
      <c r="N313" s="15" t="s">
        <v>10</v>
      </c>
      <c r="O313" s="15" t="s">
        <v>10</v>
      </c>
      <c r="P313" s="15" t="s">
        <v>10</v>
      </c>
      <c r="Q313" s="8"/>
      <c r="R313" s="9" t="s">
        <v>319</v>
      </c>
    </row>
    <row r="314" spans="1:18" x14ac:dyDescent="0.25">
      <c r="A314" s="6" t="str">
        <f>HYPERLINK("proteomic_fractions_linear_files/Yang_linear_img/21728372.jpg", "21728372")</f>
        <v>21728372</v>
      </c>
      <c r="B314" s="7"/>
      <c r="C314" s="6" t="str">
        <f>HYPERLINK("http://www.ncbi.nlm.nih.gov/protein/21728372","Alg5")</f>
        <v>Alg5</v>
      </c>
      <c r="D314" s="8"/>
      <c r="E314" s="8">
        <v>36660</v>
      </c>
      <c r="F314" s="8"/>
      <c r="G314" s="15" t="s">
        <v>10</v>
      </c>
      <c r="H314" s="15" t="s">
        <v>10</v>
      </c>
      <c r="I314" s="15">
        <v>0.86713710420901591</v>
      </c>
      <c r="J314" s="15">
        <v>0.86713710420901591</v>
      </c>
      <c r="K314" s="15" t="s">
        <v>10</v>
      </c>
      <c r="L314" s="15" t="s">
        <v>10</v>
      </c>
      <c r="M314" s="15" t="s">
        <v>10</v>
      </c>
      <c r="N314" s="15" t="s">
        <v>10</v>
      </c>
      <c r="O314" s="15" t="s">
        <v>10</v>
      </c>
      <c r="P314" s="15" t="s">
        <v>10</v>
      </c>
      <c r="Q314" s="8"/>
      <c r="R314" s="9" t="s">
        <v>320</v>
      </c>
    </row>
    <row r="315" spans="1:18" x14ac:dyDescent="0.25">
      <c r="A315" s="6" t="str">
        <f>HYPERLINK("proteomic_fractions_linear_files/Yang_linear_img/110625726.jpg", "110625726")</f>
        <v>110625726</v>
      </c>
      <c r="B315" s="7"/>
      <c r="C315" s="6" t="str">
        <f>HYPERLINK("http://www.ncbi.nlm.nih.gov/protein/110625726","Alkbh3")</f>
        <v>Alkbh3</v>
      </c>
      <c r="D315" s="8"/>
      <c r="E315" s="8">
        <v>32930</v>
      </c>
      <c r="F315" s="8"/>
      <c r="G315" s="15" t="s">
        <v>10</v>
      </c>
      <c r="H315" s="15" t="s">
        <v>10</v>
      </c>
      <c r="I315" s="15">
        <v>0.9722446319919269</v>
      </c>
      <c r="J315" s="15">
        <v>0.9722446319919269</v>
      </c>
      <c r="K315" s="15">
        <v>0.9722446319919269</v>
      </c>
      <c r="L315" s="15">
        <v>0.9722446319919269</v>
      </c>
      <c r="M315" s="15" t="s">
        <v>10</v>
      </c>
      <c r="N315" s="15" t="s">
        <v>10</v>
      </c>
      <c r="O315" s="15">
        <v>0.84600640296006246</v>
      </c>
      <c r="P315" s="15">
        <v>0.84600640296006246</v>
      </c>
      <c r="Q315" s="8"/>
      <c r="R315" s="9" t="s">
        <v>321</v>
      </c>
    </row>
    <row r="316" spans="1:18" x14ac:dyDescent="0.25">
      <c r="A316" s="6" t="str">
        <f>HYPERLINK("proteomic_fractions_linear_files/Yang_linear_img/31044423.jpg", "31044423")</f>
        <v>31044423</v>
      </c>
      <c r="B316" s="7"/>
      <c r="C316" s="6" t="str">
        <f>HYPERLINK("http://www.ncbi.nlm.nih.gov/protein/31044423","Alkbh5")</f>
        <v>Alkbh5</v>
      </c>
      <c r="D316" s="8"/>
      <c r="E316" s="8">
        <v>44280</v>
      </c>
      <c r="F316" s="8"/>
      <c r="G316" s="15" t="s">
        <v>10</v>
      </c>
      <c r="H316" s="15" t="s">
        <v>10</v>
      </c>
      <c r="I316" s="15" t="s">
        <v>10</v>
      </c>
      <c r="J316" s="15" t="s">
        <v>10</v>
      </c>
      <c r="K316" s="15">
        <v>0.9206208682550624</v>
      </c>
      <c r="L316" s="15">
        <v>0.9206208682550624</v>
      </c>
      <c r="M316" s="15">
        <v>1.0974994451003466</v>
      </c>
      <c r="N316" s="15">
        <v>1.0974994451003466</v>
      </c>
      <c r="O316" s="15">
        <v>1.0028543010673969</v>
      </c>
      <c r="P316" s="15">
        <v>1.0028543010673969</v>
      </c>
      <c r="Q316" s="8"/>
      <c r="R316" s="9" t="s">
        <v>322</v>
      </c>
    </row>
    <row r="317" spans="1:18" x14ac:dyDescent="0.25">
      <c r="A317" s="6" t="str">
        <f>HYPERLINK("proteomic_fractions_linear_files/Yang_linear_img/189181674.jpg", "189181674")</f>
        <v>189181674</v>
      </c>
      <c r="B317" s="7"/>
      <c r="C317" s="6" t="str">
        <f>HYPERLINK("http://www.ncbi.nlm.nih.gov/protein/189181674","Als2")</f>
        <v>Als2</v>
      </c>
      <c r="D317" s="8"/>
      <c r="E317" s="8">
        <v>100004</v>
      </c>
      <c r="F317" s="8"/>
      <c r="G317" s="15" t="s">
        <v>10</v>
      </c>
      <c r="H317" s="15" t="s">
        <v>10</v>
      </c>
      <c r="I317" s="15" t="s">
        <v>10</v>
      </c>
      <c r="J317" s="15" t="s">
        <v>10</v>
      </c>
      <c r="K317" s="15" t="s">
        <v>10</v>
      </c>
      <c r="L317" s="15" t="s">
        <v>10</v>
      </c>
      <c r="M317" s="15" t="s">
        <v>10</v>
      </c>
      <c r="N317" s="15" t="s">
        <v>10</v>
      </c>
      <c r="O317" s="15">
        <v>2.3336084762784908</v>
      </c>
      <c r="P317" s="15">
        <v>2.3336084762784908</v>
      </c>
      <c r="Q317" s="8"/>
      <c r="R317" s="9" t="s">
        <v>323</v>
      </c>
    </row>
    <row r="318" spans="1:18" x14ac:dyDescent="0.25">
      <c r="A318" s="6" t="str">
        <f>HYPERLINK("proteomic_fractions_linear_files/Yang_linear_img/237757295.jpg", "237757295")</f>
        <v>237757295</v>
      </c>
      <c r="B318" s="7"/>
      <c r="C318" s="6" t="str">
        <f>HYPERLINK("http://www.ncbi.nlm.nih.gov/protein/237757295","Als2")</f>
        <v>Als2</v>
      </c>
      <c r="D318" s="8"/>
      <c r="E318" s="8">
        <v>182436</v>
      </c>
      <c r="F318" s="8"/>
      <c r="G318" s="15" t="s">
        <v>10</v>
      </c>
      <c r="H318" s="15" t="s">
        <v>10</v>
      </c>
      <c r="I318" s="15" t="s">
        <v>10</v>
      </c>
      <c r="J318" s="15" t="s">
        <v>10</v>
      </c>
      <c r="K318" s="15" t="s">
        <v>10</v>
      </c>
      <c r="L318" s="15" t="s">
        <v>10</v>
      </c>
      <c r="M318" s="15" t="s">
        <v>10</v>
      </c>
      <c r="N318" s="15" t="s">
        <v>10</v>
      </c>
      <c r="O318" s="15">
        <v>1.2822024594936763</v>
      </c>
      <c r="P318" s="15">
        <v>1.2822024594936763</v>
      </c>
      <c r="Q318" s="8"/>
      <c r="R318" s="9" t="s">
        <v>324</v>
      </c>
    </row>
    <row r="319" spans="1:18" x14ac:dyDescent="0.25">
      <c r="A319" s="6" t="str">
        <f>HYPERLINK("proteomic_fractions_linear_files/Yang_linear_img/6755763.jpg", "6755763")</f>
        <v>6755763</v>
      </c>
      <c r="B319" s="7"/>
      <c r="C319" s="6" t="str">
        <f>HYPERLINK("http://www.ncbi.nlm.nih.gov/protein/6755763","Alyref")</f>
        <v>Alyref</v>
      </c>
      <c r="D319" s="8"/>
      <c r="E319" s="8">
        <v>26809</v>
      </c>
      <c r="F319" s="8"/>
      <c r="G319" s="15">
        <v>1.5002710445638054</v>
      </c>
      <c r="H319" s="15">
        <v>1.5002710445638054</v>
      </c>
      <c r="I319" s="15" t="s">
        <v>10</v>
      </c>
      <c r="J319" s="15" t="s">
        <v>10</v>
      </c>
      <c r="K319" s="15">
        <v>1.1068669219153011</v>
      </c>
      <c r="L319" s="15">
        <v>1.1068669219153011</v>
      </c>
      <c r="M319" s="15">
        <v>1.0340078258400762</v>
      </c>
      <c r="N319" s="15">
        <v>1.0340078258400762</v>
      </c>
      <c r="O319" s="15" t="s">
        <v>10</v>
      </c>
      <c r="P319" s="15" t="s">
        <v>10</v>
      </c>
      <c r="Q319" s="8"/>
      <c r="R319" s="9" t="s">
        <v>325</v>
      </c>
    </row>
    <row r="320" spans="1:18" x14ac:dyDescent="0.25">
      <c r="A320" s="6" t="str">
        <f>HYPERLINK("proteomic_fractions_linear_files/Yang_linear_img/148238335.jpg", "148238335")</f>
        <v>148238335</v>
      </c>
      <c r="B320" s="7"/>
      <c r="C320" s="6" t="str">
        <f>HYPERLINK("http://www.ncbi.nlm.nih.gov/protein/148238335","Alyref2")</f>
        <v>Alyref2</v>
      </c>
      <c r="D320" s="8"/>
      <c r="E320" s="8">
        <v>23654</v>
      </c>
      <c r="F320" s="8"/>
      <c r="G320" s="15">
        <v>1.687804925134281</v>
      </c>
      <c r="H320" s="15">
        <v>1.687804925134281</v>
      </c>
      <c r="I320" s="15" t="s">
        <v>10</v>
      </c>
      <c r="J320" s="15" t="s">
        <v>10</v>
      </c>
      <c r="K320" s="15">
        <v>1.2452252871547138</v>
      </c>
      <c r="L320" s="15">
        <v>1.2452252871547138</v>
      </c>
      <c r="M320" s="15">
        <v>1.1632588040700858</v>
      </c>
      <c r="N320" s="15">
        <v>1.1632588040700858</v>
      </c>
      <c r="O320" s="15" t="s">
        <v>10</v>
      </c>
      <c r="P320" s="15" t="s">
        <v>10</v>
      </c>
      <c r="Q320" s="8"/>
      <c r="R320" s="9" t="s">
        <v>326</v>
      </c>
    </row>
    <row r="321" spans="1:18" x14ac:dyDescent="0.25">
      <c r="A321" s="6" t="str">
        <f>HYPERLINK("proteomic_fractions_linear_files/Yang_linear_img/46518506.jpg", "46518506")</f>
        <v>46518506</v>
      </c>
      <c r="B321" s="7"/>
      <c r="C321" s="6" t="str">
        <f>HYPERLINK("http://www.ncbi.nlm.nih.gov/protein/46518506","Amacr")</f>
        <v>Amacr</v>
      </c>
      <c r="D321" s="8"/>
      <c r="E321" s="8">
        <v>41573</v>
      </c>
      <c r="F321" s="8"/>
      <c r="G321" s="15" t="s">
        <v>10</v>
      </c>
      <c r="H321" s="15" t="s">
        <v>10</v>
      </c>
      <c r="I321" s="15">
        <v>0.88907920055058554</v>
      </c>
      <c r="J321" s="15">
        <v>0.88907920055058554</v>
      </c>
      <c r="K321" s="15">
        <v>0.96445995721958921</v>
      </c>
      <c r="L321" s="15">
        <v>0.96445995721958921</v>
      </c>
      <c r="M321" s="15" t="s">
        <v>10</v>
      </c>
      <c r="N321" s="15" t="s">
        <v>10</v>
      </c>
      <c r="O321" s="15" t="s">
        <v>10</v>
      </c>
      <c r="P321" s="15" t="s">
        <v>10</v>
      </c>
      <c r="Q321" s="8"/>
      <c r="R321" s="9" t="s">
        <v>327</v>
      </c>
    </row>
    <row r="322" spans="1:18" x14ac:dyDescent="0.25">
      <c r="A322" s="6" t="str">
        <f>HYPERLINK("proteomic_fractions_linear_files/Yang_linear_img/31982133.jpg", "31982133")</f>
        <v>31982133</v>
      </c>
      <c r="B322" s="7"/>
      <c r="C322" s="6" t="str">
        <f>HYPERLINK("http://www.ncbi.nlm.nih.gov/protein/31982133","Amdhd2")</f>
        <v>Amdhd2</v>
      </c>
      <c r="D322" s="8"/>
      <c r="E322" s="8">
        <v>43370</v>
      </c>
      <c r="F322" s="8"/>
      <c r="G322" s="15" t="s">
        <v>10</v>
      </c>
      <c r="H322" s="15" t="s">
        <v>10</v>
      </c>
      <c r="I322" s="15" t="s">
        <v>10</v>
      </c>
      <c r="J322" s="15" t="s">
        <v>10</v>
      </c>
      <c r="K322" s="15">
        <v>1.0261764941154761</v>
      </c>
      <c r="L322" s="15">
        <v>1.0261764941154761</v>
      </c>
      <c r="M322" s="15">
        <v>0.942030655888901</v>
      </c>
      <c r="N322" s="15">
        <v>0.942030655888901</v>
      </c>
      <c r="O322" s="15">
        <v>0.86840294007266494</v>
      </c>
      <c r="P322" s="15">
        <v>0.86840294007266494</v>
      </c>
      <c r="Q322" s="8"/>
      <c r="R322" s="9" t="s">
        <v>328</v>
      </c>
    </row>
    <row r="323" spans="1:18" x14ac:dyDescent="0.25">
      <c r="A323" s="6" t="str">
        <f>HYPERLINK("proteomic_fractions_linear_files/Yang_linear_img/113205073.jpg", "113205073")</f>
        <v>113205073</v>
      </c>
      <c r="B323" s="7"/>
      <c r="C323" s="6" t="str">
        <f>HYPERLINK("http://www.ncbi.nlm.nih.gov/protein/113205073","Amfr")</f>
        <v>Amfr</v>
      </c>
      <c r="D323" s="8"/>
      <c r="E323" s="8">
        <v>72622</v>
      </c>
      <c r="F323" s="8"/>
      <c r="G323" s="15" t="s">
        <v>10</v>
      </c>
      <c r="H323" s="15" t="s">
        <v>10</v>
      </c>
      <c r="I323" s="15">
        <v>1.0059747978312636</v>
      </c>
      <c r="J323" s="15">
        <v>1.0059747978312636</v>
      </c>
      <c r="K323" s="15" t="s">
        <v>10</v>
      </c>
      <c r="L323" s="15" t="s">
        <v>10</v>
      </c>
      <c r="M323" s="15" t="s">
        <v>10</v>
      </c>
      <c r="N323" s="15" t="s">
        <v>10</v>
      </c>
      <c r="O323" s="15" t="s">
        <v>10</v>
      </c>
      <c r="P323" s="15" t="s">
        <v>10</v>
      </c>
      <c r="Q323" s="8"/>
      <c r="R323" s="9" t="s">
        <v>329</v>
      </c>
    </row>
    <row r="324" spans="1:18" x14ac:dyDescent="0.25">
      <c r="A324" s="6" t="str">
        <f>HYPERLINK("proteomic_fractions_linear_files/Yang_linear_img/9506383.jpg", "9506383")</f>
        <v>9506383</v>
      </c>
      <c r="B324" s="7"/>
      <c r="C324" s="6" t="str">
        <f>HYPERLINK("http://www.ncbi.nlm.nih.gov/protein/9506383","Ammecr1")</f>
        <v>Ammecr1</v>
      </c>
      <c r="D324" s="8"/>
      <c r="E324" s="8">
        <v>35900</v>
      </c>
      <c r="F324" s="8"/>
      <c r="G324" s="15" t="s">
        <v>10</v>
      </c>
      <c r="H324" s="15" t="s">
        <v>10</v>
      </c>
      <c r="I324" s="15" t="s">
        <v>10</v>
      </c>
      <c r="J324" s="15" t="s">
        <v>10</v>
      </c>
      <c r="K324" s="15" t="s">
        <v>10</v>
      </c>
      <c r="L324" s="15" t="s">
        <v>10</v>
      </c>
      <c r="M324" s="15">
        <v>1.0372590673090165</v>
      </c>
      <c r="N324" s="15">
        <v>1.0372590673090165</v>
      </c>
      <c r="O324" s="15" t="s">
        <v>10</v>
      </c>
      <c r="P324" s="15" t="s">
        <v>10</v>
      </c>
      <c r="Q324" s="8"/>
      <c r="R324" s="9" t="s">
        <v>330</v>
      </c>
    </row>
    <row r="325" spans="1:18" x14ac:dyDescent="0.25">
      <c r="A325" s="6" t="str">
        <f>HYPERLINK("proteomic_fractions_linear_files/Yang_linear_img/23943793.jpg", "23943793")</f>
        <v>23943793</v>
      </c>
      <c r="B325" s="7"/>
      <c r="C325" s="6" t="str">
        <f>HYPERLINK("http://www.ncbi.nlm.nih.gov/protein/23943793","Ammecr1l")</f>
        <v>Ammecr1l</v>
      </c>
      <c r="D325" s="8"/>
      <c r="E325" s="8">
        <v>34385</v>
      </c>
      <c r="F325" s="8"/>
      <c r="G325" s="15" t="s">
        <v>10</v>
      </c>
      <c r="H325" s="15" t="s">
        <v>10</v>
      </c>
      <c r="I325" s="15">
        <v>1.0162757803080937</v>
      </c>
      <c r="J325" s="15">
        <v>1.0162757803080937</v>
      </c>
      <c r="K325" s="15" t="s">
        <v>10</v>
      </c>
      <c r="L325" s="15" t="s">
        <v>10</v>
      </c>
      <c r="M325" s="15" t="s">
        <v>10</v>
      </c>
      <c r="N325" s="15" t="s">
        <v>10</v>
      </c>
      <c r="O325" s="15" t="s">
        <v>10</v>
      </c>
      <c r="P325" s="15" t="s">
        <v>10</v>
      </c>
      <c r="Q325" s="8"/>
      <c r="R325" s="9" t="s">
        <v>331</v>
      </c>
    </row>
    <row r="326" spans="1:18" x14ac:dyDescent="0.25">
      <c r="A326" s="6" t="str">
        <f>HYPERLINK("proteomic_fractions_linear_files/Yang_linear_img/334848200.jpg", "334848200")</f>
        <v>334848200</v>
      </c>
      <c r="B326" s="7"/>
      <c r="C326" s="6" t="str">
        <f>HYPERLINK("http://www.ncbi.nlm.nih.gov/protein/334848200","Ammecr1l")</f>
        <v>Ammecr1l</v>
      </c>
      <c r="D326" s="8"/>
      <c r="E326" s="8">
        <v>42744</v>
      </c>
      <c r="F326" s="8"/>
      <c r="G326" s="15" t="s">
        <v>10</v>
      </c>
      <c r="H326" s="15" t="s">
        <v>10</v>
      </c>
      <c r="I326" s="15">
        <v>0.80356689605756237</v>
      </c>
      <c r="J326" s="15">
        <v>0.80356689605756237</v>
      </c>
      <c r="K326" s="15" t="s">
        <v>10</v>
      </c>
      <c r="L326" s="15" t="s">
        <v>10</v>
      </c>
      <c r="M326" s="15" t="s">
        <v>10</v>
      </c>
      <c r="N326" s="15" t="s">
        <v>10</v>
      </c>
      <c r="O326" s="15" t="s">
        <v>10</v>
      </c>
      <c r="P326" s="15" t="s">
        <v>10</v>
      </c>
      <c r="Q326" s="8"/>
      <c r="R326" s="9" t="s">
        <v>332</v>
      </c>
    </row>
    <row r="327" spans="1:18" x14ac:dyDescent="0.25">
      <c r="A327" s="6" t="str">
        <f>HYPERLINK("proteomic_fractions_linear_files/Yang_linear_img/114431240.jpg", "114431240")</f>
        <v>114431240</v>
      </c>
      <c r="B327" s="7"/>
      <c r="C327" s="6" t="str">
        <f>HYPERLINK("http://www.ncbi.nlm.nih.gov/protein/114431240","Ampd1")</f>
        <v>Ampd1</v>
      </c>
      <c r="D327" s="8"/>
      <c r="E327" s="8">
        <v>85975</v>
      </c>
      <c r="F327" s="8"/>
      <c r="G327" s="15" t="s">
        <v>10</v>
      </c>
      <c r="H327" s="15" t="s">
        <v>10</v>
      </c>
      <c r="I327" s="15">
        <v>1.104278850960285</v>
      </c>
      <c r="J327" s="15">
        <v>1.104278850960285</v>
      </c>
      <c r="K327" s="15" t="s">
        <v>10</v>
      </c>
      <c r="L327" s="15" t="s">
        <v>10</v>
      </c>
      <c r="M327" s="15">
        <v>1.104278850960285</v>
      </c>
      <c r="N327" s="15">
        <v>1.104278850960285</v>
      </c>
      <c r="O327" s="15" t="s">
        <v>10</v>
      </c>
      <c r="P327" s="15" t="s">
        <v>10</v>
      </c>
      <c r="Q327" s="8"/>
      <c r="R327" s="9" t="s">
        <v>333</v>
      </c>
    </row>
    <row r="328" spans="1:18" x14ac:dyDescent="0.25">
      <c r="A328" s="6" t="str">
        <f>HYPERLINK("proteomic_fractions_linear_files/Yang_linear_img/21311925.jpg", "21311925")</f>
        <v>21311925</v>
      </c>
      <c r="B328" s="7"/>
      <c r="C328" s="6" t="str">
        <f>HYPERLINK("http://www.ncbi.nlm.nih.gov/protein/21311925","Ampd2")</f>
        <v>Ampd2</v>
      </c>
      <c r="D328" s="8"/>
      <c r="E328" s="8">
        <v>91893</v>
      </c>
      <c r="F328" s="8"/>
      <c r="G328" s="15" t="s">
        <v>10</v>
      </c>
      <c r="H328" s="15" t="s">
        <v>10</v>
      </c>
      <c r="I328" s="15" t="s">
        <v>10</v>
      </c>
      <c r="J328" s="15" t="s">
        <v>10</v>
      </c>
      <c r="K328" s="15">
        <v>1.193495258925342</v>
      </c>
      <c r="L328" s="15">
        <v>1.193495258925342</v>
      </c>
      <c r="M328" s="15">
        <v>1.193495258925342</v>
      </c>
      <c r="N328" s="15">
        <v>1.193495258925342</v>
      </c>
      <c r="O328" s="15">
        <v>1.0322606650280925</v>
      </c>
      <c r="P328" s="15">
        <v>1.0322606650280925</v>
      </c>
      <c r="Q328" s="8"/>
      <c r="R328" s="9" t="s">
        <v>334</v>
      </c>
    </row>
    <row r="329" spans="1:18" x14ac:dyDescent="0.25">
      <c r="A329" s="6" t="str">
        <f>HYPERLINK("proteomic_fractions_linear_files/Yang_linear_img/66792802.jpg", "66792802")</f>
        <v>66792802</v>
      </c>
      <c r="B329" s="7"/>
      <c r="C329" s="6" t="str">
        <f>HYPERLINK("http://www.ncbi.nlm.nih.gov/protein/66792802","Ampd3")</f>
        <v>Ampd3</v>
      </c>
      <c r="D329" s="8"/>
      <c r="E329" s="8">
        <v>88522</v>
      </c>
      <c r="F329" s="8"/>
      <c r="G329" s="15" t="s">
        <v>10</v>
      </c>
      <c r="H329" s="15" t="s">
        <v>10</v>
      </c>
      <c r="I329" s="15">
        <v>1.0670559683436462</v>
      </c>
      <c r="J329" s="15">
        <v>1.0670559683436462</v>
      </c>
      <c r="K329" s="15">
        <v>1.0670559683436462</v>
      </c>
      <c r="L329" s="15">
        <v>1.0670559683436462</v>
      </c>
      <c r="M329" s="15">
        <v>1.0670559683436462</v>
      </c>
      <c r="N329" s="15">
        <v>1.0670559683436462</v>
      </c>
      <c r="O329" s="15">
        <v>1.0670559683436462</v>
      </c>
      <c r="P329" s="15">
        <v>1.0670559683436462</v>
      </c>
      <c r="Q329" s="8"/>
      <c r="R329" s="9" t="s">
        <v>335</v>
      </c>
    </row>
    <row r="330" spans="1:18" x14ac:dyDescent="0.25">
      <c r="A330" s="6" t="str">
        <f>HYPERLINK("proteomic_fractions_linear_files/Yang_linear_img/228008323.jpg", "228008323")</f>
        <v>228008323</v>
      </c>
      <c r="B330" s="7"/>
      <c r="C330" s="6" t="str">
        <f>HYPERLINK("http://www.ncbi.nlm.nih.gov/protein/228008323","Anapc1")</f>
        <v>Anapc1</v>
      </c>
      <c r="D330" s="8"/>
      <c r="E330" s="8">
        <v>215864</v>
      </c>
      <c r="F330" s="8"/>
      <c r="G330" s="15" t="s">
        <v>10</v>
      </c>
      <c r="H330" s="15" t="s">
        <v>10</v>
      </c>
      <c r="I330" s="15" t="s">
        <v>10</v>
      </c>
      <c r="J330" s="15" t="s">
        <v>10</v>
      </c>
      <c r="K330" s="15">
        <v>1.0803742945733754</v>
      </c>
      <c r="L330" s="15">
        <v>1.0803742945733754</v>
      </c>
      <c r="M330" s="15">
        <v>1.0803742945733754</v>
      </c>
      <c r="N330" s="15">
        <v>1.0803742945733754</v>
      </c>
      <c r="O330" s="15" t="s">
        <v>10</v>
      </c>
      <c r="P330" s="15" t="s">
        <v>10</v>
      </c>
      <c r="Q330" s="8"/>
      <c r="R330" s="9" t="s">
        <v>336</v>
      </c>
    </row>
    <row r="331" spans="1:18" x14ac:dyDescent="0.25">
      <c r="A331" s="6" t="str">
        <f>HYPERLINK("proteomic_fractions_linear_files/Yang_linear_img/84039696.jpg", "84039696")</f>
        <v>84039696</v>
      </c>
      <c r="B331" s="7"/>
      <c r="C331" s="6" t="str">
        <f>HYPERLINK("http://www.ncbi.nlm.nih.gov/protein/84039696","Anapc11")</f>
        <v>Anapc11</v>
      </c>
      <c r="D331" s="8"/>
      <c r="E331" s="8">
        <v>9686</v>
      </c>
      <c r="F331" s="8"/>
      <c r="G331" s="15" t="s">
        <v>10</v>
      </c>
      <c r="H331" s="15" t="s">
        <v>10</v>
      </c>
      <c r="I331" s="15">
        <v>1.2747219341937626</v>
      </c>
      <c r="J331" s="15">
        <v>1.2747219341937626</v>
      </c>
      <c r="K331" s="15" t="s">
        <v>10</v>
      </c>
      <c r="L331" s="15" t="s">
        <v>10</v>
      </c>
      <c r="M331" s="15">
        <v>1.3297064023001535</v>
      </c>
      <c r="N331" s="15">
        <v>1.3297064023001535</v>
      </c>
      <c r="O331" s="15">
        <v>1.2232861292331356</v>
      </c>
      <c r="P331" s="15">
        <v>1.2232861292331356</v>
      </c>
      <c r="Q331" s="8"/>
      <c r="R331" s="9" t="s">
        <v>337</v>
      </c>
    </row>
    <row r="332" spans="1:18" x14ac:dyDescent="0.25">
      <c r="A332" s="6" t="str">
        <f>HYPERLINK("proteomic_fractions_linear_files/Yang_linear_img/31088920.jpg", "31088920")</f>
        <v>31088920</v>
      </c>
      <c r="B332" s="7"/>
      <c r="C332" s="6" t="str">
        <f>HYPERLINK("http://www.ncbi.nlm.nih.gov/protein/31088920","Anapc13")</f>
        <v>Anapc13</v>
      </c>
      <c r="D332" s="8"/>
      <c r="E332" s="8">
        <v>8215</v>
      </c>
      <c r="F332" s="8"/>
      <c r="G332" s="15" t="s">
        <v>10</v>
      </c>
      <c r="H332" s="15" t="s">
        <v>10</v>
      </c>
      <c r="I332" s="15" t="s">
        <v>10</v>
      </c>
      <c r="J332" s="15" t="s">
        <v>10</v>
      </c>
      <c r="K332" s="15" t="s">
        <v>10</v>
      </c>
      <c r="L332" s="15" t="s">
        <v>10</v>
      </c>
      <c r="M332" s="15">
        <v>2.1962424706698709</v>
      </c>
      <c r="N332" s="15">
        <v>2.1962424706698709</v>
      </c>
      <c r="O332" s="15" t="s">
        <v>10</v>
      </c>
      <c r="P332" s="15" t="s">
        <v>10</v>
      </c>
      <c r="Q332" s="8"/>
      <c r="R332" s="9" t="s">
        <v>338</v>
      </c>
    </row>
    <row r="333" spans="1:18" x14ac:dyDescent="0.25">
      <c r="A333" s="6" t="str">
        <f>HYPERLINK("proteomic_fractions_linear_files/Yang_linear_img/13384936.jpg", "13384936")</f>
        <v>13384936</v>
      </c>
      <c r="B333" s="7"/>
      <c r="C333" s="6" t="str">
        <f>HYPERLINK("http://www.ncbi.nlm.nih.gov/protein/13384936","Anapc16")</f>
        <v>Anapc16</v>
      </c>
      <c r="D333" s="8"/>
      <c r="E333" s="8">
        <v>11536</v>
      </c>
      <c r="F333" s="8"/>
      <c r="G333" s="15" t="s">
        <v>10</v>
      </c>
      <c r="H333" s="15" t="s">
        <v>10</v>
      </c>
      <c r="I333" s="15" t="s">
        <v>10</v>
      </c>
      <c r="J333" s="15" t="s">
        <v>10</v>
      </c>
      <c r="K333" s="15" t="s">
        <v>10</v>
      </c>
      <c r="L333" s="15" t="s">
        <v>10</v>
      </c>
      <c r="M333" s="15" t="s">
        <v>10</v>
      </c>
      <c r="N333" s="15" t="s">
        <v>10</v>
      </c>
      <c r="O333" s="15">
        <v>1.1080886685834612</v>
      </c>
      <c r="P333" s="15">
        <v>1.1080886685834612</v>
      </c>
      <c r="Q333" s="8"/>
      <c r="R333" s="9" t="s">
        <v>339</v>
      </c>
    </row>
    <row r="334" spans="1:18" x14ac:dyDescent="0.25">
      <c r="A334" s="6" t="str">
        <f>HYPERLINK("proteomic_fractions_linear_files/Yang_linear_img/260763928.jpg", "260763928")</f>
        <v>260763928</v>
      </c>
      <c r="B334" s="7"/>
      <c r="C334" s="6" t="str">
        <f>HYPERLINK("http://www.ncbi.nlm.nih.gov/protein/260763928","Anapc2")</f>
        <v>Anapc2</v>
      </c>
      <c r="D334" s="8"/>
      <c r="E334" s="8">
        <v>95176</v>
      </c>
      <c r="F334" s="8"/>
      <c r="G334" s="15" t="s">
        <v>10</v>
      </c>
      <c r="H334" s="15" t="s">
        <v>10</v>
      </c>
      <c r="I334" s="15" t="s">
        <v>10</v>
      </c>
      <c r="J334" s="15" t="s">
        <v>10</v>
      </c>
      <c r="K334" s="15">
        <v>1.354964506790705</v>
      </c>
      <c r="L334" s="15">
        <v>1.354964506790705</v>
      </c>
      <c r="M334" s="15">
        <v>1.354964506790705</v>
      </c>
      <c r="N334" s="15">
        <v>1.354964506790705</v>
      </c>
      <c r="O334" s="15">
        <v>1.1558059349592786</v>
      </c>
      <c r="P334" s="15">
        <v>1.1558059349592786</v>
      </c>
      <c r="Q334" s="8"/>
      <c r="R334" s="9" t="s">
        <v>340</v>
      </c>
    </row>
    <row r="335" spans="1:18" x14ac:dyDescent="0.25">
      <c r="A335" s="6" t="str">
        <f>HYPERLINK("proteomic_fractions_linear_files/Yang_linear_img/23956182.jpg", "23956182")</f>
        <v>23956182</v>
      </c>
      <c r="B335" s="7"/>
      <c r="C335" s="6" t="str">
        <f>HYPERLINK("http://www.ncbi.nlm.nih.gov/protein/23956182","Anapc4")</f>
        <v>Anapc4</v>
      </c>
      <c r="D335" s="8"/>
      <c r="E335" s="8">
        <v>91577</v>
      </c>
      <c r="F335" s="8"/>
      <c r="G335" s="15" t="s">
        <v>10</v>
      </c>
      <c r="H335" s="15" t="s">
        <v>10</v>
      </c>
      <c r="I335" s="15" t="s">
        <v>10</v>
      </c>
      <c r="J335" s="15" t="s">
        <v>10</v>
      </c>
      <c r="K335" s="15" t="s">
        <v>10</v>
      </c>
      <c r="L335" s="15" t="s">
        <v>10</v>
      </c>
      <c r="M335" s="15">
        <v>1.193495258925342</v>
      </c>
      <c r="N335" s="15">
        <v>1.193495258925342</v>
      </c>
      <c r="O335" s="15" t="s">
        <v>10</v>
      </c>
      <c r="P335" s="15" t="s">
        <v>10</v>
      </c>
      <c r="Q335" s="8"/>
      <c r="R335" s="9" t="s">
        <v>341</v>
      </c>
    </row>
    <row r="336" spans="1:18" x14ac:dyDescent="0.25">
      <c r="A336" s="6" t="str">
        <f>HYPERLINK("proteomic_fractions_linear_files/Yang_linear_img/109809751.jpg", "109809751")</f>
        <v>109809751</v>
      </c>
      <c r="B336" s="7"/>
      <c r="C336" s="6" t="str">
        <f>HYPERLINK("http://www.ncbi.nlm.nih.gov/protein/109809751","Anapc5")</f>
        <v>Anapc5</v>
      </c>
      <c r="D336" s="8"/>
      <c r="E336" s="8">
        <v>82967</v>
      </c>
      <c r="F336" s="8"/>
      <c r="G336" s="15" t="s">
        <v>10</v>
      </c>
      <c r="H336" s="15" t="s">
        <v>10</v>
      </c>
      <c r="I336" s="15" t="s">
        <v>10</v>
      </c>
      <c r="J336" s="15" t="s">
        <v>10</v>
      </c>
      <c r="K336" s="15">
        <v>1.001188656302938</v>
      </c>
      <c r="L336" s="15">
        <v>1.001188656302938</v>
      </c>
      <c r="M336" s="15">
        <v>1.001188656302938</v>
      </c>
      <c r="N336" s="15">
        <v>1.001188656302938</v>
      </c>
      <c r="O336" s="15">
        <v>4.9282356354149375</v>
      </c>
      <c r="P336" s="15">
        <v>4.9282356354149375</v>
      </c>
      <c r="Q336" s="8"/>
      <c r="R336" s="9" t="s">
        <v>342</v>
      </c>
    </row>
    <row r="337" spans="1:18" x14ac:dyDescent="0.25">
      <c r="A337" s="6" t="str">
        <f>HYPERLINK("proteomic_fractions_linear_files/Yang_linear_img/109809753.jpg", "109809753")</f>
        <v>109809753</v>
      </c>
      <c r="B337" s="7"/>
      <c r="C337" s="6" t="str">
        <f>HYPERLINK("http://www.ncbi.nlm.nih.gov/protein/109809753","Anapc5")</f>
        <v>Anapc5</v>
      </c>
      <c r="D337" s="8"/>
      <c r="E337" s="8">
        <v>81565</v>
      </c>
      <c r="F337" s="8"/>
      <c r="G337" s="15" t="s">
        <v>10</v>
      </c>
      <c r="H337" s="15" t="s">
        <v>10</v>
      </c>
      <c r="I337" s="15" t="s">
        <v>10</v>
      </c>
      <c r="J337" s="15" t="s">
        <v>10</v>
      </c>
      <c r="K337" s="15">
        <v>1.0133982740627299</v>
      </c>
      <c r="L337" s="15">
        <v>1.0133982740627299</v>
      </c>
      <c r="M337" s="15">
        <v>1.0133982740627299</v>
      </c>
      <c r="N337" s="15">
        <v>1.0133982740627299</v>
      </c>
      <c r="O337" s="15">
        <v>4.988336069993168</v>
      </c>
      <c r="P337" s="15">
        <v>4.988336069993168</v>
      </c>
      <c r="Q337" s="8"/>
      <c r="R337" s="9" t="s">
        <v>343</v>
      </c>
    </row>
    <row r="338" spans="1:18" x14ac:dyDescent="0.25">
      <c r="A338" s="6" t="str">
        <f>HYPERLINK("proteomic_fractions_linear_files/Yang_linear_img/163310734.jpg", "163310734")</f>
        <v>163310734</v>
      </c>
      <c r="B338" s="7"/>
      <c r="C338" s="6" t="str">
        <f>HYPERLINK("http://www.ncbi.nlm.nih.gov/protein/163310734","Angel1")</f>
        <v>Angel1</v>
      </c>
      <c r="D338" s="8"/>
      <c r="E338" s="8">
        <v>75123</v>
      </c>
      <c r="F338" s="8"/>
      <c r="G338" s="15" t="s">
        <v>10</v>
      </c>
      <c r="H338" s="15" t="s">
        <v>10</v>
      </c>
      <c r="I338" s="15" t="s">
        <v>10</v>
      </c>
      <c r="J338" s="15" t="s">
        <v>10</v>
      </c>
      <c r="K338" s="15">
        <v>1.2662397491011268</v>
      </c>
      <c r="L338" s="15">
        <v>1.2662397491011268</v>
      </c>
      <c r="M338" s="15" t="s">
        <v>10</v>
      </c>
      <c r="N338" s="15" t="s">
        <v>10</v>
      </c>
      <c r="O338" s="15" t="s">
        <v>10</v>
      </c>
      <c r="P338" s="15" t="s">
        <v>10</v>
      </c>
      <c r="Q338" s="8"/>
      <c r="R338" s="9" t="s">
        <v>344</v>
      </c>
    </row>
    <row r="339" spans="1:18" x14ac:dyDescent="0.25">
      <c r="A339" s="6" t="str">
        <f>HYPERLINK("proteomic_fractions_linear_files/Yang_linear_img/116256499.jpg", "116256499")</f>
        <v>116256499</v>
      </c>
      <c r="B339" s="7"/>
      <c r="C339" s="6" t="str">
        <f>HYPERLINK("http://www.ncbi.nlm.nih.gov/protein/116256499","Ank3")</f>
        <v>Ank3</v>
      </c>
      <c r="D339" s="8"/>
      <c r="E339" s="8">
        <v>93246</v>
      </c>
      <c r="F339" s="8"/>
      <c r="G339" s="15" t="s">
        <v>10</v>
      </c>
      <c r="H339" s="15" t="s">
        <v>10</v>
      </c>
      <c r="I339" s="15">
        <v>2.509256426105904</v>
      </c>
      <c r="J339" s="15">
        <v>2.509256426105904</v>
      </c>
      <c r="K339" s="15" t="s">
        <v>10</v>
      </c>
      <c r="L339" s="15" t="s">
        <v>10</v>
      </c>
      <c r="M339" s="15" t="s">
        <v>10</v>
      </c>
      <c r="N339" s="15" t="s">
        <v>10</v>
      </c>
      <c r="O339" s="15" t="s">
        <v>10</v>
      </c>
      <c r="P339" s="15" t="s">
        <v>10</v>
      </c>
      <c r="Q339" s="8"/>
      <c r="R339" s="9" t="s">
        <v>345</v>
      </c>
    </row>
    <row r="340" spans="1:18" x14ac:dyDescent="0.25">
      <c r="A340" s="6" t="str">
        <f>HYPERLINK("proteomic_fractions_linear_files/Yang_linear_img/22129789.jpg", "22129789")</f>
        <v>22129789</v>
      </c>
      <c r="B340" s="7"/>
      <c r="C340" s="6" t="str">
        <f>HYPERLINK("http://www.ncbi.nlm.nih.gov/protein/22129789","Ank3")</f>
        <v>Ank3</v>
      </c>
      <c r="D340" s="8"/>
      <c r="E340" s="8">
        <v>99661</v>
      </c>
      <c r="F340" s="8"/>
      <c r="G340" s="15" t="s">
        <v>10</v>
      </c>
      <c r="H340" s="15" t="s">
        <v>10</v>
      </c>
      <c r="I340" s="15">
        <v>2.3336084762784908</v>
      </c>
      <c r="J340" s="15">
        <v>2.3336084762784908</v>
      </c>
      <c r="K340" s="15" t="s">
        <v>10</v>
      </c>
      <c r="L340" s="15" t="s">
        <v>10</v>
      </c>
      <c r="M340" s="15" t="s">
        <v>10</v>
      </c>
      <c r="N340" s="15" t="s">
        <v>10</v>
      </c>
      <c r="O340" s="15" t="s">
        <v>10</v>
      </c>
      <c r="P340" s="15" t="s">
        <v>10</v>
      </c>
      <c r="Q340" s="8"/>
      <c r="R340" s="9" t="s">
        <v>346</v>
      </c>
    </row>
    <row r="341" spans="1:18" x14ac:dyDescent="0.25">
      <c r="A341" s="6" t="str">
        <f>HYPERLINK("proteomic_fractions_linear_files/Yang_linear_img/86262153.jpg", "86262153")</f>
        <v>86262153</v>
      </c>
      <c r="B341" s="7"/>
      <c r="C341" s="6" t="str">
        <f>HYPERLINK("http://www.ncbi.nlm.nih.gov/protein/86262153","Ank3")</f>
        <v>Ank3</v>
      </c>
      <c r="D341" s="8"/>
      <c r="E341" s="8">
        <v>121074</v>
      </c>
      <c r="F341" s="8"/>
      <c r="G341" s="15" t="s">
        <v>10</v>
      </c>
      <c r="H341" s="15" t="s">
        <v>10</v>
      </c>
      <c r="I341" s="15">
        <v>1.9286020465111493</v>
      </c>
      <c r="J341" s="15">
        <v>1.9286020465111493</v>
      </c>
      <c r="K341" s="15" t="s">
        <v>10</v>
      </c>
      <c r="L341" s="15" t="s">
        <v>10</v>
      </c>
      <c r="M341" s="15" t="s">
        <v>10</v>
      </c>
      <c r="N341" s="15" t="s">
        <v>10</v>
      </c>
      <c r="O341" s="15" t="s">
        <v>10</v>
      </c>
      <c r="P341" s="15" t="s">
        <v>10</v>
      </c>
      <c r="Q341" s="8"/>
      <c r="R341" s="9" t="s">
        <v>347</v>
      </c>
    </row>
    <row r="342" spans="1:18" x14ac:dyDescent="0.25">
      <c r="A342" s="6" t="str">
        <f>HYPERLINK("proteomic_fractions_linear_files/Yang_linear_img/116256491.jpg", "116256491")</f>
        <v>116256491</v>
      </c>
      <c r="B342" s="7"/>
      <c r="C342" s="6" t="str">
        <f>HYPERLINK("http://www.ncbi.nlm.nih.gov/protein/116256491","Ank3")</f>
        <v>Ank3</v>
      </c>
      <c r="D342" s="8"/>
      <c r="E342" s="8">
        <v>188126</v>
      </c>
      <c r="F342" s="8"/>
      <c r="G342" s="15" t="s">
        <v>10</v>
      </c>
      <c r="H342" s="15" t="s">
        <v>10</v>
      </c>
      <c r="I342" s="15">
        <v>1.2412811044034524</v>
      </c>
      <c r="J342" s="15">
        <v>1.2412811044034524</v>
      </c>
      <c r="K342" s="15">
        <v>1.2412811044034524</v>
      </c>
      <c r="L342" s="15">
        <v>1.2412811044034524</v>
      </c>
      <c r="M342" s="15" t="s">
        <v>10</v>
      </c>
      <c r="N342" s="15" t="s">
        <v>10</v>
      </c>
      <c r="O342" s="15" t="s">
        <v>10</v>
      </c>
      <c r="P342" s="15" t="s">
        <v>10</v>
      </c>
      <c r="Q342" s="8"/>
      <c r="R342" s="9" t="s">
        <v>348</v>
      </c>
    </row>
    <row r="343" spans="1:18" x14ac:dyDescent="0.25">
      <c r="A343" s="6" t="str">
        <f>HYPERLINK("proteomic_fractions_linear_files/Yang_linear_img/116256493.jpg", "116256493")</f>
        <v>116256493</v>
      </c>
      <c r="B343" s="7"/>
      <c r="C343" s="6" t="str">
        <f>HYPERLINK("http://www.ncbi.nlm.nih.gov/protein/116256493","Ank3")</f>
        <v>Ank3</v>
      </c>
      <c r="D343" s="8"/>
      <c r="E343" s="8">
        <v>211802</v>
      </c>
      <c r="F343" s="8"/>
      <c r="G343" s="15" t="s">
        <v>10</v>
      </c>
      <c r="H343" s="15" t="s">
        <v>10</v>
      </c>
      <c r="I343" s="15">
        <v>1.1007587152257032</v>
      </c>
      <c r="J343" s="15">
        <v>1.1007587152257032</v>
      </c>
      <c r="K343" s="15">
        <v>1.1007587152257032</v>
      </c>
      <c r="L343" s="15">
        <v>1.1007587152257032</v>
      </c>
      <c r="M343" s="15" t="s">
        <v>10</v>
      </c>
      <c r="N343" s="15" t="s">
        <v>10</v>
      </c>
      <c r="O343" s="15" t="s">
        <v>10</v>
      </c>
      <c r="P343" s="15" t="s">
        <v>10</v>
      </c>
      <c r="Q343" s="8"/>
      <c r="R343" s="9" t="s">
        <v>349</v>
      </c>
    </row>
    <row r="344" spans="1:18" x14ac:dyDescent="0.25">
      <c r="A344" s="6" t="str">
        <f>HYPERLINK("proteomic_fractions_linear_files/Yang_linear_img/116256497.jpg", "116256497")</f>
        <v>116256497</v>
      </c>
      <c r="B344" s="7"/>
      <c r="C344" s="6" t="str">
        <f>HYPERLINK("http://www.ncbi.nlm.nih.gov/protein/116256497","Ank3")</f>
        <v>Ank3</v>
      </c>
      <c r="D344" s="8"/>
      <c r="E344" s="8">
        <v>213932</v>
      </c>
      <c r="F344" s="8"/>
      <c r="G344" s="15" t="s">
        <v>10</v>
      </c>
      <c r="H344" s="15" t="s">
        <v>10</v>
      </c>
      <c r="I344" s="15">
        <v>1.0904712505974254</v>
      </c>
      <c r="J344" s="15">
        <v>1.0904712505974254</v>
      </c>
      <c r="K344" s="15">
        <v>1.0904712505974254</v>
      </c>
      <c r="L344" s="15">
        <v>1.0904712505974254</v>
      </c>
      <c r="M344" s="15" t="s">
        <v>10</v>
      </c>
      <c r="N344" s="15" t="s">
        <v>10</v>
      </c>
      <c r="O344" s="15" t="s">
        <v>10</v>
      </c>
      <c r="P344" s="15" t="s">
        <v>10</v>
      </c>
      <c r="Q344" s="8"/>
      <c r="R344" s="9" t="s">
        <v>350</v>
      </c>
    </row>
    <row r="345" spans="1:18" x14ac:dyDescent="0.25">
      <c r="A345" s="6" t="str">
        <f>HYPERLINK("proteomic_fractions_linear_files/Yang_linear_img/116256503.jpg", "116256503")</f>
        <v>116256503</v>
      </c>
      <c r="B345" s="7"/>
      <c r="C345" s="6" t="str">
        <f>HYPERLINK("http://www.ncbi.nlm.nih.gov/protein/116256503","Ank3")</f>
        <v>Ank3</v>
      </c>
      <c r="D345" s="8"/>
      <c r="E345" s="8">
        <v>211670</v>
      </c>
      <c r="F345" s="8"/>
      <c r="G345" s="15" t="s">
        <v>10</v>
      </c>
      <c r="H345" s="15" t="s">
        <v>10</v>
      </c>
      <c r="I345" s="15">
        <v>1.1007587152257032</v>
      </c>
      <c r="J345" s="15">
        <v>1.1007587152257032</v>
      </c>
      <c r="K345" s="15">
        <v>1.1007587152257032</v>
      </c>
      <c r="L345" s="15">
        <v>1.1007587152257032</v>
      </c>
      <c r="M345" s="15" t="s">
        <v>10</v>
      </c>
      <c r="N345" s="15" t="s">
        <v>10</v>
      </c>
      <c r="O345" s="15" t="s">
        <v>10</v>
      </c>
      <c r="P345" s="15" t="s">
        <v>10</v>
      </c>
      <c r="Q345" s="8"/>
      <c r="R345" s="9" t="s">
        <v>351</v>
      </c>
    </row>
    <row r="346" spans="1:18" x14ac:dyDescent="0.25">
      <c r="A346" s="6" t="str">
        <f>HYPERLINK("proteomic_fractions_linear_files/Yang_linear_img/116256505.jpg", "116256505")</f>
        <v>116256505</v>
      </c>
      <c r="B346" s="7"/>
      <c r="C346" s="6" t="str">
        <f>HYPERLINK("http://www.ncbi.nlm.nih.gov/protein/116256505","Ank3")</f>
        <v>Ank3</v>
      </c>
      <c r="D346" s="8"/>
      <c r="E346" s="8">
        <v>209539</v>
      </c>
      <c r="F346" s="8"/>
      <c r="G346" s="15" t="s">
        <v>10</v>
      </c>
      <c r="H346" s="15" t="s">
        <v>10</v>
      </c>
      <c r="I346" s="15">
        <v>1.111242131561186</v>
      </c>
      <c r="J346" s="15">
        <v>1.111242131561186</v>
      </c>
      <c r="K346" s="15">
        <v>1.111242131561186</v>
      </c>
      <c r="L346" s="15">
        <v>1.111242131561186</v>
      </c>
      <c r="M346" s="15" t="s">
        <v>10</v>
      </c>
      <c r="N346" s="15" t="s">
        <v>10</v>
      </c>
      <c r="O346" s="15" t="s">
        <v>10</v>
      </c>
      <c r="P346" s="15" t="s">
        <v>10</v>
      </c>
      <c r="Q346" s="8"/>
      <c r="R346" s="9" t="s">
        <v>352</v>
      </c>
    </row>
    <row r="347" spans="1:18" x14ac:dyDescent="0.25">
      <c r="A347" s="6" t="str">
        <f>HYPERLINK("proteomic_fractions_linear_files/Yang_linear_img/25121946.jpg", "25121946")</f>
        <v>25121946</v>
      </c>
      <c r="B347" s="7"/>
      <c r="C347" s="6" t="str">
        <f>HYPERLINK("http://www.ncbi.nlm.nih.gov/protein/25121946","Ank3")</f>
        <v>Ank3</v>
      </c>
      <c r="D347" s="8"/>
      <c r="E347" s="8">
        <v>192519</v>
      </c>
      <c r="F347" s="8"/>
      <c r="G347" s="15" t="s">
        <v>10</v>
      </c>
      <c r="H347" s="15" t="s">
        <v>10</v>
      </c>
      <c r="I347" s="15">
        <v>1.2091235628385961</v>
      </c>
      <c r="J347" s="15">
        <v>1.2091235628385961</v>
      </c>
      <c r="K347" s="15">
        <v>1.2091235628385961</v>
      </c>
      <c r="L347" s="15">
        <v>1.2091235628385961</v>
      </c>
      <c r="M347" s="15" t="s">
        <v>10</v>
      </c>
      <c r="N347" s="15" t="s">
        <v>10</v>
      </c>
      <c r="O347" s="15" t="s">
        <v>10</v>
      </c>
      <c r="P347" s="15" t="s">
        <v>10</v>
      </c>
      <c r="Q347" s="8"/>
      <c r="R347" s="9" t="s">
        <v>353</v>
      </c>
    </row>
    <row r="348" spans="1:18" x14ac:dyDescent="0.25">
      <c r="A348" s="6" t="str">
        <f>HYPERLINK("proteomic_fractions_linear_files/Yang_linear_img/85702366.jpg", "85702366")</f>
        <v>85702366</v>
      </c>
      <c r="B348" s="7"/>
      <c r="C348" s="6" t="str">
        <f>HYPERLINK("http://www.ncbi.nlm.nih.gov/protein/85702366","Ankfy1")</f>
        <v>Ankfy1</v>
      </c>
      <c r="D348" s="8"/>
      <c r="E348" s="8">
        <v>128522</v>
      </c>
      <c r="F348" s="8"/>
      <c r="G348" s="15">
        <v>1.1895571405910219</v>
      </c>
      <c r="H348" s="15">
        <v>1.1895571405910219</v>
      </c>
      <c r="I348" s="15">
        <v>1.1895571405910219</v>
      </c>
      <c r="J348" s="15">
        <v>1.1895571405910219</v>
      </c>
      <c r="K348" s="15">
        <v>1.1895571405910219</v>
      </c>
      <c r="L348" s="15">
        <v>1.1895571405910219</v>
      </c>
      <c r="M348" s="15">
        <v>1.1895571405910219</v>
      </c>
      <c r="N348" s="15">
        <v>1.1895571405910219</v>
      </c>
      <c r="O348" s="15">
        <v>1.1895571405910219</v>
      </c>
      <c r="P348" s="15">
        <v>1.1895571405910219</v>
      </c>
      <c r="Q348" s="8"/>
      <c r="R348" s="9" t="s">
        <v>354</v>
      </c>
    </row>
    <row r="349" spans="1:18" x14ac:dyDescent="0.25">
      <c r="A349" s="6" t="str">
        <f>HYPERLINK("proteomic_fractions_linear_files/Yang_linear_img/158749543.jpg", "158749543")</f>
        <v>158749543</v>
      </c>
      <c r="B349" s="7"/>
      <c r="C349" s="6" t="str">
        <f>HYPERLINK("http://www.ncbi.nlm.nih.gov/protein/158749543","Ankhd1")</f>
        <v>Ankhd1</v>
      </c>
      <c r="D349" s="8"/>
      <c r="E349" s="8">
        <v>269547</v>
      </c>
      <c r="F349" s="8"/>
      <c r="G349" s="15" t="s">
        <v>10</v>
      </c>
      <c r="H349" s="15" t="s">
        <v>10</v>
      </c>
      <c r="I349" s="15">
        <v>22.196666666666669</v>
      </c>
      <c r="J349" s="15">
        <v>22.196666666666669</v>
      </c>
      <c r="K349" s="15">
        <v>0.86429943565870027</v>
      </c>
      <c r="L349" s="15">
        <v>0.86429943565870027</v>
      </c>
      <c r="M349" s="15">
        <v>0.86429943565870027</v>
      </c>
      <c r="N349" s="15">
        <v>0.86429943565870027</v>
      </c>
      <c r="O349" s="15">
        <v>0.86429943565870027</v>
      </c>
      <c r="P349" s="15">
        <v>0.86429943565870027</v>
      </c>
      <c r="Q349" s="8"/>
      <c r="R349" s="9" t="s">
        <v>355</v>
      </c>
    </row>
    <row r="350" spans="1:18" x14ac:dyDescent="0.25">
      <c r="A350" s="6" t="str">
        <f>HYPERLINK("proteomic_fractions_linear_files/Yang_linear_img/61656165.jpg", "61656165")</f>
        <v>61656165</v>
      </c>
      <c r="B350" s="7"/>
      <c r="C350" s="6" t="str">
        <f>HYPERLINK("http://www.ncbi.nlm.nih.gov/protein/61656165","Ankib1")</f>
        <v>Ankib1</v>
      </c>
      <c r="D350" s="8"/>
      <c r="E350" s="8">
        <v>121745</v>
      </c>
      <c r="F350" s="8"/>
      <c r="G350" s="15" t="s">
        <v>10</v>
      </c>
      <c r="H350" s="15" t="s">
        <v>10</v>
      </c>
      <c r="I350" s="15" t="s">
        <v>10</v>
      </c>
      <c r="J350" s="15" t="s">
        <v>10</v>
      </c>
      <c r="K350" s="15">
        <v>1.5308674724585276</v>
      </c>
      <c r="L350" s="15">
        <v>1.5308674724585276</v>
      </c>
      <c r="M350" s="15" t="s">
        <v>10</v>
      </c>
      <c r="N350" s="15" t="s">
        <v>10</v>
      </c>
      <c r="O350" s="15">
        <v>0.26298420373552123</v>
      </c>
      <c r="P350" s="15">
        <v>0.26298420373552123</v>
      </c>
      <c r="Q350" s="8"/>
      <c r="R350" s="9" t="s">
        <v>356</v>
      </c>
    </row>
    <row r="351" spans="1:18" x14ac:dyDescent="0.25">
      <c r="A351" s="6" t="str">
        <f>HYPERLINK("proteomic_fractions_linear_files/Yang_linear_img/189181677.jpg", "189181677")</f>
        <v>189181677</v>
      </c>
      <c r="B351" s="7"/>
      <c r="C351" s="6" t="str">
        <f>HYPERLINK("http://www.ncbi.nlm.nih.gov/protein/189181677","Ankle1")</f>
        <v>Ankle1</v>
      </c>
      <c r="D351" s="8"/>
      <c r="E351" s="8">
        <v>58310</v>
      </c>
      <c r="F351" s="8"/>
      <c r="G351" s="15" t="s">
        <v>10</v>
      </c>
      <c r="H351" s="15" t="s">
        <v>10</v>
      </c>
      <c r="I351" s="15">
        <v>0.83258578593819399</v>
      </c>
      <c r="J351" s="15">
        <v>0.83258578593819399</v>
      </c>
      <c r="K351" s="15" t="s">
        <v>10</v>
      </c>
      <c r="L351" s="15" t="s">
        <v>10</v>
      </c>
      <c r="M351" s="15" t="s">
        <v>10</v>
      </c>
      <c r="N351" s="15" t="s">
        <v>10</v>
      </c>
      <c r="O351" s="15" t="s">
        <v>10</v>
      </c>
      <c r="P351" s="15" t="s">
        <v>10</v>
      </c>
      <c r="Q351" s="8"/>
      <c r="R351" s="9" t="s">
        <v>357</v>
      </c>
    </row>
    <row r="352" spans="1:18" x14ac:dyDescent="0.25">
      <c r="A352" s="6" t="str">
        <f>HYPERLINK("proteomic_fractions_linear_files/Yang_linear_img/269308251.jpg", "269308251")</f>
        <v>269308251</v>
      </c>
      <c r="B352" s="7"/>
      <c r="C352" s="6" t="str">
        <f>HYPERLINK("http://www.ncbi.nlm.nih.gov/protein/269308251","Ankmy2")</f>
        <v>Ankmy2</v>
      </c>
      <c r="D352" s="8"/>
      <c r="E352" s="8">
        <v>48643</v>
      </c>
      <c r="F352" s="8"/>
      <c r="G352" s="15" t="s">
        <v>10</v>
      </c>
      <c r="H352" s="15" t="s">
        <v>10</v>
      </c>
      <c r="I352" s="15">
        <v>1.0840932577551241</v>
      </c>
      <c r="J352" s="15">
        <v>1.0840932577551241</v>
      </c>
      <c r="K352" s="15">
        <v>1.0840932577551241</v>
      </c>
      <c r="L352" s="15">
        <v>1.0840932577551241</v>
      </c>
      <c r="M352" s="15">
        <v>1.0840932577551241</v>
      </c>
      <c r="N352" s="15">
        <v>1.0840932577551241</v>
      </c>
      <c r="O352" s="15">
        <v>0.9855097058043929</v>
      </c>
      <c r="P352" s="15">
        <v>0.9855097058043929</v>
      </c>
      <c r="Q352" s="8"/>
      <c r="R352" s="9" t="s">
        <v>358</v>
      </c>
    </row>
    <row r="353" spans="1:18" x14ac:dyDescent="0.25">
      <c r="A353" s="6" t="str">
        <f>HYPERLINK("proteomic_fractions_linear_files/Yang_linear_img/61651675.jpg", "61651675")</f>
        <v>61651675</v>
      </c>
      <c r="B353" s="7"/>
      <c r="C353" s="6" t="str">
        <f>HYPERLINK("http://www.ncbi.nlm.nih.gov/protein/61651675","Ankrd13a")</f>
        <v>Ankrd13a</v>
      </c>
      <c r="D353" s="8"/>
      <c r="E353" s="8">
        <v>67047</v>
      </c>
      <c r="F353" s="8"/>
      <c r="G353" s="15" t="s">
        <v>10</v>
      </c>
      <c r="H353" s="15" t="s">
        <v>10</v>
      </c>
      <c r="I353" s="15" t="s">
        <v>10</v>
      </c>
      <c r="J353" s="15" t="s">
        <v>10</v>
      </c>
      <c r="K353" s="15">
        <v>1.2402784846737889</v>
      </c>
      <c r="L353" s="15">
        <v>1.2402784846737889</v>
      </c>
      <c r="M353" s="15" t="s">
        <v>10</v>
      </c>
      <c r="N353" s="15" t="s">
        <v>10</v>
      </c>
      <c r="O353" s="15" t="s">
        <v>10</v>
      </c>
      <c r="P353" s="15" t="s">
        <v>10</v>
      </c>
      <c r="Q353" s="8"/>
      <c r="R353" s="9" t="s">
        <v>359</v>
      </c>
    </row>
    <row r="354" spans="1:18" x14ac:dyDescent="0.25">
      <c r="A354" s="6" t="str">
        <f>HYPERLINK("proteomic_fractions_linear_files/Yang_linear_img/142363888.jpg", "142363888")</f>
        <v>142363888</v>
      </c>
      <c r="B354" s="7"/>
      <c r="C354" s="6" t="str">
        <f>HYPERLINK("http://www.ncbi.nlm.nih.gov/protein/142363888","Ankrd13d")</f>
        <v>Ankrd13d</v>
      </c>
      <c r="D354" s="8"/>
      <c r="E354" s="8">
        <v>67945</v>
      </c>
      <c r="F354" s="8"/>
      <c r="G354" s="15" t="s">
        <v>10</v>
      </c>
      <c r="H354" s="15" t="s">
        <v>10</v>
      </c>
      <c r="I354" s="15" t="s">
        <v>10</v>
      </c>
      <c r="J354" s="15" t="s">
        <v>10</v>
      </c>
      <c r="K354" s="15">
        <v>1.222039095193292</v>
      </c>
      <c r="L354" s="15">
        <v>1.222039095193292</v>
      </c>
      <c r="M354" s="15" t="s">
        <v>10</v>
      </c>
      <c r="N354" s="15" t="s">
        <v>10</v>
      </c>
      <c r="O354" s="15" t="s">
        <v>10</v>
      </c>
      <c r="P354" s="15" t="s">
        <v>10</v>
      </c>
      <c r="Q354" s="8"/>
      <c r="R354" s="9" t="s">
        <v>360</v>
      </c>
    </row>
    <row r="355" spans="1:18" x14ac:dyDescent="0.25">
      <c r="A355" s="6" t="str">
        <f>HYPERLINK("proteomic_fractions_linear_files/Yang_linear_img/40549395.jpg", "40549395")</f>
        <v>40549395</v>
      </c>
      <c r="B355" s="7"/>
      <c r="C355" s="6" t="str">
        <f>HYPERLINK("http://www.ncbi.nlm.nih.gov/protein/40549395","Ankrd17")</f>
        <v>Ankrd17</v>
      </c>
      <c r="D355" s="8"/>
      <c r="E355" s="8">
        <v>246495</v>
      </c>
      <c r="F355" s="8"/>
      <c r="G355" s="15" t="s">
        <v>10</v>
      </c>
      <c r="H355" s="15" t="s">
        <v>10</v>
      </c>
      <c r="I355" s="15">
        <v>24.362195121951221</v>
      </c>
      <c r="J355" s="15">
        <v>24.362195121951221</v>
      </c>
      <c r="K355" s="15">
        <v>0.94862133182052466</v>
      </c>
      <c r="L355" s="15">
        <v>0.94862133182052466</v>
      </c>
      <c r="M355" s="15">
        <v>0.94862133182052466</v>
      </c>
      <c r="N355" s="15">
        <v>0.94862133182052466</v>
      </c>
      <c r="O355" s="15">
        <v>0.94862133182052466</v>
      </c>
      <c r="P355" s="15">
        <v>0.94862133182052466</v>
      </c>
      <c r="Q355" s="8"/>
      <c r="R355" s="9" t="s">
        <v>361</v>
      </c>
    </row>
    <row r="356" spans="1:18" x14ac:dyDescent="0.25">
      <c r="A356" s="6" t="str">
        <f>HYPERLINK("proteomic_fractions_linear_files/Yang_linear_img/40549397.jpg", "40549397")</f>
        <v>40549397</v>
      </c>
      <c r="B356" s="7"/>
      <c r="C356" s="6" t="str">
        <f>HYPERLINK("http://www.ncbi.nlm.nih.gov/protein/40549397","Ankrd17")</f>
        <v>Ankrd17</v>
      </c>
      <c r="D356" s="8"/>
      <c r="E356" s="8">
        <v>274083</v>
      </c>
      <c r="F356" s="8"/>
      <c r="G356" s="15" t="s">
        <v>10</v>
      </c>
      <c r="H356" s="15" t="s">
        <v>10</v>
      </c>
      <c r="I356" s="15">
        <v>21.872627737226278</v>
      </c>
      <c r="J356" s="15">
        <v>21.872627737226278</v>
      </c>
      <c r="K356" s="15">
        <v>0.85168192564908418</v>
      </c>
      <c r="L356" s="15">
        <v>0.85168192564908418</v>
      </c>
      <c r="M356" s="15">
        <v>0.85168192564908418</v>
      </c>
      <c r="N356" s="15">
        <v>0.85168192564908418</v>
      </c>
      <c r="O356" s="15">
        <v>0.85168192564908418</v>
      </c>
      <c r="P356" s="15">
        <v>0.85168192564908418</v>
      </c>
      <c r="Q356" s="8"/>
      <c r="R356" s="9" t="s">
        <v>362</v>
      </c>
    </row>
    <row r="357" spans="1:18" x14ac:dyDescent="0.25">
      <c r="A357" s="6" t="str">
        <f>HYPERLINK("proteomic_fractions_linear_files/Yang_linear_img/48597001.jpg", "48597001")</f>
        <v>48597001</v>
      </c>
      <c r="B357" s="7"/>
      <c r="C357" s="6" t="str">
        <f>HYPERLINK("http://www.ncbi.nlm.nih.gov/protein/48597001","Ankrd22")</f>
        <v>Ankrd22</v>
      </c>
      <c r="D357" s="8"/>
      <c r="E357" s="8">
        <v>21779</v>
      </c>
      <c r="F357" s="8"/>
      <c r="G357" s="15" t="s">
        <v>10</v>
      </c>
      <c r="H357" s="15" t="s">
        <v>10</v>
      </c>
      <c r="I357" s="15">
        <v>0.7986336256981349</v>
      </c>
      <c r="J357" s="15">
        <v>0.7986336256981349</v>
      </c>
      <c r="K357" s="15" t="s">
        <v>10</v>
      </c>
      <c r="L357" s="15" t="s">
        <v>10</v>
      </c>
      <c r="M357" s="15" t="s">
        <v>10</v>
      </c>
      <c r="N357" s="15" t="s">
        <v>10</v>
      </c>
      <c r="O357" s="15" t="s">
        <v>10</v>
      </c>
      <c r="P357" s="15" t="s">
        <v>10</v>
      </c>
      <c r="Q357" s="8"/>
      <c r="R357" s="9" t="s">
        <v>363</v>
      </c>
    </row>
    <row r="358" spans="1:18" x14ac:dyDescent="0.25">
      <c r="A358" s="6" t="str">
        <f>HYPERLINK("proteomic_fractions_linear_files/Yang_linear_img/66841376.jpg", "66841376")</f>
        <v>66841376</v>
      </c>
      <c r="B358" s="7"/>
      <c r="C358" s="6" t="str">
        <f>HYPERLINK("http://www.ncbi.nlm.nih.gov/protein/66841376","Ankrd28")</f>
        <v>Ankrd28</v>
      </c>
      <c r="D358" s="8"/>
      <c r="E358" s="8">
        <v>112767</v>
      </c>
      <c r="F358" s="8"/>
      <c r="G358" s="15" t="s">
        <v>10</v>
      </c>
      <c r="H358" s="15" t="s">
        <v>10</v>
      </c>
      <c r="I358" s="15" t="s">
        <v>10</v>
      </c>
      <c r="J358" s="15" t="s">
        <v>10</v>
      </c>
      <c r="K358" s="15" t="s">
        <v>10</v>
      </c>
      <c r="L358" s="15" t="s">
        <v>10</v>
      </c>
      <c r="M358" s="15">
        <v>1.1391294526116547</v>
      </c>
      <c r="N358" s="15">
        <v>1.1391294526116547</v>
      </c>
      <c r="O358" s="15">
        <v>1.1391294526116547</v>
      </c>
      <c r="P358" s="15">
        <v>1.1391294526116547</v>
      </c>
      <c r="Q358" s="8"/>
      <c r="R358" s="9" t="s">
        <v>364</v>
      </c>
    </row>
    <row r="359" spans="1:18" x14ac:dyDescent="0.25">
      <c r="A359" s="6" t="str">
        <f>HYPERLINK("proteomic_fractions_linear_files/Yang_linear_img/125656161.jpg", "125656161")</f>
        <v>125656161</v>
      </c>
      <c r="B359" s="7"/>
      <c r="C359" s="6" t="str">
        <f>HYPERLINK("http://www.ncbi.nlm.nih.gov/protein/125656161","Ankrd40")</f>
        <v>Ankrd40</v>
      </c>
      <c r="D359" s="8"/>
      <c r="E359" s="8">
        <v>40429</v>
      </c>
      <c r="F359" s="8"/>
      <c r="G359" s="15" t="s">
        <v>10</v>
      </c>
      <c r="H359" s="15" t="s">
        <v>10</v>
      </c>
      <c r="I359" s="15">
        <v>1.1031397311741367</v>
      </c>
      <c r="J359" s="15">
        <v>1.1031397311741367</v>
      </c>
      <c r="K359" s="15">
        <v>1.1031397311741367</v>
      </c>
      <c r="L359" s="15">
        <v>1.1031397311741367</v>
      </c>
      <c r="M359" s="15">
        <v>1.0126829550805687</v>
      </c>
      <c r="N359" s="15">
        <v>0.54489355676696882</v>
      </c>
      <c r="O359" s="15" t="s">
        <v>10</v>
      </c>
      <c r="P359" s="15" t="s">
        <v>10</v>
      </c>
      <c r="Q359" s="8"/>
      <c r="R359" s="9" t="s">
        <v>365</v>
      </c>
    </row>
    <row r="360" spans="1:18" x14ac:dyDescent="0.25">
      <c r="A360" s="6" t="str">
        <f>HYPERLINK("proteomic_fractions_linear_files/Yang_linear_img/125656167.jpg", "125656167")</f>
        <v>125656167</v>
      </c>
      <c r="B360" s="7"/>
      <c r="C360" s="6" t="str">
        <f>HYPERLINK("http://www.ncbi.nlm.nih.gov/protein/125656167","Ankrd40")</f>
        <v>Ankrd40</v>
      </c>
      <c r="D360" s="8"/>
      <c r="E360" s="8">
        <v>35916</v>
      </c>
      <c r="F360" s="8"/>
      <c r="G360" s="15" t="s">
        <v>10</v>
      </c>
      <c r="H360" s="15" t="s">
        <v>10</v>
      </c>
      <c r="I360" s="15">
        <v>1.2257108124157075</v>
      </c>
      <c r="J360" s="15">
        <v>1.2257108124157075</v>
      </c>
      <c r="K360" s="15">
        <v>1.2257108124157075</v>
      </c>
      <c r="L360" s="15">
        <v>1.2257108124157075</v>
      </c>
      <c r="M360" s="15">
        <v>1.125203283422854</v>
      </c>
      <c r="N360" s="15">
        <v>0.60543728529663199</v>
      </c>
      <c r="O360" s="15" t="s">
        <v>10</v>
      </c>
      <c r="P360" s="15" t="s">
        <v>10</v>
      </c>
      <c r="Q360" s="8"/>
      <c r="R360" s="9" t="s">
        <v>366</v>
      </c>
    </row>
    <row r="361" spans="1:18" x14ac:dyDescent="0.25">
      <c r="A361" s="6" t="str">
        <f>HYPERLINK("proteomic_fractions_linear_files/Yang_linear_img/29789417.jpg", "29789417")</f>
        <v>29789417</v>
      </c>
      <c r="B361" s="7"/>
      <c r="C361" s="6" t="str">
        <f>HYPERLINK("http://www.ncbi.nlm.nih.gov/protein/29789417","Ankrd46")</f>
        <v>Ankrd46</v>
      </c>
      <c r="D361" s="8"/>
      <c r="E361" s="8">
        <v>25092</v>
      </c>
      <c r="F361" s="8"/>
      <c r="G361" s="15" t="s">
        <v>10</v>
      </c>
      <c r="H361" s="15" t="s">
        <v>10</v>
      </c>
      <c r="I361" s="15">
        <v>0.92438293498869784</v>
      </c>
      <c r="J361" s="15">
        <v>0.92438293498869784</v>
      </c>
      <c r="K361" s="15" t="s">
        <v>10</v>
      </c>
      <c r="L361" s="15" t="s">
        <v>10</v>
      </c>
      <c r="M361" s="15" t="s">
        <v>10</v>
      </c>
      <c r="N361" s="15" t="s">
        <v>10</v>
      </c>
      <c r="O361" s="15" t="s">
        <v>10</v>
      </c>
      <c r="P361" s="15" t="s">
        <v>10</v>
      </c>
      <c r="Q361" s="8"/>
      <c r="R361" s="9" t="s">
        <v>367</v>
      </c>
    </row>
    <row r="362" spans="1:18" x14ac:dyDescent="0.25">
      <c r="A362" s="6" t="str">
        <f>HYPERLINK("proteomic_fractions_linear_files/Yang_linear_img/31088892.jpg", "31088892")</f>
        <v>31088892</v>
      </c>
      <c r="B362" s="7"/>
      <c r="C362" s="6" t="str">
        <f>HYPERLINK("http://www.ncbi.nlm.nih.gov/protein/31088892","Anks1")</f>
        <v>Anks1</v>
      </c>
      <c r="D362" s="8"/>
      <c r="E362" s="8">
        <v>125112</v>
      </c>
      <c r="F362" s="8"/>
      <c r="G362" s="15" t="s">
        <v>10</v>
      </c>
      <c r="H362" s="15" t="s">
        <v>10</v>
      </c>
      <c r="I362" s="15" t="s">
        <v>10</v>
      </c>
      <c r="J362" s="15" t="s">
        <v>10</v>
      </c>
      <c r="K362" s="15">
        <v>1.494126653119523</v>
      </c>
      <c r="L362" s="15">
        <v>1.494126653119523</v>
      </c>
      <c r="M362" s="15" t="s">
        <v>10</v>
      </c>
      <c r="N362" s="15" t="s">
        <v>10</v>
      </c>
      <c r="O362" s="15">
        <v>1.494126653119523</v>
      </c>
      <c r="P362" s="15">
        <v>1.494126653119523</v>
      </c>
      <c r="Q362" s="8"/>
      <c r="R362" s="9" t="s">
        <v>368</v>
      </c>
    </row>
    <row r="363" spans="1:18" x14ac:dyDescent="0.25">
      <c r="A363" s="6" t="str">
        <f>HYPERLINK("proteomic_fractions_linear_files/Yang_linear_img/188528655.jpg", "188528655")</f>
        <v>188528655</v>
      </c>
      <c r="B363" s="7"/>
      <c r="C363" s="6" t="str">
        <f>HYPERLINK("http://www.ncbi.nlm.nih.gov/protein/188528655","Anks3")</f>
        <v>Anks3</v>
      </c>
      <c r="D363" s="8"/>
      <c r="E363" s="8">
        <v>71951</v>
      </c>
      <c r="F363" s="8"/>
      <c r="G363" s="15" t="s">
        <v>10</v>
      </c>
      <c r="H363" s="15" t="s">
        <v>10</v>
      </c>
      <c r="I363" s="15" t="s">
        <v>10</v>
      </c>
      <c r="J363" s="15" t="s">
        <v>10</v>
      </c>
      <c r="K363" s="15" t="s">
        <v>10</v>
      </c>
      <c r="L363" s="15" t="s">
        <v>10</v>
      </c>
      <c r="M363" s="15" t="s">
        <v>10</v>
      </c>
      <c r="N363" s="15" t="s">
        <v>10</v>
      </c>
      <c r="O363" s="15">
        <v>1.1541480343492203</v>
      </c>
      <c r="P363" s="15">
        <v>1.1541480343492203</v>
      </c>
      <c r="Q363" s="8"/>
      <c r="R363" s="9" t="s">
        <v>369</v>
      </c>
    </row>
    <row r="364" spans="1:18" x14ac:dyDescent="0.25">
      <c r="A364" s="6" t="str">
        <f>HYPERLINK("proteomic_fractions_linear_files/Yang_linear_img/110556649.jpg", "110556649")</f>
        <v>110556649</v>
      </c>
      <c r="B364" s="7"/>
      <c r="C364" s="6" t="str">
        <f>HYPERLINK("http://www.ncbi.nlm.nih.gov/protein/110556649","Ankzf1")</f>
        <v>Ankzf1</v>
      </c>
      <c r="D364" s="8"/>
      <c r="E364" s="8">
        <v>82835</v>
      </c>
      <c r="F364" s="8"/>
      <c r="G364" s="15" t="s">
        <v>10</v>
      </c>
      <c r="H364" s="15" t="s">
        <v>10</v>
      </c>
      <c r="I364" s="15" t="s">
        <v>10</v>
      </c>
      <c r="J364" s="15" t="s">
        <v>10</v>
      </c>
      <c r="K364" s="15">
        <v>1.5508629897002044</v>
      </c>
      <c r="L364" s="15">
        <v>1.5508629897002044</v>
      </c>
      <c r="M364" s="15">
        <v>1.3229104074835116</v>
      </c>
      <c r="N364" s="15">
        <v>1.3229104074835116</v>
      </c>
      <c r="O364" s="15" t="s">
        <v>10</v>
      </c>
      <c r="P364" s="15" t="s">
        <v>10</v>
      </c>
      <c r="Q364" s="8"/>
      <c r="R364" s="9" t="s">
        <v>370</v>
      </c>
    </row>
    <row r="365" spans="1:18" x14ac:dyDescent="0.25">
      <c r="A365" s="6" t="str">
        <f>HYPERLINK("proteomic_fractions_linear_files/Yang_linear_img/251823794.jpg", "251823794")</f>
        <v>251823794</v>
      </c>
      <c r="B365" s="7"/>
      <c r="C365" s="6" t="str">
        <f>HYPERLINK("http://www.ncbi.nlm.nih.gov/protein/251823794","Anln")</f>
        <v>Anln</v>
      </c>
      <c r="D365" s="8"/>
      <c r="E365" s="8">
        <v>122663</v>
      </c>
      <c r="F365" s="8"/>
      <c r="G365" s="15" t="s">
        <v>10</v>
      </c>
      <c r="H365" s="15" t="s">
        <v>10</v>
      </c>
      <c r="I365" s="15">
        <v>0.13590629691550424</v>
      </c>
      <c r="J365" s="15">
        <v>0.13590629691550424</v>
      </c>
      <c r="K365" s="15">
        <v>0.14284503874275584</v>
      </c>
      <c r="L365" s="15">
        <v>0.14284503874275584</v>
      </c>
      <c r="M365" s="15" t="s">
        <v>10</v>
      </c>
      <c r="N365" s="15" t="s">
        <v>10</v>
      </c>
      <c r="O365" s="15" t="s">
        <v>10</v>
      </c>
      <c r="P365" s="15" t="s">
        <v>10</v>
      </c>
      <c r="Q365" s="8"/>
      <c r="R365" s="9" t="s">
        <v>371</v>
      </c>
    </row>
    <row r="366" spans="1:18" x14ac:dyDescent="0.25">
      <c r="A366" s="6" t="str">
        <f>HYPERLINK("proteomic_fractions_linear_files/Yang_linear_img/30794236.jpg", "30794236")</f>
        <v>30794236</v>
      </c>
      <c r="B366" s="7"/>
      <c r="C366" s="6" t="str">
        <f>HYPERLINK("http://www.ncbi.nlm.nih.gov/protein/30794236","Ano10")</f>
        <v>Ano10</v>
      </c>
      <c r="D366" s="8"/>
      <c r="E366" s="8">
        <v>76057</v>
      </c>
      <c r="F366" s="8"/>
      <c r="G366" s="15" t="s">
        <v>10</v>
      </c>
      <c r="H366" s="15" t="s">
        <v>10</v>
      </c>
      <c r="I366" s="15">
        <v>0.86122714908610964</v>
      </c>
      <c r="J366" s="15">
        <v>0.86122714908610964</v>
      </c>
      <c r="K366" s="15" t="s">
        <v>10</v>
      </c>
      <c r="L366" s="15" t="s">
        <v>10</v>
      </c>
      <c r="M366" s="15" t="s">
        <v>10</v>
      </c>
      <c r="N366" s="15" t="s">
        <v>10</v>
      </c>
      <c r="O366" s="15" t="s">
        <v>10</v>
      </c>
      <c r="P366" s="15" t="s">
        <v>10</v>
      </c>
      <c r="Q366" s="8"/>
      <c r="R366" s="9" t="s">
        <v>372</v>
      </c>
    </row>
    <row r="367" spans="1:18" x14ac:dyDescent="0.25">
      <c r="A367" s="6" t="str">
        <f>HYPERLINK("proteomic_fractions_linear_files/Yang_linear_img/428673529.jpg", "428673529")</f>
        <v>428673529</v>
      </c>
      <c r="B367" s="7"/>
      <c r="C367" s="6" t="str">
        <f>HYPERLINK("http://www.ncbi.nlm.nih.gov/protein/428673529","Ano10")</f>
        <v>Ano10</v>
      </c>
      <c r="D367" s="8"/>
      <c r="E367" s="8">
        <v>69132</v>
      </c>
      <c r="F367" s="8"/>
      <c r="G367" s="15" t="s">
        <v>10</v>
      </c>
      <c r="H367" s="15" t="s">
        <v>10</v>
      </c>
      <c r="I367" s="15">
        <v>0.94859801928325116</v>
      </c>
      <c r="J367" s="15">
        <v>0.94859801928325116</v>
      </c>
      <c r="K367" s="15" t="s">
        <v>10</v>
      </c>
      <c r="L367" s="15" t="s">
        <v>10</v>
      </c>
      <c r="M367" s="15" t="s">
        <v>10</v>
      </c>
      <c r="N367" s="15" t="s">
        <v>10</v>
      </c>
      <c r="O367" s="15" t="s">
        <v>10</v>
      </c>
      <c r="P367" s="15" t="s">
        <v>10</v>
      </c>
      <c r="Q367" s="8"/>
      <c r="R367" s="9" t="s">
        <v>373</v>
      </c>
    </row>
    <row r="368" spans="1:18" x14ac:dyDescent="0.25">
      <c r="A368" s="6" t="str">
        <f>HYPERLINK("proteomic_fractions_linear_files/Yang_linear_img/359465539.jpg", "359465539")</f>
        <v>359465539</v>
      </c>
      <c r="B368" s="7"/>
      <c r="C368" s="6" t="str">
        <f>HYPERLINK("http://www.ncbi.nlm.nih.gov/protein/359465539","Ano6")</f>
        <v>Ano6</v>
      </c>
      <c r="D368" s="8"/>
      <c r="E368" s="8">
        <v>108336</v>
      </c>
      <c r="F368" s="8"/>
      <c r="G368" s="15" t="s">
        <v>10</v>
      </c>
      <c r="H368" s="15" t="s">
        <v>10</v>
      </c>
      <c r="I368" s="15">
        <v>1.4208599179281651</v>
      </c>
      <c r="J368" s="15">
        <v>1.4208599179281651</v>
      </c>
      <c r="K368" s="15">
        <v>1.7293132559253737</v>
      </c>
      <c r="L368" s="15">
        <v>1.7293132559253737</v>
      </c>
      <c r="M368" s="15" t="s">
        <v>10</v>
      </c>
      <c r="N368" s="15" t="s">
        <v>10</v>
      </c>
      <c r="O368" s="15" t="s">
        <v>10</v>
      </c>
      <c r="P368" s="15" t="s">
        <v>10</v>
      </c>
      <c r="Q368" s="8"/>
      <c r="R368" s="9" t="s">
        <v>374</v>
      </c>
    </row>
    <row r="369" spans="1:18" x14ac:dyDescent="0.25">
      <c r="A369" s="6" t="str">
        <f>HYPERLINK("proteomic_fractions_linear_files/Yang_linear_img/40254290.jpg", "40254290")</f>
        <v>40254290</v>
      </c>
      <c r="B369" s="7"/>
      <c r="C369" s="6" t="str">
        <f>HYPERLINK("http://www.ncbi.nlm.nih.gov/protein/40254290","Ano6")</f>
        <v>Ano6</v>
      </c>
      <c r="D369" s="8"/>
      <c r="E369" s="8">
        <v>106125</v>
      </c>
      <c r="F369" s="8"/>
      <c r="G369" s="15" t="s">
        <v>10</v>
      </c>
      <c r="H369" s="15" t="s">
        <v>10</v>
      </c>
      <c r="I369" s="15">
        <v>1.4476685956249231</v>
      </c>
      <c r="J369" s="15">
        <v>1.4476685956249231</v>
      </c>
      <c r="K369" s="15">
        <v>1.7619418079239657</v>
      </c>
      <c r="L369" s="15">
        <v>1.7619418079239657</v>
      </c>
      <c r="M369" s="15" t="s">
        <v>10</v>
      </c>
      <c r="N369" s="15" t="s">
        <v>10</v>
      </c>
      <c r="O369" s="15" t="s">
        <v>10</v>
      </c>
      <c r="P369" s="15" t="s">
        <v>10</v>
      </c>
      <c r="Q369" s="8"/>
      <c r="R369" s="9" t="s">
        <v>375</v>
      </c>
    </row>
    <row r="370" spans="1:18" x14ac:dyDescent="0.25">
      <c r="A370" s="6" t="str">
        <f>HYPERLINK("proteomic_fractions_linear_files/Yang_linear_img/40254600.jpg", "40254600")</f>
        <v>40254600</v>
      </c>
      <c r="B370" s="7"/>
      <c r="C370" s="6" t="str">
        <f>HYPERLINK("http://www.ncbi.nlm.nih.gov/protein/40254600","Anp32a")</f>
        <v>Anp32a</v>
      </c>
      <c r="D370" s="8"/>
      <c r="E370" s="8">
        <v>28406</v>
      </c>
      <c r="F370" s="8"/>
      <c r="G370" s="15">
        <v>1.3336188008258782</v>
      </c>
      <c r="H370" s="15">
        <v>1.3336188008258782</v>
      </c>
      <c r="I370" s="15">
        <v>0.93393778983660714</v>
      </c>
      <c r="J370" s="15">
        <v>0.93393778983660714</v>
      </c>
      <c r="K370" s="15">
        <v>0.99707897491721642</v>
      </c>
      <c r="L370" s="15">
        <v>0.99707897491721642</v>
      </c>
      <c r="M370" s="15">
        <v>0.99707897491721642</v>
      </c>
      <c r="N370" s="15">
        <v>0.99707897491721642</v>
      </c>
      <c r="O370" s="15">
        <v>0.87695787904560418</v>
      </c>
      <c r="P370" s="15">
        <v>0.87695787904560418</v>
      </c>
      <c r="Q370" s="8"/>
      <c r="R370" s="9" t="s">
        <v>376</v>
      </c>
    </row>
    <row r="371" spans="1:18" x14ac:dyDescent="0.25">
      <c r="A371" s="6" t="str">
        <f>HYPERLINK("proteomic_fractions_linear_files/Yang_linear_img/18700032.jpg", "18700032")</f>
        <v>18700032</v>
      </c>
      <c r="B371" s="7"/>
      <c r="C371" s="6" t="str">
        <f>HYPERLINK("http://www.ncbi.nlm.nih.gov/protein/18700032","Anp32b")</f>
        <v>Anp32b</v>
      </c>
      <c r="D371" s="8"/>
      <c r="E371" s="8">
        <v>30948</v>
      </c>
      <c r="F371" s="8"/>
      <c r="G371" s="15">
        <v>0.90058746121555033</v>
      </c>
      <c r="H371" s="15">
        <v>0.90058746121555033</v>
      </c>
      <c r="I371" s="15">
        <v>0.96404538360364944</v>
      </c>
      <c r="J371" s="15">
        <v>0.96404538360364944</v>
      </c>
      <c r="K371" s="15">
        <v>0.96404538360364944</v>
      </c>
      <c r="L371" s="15">
        <v>0.96404538360364944</v>
      </c>
      <c r="M371" s="15">
        <v>0.96404538360364944</v>
      </c>
      <c r="N371" s="15">
        <v>0.96404538360364944</v>
      </c>
      <c r="O371" s="15">
        <v>0.90058746121555033</v>
      </c>
      <c r="P371" s="15">
        <v>0.90058746121555033</v>
      </c>
      <c r="Q371" s="8"/>
      <c r="R371" s="9" t="s">
        <v>377</v>
      </c>
    </row>
    <row r="372" spans="1:18" x14ac:dyDescent="0.25">
      <c r="A372" s="6" t="str">
        <f>HYPERLINK("proteomic_fractions_linear_files/Yang_linear_img/359279954.jpg", "359279954")</f>
        <v>359279954</v>
      </c>
      <c r="B372" s="7"/>
      <c r="C372" s="6" t="str">
        <f>HYPERLINK("http://www.ncbi.nlm.nih.gov/protein/359279954","Anp32e")</f>
        <v>Anp32e</v>
      </c>
      <c r="D372" s="8"/>
      <c r="E372" s="8">
        <v>15704</v>
      </c>
      <c r="F372" s="8"/>
      <c r="G372" s="15" t="s">
        <v>10</v>
      </c>
      <c r="H372" s="15" t="s">
        <v>10</v>
      </c>
      <c r="I372" s="15" t="s">
        <v>10</v>
      </c>
      <c r="J372" s="15" t="s">
        <v>10</v>
      </c>
      <c r="K372" s="15" t="s">
        <v>10</v>
      </c>
      <c r="L372" s="15" t="s">
        <v>10</v>
      </c>
      <c r="M372" s="15" t="s">
        <v>10</v>
      </c>
      <c r="N372" s="15" t="s">
        <v>10</v>
      </c>
      <c r="O372" s="15">
        <v>1.6343911322140625</v>
      </c>
      <c r="P372" s="15">
        <v>1.6343911322140625</v>
      </c>
      <c r="Q372" s="8"/>
      <c r="R372" s="9" t="s">
        <v>378</v>
      </c>
    </row>
    <row r="373" spans="1:18" x14ac:dyDescent="0.25">
      <c r="A373" s="6" t="str">
        <f>HYPERLINK("proteomic_fractions_linear_files/Yang_linear_img/254587996.jpg", "254587996")</f>
        <v>254587996</v>
      </c>
      <c r="B373" s="7"/>
      <c r="C373" s="6" t="str">
        <f>HYPERLINK("http://www.ncbi.nlm.nih.gov/protein/254587996","Anp32e")</f>
        <v>Anp32e</v>
      </c>
      <c r="D373" s="8"/>
      <c r="E373" s="8">
        <v>29491</v>
      </c>
      <c r="F373" s="8"/>
      <c r="G373" s="15">
        <v>1.3968040759731981</v>
      </c>
      <c r="H373" s="15">
        <v>1.3968040759731981</v>
      </c>
      <c r="I373" s="15">
        <v>1.0305312721280391</v>
      </c>
      <c r="J373" s="15">
        <v>1.0305312721280391</v>
      </c>
      <c r="K373" s="15">
        <v>1.0305312721280391</v>
      </c>
      <c r="L373" s="15">
        <v>1.0305312721280391</v>
      </c>
      <c r="M373" s="15">
        <v>1.0305312721280391</v>
      </c>
      <c r="N373" s="15">
        <v>1.0305312721280391</v>
      </c>
      <c r="O373" s="15">
        <v>0.90173303846293107</v>
      </c>
      <c r="P373" s="15">
        <v>0.90173303846293107</v>
      </c>
      <c r="Q373" s="8"/>
      <c r="R373" s="9" t="s">
        <v>379</v>
      </c>
    </row>
    <row r="374" spans="1:18" x14ac:dyDescent="0.25">
      <c r="A374" s="6" t="str">
        <f>HYPERLINK("proteomic_fractions_linear_files/Yang_linear_img/359279956.jpg", "359279956")</f>
        <v>359279956</v>
      </c>
      <c r="B374" s="7"/>
      <c r="C374" s="6" t="str">
        <f>HYPERLINK("http://www.ncbi.nlm.nih.gov/protein/359279956","Anp32e")</f>
        <v>Anp32e</v>
      </c>
      <c r="D374" s="8"/>
      <c r="E374" s="8">
        <v>28114</v>
      </c>
      <c r="F374" s="8"/>
      <c r="G374" s="15">
        <v>1.4466899358293837</v>
      </c>
      <c r="H374" s="15">
        <v>1.4466899358293837</v>
      </c>
      <c r="I374" s="15">
        <v>1.0673359604183261</v>
      </c>
      <c r="J374" s="15">
        <v>1.0673359604183261</v>
      </c>
      <c r="K374" s="15">
        <v>1.0673359604183261</v>
      </c>
      <c r="L374" s="15">
        <v>1.0673359604183261</v>
      </c>
      <c r="M374" s="15">
        <v>1.0673359604183261</v>
      </c>
      <c r="N374" s="15">
        <v>1.0673359604183261</v>
      </c>
      <c r="O374" s="15">
        <v>0.93393778983660714</v>
      </c>
      <c r="P374" s="15">
        <v>0.93393778983660714</v>
      </c>
      <c r="Q374" s="8"/>
      <c r="R374" s="9" t="s">
        <v>380</v>
      </c>
    </row>
    <row r="375" spans="1:18" x14ac:dyDescent="0.25">
      <c r="A375" s="6" t="str">
        <f>HYPERLINK("proteomic_fractions_linear_files/Yang_linear_img/225637487.jpg", "225637487")</f>
        <v>225637487</v>
      </c>
      <c r="B375" s="7"/>
      <c r="C375" s="6" t="str">
        <f>HYPERLINK("http://www.ncbi.nlm.nih.gov/protein/225637487","Anpep")</f>
        <v>Anpep</v>
      </c>
      <c r="D375" s="8"/>
      <c r="E375" s="8">
        <v>109521</v>
      </c>
      <c r="F375" s="8"/>
      <c r="G375" s="15" t="s">
        <v>10</v>
      </c>
      <c r="H375" s="15" t="s">
        <v>10</v>
      </c>
      <c r="I375" s="15" t="s">
        <v>10</v>
      </c>
      <c r="J375" s="15" t="s">
        <v>10</v>
      </c>
      <c r="K375" s="15">
        <v>2.1214622511622641</v>
      </c>
      <c r="L375" s="15">
        <v>2.1214622511622641</v>
      </c>
      <c r="M375" s="15" t="s">
        <v>10</v>
      </c>
      <c r="N375" s="15" t="s">
        <v>10</v>
      </c>
      <c r="O375" s="15" t="s">
        <v>10</v>
      </c>
      <c r="P375" s="15" t="s">
        <v>10</v>
      </c>
      <c r="Q375" s="8"/>
      <c r="R375" s="9" t="s">
        <v>381</v>
      </c>
    </row>
    <row r="376" spans="1:18" x14ac:dyDescent="0.25">
      <c r="A376" s="6" t="str">
        <f>HYPERLINK("proteomic_fractions_linear_files/Yang_linear_img/124517663.jpg", "124517663")</f>
        <v>124517663</v>
      </c>
      <c r="B376" s="7"/>
      <c r="C376" s="6" t="str">
        <f>HYPERLINK("http://www.ncbi.nlm.nih.gov/protein/124517663","Anxa1")</f>
        <v>Anxa1</v>
      </c>
      <c r="D376" s="8"/>
      <c r="E376" s="8">
        <v>38603</v>
      </c>
      <c r="F376" s="8"/>
      <c r="G376" s="15">
        <v>1.2382045021644936</v>
      </c>
      <c r="H376" s="15">
        <v>1.2382045021644936</v>
      </c>
      <c r="I376" s="15">
        <v>0.8859840136019278</v>
      </c>
      <c r="J376" s="15">
        <v>0.8859840136019278</v>
      </c>
      <c r="K376" s="15">
        <v>0.95746990828524592</v>
      </c>
      <c r="L376" s="15">
        <v>0.95746990828524592</v>
      </c>
      <c r="M376" s="15">
        <v>0.95746990828524592</v>
      </c>
      <c r="N376" s="15">
        <v>0.95746990828524592</v>
      </c>
      <c r="O376" s="15">
        <v>0.8859840136019278</v>
      </c>
      <c r="P376" s="15">
        <v>0.8859840136019278</v>
      </c>
      <c r="Q376" s="8"/>
      <c r="R376" s="9" t="s">
        <v>382</v>
      </c>
    </row>
    <row r="377" spans="1:18" x14ac:dyDescent="0.25">
      <c r="A377" s="6" t="str">
        <f>HYPERLINK("proteomic_fractions_linear_files/Yang_linear_img/160707921.jpg", "160707921")</f>
        <v>160707921</v>
      </c>
      <c r="B377" s="7"/>
      <c r="C377" s="6" t="str">
        <f>HYPERLINK("http://www.ncbi.nlm.nih.gov/protein/160707921","Anxa11")</f>
        <v>Anxa11</v>
      </c>
      <c r="D377" s="8"/>
      <c r="E377" s="8">
        <v>53948</v>
      </c>
      <c r="F377" s="8"/>
      <c r="G377" s="15">
        <v>1.2120974690841544</v>
      </c>
      <c r="H377" s="15">
        <v>1.2120974690841544</v>
      </c>
      <c r="I377" s="15">
        <v>0.98371425240742738</v>
      </c>
      <c r="J377" s="15">
        <v>0.98371425240742738</v>
      </c>
      <c r="K377" s="15">
        <v>0.98371425240742738</v>
      </c>
      <c r="L377" s="15">
        <v>0.98371425240742738</v>
      </c>
      <c r="M377" s="15">
        <v>0.98371425240742738</v>
      </c>
      <c r="N377" s="15">
        <v>0.98371425240742738</v>
      </c>
      <c r="O377" s="15">
        <v>0.89425880711880101</v>
      </c>
      <c r="P377" s="15">
        <v>0.89425880711880101</v>
      </c>
      <c r="Q377" s="8"/>
      <c r="R377" s="9" t="s">
        <v>383</v>
      </c>
    </row>
    <row r="378" spans="1:18" x14ac:dyDescent="0.25">
      <c r="A378" s="6" t="str">
        <f>HYPERLINK("proteomic_fractions_linear_files/Yang_linear_img/6996913.jpg", "6996913")</f>
        <v>6996913</v>
      </c>
      <c r="B378" s="7"/>
      <c r="C378" s="6" t="str">
        <f>HYPERLINK("http://www.ncbi.nlm.nih.gov/protein/6996913","Anxa2")</f>
        <v>Anxa2</v>
      </c>
      <c r="D378" s="8"/>
      <c r="E378" s="8">
        <v>38545</v>
      </c>
      <c r="F378" s="8"/>
      <c r="G378" s="15">
        <v>1.1314253653068069</v>
      </c>
      <c r="H378" s="15">
        <v>1.1314253653068069</v>
      </c>
      <c r="I378" s="15">
        <v>0.82266853476239965</v>
      </c>
      <c r="J378" s="15">
        <v>0.82266853476239965</v>
      </c>
      <c r="K378" s="15">
        <v>0.8859840136019278</v>
      </c>
      <c r="L378" s="15">
        <v>0.8859840136019278</v>
      </c>
      <c r="M378" s="15">
        <v>0.8859840136019278</v>
      </c>
      <c r="N378" s="15">
        <v>0.8859840136019278</v>
      </c>
      <c r="O378" s="15">
        <v>0.76629248440290076</v>
      </c>
      <c r="P378" s="15">
        <v>0.76629248440290076</v>
      </c>
      <c r="Q378" s="8"/>
      <c r="R378" s="9" t="s">
        <v>384</v>
      </c>
    </row>
    <row r="379" spans="1:18" x14ac:dyDescent="0.25">
      <c r="A379" s="6" t="str">
        <f>HYPERLINK("proteomic_fractions_linear_files/Yang_linear_img/160707925.jpg", "160707925")</f>
        <v>160707925</v>
      </c>
      <c r="B379" s="7"/>
      <c r="C379" s="6" t="str">
        <f>HYPERLINK("http://www.ncbi.nlm.nih.gov/protein/160707925","Anxa3")</f>
        <v>Anxa3</v>
      </c>
      <c r="D379" s="8"/>
      <c r="E379" s="8">
        <v>36253</v>
      </c>
      <c r="F379" s="8"/>
      <c r="G379" s="15">
        <v>1.2257108124157075</v>
      </c>
      <c r="H379" s="15">
        <v>1.2257108124157075</v>
      </c>
      <c r="I379" s="15">
        <v>0.89122424599259964</v>
      </c>
      <c r="J379" s="15">
        <v>0.89122424599259964</v>
      </c>
      <c r="K379" s="15">
        <v>0.95981601473542177</v>
      </c>
      <c r="L379" s="15">
        <v>0.95981601473542177</v>
      </c>
      <c r="M379" s="15">
        <v>1.4755713786111411</v>
      </c>
      <c r="N379" s="15">
        <v>1.4755713786111411</v>
      </c>
      <c r="O379" s="15">
        <v>0.83015019143647584</v>
      </c>
      <c r="P379" s="15">
        <v>0.83015019143647584</v>
      </c>
      <c r="Q379" s="8"/>
      <c r="R379" s="9" t="s">
        <v>385</v>
      </c>
    </row>
    <row r="380" spans="1:18" x14ac:dyDescent="0.25">
      <c r="A380" s="6" t="str">
        <f>HYPERLINK("proteomic_fractions_linear_files/Yang_linear_img/161016799.jpg", "161016799")</f>
        <v>161016799</v>
      </c>
      <c r="B380" s="7"/>
      <c r="C380" s="6" t="str">
        <f>HYPERLINK("http://www.ncbi.nlm.nih.gov/protein/161016799","Anxa4")</f>
        <v>Anxa4</v>
      </c>
      <c r="D380" s="8"/>
      <c r="E380" s="8">
        <v>35785</v>
      </c>
      <c r="F380" s="8"/>
      <c r="G380" s="15">
        <v>1.125203283422854</v>
      </c>
      <c r="H380" s="15">
        <v>1.125203283422854</v>
      </c>
      <c r="I380" s="15">
        <v>0.83015019143647584</v>
      </c>
      <c r="J380" s="15">
        <v>0.83015019143647584</v>
      </c>
      <c r="K380" s="15">
        <v>0.83015019143647584</v>
      </c>
      <c r="L380" s="15">
        <v>0.83015019143647584</v>
      </c>
      <c r="M380" s="15">
        <v>0.83015019143647584</v>
      </c>
      <c r="N380" s="15">
        <v>0.77550586938005717</v>
      </c>
      <c r="O380" s="15">
        <v>0.72639605876180557</v>
      </c>
      <c r="P380" s="15">
        <v>0.72639605876180557</v>
      </c>
      <c r="Q380" s="8"/>
      <c r="R380" s="9" t="s">
        <v>386</v>
      </c>
    </row>
    <row r="381" spans="1:18" x14ac:dyDescent="0.25">
      <c r="A381" s="6" t="str">
        <f>HYPERLINK("proteomic_fractions_linear_files/Yang_linear_img/6753060.jpg", "6753060")</f>
        <v>6753060</v>
      </c>
      <c r="B381" s="7"/>
      <c r="C381" s="6" t="str">
        <f>HYPERLINK("http://www.ncbi.nlm.nih.gov/protein/6753060","Anxa5")</f>
        <v>Anxa5</v>
      </c>
      <c r="D381" s="8"/>
      <c r="E381" s="8">
        <v>35621</v>
      </c>
      <c r="F381" s="8"/>
      <c r="G381" s="15">
        <v>1.125203283422854</v>
      </c>
      <c r="H381" s="15">
        <v>1.125203283422854</v>
      </c>
      <c r="I381" s="15">
        <v>0.83015019143647584</v>
      </c>
      <c r="J381" s="15">
        <v>0.83015019143647584</v>
      </c>
      <c r="K381" s="15">
        <v>0.83015019143647584</v>
      </c>
      <c r="L381" s="15">
        <v>0.83015019143647584</v>
      </c>
      <c r="M381" s="15">
        <v>0.83015019143647584</v>
      </c>
      <c r="N381" s="15">
        <v>0.83015019143647584</v>
      </c>
      <c r="O381" s="15">
        <v>0.72639605876180557</v>
      </c>
      <c r="P381" s="15">
        <v>0.72639605876180557</v>
      </c>
      <c r="Q381" s="8"/>
      <c r="R381" s="9" t="s">
        <v>387</v>
      </c>
    </row>
    <row r="382" spans="1:18" x14ac:dyDescent="0.25">
      <c r="A382" s="6" t="str">
        <f>HYPERLINK("proteomic_fractions_linear_files/Yang_linear_img/158966670.jpg", "158966670")</f>
        <v>158966670</v>
      </c>
      <c r="B382" s="7"/>
      <c r="C382" s="6" t="str">
        <f>HYPERLINK("http://www.ncbi.nlm.nih.gov/protein/158966670","Anxa6")</f>
        <v>Anxa6</v>
      </c>
      <c r="D382" s="8"/>
      <c r="E382" s="8">
        <v>75158</v>
      </c>
      <c r="F382" s="8"/>
      <c r="G382" s="15">
        <v>1.1079821129752514</v>
      </c>
      <c r="H382" s="15">
        <v>1.1079821129752514</v>
      </c>
      <c r="I382" s="15">
        <v>0.97914880322242992</v>
      </c>
      <c r="J382" s="15">
        <v>0.97914880322242992</v>
      </c>
      <c r="K382" s="15">
        <v>0.97914880322242992</v>
      </c>
      <c r="L382" s="15">
        <v>0.97914880322242992</v>
      </c>
      <c r="M382" s="15">
        <v>0.97914880322242992</v>
      </c>
      <c r="N382" s="15">
        <v>0.97914880322242992</v>
      </c>
      <c r="O382" s="15">
        <v>0.87271017774059112</v>
      </c>
      <c r="P382" s="15">
        <v>0.87271017774059112</v>
      </c>
      <c r="Q382" s="8"/>
      <c r="R382" s="9" t="s">
        <v>388</v>
      </c>
    </row>
    <row r="383" spans="1:18" x14ac:dyDescent="0.25">
      <c r="A383" s="6" t="str">
        <f>HYPERLINK("proteomic_fractions_linear_files/Yang_linear_img/31981302.jpg", "31981302")</f>
        <v>31981302</v>
      </c>
      <c r="B383" s="7"/>
      <c r="C383" s="6" t="str">
        <f>HYPERLINK("http://www.ncbi.nlm.nih.gov/protein/31981302","Anxa6")</f>
        <v>Anxa6</v>
      </c>
      <c r="D383" s="8"/>
      <c r="E383" s="8">
        <v>75754</v>
      </c>
      <c r="F383" s="8"/>
      <c r="G383" s="15">
        <v>1.0934034009624192</v>
      </c>
      <c r="H383" s="15">
        <v>1.0934034009624192</v>
      </c>
      <c r="I383" s="15">
        <v>0.96626526633792431</v>
      </c>
      <c r="J383" s="15">
        <v>0.96626526633792431</v>
      </c>
      <c r="K383" s="15">
        <v>0.96626526633792431</v>
      </c>
      <c r="L383" s="15">
        <v>0.96626526633792431</v>
      </c>
      <c r="M383" s="15">
        <v>0.96626526633792431</v>
      </c>
      <c r="N383" s="15">
        <v>0.96626526633792431</v>
      </c>
      <c r="O383" s="15">
        <v>0.86122714908610964</v>
      </c>
      <c r="P383" s="15">
        <v>0.86122714908610964</v>
      </c>
      <c r="Q383" s="8"/>
      <c r="R383" s="9" t="s">
        <v>389</v>
      </c>
    </row>
    <row r="384" spans="1:18" x14ac:dyDescent="0.25">
      <c r="A384" s="6" t="str">
        <f>HYPERLINK("proteomic_fractions_linear_files/Yang_linear_img/160707956.jpg", "160707956")</f>
        <v>160707956</v>
      </c>
      <c r="B384" s="7"/>
      <c r="C384" s="6" t="str">
        <f>HYPERLINK("http://www.ncbi.nlm.nih.gov/protein/160707956","Anxa7")</f>
        <v>Anxa7</v>
      </c>
      <c r="D384" s="8"/>
      <c r="E384" s="8">
        <v>49794</v>
      </c>
      <c r="F384" s="8"/>
      <c r="G384" s="15" t="s">
        <v>10</v>
      </c>
      <c r="H384" s="15" t="s">
        <v>10</v>
      </c>
      <c r="I384" s="15">
        <v>0.88251178493930937</v>
      </c>
      <c r="J384" s="15">
        <v>0.88251178493930937</v>
      </c>
      <c r="K384" s="15">
        <v>0.88251178493930937</v>
      </c>
      <c r="L384" s="15">
        <v>0.88251178493930937</v>
      </c>
      <c r="M384" s="15">
        <v>0.88251178493930937</v>
      </c>
      <c r="N384" s="15">
        <v>0.88251178493930937</v>
      </c>
      <c r="O384" s="15">
        <v>0.81014636406445495</v>
      </c>
      <c r="P384" s="15">
        <v>0.81014636406445495</v>
      </c>
      <c r="Q384" s="8"/>
      <c r="R384" s="9" t="s">
        <v>390</v>
      </c>
    </row>
    <row r="385" spans="1:18" x14ac:dyDescent="0.25">
      <c r="A385" s="6" t="str">
        <f>HYPERLINK("proteomic_fractions_linear_files/Yang_linear_img/145864475.jpg", "145864475")</f>
        <v>145864475</v>
      </c>
      <c r="B385" s="7"/>
      <c r="C385" s="6" t="str">
        <f>HYPERLINK("http://www.ncbi.nlm.nih.gov/protein/145864475","Anxa9")</f>
        <v>Anxa9</v>
      </c>
      <c r="D385" s="8"/>
      <c r="E385" s="8">
        <v>37979</v>
      </c>
      <c r="F385" s="8"/>
      <c r="G385" s="15">
        <v>1.0659820579795458</v>
      </c>
      <c r="H385" s="15">
        <v>1.0659820579795458</v>
      </c>
      <c r="I385" s="15">
        <v>0.78645807609771401</v>
      </c>
      <c r="J385" s="15">
        <v>0.78645807609771401</v>
      </c>
      <c r="K385" s="15">
        <v>0.84431770672983131</v>
      </c>
      <c r="L385" s="15">
        <v>0.84431770672983131</v>
      </c>
      <c r="M385" s="15">
        <v>0.84431770672983131</v>
      </c>
      <c r="N385" s="15">
        <v>0.84431770672983131</v>
      </c>
      <c r="O385" s="15">
        <v>0.73468977099163313</v>
      </c>
      <c r="P385" s="15">
        <v>0.73468977099163313</v>
      </c>
      <c r="Q385" s="8"/>
      <c r="R385" s="9" t="s">
        <v>391</v>
      </c>
    </row>
    <row r="386" spans="1:18" x14ac:dyDescent="0.25">
      <c r="A386" s="6" t="str">
        <f>HYPERLINK("proteomic_fractions_linear_files/Yang_linear_img/34098972.jpg", "34098972")</f>
        <v>34098972</v>
      </c>
      <c r="B386" s="7"/>
      <c r="C386" s="6" t="str">
        <f>HYPERLINK("http://www.ncbi.nlm.nih.gov/protein/34098972","Aoc2")</f>
        <v>Aoc2</v>
      </c>
      <c r="D386" s="8"/>
      <c r="E386" s="8">
        <v>83453</v>
      </c>
      <c r="F386" s="8"/>
      <c r="G386" s="15">
        <v>0.38655509464739263</v>
      </c>
      <c r="H386" s="15">
        <v>0.38655509464739263</v>
      </c>
      <c r="I386" s="15" t="s">
        <v>10</v>
      </c>
      <c r="J386" s="15" t="s">
        <v>10</v>
      </c>
      <c r="K386" s="15" t="s">
        <v>10</v>
      </c>
      <c r="L386" s="15" t="s">
        <v>10</v>
      </c>
      <c r="M386" s="15" t="s">
        <v>10</v>
      </c>
      <c r="N386" s="15" t="s">
        <v>10</v>
      </c>
      <c r="O386" s="15" t="s">
        <v>10</v>
      </c>
      <c r="P386" s="15" t="s">
        <v>10</v>
      </c>
      <c r="Q386" s="8"/>
      <c r="R386" s="9" t="s">
        <v>392</v>
      </c>
    </row>
    <row r="387" spans="1:18" x14ac:dyDescent="0.25">
      <c r="A387" s="6" t="str">
        <f>HYPERLINK("proteomic_fractions_linear_files/Yang_linear_img/6753066.jpg", "6753066")</f>
        <v>6753066</v>
      </c>
      <c r="B387" s="7"/>
      <c r="C387" s="6" t="str">
        <f>HYPERLINK("http://www.ncbi.nlm.nih.gov/protein/6753066","Aoc3")</f>
        <v>Aoc3</v>
      </c>
      <c r="D387" s="8"/>
      <c r="E387" s="8">
        <v>84403</v>
      </c>
      <c r="F387" s="8"/>
      <c r="G387" s="15">
        <v>0.38195324828254273</v>
      </c>
      <c r="H387" s="15">
        <v>0.38195324828254273</v>
      </c>
      <c r="I387" s="15" t="s">
        <v>10</v>
      </c>
      <c r="J387" s="15" t="s">
        <v>10</v>
      </c>
      <c r="K387" s="15" t="s">
        <v>10</v>
      </c>
      <c r="L387" s="15" t="s">
        <v>10</v>
      </c>
      <c r="M387" s="15" t="s">
        <v>10</v>
      </c>
      <c r="N387" s="15" t="s">
        <v>10</v>
      </c>
      <c r="O387" s="15" t="s">
        <v>10</v>
      </c>
      <c r="P387" s="15" t="s">
        <v>10</v>
      </c>
      <c r="Q387" s="8"/>
      <c r="R387" s="9" t="s">
        <v>393</v>
      </c>
    </row>
    <row r="388" spans="1:18" x14ac:dyDescent="0.25">
      <c r="A388" s="6" t="str">
        <f>HYPERLINK("proteomic_fractions_linear_files/Yang_linear_img/339895913.jpg", "339895913")</f>
        <v>339895913</v>
      </c>
      <c r="B388" s="7"/>
      <c r="C388" s="6" t="str">
        <f>HYPERLINK("http://www.ncbi.nlm.nih.gov/protein/339895913","Ap1b1")</f>
        <v>Ap1b1</v>
      </c>
      <c r="D388" s="8"/>
      <c r="E388" s="8">
        <v>104867</v>
      </c>
      <c r="F388" s="8"/>
      <c r="G388" s="15">
        <v>1.2259202680487331</v>
      </c>
      <c r="H388" s="15">
        <v>1.2259202680487331</v>
      </c>
      <c r="I388" s="15">
        <v>1.0457291792488712</v>
      </c>
      <c r="J388" s="15">
        <v>1.0457291792488712</v>
      </c>
      <c r="K388" s="15">
        <v>1.2259202680487331</v>
      </c>
      <c r="L388" s="15">
        <v>1.2259202680487331</v>
      </c>
      <c r="M388" s="15">
        <v>1.2259202680487331</v>
      </c>
      <c r="N388" s="15">
        <v>1.2259202680487331</v>
      </c>
      <c r="O388" s="15">
        <v>1.0457291792488712</v>
      </c>
      <c r="P388" s="15">
        <v>1.0457291792488712</v>
      </c>
      <c r="Q388" s="8"/>
      <c r="R388" s="9" t="s">
        <v>394</v>
      </c>
    </row>
    <row r="389" spans="1:18" x14ac:dyDescent="0.25">
      <c r="A389" s="6" t="str">
        <f>HYPERLINK("proteomic_fractions_linear_files/Yang_linear_img/339895916.jpg", "339895916")</f>
        <v>339895916</v>
      </c>
      <c r="B389" s="7"/>
      <c r="C389" s="6" t="str">
        <f>HYPERLINK("http://www.ncbi.nlm.nih.gov/protein/339895916","Ap1b1")</f>
        <v>Ap1b1</v>
      </c>
      <c r="D389" s="8"/>
      <c r="E389" s="8">
        <v>104162</v>
      </c>
      <c r="F389" s="8"/>
      <c r="G389" s="15">
        <v>1.237707962933817</v>
      </c>
      <c r="H389" s="15">
        <v>1.237707962933817</v>
      </c>
      <c r="I389" s="15">
        <v>1.0557842675108795</v>
      </c>
      <c r="J389" s="15">
        <v>1.0557842675108795</v>
      </c>
      <c r="K389" s="15">
        <v>1.237707962933817</v>
      </c>
      <c r="L389" s="15">
        <v>1.237707962933817</v>
      </c>
      <c r="M389" s="15">
        <v>1.237707962933817</v>
      </c>
      <c r="N389" s="15">
        <v>1.237707962933817</v>
      </c>
      <c r="O389" s="15">
        <v>1.0557842675108795</v>
      </c>
      <c r="P389" s="15">
        <v>1.0557842675108795</v>
      </c>
      <c r="Q389" s="8"/>
      <c r="R389" s="9" t="s">
        <v>395</v>
      </c>
    </row>
    <row r="390" spans="1:18" x14ac:dyDescent="0.25">
      <c r="A390" s="6" t="str">
        <f>HYPERLINK("proteomic_fractions_linear_files/Yang_linear_img/88853578.jpg", "88853578")</f>
        <v>88853578</v>
      </c>
      <c r="B390" s="7"/>
      <c r="C390" s="6" t="str">
        <f>HYPERLINK("http://www.ncbi.nlm.nih.gov/protein/88853578","Ap1b1")</f>
        <v>Ap1b1</v>
      </c>
      <c r="D390" s="8"/>
      <c r="E390" s="8">
        <v>103804</v>
      </c>
      <c r="F390" s="8"/>
      <c r="G390" s="15">
        <v>1.237707962933817</v>
      </c>
      <c r="H390" s="15">
        <v>1.237707962933817</v>
      </c>
      <c r="I390" s="15">
        <v>1.0557842675108795</v>
      </c>
      <c r="J390" s="15">
        <v>1.0557842675108795</v>
      </c>
      <c r="K390" s="15">
        <v>1.237707962933817</v>
      </c>
      <c r="L390" s="15">
        <v>1.237707962933817</v>
      </c>
      <c r="M390" s="15">
        <v>1.237707962933817</v>
      </c>
      <c r="N390" s="15">
        <v>1.237707962933817</v>
      </c>
      <c r="O390" s="15">
        <v>1.0557842675108795</v>
      </c>
      <c r="P390" s="15">
        <v>1.0557842675108795</v>
      </c>
      <c r="Q390" s="8"/>
      <c r="R390" s="9" t="s">
        <v>396</v>
      </c>
    </row>
    <row r="391" spans="1:18" x14ac:dyDescent="0.25">
      <c r="A391" s="6" t="str">
        <f>HYPERLINK("proteomic_fractions_linear_files/Yang_linear_img/56744242.jpg", "56744242")</f>
        <v>56744242</v>
      </c>
      <c r="B391" s="7"/>
      <c r="C391" s="6" t="str">
        <f>HYPERLINK("http://www.ncbi.nlm.nih.gov/protein/56744242","Ap1g1")</f>
        <v>Ap1g1</v>
      </c>
      <c r="D391" s="8"/>
      <c r="E391" s="8">
        <v>91591</v>
      </c>
      <c r="F391" s="8"/>
      <c r="G391" s="15">
        <v>1.3991481320121408</v>
      </c>
      <c r="H391" s="15">
        <v>1.0322606650280925</v>
      </c>
      <c r="I391" s="15">
        <v>1.193495258925342</v>
      </c>
      <c r="J391" s="15">
        <v>1.193495258925342</v>
      </c>
      <c r="K391" s="15">
        <v>1.193495258925342</v>
      </c>
      <c r="L391" s="15">
        <v>1.193495258925342</v>
      </c>
      <c r="M391" s="15">
        <v>1.193495258925342</v>
      </c>
      <c r="N391" s="15">
        <v>1.193495258925342</v>
      </c>
      <c r="O391" s="15">
        <v>1.0322606650280925</v>
      </c>
      <c r="P391" s="15">
        <v>1.0322606650280925</v>
      </c>
      <c r="Q391" s="8"/>
      <c r="R391" s="9" t="s">
        <v>397</v>
      </c>
    </row>
    <row r="392" spans="1:18" x14ac:dyDescent="0.25">
      <c r="A392" s="6" t="str">
        <f>HYPERLINK("proteomic_fractions_linear_files/Yang_linear_img/160707961.jpg", "160707961")</f>
        <v>160707961</v>
      </c>
      <c r="B392" s="7"/>
      <c r="C392" s="6" t="str">
        <f>HYPERLINK("http://www.ncbi.nlm.nih.gov/protein/160707961","Ap1g2")</f>
        <v>Ap1g2</v>
      </c>
      <c r="D392" s="8"/>
      <c r="E392" s="8">
        <v>87732</v>
      </c>
      <c r="F392" s="8"/>
      <c r="G392" s="15">
        <v>1.2477450434219486</v>
      </c>
      <c r="H392" s="15">
        <v>1.2477450434219486</v>
      </c>
      <c r="I392" s="15">
        <v>1.2477450434219486</v>
      </c>
      <c r="J392" s="15">
        <v>1.2477450434219486</v>
      </c>
      <c r="K392" s="15">
        <v>1.2477450434219486</v>
      </c>
      <c r="L392" s="15">
        <v>1.2477450434219486</v>
      </c>
      <c r="M392" s="15">
        <v>1.0791816043475513</v>
      </c>
      <c r="N392" s="15">
        <v>1.0791816043475513</v>
      </c>
      <c r="O392" s="15">
        <v>1.0791816043475513</v>
      </c>
      <c r="P392" s="15">
        <v>1.0791816043475513</v>
      </c>
      <c r="Q392" s="8"/>
      <c r="R392" s="9" t="s">
        <v>398</v>
      </c>
    </row>
    <row r="393" spans="1:18" x14ac:dyDescent="0.25">
      <c r="A393" s="6" t="str">
        <f>HYPERLINK("proteomic_fractions_linear_files/Yang_linear_img/6671557.jpg", "6671557")</f>
        <v>6671557</v>
      </c>
      <c r="B393" s="7"/>
      <c r="C393" s="6" t="str">
        <f>HYPERLINK("http://www.ncbi.nlm.nih.gov/protein/6671557","Ap1m1")</f>
        <v>Ap1m1</v>
      </c>
      <c r="D393" s="8"/>
      <c r="E393" s="8">
        <v>48412</v>
      </c>
      <c r="F393" s="8"/>
      <c r="G393" s="15" t="s">
        <v>10</v>
      </c>
      <c r="H393" s="15" t="s">
        <v>10</v>
      </c>
      <c r="I393" s="15">
        <v>0.91928310931178059</v>
      </c>
      <c r="J393" s="15">
        <v>0.91928310931178059</v>
      </c>
      <c r="K393" s="15">
        <v>1.006041158008651</v>
      </c>
      <c r="L393" s="15">
        <v>1.006041158008651</v>
      </c>
      <c r="M393" s="15" t="s">
        <v>10</v>
      </c>
      <c r="N393" s="15" t="s">
        <v>10</v>
      </c>
      <c r="O393" s="15">
        <v>0.91928310931178059</v>
      </c>
      <c r="P393" s="15">
        <v>0.91928310931178059</v>
      </c>
      <c r="Q393" s="8"/>
      <c r="R393" s="9" t="s">
        <v>399</v>
      </c>
    </row>
    <row r="394" spans="1:18" x14ac:dyDescent="0.25">
      <c r="A394" s="6" t="str">
        <f>HYPERLINK("proteomic_fractions_linear_files/Yang_linear_img/160333502.jpg", "160333502")</f>
        <v>160333502</v>
      </c>
      <c r="B394" s="7"/>
      <c r="C394" s="6" t="str">
        <f>HYPERLINK("http://www.ncbi.nlm.nih.gov/protein/160333502","Ap1m2")</f>
        <v>Ap1m2</v>
      </c>
      <c r="D394" s="8"/>
      <c r="E394" s="8">
        <v>48121</v>
      </c>
      <c r="F394" s="8"/>
      <c r="G394" s="15">
        <v>1.2244418246998718</v>
      </c>
      <c r="H394" s="15">
        <v>1.2244418246998718</v>
      </c>
      <c r="I394" s="15">
        <v>1.006041158008651</v>
      </c>
      <c r="J394" s="15">
        <v>1.006041158008651</v>
      </c>
      <c r="K394" s="15">
        <v>1.006041158008651</v>
      </c>
      <c r="L394" s="15">
        <v>1.006041158008651</v>
      </c>
      <c r="M394" s="15">
        <v>1.006041158008651</v>
      </c>
      <c r="N394" s="15">
        <v>1.006041158008651</v>
      </c>
      <c r="O394" s="15">
        <v>0.91928310931178059</v>
      </c>
      <c r="P394" s="15">
        <v>0.91928310931178059</v>
      </c>
      <c r="Q394" s="8"/>
      <c r="R394" s="9" t="s">
        <v>400</v>
      </c>
    </row>
    <row r="395" spans="1:18" x14ac:dyDescent="0.25">
      <c r="A395" s="6" t="str">
        <f>HYPERLINK("proteomic_fractions_linear_files/Yang_linear_img/160333508.jpg", "160333508")</f>
        <v>160333508</v>
      </c>
      <c r="B395" s="7"/>
      <c r="C395" s="6" t="str">
        <f>HYPERLINK("http://www.ncbi.nlm.nih.gov/protein/160333508","Ap1m2")</f>
        <v>Ap1m2</v>
      </c>
      <c r="D395" s="8"/>
      <c r="E395" s="8">
        <v>48020</v>
      </c>
      <c r="F395" s="8"/>
      <c r="G395" s="15">
        <v>1.2244418246998718</v>
      </c>
      <c r="H395" s="15">
        <v>1.2244418246998718</v>
      </c>
      <c r="I395" s="15">
        <v>1.006041158008651</v>
      </c>
      <c r="J395" s="15">
        <v>1.006041158008651</v>
      </c>
      <c r="K395" s="15">
        <v>1.006041158008651</v>
      </c>
      <c r="L395" s="15">
        <v>1.006041158008651</v>
      </c>
      <c r="M395" s="15">
        <v>1.006041158008651</v>
      </c>
      <c r="N395" s="15">
        <v>1.006041158008651</v>
      </c>
      <c r="O395" s="15">
        <v>0.91928310931178059</v>
      </c>
      <c r="P395" s="15">
        <v>0.91928310931178059</v>
      </c>
      <c r="Q395" s="8"/>
      <c r="R395" s="9" t="s">
        <v>401</v>
      </c>
    </row>
    <row r="396" spans="1:18" x14ac:dyDescent="0.25">
      <c r="A396" s="6" t="str">
        <f>HYPERLINK("proteomic_fractions_linear_files/Yang_linear_img/6671559.jpg", "6671559")</f>
        <v>6671559</v>
      </c>
      <c r="B396" s="7"/>
      <c r="C396" s="6" t="str">
        <f>HYPERLINK("http://www.ncbi.nlm.nih.gov/protein/6671559","Ap1s1")</f>
        <v>Ap1s1</v>
      </c>
      <c r="D396" s="8"/>
      <c r="E396" s="8">
        <v>18602</v>
      </c>
      <c r="F396" s="8"/>
      <c r="G396" s="15">
        <v>1.3763293744960527</v>
      </c>
      <c r="H396" s="15">
        <v>1.3763293744960527</v>
      </c>
      <c r="I396" s="15">
        <v>0.92473367186099831</v>
      </c>
      <c r="J396" s="15">
        <v>0.92473367186099831</v>
      </c>
      <c r="K396" s="15">
        <v>0.97343679813495176</v>
      </c>
      <c r="L396" s="15">
        <v>0.97343679813495176</v>
      </c>
      <c r="M396" s="15">
        <v>0.92473367186099831</v>
      </c>
      <c r="N396" s="15">
        <v>0.92473367186099831</v>
      </c>
      <c r="O396" s="15">
        <v>0.87981444845300116</v>
      </c>
      <c r="P396" s="15">
        <v>0.87981444845300116</v>
      </c>
      <c r="Q396" s="8"/>
      <c r="R396" s="9" t="s">
        <v>402</v>
      </c>
    </row>
    <row r="397" spans="1:18" x14ac:dyDescent="0.25">
      <c r="A397" s="6" t="str">
        <f>HYPERLINK("proteomic_fractions_linear_files/Yang_linear_img/40254484.jpg", "40254484")</f>
        <v>40254484</v>
      </c>
      <c r="B397" s="7"/>
      <c r="C397" s="6" t="str">
        <f>HYPERLINK("http://www.ncbi.nlm.nih.gov/protein/40254484","Ap1s2")</f>
        <v>Ap1s2</v>
      </c>
      <c r="D397" s="8"/>
      <c r="E397" s="8">
        <v>19022</v>
      </c>
      <c r="F397" s="8"/>
      <c r="G397" s="15" t="s">
        <v>10</v>
      </c>
      <c r="H397" s="15" t="s">
        <v>10</v>
      </c>
      <c r="I397" s="15">
        <v>0.92473367186099831</v>
      </c>
      <c r="J397" s="15">
        <v>0.92473367186099831</v>
      </c>
      <c r="K397" s="15">
        <v>0.92473367186099831</v>
      </c>
      <c r="L397" s="15">
        <v>0.92473367186099831</v>
      </c>
      <c r="M397" s="15">
        <v>0.92473367186099831</v>
      </c>
      <c r="N397" s="15">
        <v>0.92473367186099831</v>
      </c>
      <c r="O397" s="15">
        <v>0.87981444845300116</v>
      </c>
      <c r="P397" s="15">
        <v>0.87981444845300116</v>
      </c>
      <c r="Q397" s="8"/>
      <c r="R397" s="9" t="s">
        <v>403</v>
      </c>
    </row>
    <row r="398" spans="1:18" x14ac:dyDescent="0.25">
      <c r="A398" s="6" t="str">
        <f>HYPERLINK("proteomic_fractions_linear_files/Yang_linear_img/35215317.jpg", "35215317")</f>
        <v>35215317</v>
      </c>
      <c r="B398" s="7"/>
      <c r="C398" s="6" t="str">
        <f>HYPERLINK("http://www.ncbi.nlm.nih.gov/protein/35215317","Ap1s3")</f>
        <v>Ap1s3</v>
      </c>
      <c r="D398" s="8"/>
      <c r="E398" s="8">
        <v>18309</v>
      </c>
      <c r="F398" s="8"/>
      <c r="G398" s="15" t="s">
        <v>10</v>
      </c>
      <c r="H398" s="15" t="s">
        <v>10</v>
      </c>
      <c r="I398" s="15">
        <v>0.97610776474216487</v>
      </c>
      <c r="J398" s="15">
        <v>0.97610776474216487</v>
      </c>
      <c r="K398" s="15">
        <v>0.97610776474216487</v>
      </c>
      <c r="L398" s="15">
        <v>0.97610776474216487</v>
      </c>
      <c r="M398" s="15">
        <v>0.97610776474216487</v>
      </c>
      <c r="N398" s="15">
        <v>0.97610776474216487</v>
      </c>
      <c r="O398" s="15" t="s">
        <v>10</v>
      </c>
      <c r="P398" s="15" t="s">
        <v>10</v>
      </c>
      <c r="Q398" s="8"/>
      <c r="R398" s="9" t="s">
        <v>404</v>
      </c>
    </row>
    <row r="399" spans="1:18" x14ac:dyDescent="0.25">
      <c r="A399" s="6" t="str">
        <f>HYPERLINK("proteomic_fractions_linear_files/Yang_linear_img/116256510.jpg", "116256510")</f>
        <v>116256510</v>
      </c>
      <c r="B399" s="7"/>
      <c r="C399" s="6" t="str">
        <f>HYPERLINK("http://www.ncbi.nlm.nih.gov/protein/116256510","Ap2a1")</f>
        <v>Ap2a1</v>
      </c>
      <c r="D399" s="8"/>
      <c r="E399" s="8">
        <v>105349</v>
      </c>
      <c r="F399" s="8"/>
      <c r="G399" s="15">
        <v>1.2259202680487331</v>
      </c>
      <c r="H399" s="15">
        <v>1.2259202680487331</v>
      </c>
      <c r="I399" s="15">
        <v>1.0457291792488712</v>
      </c>
      <c r="J399" s="15">
        <v>1.0457291792488712</v>
      </c>
      <c r="K399" s="15">
        <v>1.2259202680487331</v>
      </c>
      <c r="L399" s="15">
        <v>1.2259202680487331</v>
      </c>
      <c r="M399" s="15">
        <v>1.0457291792488712</v>
      </c>
      <c r="N399" s="15">
        <v>1.0457291792488712</v>
      </c>
      <c r="O399" s="15">
        <v>1.0457291792488712</v>
      </c>
      <c r="P399" s="15">
        <v>1.0457291792488712</v>
      </c>
      <c r="Q399" s="8"/>
      <c r="R399" s="9" t="s">
        <v>405</v>
      </c>
    </row>
    <row r="400" spans="1:18" x14ac:dyDescent="0.25">
      <c r="A400" s="6" t="str">
        <f>HYPERLINK("proteomic_fractions_linear_files/Yang_linear_img/6671561.jpg", "6671561")</f>
        <v>6671561</v>
      </c>
      <c r="B400" s="7"/>
      <c r="C400" s="6" t="str">
        <f>HYPERLINK("http://www.ncbi.nlm.nih.gov/protein/6671561","Ap2a1")</f>
        <v>Ap2a1</v>
      </c>
      <c r="D400" s="8"/>
      <c r="E400" s="8">
        <v>107533</v>
      </c>
      <c r="F400" s="8"/>
      <c r="G400" s="15">
        <v>1.1918669272696016</v>
      </c>
      <c r="H400" s="15">
        <v>1.1918669272696016</v>
      </c>
      <c r="I400" s="15">
        <v>1.0166811464919581</v>
      </c>
      <c r="J400" s="15">
        <v>1.0166811464919581</v>
      </c>
      <c r="K400" s="15">
        <v>1.1918669272696016</v>
      </c>
      <c r="L400" s="15">
        <v>1.1918669272696016</v>
      </c>
      <c r="M400" s="15">
        <v>1.0166811464919581</v>
      </c>
      <c r="N400" s="15">
        <v>1.0166811464919581</v>
      </c>
      <c r="O400" s="15">
        <v>1.0166811464919581</v>
      </c>
      <c r="P400" s="15">
        <v>1.0166811464919581</v>
      </c>
      <c r="Q400" s="8"/>
      <c r="R400" s="9" t="s">
        <v>406</v>
      </c>
    </row>
    <row r="401" spans="1:18" x14ac:dyDescent="0.25">
      <c r="A401" s="6" t="str">
        <f>HYPERLINK("proteomic_fractions_linear_files/Yang_linear_img/163644277.jpg", "163644277")</f>
        <v>163644277</v>
      </c>
      <c r="B401" s="7"/>
      <c r="C401" s="6" t="str">
        <f>HYPERLINK("http://www.ncbi.nlm.nih.gov/protein/163644277","Ap2a2")</f>
        <v>Ap2a2</v>
      </c>
      <c r="D401" s="8"/>
      <c r="E401" s="8">
        <v>103886</v>
      </c>
      <c r="F401" s="8"/>
      <c r="G401" s="15">
        <v>1.237707962933817</v>
      </c>
      <c r="H401" s="15">
        <v>1.237707962933817</v>
      </c>
      <c r="I401" s="15">
        <v>1.0557842675108795</v>
      </c>
      <c r="J401" s="15">
        <v>1.0557842675108795</v>
      </c>
      <c r="K401" s="15">
        <v>1.0557842675108795</v>
      </c>
      <c r="L401" s="15">
        <v>1.0557842675108795</v>
      </c>
      <c r="M401" s="15">
        <v>1.0557842675108795</v>
      </c>
      <c r="N401" s="15">
        <v>1.0557842675108795</v>
      </c>
      <c r="O401" s="15">
        <v>1.0557842675108795</v>
      </c>
      <c r="P401" s="15">
        <v>1.0557842675108795</v>
      </c>
      <c r="Q401" s="8"/>
      <c r="R401" s="9" t="s">
        <v>407</v>
      </c>
    </row>
    <row r="402" spans="1:18" x14ac:dyDescent="0.25">
      <c r="A402" s="6" t="str">
        <f>HYPERLINK("proteomic_fractions_linear_files/Yang_linear_img/21313640.jpg", "21313640")</f>
        <v>21313640</v>
      </c>
      <c r="B402" s="7"/>
      <c r="C402" s="6" t="str">
        <f>HYPERLINK("http://www.ncbi.nlm.nih.gov/protein/21313640","Ap2b1")</f>
        <v>Ap2b1</v>
      </c>
      <c r="D402" s="8"/>
      <c r="E402" s="8">
        <v>104452</v>
      </c>
      <c r="F402" s="8"/>
      <c r="G402" s="15">
        <v>1.237707962933817</v>
      </c>
      <c r="H402" s="15">
        <v>1.237707962933817</v>
      </c>
      <c r="I402" s="15">
        <v>1.0557842675108795</v>
      </c>
      <c r="J402" s="15">
        <v>1.0557842675108795</v>
      </c>
      <c r="K402" s="15">
        <v>1.237707962933817</v>
      </c>
      <c r="L402" s="15">
        <v>1.237707962933817</v>
      </c>
      <c r="M402" s="15">
        <v>1.0557842675108795</v>
      </c>
      <c r="N402" s="15">
        <v>1.0557842675108795</v>
      </c>
      <c r="O402" s="15">
        <v>1.0557842675108795</v>
      </c>
      <c r="P402" s="15">
        <v>1.0557842675108795</v>
      </c>
      <c r="Q402" s="8"/>
      <c r="R402" s="9" t="s">
        <v>408</v>
      </c>
    </row>
    <row r="403" spans="1:18" x14ac:dyDescent="0.25">
      <c r="A403" s="6" t="str">
        <f>HYPERLINK("proteomic_fractions_linear_files/Yang_linear_img/78711838.jpg", "78711838")</f>
        <v>78711838</v>
      </c>
      <c r="B403" s="7"/>
      <c r="C403" s="6" t="str">
        <f>HYPERLINK("http://www.ncbi.nlm.nih.gov/protein/78711838","Ap2b1")</f>
        <v>Ap2b1</v>
      </c>
      <c r="D403" s="8"/>
      <c r="E403" s="8">
        <v>105591</v>
      </c>
      <c r="F403" s="8"/>
      <c r="G403" s="15">
        <v>1.2143549825011035</v>
      </c>
      <c r="H403" s="15">
        <v>1.2143549825011035</v>
      </c>
      <c r="I403" s="15">
        <v>1.0358638096333157</v>
      </c>
      <c r="J403" s="15">
        <v>1.0358638096333157</v>
      </c>
      <c r="K403" s="15">
        <v>1.2143549825011035</v>
      </c>
      <c r="L403" s="15">
        <v>1.2143549825011035</v>
      </c>
      <c r="M403" s="15">
        <v>1.0358638096333157</v>
      </c>
      <c r="N403" s="15">
        <v>1.0358638096333157</v>
      </c>
      <c r="O403" s="15">
        <v>1.0358638096333157</v>
      </c>
      <c r="P403" s="15">
        <v>1.0358638096333157</v>
      </c>
      <c r="Q403" s="8"/>
      <c r="R403" s="9" t="s">
        <v>409</v>
      </c>
    </row>
    <row r="404" spans="1:18" x14ac:dyDescent="0.25">
      <c r="A404" s="6" t="str">
        <f>HYPERLINK("proteomic_fractions_linear_files/Yang_linear_img/6753074.jpg", "6753074")</f>
        <v>6753074</v>
      </c>
      <c r="B404" s="7"/>
      <c r="C404" s="6" t="str">
        <f>HYPERLINK("http://www.ncbi.nlm.nih.gov/protein/6753074","Ap2m1")</f>
        <v>Ap2m1</v>
      </c>
      <c r="D404" s="8"/>
      <c r="E404" s="8">
        <v>49524</v>
      </c>
      <c r="F404" s="8"/>
      <c r="G404" s="15">
        <v>0.96579951168830502</v>
      </c>
      <c r="H404" s="15">
        <v>0.96579951168830502</v>
      </c>
      <c r="I404" s="15">
        <v>1.0624113926000216</v>
      </c>
      <c r="J404" s="15">
        <v>1.0624113926000216</v>
      </c>
      <c r="K404" s="15">
        <v>1.0624113926000216</v>
      </c>
      <c r="L404" s="15">
        <v>1.0624113926000216</v>
      </c>
      <c r="M404" s="15">
        <v>1.0624113926000216</v>
      </c>
      <c r="N404" s="15">
        <v>1.0624113926000216</v>
      </c>
      <c r="O404" s="15">
        <v>0.96579951168830502</v>
      </c>
      <c r="P404" s="15">
        <v>0.96579951168830502</v>
      </c>
      <c r="Q404" s="8"/>
      <c r="R404" s="9" t="s">
        <v>410</v>
      </c>
    </row>
    <row r="405" spans="1:18" x14ac:dyDescent="0.25">
      <c r="A405" s="6" t="str">
        <f>HYPERLINK("proteomic_fractions_linear_files/Yang_linear_img/161086984.jpg", "161086984")</f>
        <v>161086984</v>
      </c>
      <c r="B405" s="7"/>
      <c r="C405" s="6" t="str">
        <f>HYPERLINK("http://www.ncbi.nlm.nih.gov/protein/161086984","Ap2s1")</f>
        <v>Ap2s1</v>
      </c>
      <c r="D405" s="8"/>
      <c r="E405" s="8">
        <v>16887</v>
      </c>
      <c r="F405" s="8"/>
      <c r="G405" s="15" t="s">
        <v>10</v>
      </c>
      <c r="H405" s="15" t="s">
        <v>10</v>
      </c>
      <c r="I405" s="15">
        <v>0.85396904246296157</v>
      </c>
      <c r="J405" s="15">
        <v>0.85396904246296157</v>
      </c>
      <c r="K405" s="15">
        <v>0.81681473529039117</v>
      </c>
      <c r="L405" s="15">
        <v>0.81681473529039117</v>
      </c>
      <c r="M405" s="15">
        <v>0.85396904246296157</v>
      </c>
      <c r="N405" s="15">
        <v>0.85396904246296157</v>
      </c>
      <c r="O405" s="15">
        <v>0.81681473529039117</v>
      </c>
      <c r="P405" s="15">
        <v>0.81681473529039117</v>
      </c>
      <c r="Q405" s="8"/>
      <c r="R405" s="9" t="s">
        <v>411</v>
      </c>
    </row>
    <row r="406" spans="1:18" x14ac:dyDescent="0.25">
      <c r="A406" s="6" t="str">
        <f>HYPERLINK("proteomic_fractions_linear_files/Yang_linear_img/163310776.jpg", "163310776")</f>
        <v>163310776</v>
      </c>
      <c r="B406" s="7"/>
      <c r="C406" s="6" t="str">
        <f>HYPERLINK("http://www.ncbi.nlm.nih.gov/protein/163310776","Ap3b1")</f>
        <v>Ap3b1</v>
      </c>
      <c r="D406" s="8"/>
      <c r="E406" s="8">
        <v>122610</v>
      </c>
      <c r="F406" s="8"/>
      <c r="G406" s="15">
        <v>4.8251447615390584</v>
      </c>
      <c r="H406" s="15">
        <v>4.8251447615390584</v>
      </c>
      <c r="I406" s="15">
        <v>48.724390243902441</v>
      </c>
      <c r="J406" s="15">
        <v>48.724390243902441</v>
      </c>
      <c r="K406" s="15">
        <v>1.5184213954466697</v>
      </c>
      <c r="L406" s="15">
        <v>1.5184213954466697</v>
      </c>
      <c r="M406" s="15">
        <v>1.2475843181808279</v>
      </c>
      <c r="N406" s="15">
        <v>1.2475843181808279</v>
      </c>
      <c r="O406" s="15">
        <v>1.2475843181808279</v>
      </c>
      <c r="P406" s="15">
        <v>1.2475843181808279</v>
      </c>
      <c r="Q406" s="8"/>
      <c r="R406" s="9" t="s">
        <v>412</v>
      </c>
    </row>
    <row r="407" spans="1:18" x14ac:dyDescent="0.25">
      <c r="A407" s="6" t="str">
        <f>HYPERLINK("proteomic_fractions_linear_files/Yang_linear_img/52317148.jpg", "52317148")</f>
        <v>52317148</v>
      </c>
      <c r="B407" s="7"/>
      <c r="C407" s="6" t="str">
        <f>HYPERLINK("http://www.ncbi.nlm.nih.gov/protein/52317148","Ap3b2")</f>
        <v>Ap3b2</v>
      </c>
      <c r="D407" s="8"/>
      <c r="E407" s="8">
        <v>119062</v>
      </c>
      <c r="F407" s="8"/>
      <c r="G407" s="15" t="s">
        <v>10</v>
      </c>
      <c r="H407" s="15" t="s">
        <v>10</v>
      </c>
      <c r="I407" s="15">
        <v>50.36218487394958</v>
      </c>
      <c r="J407" s="15">
        <v>50.36218487394958</v>
      </c>
      <c r="K407" s="15">
        <v>1.5694607700835324</v>
      </c>
      <c r="L407" s="15">
        <v>1.5694607700835324</v>
      </c>
      <c r="M407" s="15">
        <v>1.2895199255146372</v>
      </c>
      <c r="N407" s="15">
        <v>1.2895199255146372</v>
      </c>
      <c r="O407" s="15" t="s">
        <v>10</v>
      </c>
      <c r="P407" s="15" t="s">
        <v>10</v>
      </c>
      <c r="Q407" s="8"/>
      <c r="R407" s="9" t="s">
        <v>413</v>
      </c>
    </row>
    <row r="408" spans="1:18" x14ac:dyDescent="0.25">
      <c r="A408" s="6" t="str">
        <f>HYPERLINK("proteomic_fractions_linear_files/Yang_linear_img/6671565.jpg", "6671565")</f>
        <v>6671565</v>
      </c>
      <c r="B408" s="7"/>
      <c r="C408" s="6" t="str">
        <f>HYPERLINK("http://www.ncbi.nlm.nih.gov/protein/6671565","Ap3d1")</f>
        <v>Ap3d1</v>
      </c>
      <c r="D408" s="8"/>
      <c r="E408" s="8">
        <v>134951</v>
      </c>
      <c r="F408" s="8"/>
      <c r="G408" s="15">
        <v>1.1366879343425322</v>
      </c>
      <c r="H408" s="15">
        <v>1.1366879343425322</v>
      </c>
      <c r="I408" s="15">
        <v>0.54397155734579439</v>
      </c>
      <c r="J408" s="15">
        <v>0.54397155734579439</v>
      </c>
      <c r="K408" s="15">
        <v>1.383450604740299</v>
      </c>
      <c r="L408" s="15">
        <v>1.383450604740299</v>
      </c>
      <c r="M408" s="15">
        <v>1.383450604740299</v>
      </c>
      <c r="N408" s="15">
        <v>1.383450604740299</v>
      </c>
      <c r="O408" s="15">
        <v>1.383450604740299</v>
      </c>
      <c r="P408" s="15">
        <v>1.383450604740299</v>
      </c>
      <c r="Q408" s="8"/>
      <c r="R408" s="9" t="s">
        <v>414</v>
      </c>
    </row>
    <row r="409" spans="1:18" x14ac:dyDescent="0.25">
      <c r="A409" s="6" t="str">
        <f>HYPERLINK("proteomic_fractions_linear_files/Yang_linear_img/254281313.jpg", "254281313")</f>
        <v>254281313</v>
      </c>
      <c r="B409" s="7"/>
      <c r="C409" s="6" t="str">
        <f>HYPERLINK("http://www.ncbi.nlm.nih.gov/protein/254281313","Ap3m1")</f>
        <v>Ap3m1</v>
      </c>
      <c r="D409" s="8"/>
      <c r="E409" s="8">
        <v>46805</v>
      </c>
      <c r="F409" s="8"/>
      <c r="G409" s="15" t="s">
        <v>10</v>
      </c>
      <c r="H409" s="15" t="s">
        <v>10</v>
      </c>
      <c r="I409" s="15">
        <v>0.93884232440352056</v>
      </c>
      <c r="J409" s="15">
        <v>0.93884232440352056</v>
      </c>
      <c r="K409" s="15">
        <v>0.93884232440352056</v>
      </c>
      <c r="L409" s="15">
        <v>0.93884232440352056</v>
      </c>
      <c r="M409" s="15">
        <v>0.93884232440352056</v>
      </c>
      <c r="N409" s="15">
        <v>0.93884232440352056</v>
      </c>
      <c r="O409" s="15">
        <v>0.86185783411112227</v>
      </c>
      <c r="P409" s="15">
        <v>0.86185783411112227</v>
      </c>
      <c r="Q409" s="8"/>
      <c r="R409" s="9" t="s">
        <v>415</v>
      </c>
    </row>
    <row r="410" spans="1:18" x14ac:dyDescent="0.25">
      <c r="A410" s="6" t="str">
        <f>HYPERLINK("proteomic_fractions_linear_files/Yang_linear_img/170763481.jpg", "170763481")</f>
        <v>170763481</v>
      </c>
      <c r="B410" s="7"/>
      <c r="C410" s="6" t="str">
        <f>HYPERLINK("http://www.ncbi.nlm.nih.gov/protein/170763481","Ap3m2")</f>
        <v>Ap3m2</v>
      </c>
      <c r="D410" s="8"/>
      <c r="E410" s="8">
        <v>46785</v>
      </c>
      <c r="F410" s="8"/>
      <c r="G410" s="15" t="s">
        <v>10</v>
      </c>
      <c r="H410" s="15" t="s">
        <v>10</v>
      </c>
      <c r="I410" s="15">
        <v>0.93884232440352056</v>
      </c>
      <c r="J410" s="15">
        <v>0.93884232440352056</v>
      </c>
      <c r="K410" s="15">
        <v>0.93884232440352056</v>
      </c>
      <c r="L410" s="15">
        <v>0.93884232440352056</v>
      </c>
      <c r="M410" s="15">
        <v>0.93884232440352056</v>
      </c>
      <c r="N410" s="15">
        <v>0.93884232440352056</v>
      </c>
      <c r="O410" s="15">
        <v>0.86185783411112227</v>
      </c>
      <c r="P410" s="15">
        <v>0.86185783411112227</v>
      </c>
      <c r="Q410" s="8"/>
      <c r="R410" s="9" t="s">
        <v>416</v>
      </c>
    </row>
    <row r="411" spans="1:18" x14ac:dyDescent="0.25">
      <c r="A411" s="6" t="str">
        <f>HYPERLINK("proteomic_fractions_linear_files/Yang_linear_img/6753078.jpg", "6753078")</f>
        <v>6753078</v>
      </c>
      <c r="B411" s="7"/>
      <c r="C411" s="6" t="str">
        <f>HYPERLINK("http://www.ncbi.nlm.nih.gov/protein/6753078","Ap3s1")</f>
        <v>Ap3s1</v>
      </c>
      <c r="D411" s="8"/>
      <c r="E411" s="8">
        <v>21601</v>
      </c>
      <c r="F411" s="8"/>
      <c r="G411" s="15" t="s">
        <v>10</v>
      </c>
      <c r="H411" s="15" t="s">
        <v>10</v>
      </c>
      <c r="I411" s="15">
        <v>0.93624732666619426</v>
      </c>
      <c r="J411" s="15">
        <v>0.93624732666619426</v>
      </c>
      <c r="K411" s="15">
        <v>0.93624732666619426</v>
      </c>
      <c r="L411" s="15">
        <v>0.93624732666619426</v>
      </c>
      <c r="M411" s="15">
        <v>0.93624732666619426</v>
      </c>
      <c r="N411" s="15">
        <v>0.93624732666619426</v>
      </c>
      <c r="O411" s="15">
        <v>0.93624732666619426</v>
      </c>
      <c r="P411" s="15">
        <v>0.93624732666619426</v>
      </c>
      <c r="Q411" s="8"/>
      <c r="R411" s="9" t="s">
        <v>417</v>
      </c>
    </row>
    <row r="412" spans="1:18" x14ac:dyDescent="0.25">
      <c r="A412" s="6" t="str">
        <f>HYPERLINK("proteomic_fractions_linear_files/Yang_linear_img/160707971.jpg", "160707971")</f>
        <v>160707971</v>
      </c>
      <c r="B412" s="7"/>
      <c r="C412" s="6" t="str">
        <f>HYPERLINK("http://www.ncbi.nlm.nih.gov/protein/160707971","Ap3s2")</f>
        <v>Ap3s2</v>
      </c>
      <c r="D412" s="8"/>
      <c r="E412" s="8">
        <v>21886</v>
      </c>
      <c r="F412" s="8"/>
      <c r="G412" s="15" t="s">
        <v>10</v>
      </c>
      <c r="H412" s="15" t="s">
        <v>10</v>
      </c>
      <c r="I412" s="15">
        <v>0.88641590127433068</v>
      </c>
      <c r="J412" s="15">
        <v>0.88641590127433068</v>
      </c>
      <c r="K412" s="15">
        <v>0.88641590127433068</v>
      </c>
      <c r="L412" s="15">
        <v>0.88641590127433068</v>
      </c>
      <c r="M412" s="15">
        <v>0.88641590127433068</v>
      </c>
      <c r="N412" s="15">
        <v>0.88641590127433068</v>
      </c>
      <c r="O412" s="15">
        <v>0.8406954165710947</v>
      </c>
      <c r="P412" s="15">
        <v>0.8406954165710947</v>
      </c>
      <c r="Q412" s="8"/>
      <c r="R412" s="9" t="s">
        <v>418</v>
      </c>
    </row>
    <row r="413" spans="1:18" x14ac:dyDescent="0.25">
      <c r="A413" s="6" t="str">
        <f>HYPERLINK("proteomic_fractions_linear_files/Yang_linear_img/254588018.jpg", "254588018")</f>
        <v>254588018</v>
      </c>
      <c r="B413" s="7"/>
      <c r="C413" s="6" t="str">
        <f>HYPERLINK("http://www.ncbi.nlm.nih.gov/protein/254588018","Ap4b1")</f>
        <v>Ap4b1</v>
      </c>
      <c r="D413" s="8"/>
      <c r="E413" s="8">
        <v>82845</v>
      </c>
      <c r="F413" s="8"/>
      <c r="G413" s="15" t="s">
        <v>10</v>
      </c>
      <c r="H413" s="15" t="s">
        <v>10</v>
      </c>
      <c r="I413" s="15">
        <v>1.001188656302938</v>
      </c>
      <c r="J413" s="15">
        <v>1.001188656302938</v>
      </c>
      <c r="K413" s="15">
        <v>1.001188656302938</v>
      </c>
      <c r="L413" s="15">
        <v>1.001188656302938</v>
      </c>
      <c r="M413" s="15">
        <v>1.001188656302938</v>
      </c>
      <c r="N413" s="15">
        <v>1.001188656302938</v>
      </c>
      <c r="O413" s="15" t="s">
        <v>10</v>
      </c>
      <c r="P413" s="15" t="s">
        <v>10</v>
      </c>
      <c r="Q413" s="8"/>
      <c r="R413" s="9" t="s">
        <v>419</v>
      </c>
    </row>
    <row r="414" spans="1:18" x14ac:dyDescent="0.25">
      <c r="A414" s="6" t="str">
        <f>HYPERLINK("proteomic_fractions_linear_files/Yang_linear_img/254588022.jpg", "254588022")</f>
        <v>254588022</v>
      </c>
      <c r="B414" s="7"/>
      <c r="C414" s="6" t="str">
        <f>HYPERLINK("http://www.ncbi.nlm.nih.gov/protein/254588022","Ap4b1")</f>
        <v>Ap4b1</v>
      </c>
      <c r="D414" s="8"/>
      <c r="E414" s="8">
        <v>79731</v>
      </c>
      <c r="F414" s="8"/>
      <c r="G414" s="15" t="s">
        <v>10</v>
      </c>
      <c r="H414" s="15" t="s">
        <v>10</v>
      </c>
      <c r="I414" s="15">
        <v>1.0387332309142983</v>
      </c>
      <c r="J414" s="15">
        <v>1.0387332309142983</v>
      </c>
      <c r="K414" s="15">
        <v>1.0387332309142983</v>
      </c>
      <c r="L414" s="15">
        <v>1.0387332309142983</v>
      </c>
      <c r="M414" s="15">
        <v>1.0387332309142983</v>
      </c>
      <c r="N414" s="15">
        <v>1.0387332309142983</v>
      </c>
      <c r="O414" s="15" t="s">
        <v>10</v>
      </c>
      <c r="P414" s="15" t="s">
        <v>10</v>
      </c>
      <c r="Q414" s="8"/>
      <c r="R414" s="9" t="s">
        <v>420</v>
      </c>
    </row>
    <row r="415" spans="1:18" x14ac:dyDescent="0.25">
      <c r="A415" s="6" t="str">
        <f>HYPERLINK("proteomic_fractions_linear_files/Yang_linear_img/17998681.jpg", "17998681")</f>
        <v>17998681</v>
      </c>
      <c r="B415" s="7"/>
      <c r="C415" s="6" t="str">
        <f>HYPERLINK("http://www.ncbi.nlm.nih.gov/protein/17998681","Ap4s1")</f>
        <v>Ap4s1</v>
      </c>
      <c r="D415" s="8"/>
      <c r="E415" s="8">
        <v>16686</v>
      </c>
      <c r="F415" s="8"/>
      <c r="G415" s="15" t="s">
        <v>10</v>
      </c>
      <c r="H415" s="15" t="s">
        <v>10</v>
      </c>
      <c r="I415" s="15">
        <v>0.85396904246296157</v>
      </c>
      <c r="J415" s="15">
        <v>0.85396904246296157</v>
      </c>
      <c r="K415" s="15" t="s">
        <v>10</v>
      </c>
      <c r="L415" s="15" t="s">
        <v>10</v>
      </c>
      <c r="M415" s="15">
        <v>0.89390225257731093</v>
      </c>
      <c r="N415" s="15">
        <v>0.89390225257731093</v>
      </c>
      <c r="O415" s="15">
        <v>0.81681473529039117</v>
      </c>
      <c r="P415" s="15">
        <v>0.81681473529039117</v>
      </c>
      <c r="Q415" s="8"/>
      <c r="R415" s="9" t="s">
        <v>421</v>
      </c>
    </row>
    <row r="416" spans="1:18" x14ac:dyDescent="0.25">
      <c r="A416" s="6" t="str">
        <f>HYPERLINK("proteomic_fractions_linear_files/Yang_linear_img/75677454.jpg", "75677454")</f>
        <v>75677454</v>
      </c>
      <c r="B416" s="7"/>
      <c r="C416" s="6" t="str">
        <f>HYPERLINK("http://www.ncbi.nlm.nih.gov/protein/75677454","Ap5b1")</f>
        <v>Ap5b1</v>
      </c>
      <c r="D416" s="8"/>
      <c r="E416" s="8">
        <v>94548</v>
      </c>
      <c r="F416" s="8"/>
      <c r="G416" s="15" t="s">
        <v>10</v>
      </c>
      <c r="H416" s="15" t="s">
        <v>10</v>
      </c>
      <c r="I416" s="15">
        <v>0.99966295981667908</v>
      </c>
      <c r="J416" s="15">
        <v>0.99966295981667908</v>
      </c>
      <c r="K416" s="15">
        <v>0.99966295981667908</v>
      </c>
      <c r="L416" s="15">
        <v>0.99966295981667908</v>
      </c>
      <c r="M416" s="15">
        <v>0.99966295981667908</v>
      </c>
      <c r="N416" s="15">
        <v>0.99966295981667908</v>
      </c>
      <c r="O416" s="15" t="s">
        <v>10</v>
      </c>
      <c r="P416" s="15" t="s">
        <v>10</v>
      </c>
      <c r="Q416" s="8"/>
      <c r="R416" s="9" t="s">
        <v>422</v>
      </c>
    </row>
    <row r="417" spans="1:18" x14ac:dyDescent="0.25">
      <c r="A417" s="6" t="str">
        <f>HYPERLINK("proteomic_fractions_linear_files/Yang_linear_img/225543139.jpg", "225543139")</f>
        <v>225543139</v>
      </c>
      <c r="B417" s="7"/>
      <c r="C417" s="6" t="str">
        <f>HYPERLINK("http://www.ncbi.nlm.nih.gov/protein/225543139","Ap5m1")</f>
        <v>Ap5m1</v>
      </c>
      <c r="D417" s="8"/>
      <c r="E417" s="8">
        <v>54220</v>
      </c>
      <c r="F417" s="8"/>
      <c r="G417" s="15" t="s">
        <v>10</v>
      </c>
      <c r="H417" s="15" t="s">
        <v>10</v>
      </c>
      <c r="I417" s="15" t="s">
        <v>10</v>
      </c>
      <c r="J417" s="15" t="s">
        <v>10</v>
      </c>
      <c r="K417" s="15">
        <v>0.98371425240742738</v>
      </c>
      <c r="L417" s="15">
        <v>0.98371425240742738</v>
      </c>
      <c r="M417" s="15">
        <v>0.98371425240742738</v>
      </c>
      <c r="N417" s="15">
        <v>0.98371425240742738</v>
      </c>
      <c r="O417" s="15" t="s">
        <v>10</v>
      </c>
      <c r="P417" s="15" t="s">
        <v>10</v>
      </c>
      <c r="Q417" s="8"/>
      <c r="R417" s="9" t="s">
        <v>423</v>
      </c>
    </row>
    <row r="418" spans="1:18" x14ac:dyDescent="0.25">
      <c r="A418" s="6" t="str">
        <f>HYPERLINK("proteomic_fractions_linear_files/Yang_linear_img/31980819.jpg", "31980819")</f>
        <v>31980819</v>
      </c>
      <c r="B418" s="7"/>
      <c r="C418" s="6" t="str">
        <f>HYPERLINK("http://www.ncbi.nlm.nih.gov/protein/31980819","Ap5s1")</f>
        <v>Ap5s1</v>
      </c>
      <c r="D418" s="8"/>
      <c r="E418" s="8">
        <v>27016</v>
      </c>
      <c r="F418" s="8"/>
      <c r="G418" s="15" t="s">
        <v>10</v>
      </c>
      <c r="H418" s="15" t="s">
        <v>10</v>
      </c>
      <c r="I418" s="15" t="s">
        <v>10</v>
      </c>
      <c r="J418" s="15" t="s">
        <v>10</v>
      </c>
      <c r="K418" s="15">
        <v>0.80724971372884269</v>
      </c>
      <c r="L418" s="15">
        <v>0.80724971372884269</v>
      </c>
      <c r="M418" s="15">
        <v>0.80724971372884269</v>
      </c>
      <c r="N418" s="15">
        <v>0.80724971372884269</v>
      </c>
      <c r="O418" s="15" t="s">
        <v>10</v>
      </c>
      <c r="P418" s="15" t="s">
        <v>10</v>
      </c>
      <c r="Q418" s="8"/>
      <c r="R418" s="9" t="s">
        <v>424</v>
      </c>
    </row>
    <row r="419" spans="1:18" x14ac:dyDescent="0.25">
      <c r="A419" s="6" t="str">
        <f>HYPERLINK("proteomic_fractions_linear_files/Yang_linear_img/82546849.jpg", "82546849")</f>
        <v>82546849</v>
      </c>
      <c r="B419" s="7"/>
      <c r="C419" s="6" t="str">
        <f>HYPERLINK("http://www.ncbi.nlm.nih.gov/protein/82546849","Ap5z1")</f>
        <v>Ap5z1</v>
      </c>
      <c r="D419" s="8"/>
      <c r="E419" s="8">
        <v>89276</v>
      </c>
      <c r="F419" s="8"/>
      <c r="G419" s="15" t="s">
        <v>10</v>
      </c>
      <c r="H419" s="15" t="s">
        <v>10</v>
      </c>
      <c r="I419" s="15">
        <v>1.0670559683436462</v>
      </c>
      <c r="J419" s="15">
        <v>1.0670559683436462</v>
      </c>
      <c r="K419" s="15">
        <v>1.0670559683436462</v>
      </c>
      <c r="L419" s="15">
        <v>1.0670559683436462</v>
      </c>
      <c r="M419" s="15" t="s">
        <v>10</v>
      </c>
      <c r="N419" s="15" t="s">
        <v>10</v>
      </c>
      <c r="O419" s="15">
        <v>1.0670559683436462</v>
      </c>
      <c r="P419" s="15">
        <v>1.0670559683436462</v>
      </c>
      <c r="Q419" s="8"/>
      <c r="R419" s="9" t="s">
        <v>425</v>
      </c>
    </row>
    <row r="420" spans="1:18" x14ac:dyDescent="0.25">
      <c r="A420" s="6" t="str">
        <f>HYPERLINK("proteomic_fractions_linear_files/Yang_linear_img/110347471.jpg", "110347471")</f>
        <v>110347471</v>
      </c>
      <c r="B420" s="7"/>
      <c r="C420" s="6" t="str">
        <f>HYPERLINK("http://www.ncbi.nlm.nih.gov/protein/110347471","Apaf1")</f>
        <v>Apaf1</v>
      </c>
      <c r="D420" s="8"/>
      <c r="E420" s="8">
        <v>140872</v>
      </c>
      <c r="F420" s="8"/>
      <c r="G420" s="15" t="s">
        <v>10</v>
      </c>
      <c r="H420" s="15" t="s">
        <v>10</v>
      </c>
      <c r="I420" s="15" t="s">
        <v>10</v>
      </c>
      <c r="J420" s="15" t="s">
        <v>10</v>
      </c>
      <c r="K420" s="15" t="s">
        <v>10</v>
      </c>
      <c r="L420" s="15" t="s">
        <v>10</v>
      </c>
      <c r="M420" s="15">
        <v>1.0883182350088074</v>
      </c>
      <c r="N420" s="15">
        <v>1.0883182350088074</v>
      </c>
      <c r="O420" s="15">
        <v>1.0883182350088074</v>
      </c>
      <c r="P420" s="15">
        <v>1.0883182350088074</v>
      </c>
      <c r="Q420" s="8"/>
      <c r="R420" s="9" t="s">
        <v>426</v>
      </c>
    </row>
    <row r="421" spans="1:18" x14ac:dyDescent="0.25">
      <c r="A421" s="6" t="str">
        <f>HYPERLINK("proteomic_fractions_linear_files/Yang_linear_img/110625864.jpg", "110625864")</f>
        <v>110625864</v>
      </c>
      <c r="B421" s="7"/>
      <c r="C421" s="6" t="str">
        <f>HYPERLINK("http://www.ncbi.nlm.nih.gov/protein/110625864","Apcdd1")</f>
        <v>Apcdd1</v>
      </c>
      <c r="D421" s="8"/>
      <c r="E421" s="8">
        <v>55815</v>
      </c>
      <c r="F421" s="8"/>
      <c r="G421" s="15" t="s">
        <v>10</v>
      </c>
      <c r="H421" s="15" t="s">
        <v>10</v>
      </c>
      <c r="I421" s="15" t="s">
        <v>10</v>
      </c>
      <c r="J421" s="15" t="s">
        <v>10</v>
      </c>
      <c r="K421" s="15" t="s">
        <v>10</v>
      </c>
      <c r="L421" s="15" t="s">
        <v>10</v>
      </c>
      <c r="M421" s="15" t="s">
        <v>10</v>
      </c>
      <c r="N421" s="15" t="s">
        <v>10</v>
      </c>
      <c r="O421" s="15">
        <v>1.3113600043157543</v>
      </c>
      <c r="P421" s="15">
        <v>1.3113600043157543</v>
      </c>
      <c r="Q421" s="8"/>
      <c r="R421" s="9" t="s">
        <v>427</v>
      </c>
    </row>
    <row r="422" spans="1:18" x14ac:dyDescent="0.25">
      <c r="A422" s="6" t="str">
        <f>HYPERLINK("proteomic_fractions_linear_files/Yang_linear_img/214010153.jpg", "214010153")</f>
        <v>214010153</v>
      </c>
      <c r="B422" s="7"/>
      <c r="C422" s="6" t="str">
        <f>HYPERLINK("http://www.ncbi.nlm.nih.gov/protein/214010153","Apeh")</f>
        <v>Apeh</v>
      </c>
      <c r="D422" s="8"/>
      <c r="E422" s="8">
        <v>81450</v>
      </c>
      <c r="F422" s="8"/>
      <c r="G422" s="15" t="s">
        <v>10</v>
      </c>
      <c r="H422" s="15" t="s">
        <v>10</v>
      </c>
      <c r="I422" s="15">
        <v>1.0259093638659735</v>
      </c>
      <c r="J422" s="15">
        <v>1.0259093638659735</v>
      </c>
      <c r="K422" s="15">
        <v>1.1724442121306728</v>
      </c>
      <c r="L422" s="15">
        <v>1.1724442121306728</v>
      </c>
      <c r="M422" s="15">
        <v>1.0259093638659735</v>
      </c>
      <c r="N422" s="15">
        <v>1.0259093638659735</v>
      </c>
      <c r="O422" s="15">
        <v>1.0259093638659735</v>
      </c>
      <c r="P422" s="15">
        <v>1.0259093638659735</v>
      </c>
      <c r="Q422" s="8"/>
      <c r="R422" s="9" t="s">
        <v>428</v>
      </c>
    </row>
    <row r="423" spans="1:18" x14ac:dyDescent="0.25">
      <c r="A423" s="6" t="str">
        <f>HYPERLINK("proteomic_fractions_linear_files/Yang_linear_img/6753086.jpg", "6753086")</f>
        <v>6753086</v>
      </c>
      <c r="B423" s="7"/>
      <c r="C423" s="6" t="str">
        <f>HYPERLINK("http://www.ncbi.nlm.nih.gov/protein/6753086","Apex1")</f>
        <v>Apex1</v>
      </c>
      <c r="D423" s="8"/>
      <c r="E423" s="8">
        <v>35359</v>
      </c>
      <c r="F423" s="8"/>
      <c r="G423" s="15">
        <v>0.91668779587810256</v>
      </c>
      <c r="H423" s="15">
        <v>0.91668779587810256</v>
      </c>
      <c r="I423" s="15">
        <v>0.98723932944214809</v>
      </c>
      <c r="J423" s="15">
        <v>0.98723932944214809</v>
      </c>
      <c r="K423" s="15">
        <v>0.98723932944214809</v>
      </c>
      <c r="L423" s="15">
        <v>0.98723932944214809</v>
      </c>
      <c r="M423" s="15">
        <v>0.98723932944214809</v>
      </c>
      <c r="N423" s="15">
        <v>0.98723932944214809</v>
      </c>
      <c r="O423" s="15">
        <v>0.91668779587810256</v>
      </c>
      <c r="P423" s="15">
        <v>0.91668779587810256</v>
      </c>
      <c r="Q423" s="8"/>
      <c r="R423" s="9" t="s">
        <v>429</v>
      </c>
    </row>
    <row r="424" spans="1:18" x14ac:dyDescent="0.25">
      <c r="A424" s="6" t="str">
        <f>HYPERLINK("proteomic_fractions_linear_files/Yang_linear_img/189339191.jpg", "189339191")</f>
        <v>189339191</v>
      </c>
      <c r="B424" s="7"/>
      <c r="C424" s="6" t="str">
        <f>HYPERLINK("http://www.ncbi.nlm.nih.gov/protein/189339191","Aph1a")</f>
        <v>Aph1a</v>
      </c>
      <c r="D424" s="8"/>
      <c r="E424" s="8">
        <v>28855</v>
      </c>
      <c r="F424" s="8"/>
      <c r="G424" s="15" t="s">
        <v>10</v>
      </c>
      <c r="H424" s="15" t="s">
        <v>10</v>
      </c>
      <c r="I424" s="15">
        <v>0.63776893670910639</v>
      </c>
      <c r="J424" s="15">
        <v>0.63776893670910639</v>
      </c>
      <c r="K424" s="15">
        <v>0.67245344234604398</v>
      </c>
      <c r="L424" s="15">
        <v>0.67245344234604398</v>
      </c>
      <c r="M424" s="15" t="s">
        <v>10</v>
      </c>
      <c r="N424" s="15" t="s">
        <v>10</v>
      </c>
      <c r="O424" s="15" t="s">
        <v>10</v>
      </c>
      <c r="P424" s="15" t="s">
        <v>10</v>
      </c>
      <c r="Q424" s="8"/>
      <c r="R424" s="9" t="s">
        <v>430</v>
      </c>
    </row>
    <row r="425" spans="1:18" x14ac:dyDescent="0.25">
      <c r="A425" s="6" t="str">
        <f>HYPERLINK("proteomic_fractions_linear_files/Yang_linear_img/22203751.jpg", "22203751")</f>
        <v>22203751</v>
      </c>
      <c r="B425" s="7"/>
      <c r="C425" s="6" t="str">
        <f>HYPERLINK("http://www.ncbi.nlm.nih.gov/protein/22203751","Aph1a")</f>
        <v>Aph1a</v>
      </c>
      <c r="D425" s="8"/>
      <c r="E425" s="8">
        <v>26698</v>
      </c>
      <c r="F425" s="8"/>
      <c r="G425" s="15" t="s">
        <v>10</v>
      </c>
      <c r="H425" s="15" t="s">
        <v>10</v>
      </c>
      <c r="I425" s="15">
        <v>0.68501108016904011</v>
      </c>
      <c r="J425" s="15">
        <v>0.68501108016904011</v>
      </c>
      <c r="K425" s="15">
        <v>0.72226480844575092</v>
      </c>
      <c r="L425" s="15">
        <v>0.72226480844575092</v>
      </c>
      <c r="M425" s="15" t="s">
        <v>10</v>
      </c>
      <c r="N425" s="15" t="s">
        <v>10</v>
      </c>
      <c r="O425" s="15" t="s">
        <v>10</v>
      </c>
      <c r="P425" s="15" t="s">
        <v>10</v>
      </c>
      <c r="Q425" s="8"/>
      <c r="R425" s="9" t="s">
        <v>431</v>
      </c>
    </row>
    <row r="426" spans="1:18" x14ac:dyDescent="0.25">
      <c r="A426" s="6" t="str">
        <f>HYPERLINK("proteomic_fractions_linear_files/Yang_linear_img/94158994.jpg", "94158994")</f>
        <v>94158994</v>
      </c>
      <c r="B426" s="7"/>
      <c r="C426" s="6" t="str">
        <f>HYPERLINK("http://www.ncbi.nlm.nih.gov/protein/94158994","Api5")</f>
        <v>Api5</v>
      </c>
      <c r="D426" s="8"/>
      <c r="E426" s="8">
        <v>56654</v>
      </c>
      <c r="F426" s="8"/>
      <c r="G426" s="15">
        <v>1.2883536884505657</v>
      </c>
      <c r="H426" s="15">
        <v>1.2883536884505657</v>
      </c>
      <c r="I426" s="15">
        <v>1.0311089050104185</v>
      </c>
      <c r="J426" s="15">
        <v>1.0311089050104185</v>
      </c>
      <c r="K426" s="15">
        <v>1.0311089050104185</v>
      </c>
      <c r="L426" s="15">
        <v>1.0311089050104185</v>
      </c>
      <c r="M426" s="15">
        <v>1.0311089050104185</v>
      </c>
      <c r="N426" s="15">
        <v>1.0311089050104185</v>
      </c>
      <c r="O426" s="15">
        <v>0.93193981807019433</v>
      </c>
      <c r="P426" s="15">
        <v>0.93193981807019433</v>
      </c>
      <c r="Q426" s="8"/>
      <c r="R426" s="9" t="s">
        <v>432</v>
      </c>
    </row>
    <row r="427" spans="1:18" x14ac:dyDescent="0.25">
      <c r="A427" s="6" t="str">
        <f>HYPERLINK("proteomic_fractions_linear_files/Yang_linear_img/258613873.jpg", "258613873")</f>
        <v>258613873</v>
      </c>
      <c r="B427" s="7"/>
      <c r="C427" s="6" t="str">
        <f>HYPERLINK("http://www.ncbi.nlm.nih.gov/protein/258613873","Apip")</f>
        <v>Apip</v>
      </c>
      <c r="D427" s="8"/>
      <c r="E427" s="8">
        <v>26818</v>
      </c>
      <c r="F427" s="8"/>
      <c r="G427" s="15" t="s">
        <v>10</v>
      </c>
      <c r="H427" s="15" t="s">
        <v>10</v>
      </c>
      <c r="I427" s="15">
        <v>1.0340078258400762</v>
      </c>
      <c r="J427" s="15">
        <v>1.0340078258400762</v>
      </c>
      <c r="K427" s="15">
        <v>1.1068669219153011</v>
      </c>
      <c r="L427" s="15">
        <v>1.1068669219153011</v>
      </c>
      <c r="M427" s="15">
        <v>1.0340078258400762</v>
      </c>
      <c r="N427" s="15">
        <v>1.0340078258400762</v>
      </c>
      <c r="O427" s="15">
        <v>0.96852807834907406</v>
      </c>
      <c r="P427" s="15">
        <v>0.96852807834907406</v>
      </c>
      <c r="Q427" s="8"/>
      <c r="R427" s="9" t="s">
        <v>433</v>
      </c>
    </row>
    <row r="428" spans="1:18" x14ac:dyDescent="0.25">
      <c r="A428" s="6" t="str">
        <f>HYPERLINK("proteomic_fractions_linear_files/Yang_linear_img/281427262.jpg", "281427262")</f>
        <v>281427262</v>
      </c>
      <c r="B428" s="7"/>
      <c r="C428" s="6" t="str">
        <f>HYPERLINK("http://www.ncbi.nlm.nih.gov/protein/281427262","Aplf")</f>
        <v>Aplf</v>
      </c>
      <c r="D428" s="8"/>
      <c r="E428" s="8">
        <v>54838</v>
      </c>
      <c r="F428" s="8"/>
      <c r="G428" s="15" t="s">
        <v>10</v>
      </c>
      <c r="H428" s="15" t="s">
        <v>10</v>
      </c>
      <c r="I428" s="15" t="s">
        <v>10</v>
      </c>
      <c r="J428" s="15" t="s">
        <v>10</v>
      </c>
      <c r="K428" s="15">
        <v>1.7266905669560819</v>
      </c>
      <c r="L428" s="15">
        <v>1.7266905669560819</v>
      </c>
      <c r="M428" s="15" t="s">
        <v>10</v>
      </c>
      <c r="N428" s="15" t="s">
        <v>10</v>
      </c>
      <c r="O428" s="15" t="s">
        <v>10</v>
      </c>
      <c r="P428" s="15" t="s">
        <v>10</v>
      </c>
      <c r="Q428" s="8"/>
      <c r="R428" s="9" t="s">
        <v>434</v>
      </c>
    </row>
    <row r="429" spans="1:18" x14ac:dyDescent="0.25">
      <c r="A429" s="6" t="str">
        <f>HYPERLINK("proteomic_fractions_linear_files/Yang_linear_img/31541860.jpg", "31541860")</f>
        <v>31541860</v>
      </c>
      <c r="B429" s="7"/>
      <c r="C429" s="6" t="str">
        <f>HYPERLINK("http://www.ncbi.nlm.nih.gov/protein/31541860","Aplf")</f>
        <v>Aplf</v>
      </c>
      <c r="D429" s="8"/>
      <c r="E429" s="8">
        <v>52884</v>
      </c>
      <c r="F429" s="8"/>
      <c r="G429" s="15" t="s">
        <v>10</v>
      </c>
      <c r="H429" s="15" t="s">
        <v>10</v>
      </c>
      <c r="I429" s="15" t="s">
        <v>10</v>
      </c>
      <c r="J429" s="15" t="s">
        <v>10</v>
      </c>
      <c r="K429" s="15">
        <v>1.7918487015581983</v>
      </c>
      <c r="L429" s="15">
        <v>1.7918487015581983</v>
      </c>
      <c r="M429" s="15" t="s">
        <v>10</v>
      </c>
      <c r="N429" s="15" t="s">
        <v>10</v>
      </c>
      <c r="O429" s="15" t="s">
        <v>10</v>
      </c>
      <c r="P429" s="15" t="s">
        <v>10</v>
      </c>
      <c r="Q429" s="8"/>
      <c r="R429" s="9" t="s">
        <v>435</v>
      </c>
    </row>
    <row r="430" spans="1:18" x14ac:dyDescent="0.25">
      <c r="A430" s="6" t="str">
        <f>HYPERLINK("proteomic_fractions_linear_files/Yang_linear_img/156255192.jpg", "156255192")</f>
        <v>156255192</v>
      </c>
      <c r="B430" s="7"/>
      <c r="C430" s="6" t="str">
        <f>HYPERLINK("http://www.ncbi.nlm.nih.gov/protein/156255192","Aplp2")</f>
        <v>Aplp2</v>
      </c>
      <c r="D430" s="8"/>
      <c r="E430" s="8">
        <v>82459</v>
      </c>
      <c r="F430" s="8"/>
      <c r="G430" s="15" t="s">
        <v>10</v>
      </c>
      <c r="H430" s="15" t="s">
        <v>10</v>
      </c>
      <c r="I430" s="15">
        <v>1.871376477271242</v>
      </c>
      <c r="J430" s="15">
        <v>1.871376477271242</v>
      </c>
      <c r="K430" s="15">
        <v>2.8458639954615741</v>
      </c>
      <c r="L430" s="15">
        <v>2.8458639954615741</v>
      </c>
      <c r="M430" s="15" t="s">
        <v>10</v>
      </c>
      <c r="N430" s="15" t="s">
        <v>10</v>
      </c>
      <c r="O430" s="15" t="s">
        <v>10</v>
      </c>
      <c r="P430" s="15" t="s">
        <v>10</v>
      </c>
      <c r="Q430" s="8"/>
      <c r="R430" s="9" t="s">
        <v>436</v>
      </c>
    </row>
    <row r="431" spans="1:18" x14ac:dyDescent="0.25">
      <c r="A431" s="6" t="str">
        <f>HYPERLINK("proteomic_fractions_linear_files/Yang_linear_img/156255194.jpg", "156255194")</f>
        <v>156255194</v>
      </c>
      <c r="B431" s="7"/>
      <c r="C431" s="6" t="str">
        <f>HYPERLINK("http://www.ncbi.nlm.nih.gov/protein/156255194","Aplp2")</f>
        <v>Aplp2</v>
      </c>
      <c r="D431" s="8"/>
      <c r="E431" s="8">
        <v>77678</v>
      </c>
      <c r="F431" s="8"/>
      <c r="G431" s="15" t="s">
        <v>10</v>
      </c>
      <c r="H431" s="15" t="s">
        <v>10</v>
      </c>
      <c r="I431" s="15">
        <v>1.9673445017466902</v>
      </c>
      <c r="J431" s="15">
        <v>1.9673445017466902</v>
      </c>
      <c r="K431" s="15">
        <v>2.9918057388185777</v>
      </c>
      <c r="L431" s="15">
        <v>2.9918057388185777</v>
      </c>
      <c r="M431" s="15" t="s">
        <v>10</v>
      </c>
      <c r="N431" s="15" t="s">
        <v>10</v>
      </c>
      <c r="O431" s="15" t="s">
        <v>10</v>
      </c>
      <c r="P431" s="15" t="s">
        <v>10</v>
      </c>
      <c r="Q431" s="8"/>
      <c r="R431" s="9" t="s">
        <v>437</v>
      </c>
    </row>
    <row r="432" spans="1:18" x14ac:dyDescent="0.25">
      <c r="A432" s="6" t="str">
        <f>HYPERLINK("proteomic_fractions_linear_files/Yang_linear_img/6753094.jpg", "6753094")</f>
        <v>6753094</v>
      </c>
      <c r="B432" s="7"/>
      <c r="C432" s="6" t="str">
        <f>HYPERLINK("http://www.ncbi.nlm.nih.gov/protein/6753094","Aplp2")</f>
        <v>Aplp2</v>
      </c>
      <c r="D432" s="8"/>
      <c r="E432" s="8">
        <v>76209</v>
      </c>
      <c r="F432" s="8"/>
      <c r="G432" s="15" t="s">
        <v>10</v>
      </c>
      <c r="H432" s="15" t="s">
        <v>10</v>
      </c>
      <c r="I432" s="15">
        <v>2.0191167254768665</v>
      </c>
      <c r="J432" s="15">
        <v>2.0191167254768665</v>
      </c>
      <c r="K432" s="15">
        <v>3.0705374687874878</v>
      </c>
      <c r="L432" s="15">
        <v>3.0705374687874878</v>
      </c>
      <c r="M432" s="15" t="s">
        <v>10</v>
      </c>
      <c r="N432" s="15" t="s">
        <v>10</v>
      </c>
      <c r="O432" s="15" t="s">
        <v>10</v>
      </c>
      <c r="P432" s="15" t="s">
        <v>10</v>
      </c>
      <c r="Q432" s="8"/>
      <c r="R432" s="9" t="s">
        <v>438</v>
      </c>
    </row>
    <row r="433" spans="1:18" x14ac:dyDescent="0.25">
      <c r="A433" s="6" t="str">
        <f>HYPERLINK("proteomic_fractions_linear_files/Yang_linear_img/21313668.jpg", "21313668")</f>
        <v>21313668</v>
      </c>
      <c r="B433" s="7"/>
      <c r="C433" s="6" t="str">
        <f>HYPERLINK("http://www.ncbi.nlm.nih.gov/protein/21313668","Apmap")</f>
        <v>Apmap</v>
      </c>
      <c r="D433" s="8"/>
      <c r="E433" s="8">
        <v>46303</v>
      </c>
      <c r="F433" s="8"/>
      <c r="G433" s="15">
        <v>1.1547949919565452</v>
      </c>
      <c r="H433" s="15">
        <v>1.1547949919565452</v>
      </c>
      <c r="I433" s="15">
        <v>0.95925194015142323</v>
      </c>
      <c r="J433" s="15">
        <v>0.95925194015142323</v>
      </c>
      <c r="K433" s="15">
        <v>0.95925194015142323</v>
      </c>
      <c r="L433" s="15">
        <v>0.95925194015142323</v>
      </c>
      <c r="M433" s="15" t="s">
        <v>10</v>
      </c>
      <c r="N433" s="15" t="s">
        <v>10</v>
      </c>
      <c r="O433" s="15" t="s">
        <v>10</v>
      </c>
      <c r="P433" s="15" t="s">
        <v>10</v>
      </c>
      <c r="Q433" s="8"/>
      <c r="R433" s="9" t="s">
        <v>439</v>
      </c>
    </row>
    <row r="434" spans="1:18" x14ac:dyDescent="0.25">
      <c r="A434" s="6" t="str">
        <f>HYPERLINK("proteomic_fractions_linear_files/Yang_linear_img/21553309.jpg", "21553309")</f>
        <v>21553309</v>
      </c>
      <c r="B434" s="7"/>
      <c r="C434" s="6" t="str">
        <f>HYPERLINK("http://www.ncbi.nlm.nih.gov/protein/21553309","Apoa1bp")</f>
        <v>Apoa1bp</v>
      </c>
      <c r="D434" s="8"/>
      <c r="E434" s="8">
        <v>25234</v>
      </c>
      <c r="F434" s="8"/>
      <c r="G434" s="15">
        <v>1.3821350612190073</v>
      </c>
      <c r="H434" s="15">
        <v>1.3821350612190073</v>
      </c>
      <c r="I434" s="15">
        <v>0.9821928245310767</v>
      </c>
      <c r="J434" s="15">
        <v>0.92438293498869784</v>
      </c>
      <c r="K434" s="15">
        <v>0.9821928245310767</v>
      </c>
      <c r="L434" s="15">
        <v>0.9821928245310767</v>
      </c>
      <c r="M434" s="15">
        <v>0.9821928245310767</v>
      </c>
      <c r="N434" s="15">
        <v>0.9821928245310767</v>
      </c>
      <c r="O434" s="15">
        <v>0.87182969082715001</v>
      </c>
      <c r="P434" s="15">
        <v>0.87182969082715001</v>
      </c>
      <c r="Q434" s="8"/>
      <c r="R434" s="9" t="s">
        <v>440</v>
      </c>
    </row>
    <row r="435" spans="1:18" x14ac:dyDescent="0.25">
      <c r="A435" s="6" t="str">
        <f>HYPERLINK("proteomic_fractions_linear_files/Yang_linear_img/238018108.jpg", "238018108")</f>
        <v>238018108</v>
      </c>
      <c r="B435" s="7"/>
      <c r="C435" s="6" t="str">
        <f>HYPERLINK("http://www.ncbi.nlm.nih.gov/protein/238018108","Apobec3")</f>
        <v>Apobec3</v>
      </c>
      <c r="D435" s="8"/>
      <c r="E435" s="8">
        <v>50890</v>
      </c>
      <c r="F435" s="8"/>
      <c r="G435" s="15" t="s">
        <v>10</v>
      </c>
      <c r="H435" s="15" t="s">
        <v>10</v>
      </c>
      <c r="I435" s="15" t="s">
        <v>10</v>
      </c>
      <c r="J435" s="15" t="s">
        <v>10</v>
      </c>
      <c r="K435" s="15">
        <v>0.94686226636108339</v>
      </c>
      <c r="L435" s="15">
        <v>0.94686226636108339</v>
      </c>
      <c r="M435" s="15" t="s">
        <v>10</v>
      </c>
      <c r="N435" s="15" t="s">
        <v>10</v>
      </c>
      <c r="O435" s="15" t="s">
        <v>10</v>
      </c>
      <c r="P435" s="15" t="s">
        <v>10</v>
      </c>
      <c r="Q435" s="8"/>
      <c r="R435" s="9" t="s">
        <v>441</v>
      </c>
    </row>
    <row r="436" spans="1:18" x14ac:dyDescent="0.25">
      <c r="A436" s="6" t="str">
        <f>HYPERLINK("proteomic_fractions_linear_files/Yang_linear_img/85861172.jpg", "85861172")</f>
        <v>85861172</v>
      </c>
      <c r="B436" s="7"/>
      <c r="C436" s="6" t="str">
        <f>HYPERLINK("http://www.ncbi.nlm.nih.gov/protein/85861172","Apobec3")</f>
        <v>Apobec3</v>
      </c>
      <c r="D436" s="8"/>
      <c r="E436" s="8">
        <v>47292</v>
      </c>
      <c r="F436" s="8"/>
      <c r="G436" s="15" t="s">
        <v>10</v>
      </c>
      <c r="H436" s="15" t="s">
        <v>10</v>
      </c>
      <c r="I436" s="15" t="s">
        <v>10</v>
      </c>
      <c r="J436" s="15" t="s">
        <v>10</v>
      </c>
      <c r="K436" s="15">
        <v>1.0274462890301117</v>
      </c>
      <c r="L436" s="15">
        <v>1.0274462890301117</v>
      </c>
      <c r="M436" s="15" t="s">
        <v>10</v>
      </c>
      <c r="N436" s="15" t="s">
        <v>10</v>
      </c>
      <c r="O436" s="15" t="s">
        <v>10</v>
      </c>
      <c r="P436" s="15" t="s">
        <v>10</v>
      </c>
      <c r="Q436" s="8"/>
      <c r="R436" s="9" t="s">
        <v>442</v>
      </c>
    </row>
    <row r="437" spans="1:18" x14ac:dyDescent="0.25">
      <c r="A437" s="6" t="str">
        <f>HYPERLINK("proteomic_fractions_linear_files/Yang_linear_img/238776830.jpg", "238776830")</f>
        <v>238776830</v>
      </c>
      <c r="B437" s="7"/>
      <c r="C437" s="6" t="str">
        <f>HYPERLINK("http://www.ncbi.nlm.nih.gov/protein/238776830","Apol10b")</f>
        <v>Apol10b</v>
      </c>
      <c r="D437" s="8"/>
      <c r="E437" s="8">
        <v>36919</v>
      </c>
      <c r="F437" s="8"/>
      <c r="G437" s="15" t="s">
        <v>10</v>
      </c>
      <c r="H437" s="15" t="s">
        <v>10</v>
      </c>
      <c r="I437" s="15" t="s">
        <v>10</v>
      </c>
      <c r="J437" s="15" t="s">
        <v>10</v>
      </c>
      <c r="K437" s="15" t="s">
        <v>10</v>
      </c>
      <c r="L437" s="15" t="s">
        <v>10</v>
      </c>
      <c r="M437" s="15">
        <v>0.70676373284932437</v>
      </c>
      <c r="N437" s="15">
        <v>0.70676373284932437</v>
      </c>
      <c r="O437" s="15" t="s">
        <v>10</v>
      </c>
      <c r="P437" s="15" t="s">
        <v>10</v>
      </c>
      <c r="Q437" s="8"/>
      <c r="R437" s="9" t="s">
        <v>443</v>
      </c>
    </row>
    <row r="438" spans="1:18" x14ac:dyDescent="0.25">
      <c r="A438" s="6" t="str">
        <f>HYPERLINK("proteomic_fractions_linear_files/Yang_linear_img/161484642.jpg", "161484642")</f>
        <v>161484642</v>
      </c>
      <c r="B438" s="7"/>
      <c r="C438" s="6" t="str">
        <f>HYPERLINK("http://www.ncbi.nlm.nih.gov/protein/161484642","Apoo")</f>
        <v>Apoo</v>
      </c>
      <c r="D438" s="8"/>
      <c r="E438" s="8">
        <v>20038</v>
      </c>
      <c r="F438" s="8"/>
      <c r="G438" s="15">
        <v>0.75983975093668288</v>
      </c>
      <c r="H438" s="15">
        <v>0.75983975093668288</v>
      </c>
      <c r="I438" s="15">
        <v>0.7986336256981349</v>
      </c>
      <c r="J438" s="15">
        <v>0.7986336256981349</v>
      </c>
      <c r="K438" s="15">
        <v>0.7986336256981349</v>
      </c>
      <c r="L438" s="15">
        <v>0.7986336256981349</v>
      </c>
      <c r="M438" s="15" t="s">
        <v>10</v>
      </c>
      <c r="N438" s="15" t="s">
        <v>10</v>
      </c>
      <c r="O438" s="15" t="s">
        <v>10</v>
      </c>
      <c r="P438" s="15" t="s">
        <v>10</v>
      </c>
      <c r="Q438" s="8"/>
      <c r="R438" s="9" t="s">
        <v>444</v>
      </c>
    </row>
    <row r="439" spans="1:18" x14ac:dyDescent="0.25">
      <c r="A439" s="6" t="str">
        <f>HYPERLINK("proteomic_fractions_linear_files/Yang_linear_img/313569763.jpg", "313569763")</f>
        <v>313569763</v>
      </c>
      <c r="B439" s="7"/>
      <c r="C439" s="6" t="str">
        <f>HYPERLINK("http://www.ncbi.nlm.nih.gov/protein/313569763","Apoo")</f>
        <v>Apoo</v>
      </c>
      <c r="D439" s="8"/>
      <c r="E439" s="8">
        <v>18667</v>
      </c>
      <c r="F439" s="8"/>
      <c r="G439" s="15">
        <v>0.87981444845300116</v>
      </c>
      <c r="H439" s="15">
        <v>0.87981444845300116</v>
      </c>
      <c r="I439" s="15">
        <v>0.92473367186099831</v>
      </c>
      <c r="J439" s="15">
        <v>0.92473367186099831</v>
      </c>
      <c r="K439" s="15">
        <v>0.92473367186099831</v>
      </c>
      <c r="L439" s="15">
        <v>0.92473367186099831</v>
      </c>
      <c r="M439" s="15" t="s">
        <v>10</v>
      </c>
      <c r="N439" s="15" t="s">
        <v>10</v>
      </c>
      <c r="O439" s="15" t="s">
        <v>10</v>
      </c>
      <c r="P439" s="15" t="s">
        <v>10</v>
      </c>
      <c r="Q439" s="8"/>
      <c r="R439" s="9" t="s">
        <v>445</v>
      </c>
    </row>
    <row r="440" spans="1:18" x14ac:dyDescent="0.25">
      <c r="A440" s="6" t="str">
        <f>HYPERLINK("proteomic_fractions_linear_files/Yang_linear_img/313569872.jpg", "313569872")</f>
        <v>313569872</v>
      </c>
      <c r="B440" s="7"/>
      <c r="C440" s="6" t="str">
        <f>HYPERLINK("http://www.ncbi.nlm.nih.gov/protein/313569872","Apoo")</f>
        <v>Apoo</v>
      </c>
      <c r="D440" s="8"/>
      <c r="E440" s="8">
        <v>24006</v>
      </c>
      <c r="F440" s="8"/>
      <c r="G440" s="15">
        <v>0.69651977169195922</v>
      </c>
      <c r="H440" s="15">
        <v>0.69651977169195922</v>
      </c>
      <c r="I440" s="15">
        <v>0.73208082355662363</v>
      </c>
      <c r="J440" s="15">
        <v>0.73208082355662363</v>
      </c>
      <c r="K440" s="15">
        <v>0.73208082355662363</v>
      </c>
      <c r="L440" s="15">
        <v>0.73208082355662363</v>
      </c>
      <c r="M440" s="15" t="s">
        <v>10</v>
      </c>
      <c r="N440" s="15" t="s">
        <v>10</v>
      </c>
      <c r="O440" s="15" t="s">
        <v>10</v>
      </c>
      <c r="P440" s="15" t="s">
        <v>10</v>
      </c>
      <c r="Q440" s="8"/>
      <c r="R440" s="9" t="s">
        <v>446</v>
      </c>
    </row>
    <row r="441" spans="1:18" x14ac:dyDescent="0.25">
      <c r="A441" s="6" t="str">
        <f>HYPERLINK("proteomic_fractions_linear_files/Yang_linear_img/13386062.jpg", "13386062")</f>
        <v>13386062</v>
      </c>
      <c r="B441" s="7"/>
      <c r="C441" s="6" t="str">
        <f>HYPERLINK("http://www.ncbi.nlm.nih.gov/protein/13386062","Apool")</f>
        <v>Apool</v>
      </c>
      <c r="D441" s="8"/>
      <c r="E441" s="8">
        <v>26371</v>
      </c>
      <c r="F441" s="8"/>
      <c r="G441" s="15">
        <v>1.4362048624278689</v>
      </c>
      <c r="H441" s="15">
        <v>1.4362048624278689</v>
      </c>
      <c r="I441" s="15">
        <v>1.0057791582855768</v>
      </c>
      <c r="J441" s="15">
        <v>1.0057791582855768</v>
      </c>
      <c r="K441" s="15">
        <v>1.0737773576031562</v>
      </c>
      <c r="L441" s="15">
        <v>1.0737773576031562</v>
      </c>
      <c r="M441" s="15" t="s">
        <v>10</v>
      </c>
      <c r="N441" s="15" t="s">
        <v>10</v>
      </c>
      <c r="O441" s="15" t="s">
        <v>10</v>
      </c>
      <c r="P441" s="15" t="s">
        <v>10</v>
      </c>
      <c r="Q441" s="8"/>
      <c r="R441" s="9" t="s">
        <v>447</v>
      </c>
    </row>
    <row r="442" spans="1:18" x14ac:dyDescent="0.25">
      <c r="A442" s="6" t="str">
        <f>HYPERLINK("proteomic_fractions_linear_files/Yang_linear_img/311893401.jpg", "311893401")</f>
        <v>311893401</v>
      </c>
      <c r="B442" s="7"/>
      <c r="C442" s="6" t="str">
        <f>HYPERLINK("http://www.ncbi.nlm.nih.gov/protein/311893401","App")</f>
        <v>App</v>
      </c>
      <c r="D442" s="8"/>
      <c r="E442" s="8">
        <v>84901</v>
      </c>
      <c r="F442" s="8"/>
      <c r="G442" s="15">
        <v>1.8053278957204921</v>
      </c>
      <c r="H442" s="15">
        <v>1.8053278957204921</v>
      </c>
      <c r="I442" s="15">
        <v>1.8053278957204921</v>
      </c>
      <c r="J442" s="15">
        <v>1.8053278957204921</v>
      </c>
      <c r="K442" s="15">
        <v>2.7454217367982245</v>
      </c>
      <c r="L442" s="15">
        <v>2.1972450781169455</v>
      </c>
      <c r="M442" s="15">
        <v>0.17079380849259232</v>
      </c>
      <c r="N442" s="15">
        <v>0.17079380849259232</v>
      </c>
      <c r="O442" s="15">
        <v>1.8053278957204921</v>
      </c>
      <c r="P442" s="15">
        <v>1.8053278957204921</v>
      </c>
      <c r="Q442" s="8"/>
      <c r="R442" s="9" t="s">
        <v>448</v>
      </c>
    </row>
    <row r="443" spans="1:18" x14ac:dyDescent="0.25">
      <c r="A443" s="6" t="str">
        <f>HYPERLINK("proteomic_fractions_linear_files/Yang_linear_img/311893404.jpg", "311893404")</f>
        <v>311893404</v>
      </c>
      <c r="B443" s="7"/>
      <c r="C443" s="6" t="str">
        <f>HYPERLINK("http://www.ncbi.nlm.nih.gov/protein/311893404","App")</f>
        <v>App</v>
      </c>
      <c r="D443" s="8"/>
      <c r="E443" s="8">
        <v>82868</v>
      </c>
      <c r="F443" s="8"/>
      <c r="G443" s="15">
        <v>1.8488297727258054</v>
      </c>
      <c r="H443" s="15">
        <v>1.8488297727258054</v>
      </c>
      <c r="I443" s="15">
        <v>1.8488297727258054</v>
      </c>
      <c r="J443" s="15">
        <v>1.8488297727258054</v>
      </c>
      <c r="K443" s="15">
        <v>2.8115764774439649</v>
      </c>
      <c r="L443" s="15">
        <v>2.2501907426498837</v>
      </c>
      <c r="M443" s="15">
        <v>0.17490932195024514</v>
      </c>
      <c r="N443" s="15">
        <v>0.17490932195024514</v>
      </c>
      <c r="O443" s="15">
        <v>1.8488297727258054</v>
      </c>
      <c r="P443" s="15">
        <v>1.8488297727258054</v>
      </c>
      <c r="Q443" s="8"/>
      <c r="R443" s="9" t="s">
        <v>449</v>
      </c>
    </row>
    <row r="444" spans="1:18" x14ac:dyDescent="0.25">
      <c r="A444" s="6" t="str">
        <f>HYPERLINK("proteomic_fractions_linear_files/Yang_linear_img/311893406.jpg", "311893406")</f>
        <v>311893406</v>
      </c>
      <c r="B444" s="7"/>
      <c r="C444" s="6" t="str">
        <f>HYPERLINK("http://www.ncbi.nlm.nih.gov/protein/311893406","App")</f>
        <v>App</v>
      </c>
      <c r="D444" s="8"/>
      <c r="E444" s="8">
        <v>80965</v>
      </c>
      <c r="F444" s="8"/>
      <c r="G444" s="15">
        <v>1.8944798905708868</v>
      </c>
      <c r="H444" s="15">
        <v>1.8944798905708868</v>
      </c>
      <c r="I444" s="15">
        <v>1.8944798905708868</v>
      </c>
      <c r="J444" s="15">
        <v>1.8944798905708868</v>
      </c>
      <c r="K444" s="15">
        <v>2.8809981188623341</v>
      </c>
      <c r="L444" s="15">
        <v>2.3057510079004984</v>
      </c>
      <c r="M444" s="15">
        <v>0.17922807064037466</v>
      </c>
      <c r="N444" s="15">
        <v>0.17922807064037466</v>
      </c>
      <c r="O444" s="15">
        <v>1.8944798905708868</v>
      </c>
      <c r="P444" s="15">
        <v>1.8944798905708868</v>
      </c>
      <c r="Q444" s="8"/>
      <c r="R444" s="9" t="s">
        <v>450</v>
      </c>
    </row>
    <row r="445" spans="1:18" x14ac:dyDescent="0.25">
      <c r="A445" s="6" t="str">
        <f>HYPERLINK("proteomic_fractions_linear_files/Yang_linear_img/311893408.jpg", "311893408")</f>
        <v>311893408</v>
      </c>
      <c r="B445" s="7"/>
      <c r="C445" s="6" t="str">
        <f>HYPERLINK("http://www.ncbi.nlm.nih.gov/protein/311893408","App")</f>
        <v>App</v>
      </c>
      <c r="D445" s="8"/>
      <c r="E445" s="8">
        <v>82998</v>
      </c>
      <c r="F445" s="8"/>
      <c r="G445" s="15">
        <v>1.8488297727258054</v>
      </c>
      <c r="H445" s="15">
        <v>1.8488297727258054</v>
      </c>
      <c r="I445" s="15">
        <v>1.8488297727258054</v>
      </c>
      <c r="J445" s="15">
        <v>1.8488297727258054</v>
      </c>
      <c r="K445" s="15">
        <v>2.8115764774439649</v>
      </c>
      <c r="L445" s="15">
        <v>2.2501907426498837</v>
      </c>
      <c r="M445" s="15">
        <v>0.17490932195024514</v>
      </c>
      <c r="N445" s="15">
        <v>0.17490932195024514</v>
      </c>
      <c r="O445" s="15">
        <v>1.8488297727258054</v>
      </c>
      <c r="P445" s="15">
        <v>1.8488297727258054</v>
      </c>
      <c r="Q445" s="8"/>
      <c r="R445" s="9" t="s">
        <v>451</v>
      </c>
    </row>
    <row r="446" spans="1:18" x14ac:dyDescent="0.25">
      <c r="A446" s="6" t="str">
        <f>HYPERLINK("proteomic_fractions_linear_files/Yang_linear_img/47271504.jpg", "47271504")</f>
        <v>47271504</v>
      </c>
      <c r="B446" s="7"/>
      <c r="C446" s="6" t="str">
        <f>HYPERLINK("http://www.ncbi.nlm.nih.gov/protein/47271504","App")</f>
        <v>App</v>
      </c>
      <c r="D446" s="8"/>
      <c r="E446" s="8">
        <v>76622</v>
      </c>
      <c r="F446" s="8"/>
      <c r="G446" s="15">
        <v>1.9928944303408032</v>
      </c>
      <c r="H446" s="15">
        <v>1.9928944303408032</v>
      </c>
      <c r="I446" s="15">
        <v>1.9928944303408032</v>
      </c>
      <c r="J446" s="15">
        <v>1.9928944303408032</v>
      </c>
      <c r="K446" s="15">
        <v>3.0306603588032348</v>
      </c>
      <c r="L446" s="15">
        <v>2.4255302810381867</v>
      </c>
      <c r="M446" s="15">
        <v>0.18853861976454997</v>
      </c>
      <c r="N446" s="15">
        <v>0.18853861976454997</v>
      </c>
      <c r="O446" s="15">
        <v>1.9928944303408032</v>
      </c>
      <c r="P446" s="15">
        <v>1.9928944303408032</v>
      </c>
      <c r="Q446" s="8"/>
      <c r="R446" s="9" t="s">
        <v>452</v>
      </c>
    </row>
    <row r="447" spans="1:18" x14ac:dyDescent="0.25">
      <c r="A447" s="6" t="str">
        <f>HYPERLINK("proteomic_fractions_linear_files/Yang_linear_img/21699066.jpg", "21699066")</f>
        <v>21699066</v>
      </c>
      <c r="B447" s="7"/>
      <c r="C447" s="6" t="str">
        <f>HYPERLINK("http://www.ncbi.nlm.nih.gov/protein/21699066","Appl1")</f>
        <v>Appl1</v>
      </c>
      <c r="D447" s="8"/>
      <c r="E447" s="8">
        <v>79197</v>
      </c>
      <c r="F447" s="8"/>
      <c r="G447" s="15" t="s">
        <v>10</v>
      </c>
      <c r="H447" s="15" t="s">
        <v>10</v>
      </c>
      <c r="I447" s="15">
        <v>1.2021263440833483</v>
      </c>
      <c r="J447" s="15">
        <v>1.2021263440833483</v>
      </c>
      <c r="K447" s="15" t="s">
        <v>10</v>
      </c>
      <c r="L447" s="15" t="s">
        <v>10</v>
      </c>
      <c r="M447" s="15" t="s">
        <v>10</v>
      </c>
      <c r="N447" s="15" t="s">
        <v>10</v>
      </c>
      <c r="O447" s="15">
        <v>1.0518817528246058</v>
      </c>
      <c r="P447" s="15">
        <v>1.0518817528246058</v>
      </c>
      <c r="Q447" s="8"/>
      <c r="R447" s="9" t="s">
        <v>453</v>
      </c>
    </row>
    <row r="448" spans="1:18" x14ac:dyDescent="0.25">
      <c r="A448" s="6" t="str">
        <f>HYPERLINK("proteomic_fractions_linear_files/Yang_linear_img/21644587.jpg", "21644587")</f>
        <v>21644587</v>
      </c>
      <c r="B448" s="7"/>
      <c r="C448" s="6" t="str">
        <f>HYPERLINK("http://www.ncbi.nlm.nih.gov/protein/21644587","Appl2")</f>
        <v>Appl2</v>
      </c>
      <c r="D448" s="8"/>
      <c r="E448" s="8">
        <v>73723</v>
      </c>
      <c r="F448" s="8"/>
      <c r="G448" s="15" t="s">
        <v>10</v>
      </c>
      <c r="H448" s="15" t="s">
        <v>10</v>
      </c>
      <c r="I448" s="15" t="s">
        <v>10</v>
      </c>
      <c r="J448" s="15" t="s">
        <v>10</v>
      </c>
      <c r="K448" s="15">
        <v>1.1229548442316737</v>
      </c>
      <c r="L448" s="15">
        <v>1.1229548442316737</v>
      </c>
      <c r="M448" s="15" t="s">
        <v>10</v>
      </c>
      <c r="N448" s="15" t="s">
        <v>10</v>
      </c>
      <c r="O448" s="15" t="s">
        <v>10</v>
      </c>
      <c r="P448" s="15" t="s">
        <v>10</v>
      </c>
      <c r="Q448" s="8"/>
      <c r="R448" s="9" t="s">
        <v>454</v>
      </c>
    </row>
    <row r="449" spans="1:18" x14ac:dyDescent="0.25">
      <c r="A449" s="6" t="str">
        <f>HYPERLINK("proteomic_fractions_linear_files/Yang_linear_img/118601013.jpg", "118601013")</f>
        <v>118601013</v>
      </c>
      <c r="B449" s="7"/>
      <c r="C449" s="6" t="str">
        <f>HYPERLINK("http://www.ncbi.nlm.nih.gov/protein/118601013","Aprt")</f>
        <v>Aprt</v>
      </c>
      <c r="D449" s="8"/>
      <c r="E449" s="8">
        <v>19593</v>
      </c>
      <c r="F449" s="8"/>
      <c r="G449" s="15">
        <v>1.4942703445856567</v>
      </c>
      <c r="H449" s="15">
        <v>1.4942703445856567</v>
      </c>
      <c r="I449" s="15">
        <v>1.0298720593328137</v>
      </c>
      <c r="J449" s="15">
        <v>1.0298720593328137</v>
      </c>
      <c r="K449" s="15">
        <v>1.0897871135339376</v>
      </c>
      <c r="L449" s="15">
        <v>1.0897871135339376</v>
      </c>
      <c r="M449" s="15">
        <v>1.0897871135339376</v>
      </c>
      <c r="N449" s="15">
        <v>1.0897871135339376</v>
      </c>
      <c r="O449" s="15">
        <v>1.0298720593328137</v>
      </c>
      <c r="P449" s="15">
        <v>1.0298720593328137</v>
      </c>
      <c r="Q449" s="8"/>
      <c r="R449" s="9" t="s">
        <v>455</v>
      </c>
    </row>
    <row r="450" spans="1:18" x14ac:dyDescent="0.25">
      <c r="A450" s="6" t="str">
        <f>HYPERLINK("proteomic_fractions_linear_files/Yang_linear_img/160415209.jpg", "160415209")</f>
        <v>160415209</v>
      </c>
      <c r="B450" s="7"/>
      <c r="C450" s="6" t="str">
        <f>HYPERLINK("http://www.ncbi.nlm.nih.gov/protein/160415209","Aqp2")</f>
        <v>Aqp2</v>
      </c>
      <c r="D450" s="8"/>
      <c r="E450" s="8">
        <v>28834</v>
      </c>
      <c r="F450" s="8"/>
      <c r="G450" s="15">
        <v>1.1063473398528822</v>
      </c>
      <c r="H450" s="15">
        <v>1.1063473398528822</v>
      </c>
      <c r="I450" s="15">
        <v>1.1063473398528822</v>
      </c>
      <c r="J450" s="15">
        <v>1.1063473398528822</v>
      </c>
      <c r="K450" s="15">
        <v>0.60585999190892992</v>
      </c>
      <c r="L450" s="15">
        <v>1.3968040759731981</v>
      </c>
      <c r="M450" s="15">
        <v>1.2876319456249858</v>
      </c>
      <c r="N450" s="15">
        <v>1.2876319456249858</v>
      </c>
      <c r="O450" s="15" t="s">
        <v>10</v>
      </c>
      <c r="P450" s="15" t="s">
        <v>10</v>
      </c>
      <c r="Q450" s="8"/>
      <c r="R450" s="9" t="s">
        <v>456</v>
      </c>
    </row>
    <row r="451" spans="1:18" x14ac:dyDescent="0.25">
      <c r="A451" s="6" t="str">
        <f>HYPERLINK("proteomic_fractions_linear_files/Yang_linear_img/163644327.jpg", "163644327")</f>
        <v>163644327</v>
      </c>
      <c r="B451" s="7"/>
      <c r="C451" s="6" t="str">
        <f>HYPERLINK("http://www.ncbi.nlm.nih.gov/protein/163644327","Aqr")</f>
        <v>Aqr</v>
      </c>
      <c r="D451" s="8"/>
      <c r="E451" s="8">
        <v>170164</v>
      </c>
      <c r="F451" s="8"/>
      <c r="G451" s="15" t="s">
        <v>10</v>
      </c>
      <c r="H451" s="15" t="s">
        <v>10</v>
      </c>
      <c r="I451" s="15" t="s">
        <v>10</v>
      </c>
      <c r="J451" s="15" t="s">
        <v>10</v>
      </c>
      <c r="K451" s="15">
        <v>0.31247393900000636</v>
      </c>
      <c r="L451" s="15">
        <v>0.31247393900000636</v>
      </c>
      <c r="M451" s="15">
        <v>1.0986225390584727</v>
      </c>
      <c r="N451" s="15">
        <v>1.0986225390584727</v>
      </c>
      <c r="O451" s="15" t="s">
        <v>10</v>
      </c>
      <c r="P451" s="15" t="s">
        <v>10</v>
      </c>
      <c r="Q451" s="8"/>
      <c r="R451" s="9" t="s">
        <v>457</v>
      </c>
    </row>
    <row r="452" spans="1:18" x14ac:dyDescent="0.25">
      <c r="A452" s="6" t="str">
        <f>HYPERLINK("proteomic_fractions_linear_files/Yang_linear_img/227496776.jpg", "227496776")</f>
        <v>227496776</v>
      </c>
      <c r="B452" s="7"/>
      <c r="C452" s="6" t="str">
        <f>HYPERLINK("http://www.ncbi.nlm.nih.gov/protein/227496776","Araf")</f>
        <v>Araf</v>
      </c>
      <c r="D452" s="8"/>
      <c r="E452" s="8">
        <v>20754</v>
      </c>
      <c r="F452" s="8"/>
      <c r="G452" s="15" t="s">
        <v>10</v>
      </c>
      <c r="H452" s="15" t="s">
        <v>10</v>
      </c>
      <c r="I452" s="15">
        <v>3.4969600115086785</v>
      </c>
      <c r="J452" s="15">
        <v>3.4969600115086785</v>
      </c>
      <c r="K452" s="15">
        <v>3.4969600115086785</v>
      </c>
      <c r="L452" s="15">
        <v>3.4969600115086785</v>
      </c>
      <c r="M452" s="15">
        <v>3.4969600115086785</v>
      </c>
      <c r="N452" s="15">
        <v>3.4969600115086785</v>
      </c>
      <c r="O452" s="15">
        <v>3.1168220633592538</v>
      </c>
      <c r="P452" s="15">
        <v>3.1168220633592538</v>
      </c>
      <c r="Q452" s="8"/>
      <c r="R452" s="9" t="s">
        <v>458</v>
      </c>
    </row>
    <row r="453" spans="1:18" x14ac:dyDescent="0.25">
      <c r="A453" s="6" t="str">
        <f>HYPERLINK("proteomic_fractions_linear_files/Yang_linear_img/27545181.jpg", "27545181")</f>
        <v>27545181</v>
      </c>
      <c r="B453" s="7"/>
      <c r="C453" s="6" t="str">
        <f>HYPERLINK("http://www.ncbi.nlm.nih.gov/protein/27545181","Araf")</f>
        <v>Araf</v>
      </c>
      <c r="D453" s="8"/>
      <c r="E453" s="8">
        <v>67451</v>
      </c>
      <c r="F453" s="8"/>
      <c r="G453" s="15" t="s">
        <v>10</v>
      </c>
      <c r="H453" s="15" t="s">
        <v>10</v>
      </c>
      <c r="I453" s="15">
        <v>1.0960620931594365</v>
      </c>
      <c r="J453" s="15">
        <v>1.0960620931594365</v>
      </c>
      <c r="K453" s="15">
        <v>1.0960620931594365</v>
      </c>
      <c r="L453" s="15">
        <v>1.0960620931594365</v>
      </c>
      <c r="M453" s="15">
        <v>1.0960620931594365</v>
      </c>
      <c r="N453" s="15">
        <v>1.0960620931594365</v>
      </c>
      <c r="O453" s="15">
        <v>0.97691437806782588</v>
      </c>
      <c r="P453" s="15">
        <v>0.97691437806782588</v>
      </c>
      <c r="Q453" s="8"/>
      <c r="R453" s="9" t="s">
        <v>459</v>
      </c>
    </row>
    <row r="454" spans="1:18" x14ac:dyDescent="0.25">
      <c r="A454" s="6" t="str">
        <f>HYPERLINK("proteomic_fractions_linear_files/Yang_linear_img/148747410.jpg", "148747410")</f>
        <v>148747410</v>
      </c>
      <c r="B454" s="7"/>
      <c r="C454" s="6" t="str">
        <f>HYPERLINK("http://www.ncbi.nlm.nih.gov/protein/148747410","Arcn1")</f>
        <v>Arcn1</v>
      </c>
      <c r="D454" s="8"/>
      <c r="E454" s="8">
        <v>57099</v>
      </c>
      <c r="F454" s="8"/>
      <c r="G454" s="15">
        <v>1.2883536884505657</v>
      </c>
      <c r="H454" s="15">
        <v>1.2883536884505657</v>
      </c>
      <c r="I454" s="15">
        <v>1.1483028654481462</v>
      </c>
      <c r="J454" s="15">
        <v>1.1483028654481462</v>
      </c>
      <c r="K454" s="15">
        <v>1.1483028654481462</v>
      </c>
      <c r="L454" s="15">
        <v>1.1483028654481462</v>
      </c>
      <c r="M454" s="15">
        <v>1.1483028654481462</v>
      </c>
      <c r="N454" s="15">
        <v>1.1483028654481462</v>
      </c>
      <c r="O454" s="15">
        <v>1.0311089050104185</v>
      </c>
      <c r="P454" s="15">
        <v>1.0311089050104185</v>
      </c>
      <c r="Q454" s="8"/>
      <c r="R454" s="9" t="s">
        <v>460</v>
      </c>
    </row>
    <row r="455" spans="1:18" x14ac:dyDescent="0.25">
      <c r="A455" s="6" t="str">
        <f>HYPERLINK("proteomic_fractions_linear_files/Yang_linear_img/6680716.jpg", "6680716")</f>
        <v>6680716</v>
      </c>
      <c r="B455" s="7"/>
      <c r="C455" s="6" t="str">
        <f>HYPERLINK("http://www.ncbi.nlm.nih.gov/protein/6680716","Arf1")</f>
        <v>Arf1</v>
      </c>
      <c r="D455" s="8"/>
      <c r="E455" s="8">
        <v>20566</v>
      </c>
      <c r="F455" s="8"/>
      <c r="G455" s="15">
        <v>1.1692771720608055</v>
      </c>
      <c r="H455" s="15">
        <v>1.1692771720608055</v>
      </c>
      <c r="I455" s="15">
        <v>0.79602259621938198</v>
      </c>
      <c r="J455" s="15">
        <v>0.79602259621938198</v>
      </c>
      <c r="K455" s="15">
        <v>0.79602259621938198</v>
      </c>
      <c r="L455" s="15">
        <v>0.79602259621938198</v>
      </c>
      <c r="M455" s="15">
        <v>0.83666379835042703</v>
      </c>
      <c r="N455" s="15">
        <v>0.83666379835042703</v>
      </c>
      <c r="O455" s="15">
        <v>0.83666379835042703</v>
      </c>
      <c r="P455" s="15">
        <v>0.83666379835042703</v>
      </c>
      <c r="Q455" s="8"/>
      <c r="R455" s="9" t="s">
        <v>461</v>
      </c>
    </row>
    <row r="456" spans="1:18" x14ac:dyDescent="0.25">
      <c r="A456" s="6" t="str">
        <f>HYPERLINK("proteomic_fractions_linear_files/Yang_linear_img/6671571.jpg", "6671571")</f>
        <v>6671571</v>
      </c>
      <c r="B456" s="7"/>
      <c r="C456" s="6" t="str">
        <f>HYPERLINK("http://www.ncbi.nlm.nih.gov/protein/6671571","Arf2")</f>
        <v>Arf2</v>
      </c>
      <c r="D456" s="8"/>
      <c r="E456" s="8">
        <v>20615</v>
      </c>
      <c r="F456" s="8"/>
      <c r="G456" s="15">
        <v>1.1692771720608055</v>
      </c>
      <c r="H456" s="15">
        <v>1.1692771720608055</v>
      </c>
      <c r="I456" s="15">
        <v>0.79602259621938198</v>
      </c>
      <c r="J456" s="15">
        <v>0.79602259621938198</v>
      </c>
      <c r="K456" s="15">
        <v>0.79602259621938198</v>
      </c>
      <c r="L456" s="15">
        <v>0.79602259621938198</v>
      </c>
      <c r="M456" s="15">
        <v>0.83666379835042703</v>
      </c>
      <c r="N456" s="15">
        <v>0.83666379835042703</v>
      </c>
      <c r="O456" s="15">
        <v>0.83666379835042703</v>
      </c>
      <c r="P456" s="15">
        <v>0.83666379835042703</v>
      </c>
      <c r="Q456" s="8"/>
      <c r="R456" s="9" t="s">
        <v>462</v>
      </c>
    </row>
    <row r="457" spans="1:18" x14ac:dyDescent="0.25">
      <c r="A457" s="6" t="str">
        <f>HYPERLINK("proteomic_fractions_linear_files/Yang_linear_img/6680718.jpg", "6680718")</f>
        <v>6680718</v>
      </c>
      <c r="B457" s="7"/>
      <c r="C457" s="6" t="str">
        <f>HYPERLINK("http://www.ncbi.nlm.nih.gov/protein/6680718","Arf3")</f>
        <v>Arf3</v>
      </c>
      <c r="D457" s="8"/>
      <c r="E457" s="8">
        <v>20470</v>
      </c>
      <c r="F457" s="8"/>
      <c r="G457" s="15">
        <v>1.2277410306638459</v>
      </c>
      <c r="H457" s="15">
        <v>1.2277410306638459</v>
      </c>
      <c r="I457" s="15">
        <v>0.83582372603035116</v>
      </c>
      <c r="J457" s="15">
        <v>0.83582372603035116</v>
      </c>
      <c r="K457" s="15">
        <v>0.83582372603035116</v>
      </c>
      <c r="L457" s="15">
        <v>0.83582372603035116</v>
      </c>
      <c r="M457" s="15">
        <v>0.87849698826794831</v>
      </c>
      <c r="N457" s="15">
        <v>0.87849698826794831</v>
      </c>
      <c r="O457" s="15">
        <v>0.87849698826794831</v>
      </c>
      <c r="P457" s="15">
        <v>0.87849698826794831</v>
      </c>
      <c r="Q457" s="8"/>
      <c r="R457" s="9" t="s">
        <v>463</v>
      </c>
    </row>
    <row r="458" spans="1:18" x14ac:dyDescent="0.25">
      <c r="A458" s="6" t="str">
        <f>HYPERLINK("proteomic_fractions_linear_files/Yang_linear_img/6680720.jpg", "6680720")</f>
        <v>6680720</v>
      </c>
      <c r="B458" s="7"/>
      <c r="C458" s="6" t="str">
        <f>HYPERLINK("http://www.ncbi.nlm.nih.gov/protein/6680720","Arf4")</f>
        <v>Arf4</v>
      </c>
      <c r="D458" s="8"/>
      <c r="E458" s="8">
        <v>20266</v>
      </c>
      <c r="F458" s="8"/>
      <c r="G458" s="15">
        <v>1.2277410306638459</v>
      </c>
      <c r="H458" s="15">
        <v>1.2277410306638459</v>
      </c>
      <c r="I458" s="15">
        <v>0.87849698826794831</v>
      </c>
      <c r="J458" s="15">
        <v>0.87849698826794831</v>
      </c>
      <c r="K458" s="15">
        <v>0.83582372603035116</v>
      </c>
      <c r="L458" s="15">
        <v>0.83582372603035116</v>
      </c>
      <c r="M458" s="15">
        <v>0.92476495822820426</v>
      </c>
      <c r="N458" s="15">
        <v>0.92476495822820426</v>
      </c>
      <c r="O458" s="15">
        <v>0.83582372603035116</v>
      </c>
      <c r="P458" s="15">
        <v>0.83582372603035116</v>
      </c>
      <c r="Q458" s="8"/>
      <c r="R458" s="9" t="s">
        <v>464</v>
      </c>
    </row>
    <row r="459" spans="1:18" x14ac:dyDescent="0.25">
      <c r="A459" s="6" t="str">
        <f>HYPERLINK("proteomic_fractions_linear_files/Yang_linear_img/6680722.jpg", "6680722")</f>
        <v>6680722</v>
      </c>
      <c r="B459" s="7"/>
      <c r="C459" s="6" t="str">
        <f>HYPERLINK("http://www.ncbi.nlm.nih.gov/protein/6680722","Arf5")</f>
        <v>Arf5</v>
      </c>
      <c r="D459" s="8"/>
      <c r="E459" s="8">
        <v>20399</v>
      </c>
      <c r="F459" s="8"/>
      <c r="G459" s="15">
        <v>1.2277410306638459</v>
      </c>
      <c r="H459" s="15">
        <v>1.2277410306638459</v>
      </c>
      <c r="I459" s="15">
        <v>0.87849698826794831</v>
      </c>
      <c r="J459" s="15">
        <v>0.87849698826794831</v>
      </c>
      <c r="K459" s="15">
        <v>0.92476495822820426</v>
      </c>
      <c r="L459" s="15">
        <v>0.92476495822820426</v>
      </c>
      <c r="M459" s="15">
        <v>0.97505749140176368</v>
      </c>
      <c r="N459" s="15">
        <v>0.97505749140176368</v>
      </c>
      <c r="O459" s="15">
        <v>0.92476495822820426</v>
      </c>
      <c r="P459" s="15">
        <v>0.92476495822820426</v>
      </c>
      <c r="Q459" s="8"/>
      <c r="R459" s="9" t="s">
        <v>465</v>
      </c>
    </row>
    <row r="460" spans="1:18" x14ac:dyDescent="0.25">
      <c r="A460" s="6" t="str">
        <f>HYPERLINK("proteomic_fractions_linear_files/Yang_linear_img/6680724.jpg", "6680724")</f>
        <v>6680724</v>
      </c>
      <c r="B460" s="7"/>
      <c r="C460" s="6" t="str">
        <f>HYPERLINK("http://www.ncbi.nlm.nih.gov/protein/6680724","Arf6")</f>
        <v>Arf6</v>
      </c>
      <c r="D460" s="8"/>
      <c r="E460" s="8">
        <v>19951</v>
      </c>
      <c r="F460" s="8"/>
      <c r="G460" s="15">
        <v>1.2277410306638459</v>
      </c>
      <c r="H460" s="15">
        <v>1.2277410306638459</v>
      </c>
      <c r="I460" s="15">
        <v>0.83582372603035116</v>
      </c>
      <c r="J460" s="15">
        <v>0.83582372603035116</v>
      </c>
      <c r="K460" s="15">
        <v>0.87849698826794831</v>
      </c>
      <c r="L460" s="15">
        <v>0.87849698826794831</v>
      </c>
      <c r="M460" s="15">
        <v>0.87849698826794831</v>
      </c>
      <c r="N460" s="15">
        <v>0.87849698826794831</v>
      </c>
      <c r="O460" s="15">
        <v>0.83582372603035116</v>
      </c>
      <c r="P460" s="15">
        <v>0.83582372603035116</v>
      </c>
      <c r="Q460" s="8"/>
      <c r="R460" s="9" t="s">
        <v>466</v>
      </c>
    </row>
    <row r="461" spans="1:18" x14ac:dyDescent="0.25">
      <c r="A461" s="6" t="str">
        <f>HYPERLINK("proteomic_fractions_linear_files/Yang_linear_img/295148126.jpg", "295148126")</f>
        <v>295148126</v>
      </c>
      <c r="B461" s="7"/>
      <c r="C461" s="6" t="str">
        <f>HYPERLINK("http://www.ncbi.nlm.nih.gov/protein/295148126","Arfgap1")</f>
        <v>Arfgap1</v>
      </c>
      <c r="D461" s="8"/>
      <c r="E461" s="8">
        <v>42826</v>
      </c>
      <c r="F461" s="8"/>
      <c r="G461" s="15" t="s">
        <v>10</v>
      </c>
      <c r="H461" s="15" t="s">
        <v>10</v>
      </c>
      <c r="I461" s="15" t="s">
        <v>10</v>
      </c>
      <c r="J461" s="15" t="s">
        <v>10</v>
      </c>
      <c r="K461" s="15">
        <v>1.123022688009657</v>
      </c>
      <c r="L461" s="15">
        <v>1.123022688009657</v>
      </c>
      <c r="M461" s="15">
        <v>1.123022688009657</v>
      </c>
      <c r="N461" s="15">
        <v>1.123022688009657</v>
      </c>
      <c r="O461" s="15" t="s">
        <v>10</v>
      </c>
      <c r="P461" s="15" t="s">
        <v>10</v>
      </c>
      <c r="Q461" s="8"/>
      <c r="R461" s="9" t="s">
        <v>467</v>
      </c>
    </row>
    <row r="462" spans="1:18" x14ac:dyDescent="0.25">
      <c r="A462" s="6" t="str">
        <f>HYPERLINK("proteomic_fractions_linear_files/Yang_linear_img/295148131.jpg", "295148131")</f>
        <v>295148131</v>
      </c>
      <c r="B462" s="7"/>
      <c r="C462" s="6" t="str">
        <f>HYPERLINK("http://www.ncbi.nlm.nih.gov/protein/295148131","Arfgap1")</f>
        <v>Arfgap1</v>
      </c>
      <c r="D462" s="8"/>
      <c r="E462" s="8">
        <v>43053</v>
      </c>
      <c r="F462" s="8"/>
      <c r="G462" s="15" t="s">
        <v>10</v>
      </c>
      <c r="H462" s="15" t="s">
        <v>10</v>
      </c>
      <c r="I462" s="15" t="s">
        <v>10</v>
      </c>
      <c r="J462" s="15" t="s">
        <v>10</v>
      </c>
      <c r="K462" s="15">
        <v>1.123022688009657</v>
      </c>
      <c r="L462" s="15">
        <v>1.123022688009657</v>
      </c>
      <c r="M462" s="15">
        <v>1.123022688009657</v>
      </c>
      <c r="N462" s="15">
        <v>1.123022688009657</v>
      </c>
      <c r="O462" s="15" t="s">
        <v>10</v>
      </c>
      <c r="P462" s="15" t="s">
        <v>10</v>
      </c>
      <c r="Q462" s="8"/>
      <c r="R462" s="9" t="s">
        <v>468</v>
      </c>
    </row>
    <row r="463" spans="1:18" x14ac:dyDescent="0.25">
      <c r="A463" s="6" t="str">
        <f>HYPERLINK("proteomic_fractions_linear_files/Yang_linear_img/295148135.jpg", "295148135")</f>
        <v>295148135</v>
      </c>
      <c r="B463" s="7"/>
      <c r="C463" s="6" t="str">
        <f>HYPERLINK("http://www.ncbi.nlm.nih.gov/protein/295148135","Arfgap1")</f>
        <v>Arfgap1</v>
      </c>
      <c r="D463" s="8"/>
      <c r="E463" s="8">
        <v>39238</v>
      </c>
      <c r="F463" s="8"/>
      <c r="G463" s="15" t="s">
        <v>10</v>
      </c>
      <c r="H463" s="15" t="s">
        <v>10</v>
      </c>
      <c r="I463" s="15" t="s">
        <v>10</v>
      </c>
      <c r="J463" s="15" t="s">
        <v>10</v>
      </c>
      <c r="K463" s="15">
        <v>1.2382045021644936</v>
      </c>
      <c r="L463" s="15">
        <v>1.2382045021644936</v>
      </c>
      <c r="M463" s="15">
        <v>1.2382045021644936</v>
      </c>
      <c r="N463" s="15">
        <v>1.2382045021644936</v>
      </c>
      <c r="O463" s="15" t="s">
        <v>10</v>
      </c>
      <c r="P463" s="15" t="s">
        <v>10</v>
      </c>
      <c r="Q463" s="8"/>
      <c r="R463" s="9" t="s">
        <v>469</v>
      </c>
    </row>
    <row r="464" spans="1:18" x14ac:dyDescent="0.25">
      <c r="A464" s="6" t="str">
        <f>HYPERLINK("proteomic_fractions_linear_files/Yang_linear_img/31542139.jpg", "31542139")</f>
        <v>31542139</v>
      </c>
      <c r="B464" s="7"/>
      <c r="C464" s="6" t="str">
        <f>HYPERLINK("http://www.ncbi.nlm.nih.gov/protein/31542139","Arfgap1")</f>
        <v>Arfgap1</v>
      </c>
      <c r="D464" s="8"/>
      <c r="E464" s="8">
        <v>45157</v>
      </c>
      <c r="F464" s="8"/>
      <c r="G464" s="15" t="s">
        <v>10</v>
      </c>
      <c r="H464" s="15" t="s">
        <v>10</v>
      </c>
      <c r="I464" s="15" t="s">
        <v>10</v>
      </c>
      <c r="J464" s="15" t="s">
        <v>10</v>
      </c>
      <c r="K464" s="15">
        <v>1.0731105685425613</v>
      </c>
      <c r="L464" s="15">
        <v>1.0731105685425613</v>
      </c>
      <c r="M464" s="15">
        <v>1.0731105685425613</v>
      </c>
      <c r="N464" s="15">
        <v>1.0731105685425613</v>
      </c>
      <c r="O464" s="15" t="s">
        <v>10</v>
      </c>
      <c r="P464" s="15" t="s">
        <v>10</v>
      </c>
      <c r="Q464" s="8"/>
      <c r="R464" s="9" t="s">
        <v>470</v>
      </c>
    </row>
    <row r="465" spans="1:18" x14ac:dyDescent="0.25">
      <c r="A465" s="6" t="str">
        <f>HYPERLINK("proteomic_fractions_linear_files/Yang_linear_img/260763915.jpg", "260763915")</f>
        <v>260763915</v>
      </c>
      <c r="B465" s="7"/>
      <c r="C465" s="6" t="str">
        <f>HYPERLINK("http://www.ncbi.nlm.nih.gov/protein/260763915","Arfgap2")</f>
        <v>Arfgap2</v>
      </c>
      <c r="D465" s="8"/>
      <c r="E465" s="8">
        <v>57979</v>
      </c>
      <c r="F465" s="8"/>
      <c r="G465" s="15" t="s">
        <v>10</v>
      </c>
      <c r="H465" s="15" t="s">
        <v>10</v>
      </c>
      <c r="I465" s="15">
        <v>1.1285045401817988</v>
      </c>
      <c r="J465" s="15">
        <v>1.1285045401817988</v>
      </c>
      <c r="K465" s="15">
        <v>1.1285045401817988</v>
      </c>
      <c r="L465" s="15">
        <v>1.1285045401817988</v>
      </c>
      <c r="M465" s="15" t="s">
        <v>10</v>
      </c>
      <c r="N465" s="15" t="s">
        <v>10</v>
      </c>
      <c r="O465" s="15">
        <v>0.25030127106673011</v>
      </c>
      <c r="P465" s="15">
        <v>0.25030127106673011</v>
      </c>
      <c r="Q465" s="8"/>
      <c r="R465" s="9" t="s">
        <v>471</v>
      </c>
    </row>
    <row r="466" spans="1:18" x14ac:dyDescent="0.25">
      <c r="A466" s="6" t="str">
        <f>HYPERLINK("proteomic_fractions_linear_files/Yang_linear_img/260763917.jpg", "260763917")</f>
        <v>260763917</v>
      </c>
      <c r="B466" s="7"/>
      <c r="C466" s="6" t="str">
        <f>HYPERLINK("http://www.ncbi.nlm.nih.gov/protein/260763917","Arfgap2")</f>
        <v>Arfgap2</v>
      </c>
      <c r="D466" s="8"/>
      <c r="E466" s="8">
        <v>56467</v>
      </c>
      <c r="F466" s="8"/>
      <c r="G466" s="15" t="s">
        <v>10</v>
      </c>
      <c r="H466" s="15" t="s">
        <v>10</v>
      </c>
      <c r="I466" s="15">
        <v>1.1688082737597203</v>
      </c>
      <c r="J466" s="15">
        <v>1.1688082737597203</v>
      </c>
      <c r="K466" s="15">
        <v>1.1688082737597203</v>
      </c>
      <c r="L466" s="15">
        <v>1.1688082737597203</v>
      </c>
      <c r="M466" s="15" t="s">
        <v>10</v>
      </c>
      <c r="N466" s="15" t="s">
        <v>10</v>
      </c>
      <c r="O466" s="15">
        <v>0.25924060217625622</v>
      </c>
      <c r="P466" s="15">
        <v>0.25924060217625622</v>
      </c>
      <c r="Q466" s="8"/>
      <c r="R466" s="9" t="s">
        <v>472</v>
      </c>
    </row>
    <row r="467" spans="1:18" x14ac:dyDescent="0.25">
      <c r="A467" s="6" t="str">
        <f>HYPERLINK("proteomic_fractions_linear_files/Yang_linear_img/30841021.jpg", "30841021")</f>
        <v>30841021</v>
      </c>
      <c r="B467" s="7"/>
      <c r="C467" s="6" t="str">
        <f>HYPERLINK("http://www.ncbi.nlm.nih.gov/protein/30841021","Arfgap3")</f>
        <v>Arfgap3</v>
      </c>
      <c r="D467" s="8"/>
      <c r="E467" s="8">
        <v>57412</v>
      </c>
      <c r="F467" s="8"/>
      <c r="G467" s="15" t="s">
        <v>10</v>
      </c>
      <c r="H467" s="15" t="s">
        <v>10</v>
      </c>
      <c r="I467" s="15">
        <v>1.1483028654481462</v>
      </c>
      <c r="J467" s="15">
        <v>1.1483028654481462</v>
      </c>
      <c r="K467" s="15">
        <v>1.1483028654481462</v>
      </c>
      <c r="L467" s="15">
        <v>1.1483028654481462</v>
      </c>
      <c r="M467" s="15" t="s">
        <v>10</v>
      </c>
      <c r="N467" s="15" t="s">
        <v>10</v>
      </c>
      <c r="O467" s="15" t="s">
        <v>10</v>
      </c>
      <c r="P467" s="15" t="s">
        <v>10</v>
      </c>
      <c r="Q467" s="8"/>
      <c r="R467" s="9" t="s">
        <v>473</v>
      </c>
    </row>
    <row r="468" spans="1:18" x14ac:dyDescent="0.25">
      <c r="A468" s="6" t="str">
        <f>HYPERLINK("proteomic_fractions_linear_files/Yang_linear_img/156231075.jpg", "156231075")</f>
        <v>156231075</v>
      </c>
      <c r="B468" s="7"/>
      <c r="C468" s="6" t="str">
        <f>HYPERLINK("http://www.ncbi.nlm.nih.gov/protein/156231075","Arfgef1")</f>
        <v>Arfgef1</v>
      </c>
      <c r="D468" s="8"/>
      <c r="E468" s="8">
        <v>208370</v>
      </c>
      <c r="F468" s="8"/>
      <c r="G468" s="15" t="s">
        <v>10</v>
      </c>
      <c r="H468" s="15" t="s">
        <v>10</v>
      </c>
      <c r="I468" s="15">
        <v>1.1219271520569667</v>
      </c>
      <c r="J468" s="15">
        <v>1.1219271520569667</v>
      </c>
      <c r="K468" s="15">
        <v>1.4508813684447057</v>
      </c>
      <c r="L468" s="15">
        <v>1.4508813684447057</v>
      </c>
      <c r="M468" s="15">
        <v>1.1219271520569667</v>
      </c>
      <c r="N468" s="15">
        <v>1.1219271520569667</v>
      </c>
      <c r="O468" s="15">
        <v>1.1219271520569667</v>
      </c>
      <c r="P468" s="15">
        <v>1.1219271520569667</v>
      </c>
      <c r="Q468" s="8"/>
      <c r="R468" s="9" t="s">
        <v>474</v>
      </c>
    </row>
    <row r="469" spans="1:18" x14ac:dyDescent="0.25">
      <c r="A469" s="6" t="str">
        <f>HYPERLINK("proteomic_fractions_linear_files/Yang_linear_img/148229140.jpg", "148229140")</f>
        <v>148229140</v>
      </c>
      <c r="B469" s="7"/>
      <c r="C469" s="6" t="str">
        <f>HYPERLINK("http://www.ncbi.nlm.nih.gov/protein/148229140","Arfgef2")</f>
        <v>Arfgef2</v>
      </c>
      <c r="D469" s="8"/>
      <c r="E469" s="8">
        <v>202110</v>
      </c>
      <c r="F469" s="8"/>
      <c r="G469" s="15" t="s">
        <v>10</v>
      </c>
      <c r="H469" s="15" t="s">
        <v>10</v>
      </c>
      <c r="I469" s="15">
        <v>1.155251720929946</v>
      </c>
      <c r="J469" s="15">
        <v>1.155251720929946</v>
      </c>
      <c r="K469" s="15">
        <v>1.155251720929946</v>
      </c>
      <c r="L469" s="15">
        <v>1.155251720929946</v>
      </c>
      <c r="M469" s="15">
        <v>1.155251720929946</v>
      </c>
      <c r="N469" s="15">
        <v>1.155251720929946</v>
      </c>
      <c r="O469" s="15">
        <v>1.155251720929946</v>
      </c>
      <c r="P469" s="15">
        <v>1.155251720929946</v>
      </c>
      <c r="Q469" s="8"/>
      <c r="R469" s="9" t="s">
        <v>475</v>
      </c>
    </row>
    <row r="470" spans="1:18" x14ac:dyDescent="0.25">
      <c r="A470" s="6" t="str">
        <f>HYPERLINK("proteomic_fractions_linear_files/Yang_linear_img/124487362.jpg", "124487362")</f>
        <v>124487362</v>
      </c>
      <c r="B470" s="7"/>
      <c r="C470" s="6" t="str">
        <f>HYPERLINK("http://www.ncbi.nlm.nih.gov/protein/124487362","Arfip1")</f>
        <v>Arfip1</v>
      </c>
      <c r="D470" s="8"/>
      <c r="E470" s="8">
        <v>41387</v>
      </c>
      <c r="F470" s="8"/>
      <c r="G470" s="15">
        <v>1.4334928679413135</v>
      </c>
      <c r="H470" s="15">
        <v>1.4334928679413135</v>
      </c>
      <c r="I470" s="15">
        <v>1.0762338840723285</v>
      </c>
      <c r="J470" s="15">
        <v>1.0762338840723285</v>
      </c>
      <c r="K470" s="15">
        <v>1.1778042825467134</v>
      </c>
      <c r="L470" s="15">
        <v>1.1778042825467134</v>
      </c>
      <c r="M470" s="15">
        <v>1.1778042825467134</v>
      </c>
      <c r="N470" s="15">
        <v>1.1778042825467134</v>
      </c>
      <c r="O470" s="15">
        <v>1.0762338840723285</v>
      </c>
      <c r="P470" s="15">
        <v>1.0762338840723285</v>
      </c>
      <c r="Q470" s="8"/>
      <c r="R470" s="9" t="s">
        <v>476</v>
      </c>
    </row>
    <row r="471" spans="1:18" x14ac:dyDescent="0.25">
      <c r="A471" s="6" t="str">
        <f>HYPERLINK("proteomic_fractions_linear_files/Yang_linear_img/228008331.jpg", "228008331")</f>
        <v>228008331</v>
      </c>
      <c r="B471" s="7"/>
      <c r="C471" s="6" t="str">
        <f>HYPERLINK("http://www.ncbi.nlm.nih.gov/protein/228008331","Arfip2")</f>
        <v>Arfip2</v>
      </c>
      <c r="D471" s="8"/>
      <c r="E471" s="8">
        <v>37642</v>
      </c>
      <c r="F471" s="8"/>
      <c r="G471" s="15" t="s">
        <v>10</v>
      </c>
      <c r="H471" s="15" t="s">
        <v>10</v>
      </c>
      <c r="I471" s="15" t="s">
        <v>10</v>
      </c>
      <c r="J471" s="15" t="s">
        <v>10</v>
      </c>
      <c r="K471" s="15">
        <v>1.0659820579795458</v>
      </c>
      <c r="L471" s="15">
        <v>1.0659820579795458</v>
      </c>
      <c r="M471" s="15">
        <v>0.98266648481906815</v>
      </c>
      <c r="N471" s="15">
        <v>0.98266648481906815</v>
      </c>
      <c r="O471" s="15">
        <v>0.90929938238092589</v>
      </c>
      <c r="P471" s="15">
        <v>0.90929938238092589</v>
      </c>
      <c r="Q471" s="8"/>
      <c r="R471" s="9" t="s">
        <v>477</v>
      </c>
    </row>
    <row r="472" spans="1:18" x14ac:dyDescent="0.25">
      <c r="A472" s="6" t="str">
        <f>HYPERLINK("proteomic_fractions_linear_files/Yang_linear_img/260763870.jpg", "260763870")</f>
        <v>260763870</v>
      </c>
      <c r="B472" s="7"/>
      <c r="C472" s="6" t="str">
        <f>HYPERLINK("http://www.ncbi.nlm.nih.gov/protein/260763870","Arfrp1")</f>
        <v>Arfrp1</v>
      </c>
      <c r="D472" s="8"/>
      <c r="E472" s="8">
        <v>22528</v>
      </c>
      <c r="F472" s="8"/>
      <c r="G472" s="15">
        <v>1.5023207187163123</v>
      </c>
      <c r="H472" s="15">
        <v>1.5023207187163123</v>
      </c>
      <c r="I472" s="15">
        <v>1.0047640597703238</v>
      </c>
      <c r="J472" s="15">
        <v>1.0047640597703238</v>
      </c>
      <c r="K472" s="15">
        <v>1.0047640597703238</v>
      </c>
      <c r="L472" s="15">
        <v>1.0047640597703238</v>
      </c>
      <c r="M472" s="15" t="s">
        <v>10</v>
      </c>
      <c r="N472" s="15" t="s">
        <v>10</v>
      </c>
      <c r="O472" s="15" t="s">
        <v>10</v>
      </c>
      <c r="P472" s="15" t="s">
        <v>10</v>
      </c>
      <c r="Q472" s="8"/>
      <c r="R472" s="9" t="s">
        <v>478</v>
      </c>
    </row>
    <row r="473" spans="1:18" x14ac:dyDescent="0.25">
      <c r="A473" s="6" t="str">
        <f>HYPERLINK("proteomic_fractions_linear_files/Yang_linear_img/260763882.jpg", "260763882")</f>
        <v>260763882</v>
      </c>
      <c r="B473" s="7"/>
      <c r="C473" s="6" t="str">
        <f>HYPERLINK("http://www.ncbi.nlm.nih.gov/protein/260763882","Arfrp1")</f>
        <v>Arfrp1</v>
      </c>
      <c r="D473" s="8"/>
      <c r="E473" s="8">
        <v>16997</v>
      </c>
      <c r="F473" s="8"/>
      <c r="G473" s="15">
        <v>2.0325515606161875</v>
      </c>
      <c r="H473" s="15">
        <v>2.0325515606161875</v>
      </c>
      <c r="I473" s="15">
        <v>1.3593866691010261</v>
      </c>
      <c r="J473" s="15">
        <v>1.3593866691010261</v>
      </c>
      <c r="K473" s="15">
        <v>1.3593866691010261</v>
      </c>
      <c r="L473" s="15">
        <v>1.3593866691010261</v>
      </c>
      <c r="M473" s="15" t="s">
        <v>10</v>
      </c>
      <c r="N473" s="15" t="s">
        <v>10</v>
      </c>
      <c r="O473" s="15" t="s">
        <v>10</v>
      </c>
      <c r="P473" s="15" t="s">
        <v>10</v>
      </c>
      <c r="Q473" s="8"/>
      <c r="R473" s="9" t="s">
        <v>479</v>
      </c>
    </row>
    <row r="474" spans="1:18" x14ac:dyDescent="0.25">
      <c r="A474" s="6" t="str">
        <f>HYPERLINK("proteomic_fractions_linear_files/Yang_linear_img/7106255.jpg", "7106255")</f>
        <v>7106255</v>
      </c>
      <c r="B474" s="7"/>
      <c r="C474" s="6" t="str">
        <f>HYPERLINK("http://www.ncbi.nlm.nih.gov/protein/7106255","Arg1")</f>
        <v>Arg1</v>
      </c>
      <c r="D474" s="8"/>
      <c r="E474" s="8">
        <v>34677</v>
      </c>
      <c r="F474" s="8"/>
      <c r="G474" s="15" t="s">
        <v>10</v>
      </c>
      <c r="H474" s="15" t="s">
        <v>10</v>
      </c>
      <c r="I474" s="15" t="s">
        <v>10</v>
      </c>
      <c r="J474" s="15" t="s">
        <v>10</v>
      </c>
      <c r="K474" s="15">
        <v>0.74715023186928575</v>
      </c>
      <c r="L474" s="15">
        <v>0.74715023186928575</v>
      </c>
      <c r="M474" s="15" t="s">
        <v>10</v>
      </c>
      <c r="N474" s="15" t="s">
        <v>10</v>
      </c>
      <c r="O474" s="15" t="s">
        <v>10</v>
      </c>
      <c r="P474" s="15" t="s">
        <v>10</v>
      </c>
      <c r="Q474" s="8"/>
      <c r="R474" s="9" t="s">
        <v>480</v>
      </c>
    </row>
    <row r="475" spans="1:18" x14ac:dyDescent="0.25">
      <c r="A475" s="6" t="str">
        <f>HYPERLINK("proteomic_fractions_linear_files/Yang_linear_img/6753110.jpg", "6753110")</f>
        <v>6753110</v>
      </c>
      <c r="B475" s="7"/>
      <c r="C475" s="6" t="str">
        <f>HYPERLINK("http://www.ncbi.nlm.nih.gov/protein/6753110","Arg2")</f>
        <v>Arg2</v>
      </c>
      <c r="D475" s="8"/>
      <c r="E475" s="8">
        <v>36424</v>
      </c>
      <c r="F475" s="8"/>
      <c r="G475" s="15">
        <v>1.3413882106782014</v>
      </c>
      <c r="H475" s="15">
        <v>1.3413882106782014</v>
      </c>
      <c r="I475" s="15">
        <v>0.95981601473542177</v>
      </c>
      <c r="J475" s="15">
        <v>0.95981601473542177</v>
      </c>
      <c r="K475" s="15">
        <v>1.0372590673090165</v>
      </c>
      <c r="L475" s="15">
        <v>1.0372590673090165</v>
      </c>
      <c r="M475" s="15" t="s">
        <v>10</v>
      </c>
      <c r="N475" s="15" t="s">
        <v>10</v>
      </c>
      <c r="O475" s="15">
        <v>0.89122424599259964</v>
      </c>
      <c r="P475" s="15">
        <v>0.89122424599259964</v>
      </c>
      <c r="Q475" s="8"/>
      <c r="R475" s="9" t="s">
        <v>481</v>
      </c>
    </row>
    <row r="476" spans="1:18" x14ac:dyDescent="0.25">
      <c r="A476" s="6" t="str">
        <f>HYPERLINK("proteomic_fractions_linear_files/Yang_linear_img/134152669.jpg", "134152669")</f>
        <v>134152669</v>
      </c>
      <c r="B476" s="7"/>
      <c r="C476" s="6" t="str">
        <f>HYPERLINK("http://www.ncbi.nlm.nih.gov/protein/134152669","Arglu1")</f>
        <v>Arglu1</v>
      </c>
      <c r="D476" s="8"/>
      <c r="E476" s="8">
        <v>32756</v>
      </c>
      <c r="F476" s="8"/>
      <c r="G476" s="15" t="s">
        <v>10</v>
      </c>
      <c r="H476" s="15" t="s">
        <v>10</v>
      </c>
      <c r="I476" s="15">
        <v>181.60909090909092</v>
      </c>
      <c r="J476" s="15">
        <v>181.60909090909092</v>
      </c>
      <c r="K476" s="15">
        <v>1.1315553461552907</v>
      </c>
      <c r="L476" s="15">
        <v>1.1315553461552907</v>
      </c>
      <c r="M476" s="15" t="s">
        <v>10</v>
      </c>
      <c r="N476" s="15" t="s">
        <v>10</v>
      </c>
      <c r="O476" s="15" t="s">
        <v>10</v>
      </c>
      <c r="P476" s="15" t="s">
        <v>10</v>
      </c>
      <c r="Q476" s="8"/>
      <c r="R476" s="9" t="s">
        <v>482</v>
      </c>
    </row>
    <row r="477" spans="1:18" x14ac:dyDescent="0.25">
      <c r="A477" s="6" t="str">
        <f>HYPERLINK("proteomic_fractions_linear_files/Yang_linear_img/225543420.jpg", "225543420")</f>
        <v>225543420</v>
      </c>
      <c r="B477" s="7"/>
      <c r="C477" s="6" t="str">
        <f>HYPERLINK("http://www.ncbi.nlm.nih.gov/protein/225543420","Arhgap1")</f>
        <v>Arhgap1</v>
      </c>
      <c r="D477" s="8"/>
      <c r="E477" s="8">
        <v>50280</v>
      </c>
      <c r="F477" s="8"/>
      <c r="G477" s="15">
        <v>1.3090652666108866</v>
      </c>
      <c r="H477" s="15">
        <v>1.3090652666108866</v>
      </c>
      <c r="I477" s="15">
        <v>1.0624113926000216</v>
      </c>
      <c r="J477" s="15">
        <v>1.0624113926000216</v>
      </c>
      <c r="K477" s="15">
        <v>1.0624113926000216</v>
      </c>
      <c r="L477" s="15">
        <v>1.0624113926000216</v>
      </c>
      <c r="M477" s="15">
        <v>1.0624113926000216</v>
      </c>
      <c r="N477" s="15">
        <v>1.0624113926000216</v>
      </c>
      <c r="O477" s="15">
        <v>0.96579951168830502</v>
      </c>
      <c r="P477" s="15">
        <v>0.96579951168830502</v>
      </c>
      <c r="Q477" s="8"/>
      <c r="R477" s="9" t="s">
        <v>483</v>
      </c>
    </row>
    <row r="478" spans="1:18" x14ac:dyDescent="0.25">
      <c r="A478" s="6" t="str">
        <f>HYPERLINK("proteomic_fractions_linear_files/Yang_linear_img/225543424.jpg", "225543424")</f>
        <v>225543424</v>
      </c>
      <c r="B478" s="7"/>
      <c r="C478" s="6" t="str">
        <f>HYPERLINK("http://www.ncbi.nlm.nih.gov/protein/225543424","Arhgap1")</f>
        <v>Arhgap1</v>
      </c>
      <c r="D478" s="8"/>
      <c r="E478" s="8">
        <v>54306</v>
      </c>
      <c r="F478" s="8"/>
      <c r="G478" s="15">
        <v>1.2120974690841544</v>
      </c>
      <c r="H478" s="15">
        <v>1.2120974690841544</v>
      </c>
      <c r="I478" s="15">
        <v>0.98371425240742738</v>
      </c>
      <c r="J478" s="15">
        <v>0.98371425240742738</v>
      </c>
      <c r="K478" s="15">
        <v>0.98371425240742738</v>
      </c>
      <c r="L478" s="15">
        <v>0.98371425240742738</v>
      </c>
      <c r="M478" s="15">
        <v>0.98371425240742738</v>
      </c>
      <c r="N478" s="15">
        <v>0.98371425240742738</v>
      </c>
      <c r="O478" s="15">
        <v>0.89425880711880101</v>
      </c>
      <c r="P478" s="15">
        <v>0.89425880711880101</v>
      </c>
      <c r="Q478" s="8"/>
      <c r="R478" s="9" t="s">
        <v>484</v>
      </c>
    </row>
    <row r="479" spans="1:18" x14ac:dyDescent="0.25">
      <c r="A479" s="6" t="str">
        <f>HYPERLINK("proteomic_fractions_linear_files/Yang_linear_img/116174786.jpg", "116174786")</f>
        <v>116174786</v>
      </c>
      <c r="B479" s="7"/>
      <c r="C479" s="6" t="str">
        <f>HYPERLINK("http://www.ncbi.nlm.nih.gov/protein/116174786","Arhgap10")</f>
        <v>Arhgap10</v>
      </c>
      <c r="D479" s="8"/>
      <c r="E479" s="8">
        <v>89235</v>
      </c>
      <c r="F479" s="8"/>
      <c r="G479" s="15" t="s">
        <v>10</v>
      </c>
      <c r="H479" s="15" t="s">
        <v>10</v>
      </c>
      <c r="I479" s="15">
        <v>1.0670559683436462</v>
      </c>
      <c r="J479" s="15">
        <v>1.0670559683436462</v>
      </c>
      <c r="K479" s="15">
        <v>1.2337254361924883</v>
      </c>
      <c r="L479" s="15">
        <v>1.2337254361924883</v>
      </c>
      <c r="M479" s="15" t="s">
        <v>10</v>
      </c>
      <c r="N479" s="15" t="s">
        <v>10</v>
      </c>
      <c r="O479" s="15" t="s">
        <v>10</v>
      </c>
      <c r="P479" s="15" t="s">
        <v>10</v>
      </c>
      <c r="Q479" s="8"/>
      <c r="R479" s="9" t="s">
        <v>485</v>
      </c>
    </row>
    <row r="480" spans="1:18" x14ac:dyDescent="0.25">
      <c r="A480" s="6" t="str">
        <f>HYPERLINK("proteomic_fractions_linear_files/Yang_linear_img/169790939.jpg", "169790939")</f>
        <v>169790939</v>
      </c>
      <c r="B480" s="7"/>
      <c r="C480" s="6" t="str">
        <f>HYPERLINK("http://www.ncbi.nlm.nih.gov/protein/169790939","Arhgap17")</f>
        <v>Arhgap17</v>
      </c>
      <c r="D480" s="8"/>
      <c r="E480" s="8">
        <v>92071</v>
      </c>
      <c r="F480" s="8"/>
      <c r="G480" s="15" t="s">
        <v>10</v>
      </c>
      <c r="H480" s="15" t="s">
        <v>10</v>
      </c>
      <c r="I480" s="15" t="s">
        <v>10</v>
      </c>
      <c r="J480" s="15" t="s">
        <v>10</v>
      </c>
      <c r="K480" s="15">
        <v>1.3991481320121408</v>
      </c>
      <c r="L480" s="15">
        <v>1.3991481320121408</v>
      </c>
      <c r="M480" s="15" t="s">
        <v>10</v>
      </c>
      <c r="N480" s="15" t="s">
        <v>10</v>
      </c>
      <c r="O480" s="15" t="s">
        <v>10</v>
      </c>
      <c r="P480" s="15" t="s">
        <v>10</v>
      </c>
      <c r="Q480" s="8"/>
      <c r="R480" s="9" t="s">
        <v>486</v>
      </c>
    </row>
    <row r="481" spans="1:18" x14ac:dyDescent="0.25">
      <c r="A481" s="6" t="str">
        <f>HYPERLINK("proteomic_fractions_linear_files/Yang_linear_img/169790941.jpg", "169790941")</f>
        <v>169790941</v>
      </c>
      <c r="B481" s="7"/>
      <c r="C481" s="6" t="str">
        <f>HYPERLINK("http://www.ncbi.nlm.nih.gov/protein/169790941","Arhgap17")</f>
        <v>Arhgap17</v>
      </c>
      <c r="D481" s="8"/>
      <c r="E481" s="8">
        <v>88795</v>
      </c>
      <c r="F481" s="8"/>
      <c r="G481" s="15" t="s">
        <v>10</v>
      </c>
      <c r="H481" s="15" t="s">
        <v>10</v>
      </c>
      <c r="I481" s="15" t="s">
        <v>10</v>
      </c>
      <c r="J481" s="15" t="s">
        <v>10</v>
      </c>
      <c r="K481" s="15">
        <v>1.4463104285968198</v>
      </c>
      <c r="L481" s="15">
        <v>1.4463104285968198</v>
      </c>
      <c r="M481" s="15" t="s">
        <v>10</v>
      </c>
      <c r="N481" s="15" t="s">
        <v>10</v>
      </c>
      <c r="O481" s="15" t="s">
        <v>10</v>
      </c>
      <c r="P481" s="15" t="s">
        <v>10</v>
      </c>
      <c r="Q481" s="8"/>
      <c r="R481" s="9" t="s">
        <v>487</v>
      </c>
    </row>
    <row r="482" spans="1:18" x14ac:dyDescent="0.25">
      <c r="A482" s="6" t="str">
        <f>HYPERLINK("proteomic_fractions_linear_files/Yang_linear_img/169790943.jpg", "169790943")</f>
        <v>169790943</v>
      </c>
      <c r="B482" s="7"/>
      <c r="C482" s="6" t="str">
        <f>HYPERLINK("http://www.ncbi.nlm.nih.gov/protein/169790943","Arhgap17")</f>
        <v>Arhgap17</v>
      </c>
      <c r="D482" s="8"/>
      <c r="E482" s="8">
        <v>84179</v>
      </c>
      <c r="F482" s="8"/>
      <c r="G482" s="15" t="s">
        <v>10</v>
      </c>
      <c r="H482" s="15" t="s">
        <v>10</v>
      </c>
      <c r="I482" s="15" t="s">
        <v>10</v>
      </c>
      <c r="J482" s="15" t="s">
        <v>10</v>
      </c>
      <c r="K482" s="15">
        <v>1.5324003350609163</v>
      </c>
      <c r="L482" s="15">
        <v>1.5324003350609163</v>
      </c>
      <c r="M482" s="15" t="s">
        <v>10</v>
      </c>
      <c r="N482" s="15" t="s">
        <v>10</v>
      </c>
      <c r="O482" s="15" t="s">
        <v>10</v>
      </c>
      <c r="P482" s="15" t="s">
        <v>10</v>
      </c>
      <c r="Q482" s="8"/>
      <c r="R482" s="9" t="s">
        <v>488</v>
      </c>
    </row>
    <row r="483" spans="1:18" x14ac:dyDescent="0.25">
      <c r="A483" s="6" t="str">
        <f>HYPERLINK("proteomic_fractions_linear_files/Yang_linear_img/169790945.jpg", "169790945")</f>
        <v>169790945</v>
      </c>
      <c r="B483" s="7"/>
      <c r="C483" s="6" t="str">
        <f>HYPERLINK("http://www.ncbi.nlm.nih.gov/protein/169790945","Arhgap17")</f>
        <v>Arhgap17</v>
      </c>
      <c r="D483" s="8"/>
      <c r="E483" s="8">
        <v>80902</v>
      </c>
      <c r="F483" s="8"/>
      <c r="G483" s="15" t="s">
        <v>10</v>
      </c>
      <c r="H483" s="15" t="s">
        <v>10</v>
      </c>
      <c r="I483" s="15" t="s">
        <v>10</v>
      </c>
      <c r="J483" s="15" t="s">
        <v>10</v>
      </c>
      <c r="K483" s="15">
        <v>1.5891559030261353</v>
      </c>
      <c r="L483" s="15">
        <v>1.5891559030261353</v>
      </c>
      <c r="M483" s="15" t="s">
        <v>10</v>
      </c>
      <c r="N483" s="15" t="s">
        <v>10</v>
      </c>
      <c r="O483" s="15" t="s">
        <v>10</v>
      </c>
      <c r="P483" s="15" t="s">
        <v>10</v>
      </c>
      <c r="Q483" s="8"/>
      <c r="R483" s="9" t="s">
        <v>489</v>
      </c>
    </row>
    <row r="484" spans="1:18" x14ac:dyDescent="0.25">
      <c r="A484" s="6" t="str">
        <f>HYPERLINK("proteomic_fractions_linear_files/Yang_linear_img/169790947.jpg", "169790947")</f>
        <v>169790947</v>
      </c>
      <c r="B484" s="7"/>
      <c r="C484" s="6" t="str">
        <f>HYPERLINK("http://www.ncbi.nlm.nih.gov/protein/169790947","Arhgap17")</f>
        <v>Arhgap17</v>
      </c>
      <c r="D484" s="8"/>
      <c r="E484" s="8">
        <v>79688</v>
      </c>
      <c r="F484" s="8"/>
      <c r="G484" s="15" t="s">
        <v>10</v>
      </c>
      <c r="H484" s="15" t="s">
        <v>10</v>
      </c>
      <c r="I484" s="15" t="s">
        <v>10</v>
      </c>
      <c r="J484" s="15" t="s">
        <v>10</v>
      </c>
      <c r="K484" s="15">
        <v>1.6090203518139621</v>
      </c>
      <c r="L484" s="15">
        <v>1.6090203518139621</v>
      </c>
      <c r="M484" s="15" t="s">
        <v>10</v>
      </c>
      <c r="N484" s="15" t="s">
        <v>10</v>
      </c>
      <c r="O484" s="15" t="s">
        <v>10</v>
      </c>
      <c r="P484" s="15" t="s">
        <v>10</v>
      </c>
      <c r="Q484" s="8"/>
      <c r="R484" s="9" t="s">
        <v>490</v>
      </c>
    </row>
    <row r="485" spans="1:18" x14ac:dyDescent="0.25">
      <c r="A485" s="6" t="str">
        <f>HYPERLINK("proteomic_fractions_linear_files/Yang_linear_img/33563313.jpg", "33563313")</f>
        <v>33563313</v>
      </c>
      <c r="B485" s="7"/>
      <c r="C485" s="6" t="str">
        <f>HYPERLINK("http://www.ncbi.nlm.nih.gov/protein/33563313","Arhgap18")</f>
        <v>Arhgap18</v>
      </c>
      <c r="D485" s="8"/>
      <c r="E485" s="8">
        <v>74799</v>
      </c>
      <c r="F485" s="8"/>
      <c r="G485" s="15" t="s">
        <v>10</v>
      </c>
      <c r="H485" s="15" t="s">
        <v>10</v>
      </c>
      <c r="I485" s="15" t="s">
        <v>10</v>
      </c>
      <c r="J485" s="15" t="s">
        <v>10</v>
      </c>
      <c r="K485" s="15">
        <v>1.2662397491011268</v>
      </c>
      <c r="L485" s="15">
        <v>1.2662397491011268</v>
      </c>
      <c r="M485" s="15" t="s">
        <v>10</v>
      </c>
      <c r="N485" s="15" t="s">
        <v>10</v>
      </c>
      <c r="O485" s="15">
        <v>1.2662397491011268</v>
      </c>
      <c r="P485" s="15">
        <v>1.2662397491011268</v>
      </c>
      <c r="Q485" s="8"/>
      <c r="R485" s="9" t="s">
        <v>491</v>
      </c>
    </row>
    <row r="486" spans="1:18" x14ac:dyDescent="0.25">
      <c r="A486" s="6" t="str">
        <f>HYPERLINK("proteomic_fractions_linear_files/Yang_linear_img/83582811.jpg", "83582811")</f>
        <v>83582811</v>
      </c>
      <c r="B486" s="7"/>
      <c r="C486" s="6" t="str">
        <f>HYPERLINK("http://www.ncbi.nlm.nih.gov/protein/83582811","Arhgap25")</f>
        <v>Arhgap25</v>
      </c>
      <c r="D486" s="8"/>
      <c r="E486" s="8">
        <v>73252</v>
      </c>
      <c r="F486" s="8"/>
      <c r="G486" s="15" t="s">
        <v>10</v>
      </c>
      <c r="H486" s="15" t="s">
        <v>10</v>
      </c>
      <c r="I486" s="15" t="s">
        <v>10</v>
      </c>
      <c r="J486" s="15" t="s">
        <v>10</v>
      </c>
      <c r="K486" s="15">
        <v>3.1967239401075216</v>
      </c>
      <c r="L486" s="15">
        <v>3.1967239401075216</v>
      </c>
      <c r="M486" s="15" t="s">
        <v>10</v>
      </c>
      <c r="N486" s="15" t="s">
        <v>10</v>
      </c>
      <c r="O486" s="15" t="s">
        <v>10</v>
      </c>
      <c r="P486" s="15" t="s">
        <v>10</v>
      </c>
      <c r="Q486" s="8"/>
      <c r="R486" s="9" t="s">
        <v>492</v>
      </c>
    </row>
    <row r="487" spans="1:18" x14ac:dyDescent="0.25">
      <c r="A487" s="6" t="str">
        <f>HYPERLINK("proteomic_fractions_linear_files/Yang_linear_img/83582813.jpg", "83582813")</f>
        <v>83582813</v>
      </c>
      <c r="B487" s="7"/>
      <c r="C487" s="6" t="str">
        <f>HYPERLINK("http://www.ncbi.nlm.nih.gov/protein/83582813","Arhgap25")</f>
        <v>Arhgap25</v>
      </c>
      <c r="D487" s="8"/>
      <c r="E487" s="8">
        <v>70251</v>
      </c>
      <c r="F487" s="8"/>
      <c r="G487" s="15" t="s">
        <v>10</v>
      </c>
      <c r="H487" s="15" t="s">
        <v>10</v>
      </c>
      <c r="I487" s="15" t="s">
        <v>10</v>
      </c>
      <c r="J487" s="15" t="s">
        <v>10</v>
      </c>
      <c r="K487" s="15">
        <v>3.3337263946835582</v>
      </c>
      <c r="L487" s="15">
        <v>3.3337263946835582</v>
      </c>
      <c r="M487" s="15" t="s">
        <v>10</v>
      </c>
      <c r="N487" s="15" t="s">
        <v>10</v>
      </c>
      <c r="O487" s="15" t="s">
        <v>10</v>
      </c>
      <c r="P487" s="15" t="s">
        <v>10</v>
      </c>
      <c r="Q487" s="8"/>
      <c r="R487" s="9" t="s">
        <v>493</v>
      </c>
    </row>
    <row r="488" spans="1:18" x14ac:dyDescent="0.25">
      <c r="A488" s="6" t="str">
        <f>HYPERLINK("proteomic_fractions_linear_files/Yang_linear_img/83776555.jpg", "83776555")</f>
        <v>83776555</v>
      </c>
      <c r="B488" s="7"/>
      <c r="C488" s="6" t="str">
        <f>HYPERLINK("http://www.ncbi.nlm.nih.gov/protein/83776555","Arhgap27")</f>
        <v>Arhgap27</v>
      </c>
      <c r="D488" s="8"/>
      <c r="E488" s="8">
        <v>75671</v>
      </c>
      <c r="F488" s="8"/>
      <c r="G488" s="15" t="s">
        <v>10</v>
      </c>
      <c r="H488" s="15" t="s">
        <v>10</v>
      </c>
      <c r="I488" s="15" t="s">
        <v>10</v>
      </c>
      <c r="J488" s="15" t="s">
        <v>10</v>
      </c>
      <c r="K488" s="15" t="s">
        <v>10</v>
      </c>
      <c r="L488" s="15" t="s">
        <v>10</v>
      </c>
      <c r="M488" s="15">
        <v>0.96626526633792431</v>
      </c>
      <c r="N488" s="15">
        <v>0.96626526633792431</v>
      </c>
      <c r="O488" s="15" t="s">
        <v>10</v>
      </c>
      <c r="P488" s="15" t="s">
        <v>10</v>
      </c>
      <c r="Q488" s="8"/>
      <c r="R488" s="9" t="s">
        <v>494</v>
      </c>
    </row>
    <row r="489" spans="1:18" x14ac:dyDescent="0.25">
      <c r="A489" s="6" t="str">
        <f>HYPERLINK("proteomic_fractions_linear_files/Yang_linear_img/118130870.jpg", "118130870")</f>
        <v>118130870</v>
      </c>
      <c r="B489" s="7"/>
      <c r="C489" s="6" t="str">
        <f>HYPERLINK("http://www.ncbi.nlm.nih.gov/protein/118130870","Arhgap27")</f>
        <v>Arhgap27</v>
      </c>
      <c r="D489" s="8"/>
      <c r="E489" s="8">
        <v>26276</v>
      </c>
      <c r="F489" s="8"/>
      <c r="G489" s="15" t="s">
        <v>10</v>
      </c>
      <c r="H489" s="15" t="s">
        <v>10</v>
      </c>
      <c r="I489" s="15" t="s">
        <v>10</v>
      </c>
      <c r="J489" s="15" t="s">
        <v>10</v>
      </c>
      <c r="K489" s="15">
        <v>5.9020335052400705</v>
      </c>
      <c r="L489" s="15">
        <v>5.9020335052400705</v>
      </c>
      <c r="M489" s="15" t="s">
        <v>10</v>
      </c>
      <c r="N489" s="15" t="s">
        <v>10</v>
      </c>
      <c r="O489" s="15">
        <v>4.9508318517352681</v>
      </c>
      <c r="P489" s="15">
        <v>4.9508318517352681</v>
      </c>
      <c r="Q489" s="8"/>
      <c r="R489" s="9" t="s">
        <v>495</v>
      </c>
    </row>
    <row r="490" spans="1:18" x14ac:dyDescent="0.25">
      <c r="A490" s="6" t="str">
        <f>HYPERLINK("proteomic_fractions_linear_files/Yang_linear_img/327412300.jpg", "327412300")</f>
        <v>327412300</v>
      </c>
      <c r="B490" s="7"/>
      <c r="C490" s="6" t="str">
        <f>HYPERLINK("http://www.ncbi.nlm.nih.gov/protein/327412300","Arhgap27")</f>
        <v>Arhgap27</v>
      </c>
      <c r="D490" s="8"/>
      <c r="E490" s="8">
        <v>96918</v>
      </c>
      <c r="F490" s="8"/>
      <c r="G490" s="15" t="s">
        <v>10</v>
      </c>
      <c r="H490" s="15" t="s">
        <v>10</v>
      </c>
      <c r="I490" s="15" t="s">
        <v>10</v>
      </c>
      <c r="J490" s="15" t="s">
        <v>10</v>
      </c>
      <c r="K490" s="15">
        <v>1.5819883622292974</v>
      </c>
      <c r="L490" s="15">
        <v>1.5819883622292974</v>
      </c>
      <c r="M490" s="15">
        <v>0.75707381692455922</v>
      </c>
      <c r="N490" s="15">
        <v>0.75707381692455922</v>
      </c>
      <c r="O490" s="15">
        <v>1.3270270942795563</v>
      </c>
      <c r="P490" s="15">
        <v>1.3270270942795563</v>
      </c>
      <c r="Q490" s="8"/>
      <c r="R490" s="9" t="s">
        <v>496</v>
      </c>
    </row>
    <row r="491" spans="1:18" x14ac:dyDescent="0.25">
      <c r="A491" s="6" t="str">
        <f>HYPERLINK("proteomic_fractions_linear_files/Yang_linear_img/33563303.jpg", "33563303")</f>
        <v>33563303</v>
      </c>
      <c r="B491" s="7"/>
      <c r="C491" s="6" t="str">
        <f>HYPERLINK("http://www.ncbi.nlm.nih.gov/protein/33563303","Arhgap29")</f>
        <v>Arhgap29</v>
      </c>
      <c r="D491" s="8"/>
      <c r="E491" s="8">
        <v>142210</v>
      </c>
      <c r="F491" s="8"/>
      <c r="G491" s="15" t="s">
        <v>10</v>
      </c>
      <c r="H491" s="15" t="s">
        <v>10</v>
      </c>
      <c r="I491" s="15" t="s">
        <v>10</v>
      </c>
      <c r="J491" s="15" t="s">
        <v>10</v>
      </c>
      <c r="K491" s="15">
        <v>1.3152523354925378</v>
      </c>
      <c r="L491" s="15">
        <v>1.3152523354925378</v>
      </c>
      <c r="M491" s="15" t="s">
        <v>10</v>
      </c>
      <c r="N491" s="15" t="s">
        <v>10</v>
      </c>
      <c r="O491" s="15">
        <v>1.0806540220862102</v>
      </c>
      <c r="P491" s="15">
        <v>1.0806540220862102</v>
      </c>
      <c r="Q491" s="8"/>
      <c r="R491" s="9" t="s">
        <v>497</v>
      </c>
    </row>
    <row r="492" spans="1:18" x14ac:dyDescent="0.25">
      <c r="A492" s="6" t="str">
        <f>HYPERLINK("proteomic_fractions_linear_files/Yang_linear_img/229608953.jpg", "229608953")</f>
        <v>229608953</v>
      </c>
      <c r="B492" s="7"/>
      <c r="C492" s="6" t="str">
        <f>HYPERLINK("http://www.ncbi.nlm.nih.gov/protein/229608953","Arhgap30")</f>
        <v>Arhgap30</v>
      </c>
      <c r="D492" s="8"/>
      <c r="E492" s="8">
        <v>119315</v>
      </c>
      <c r="F492" s="8"/>
      <c r="G492" s="15" t="s">
        <v>10</v>
      </c>
      <c r="H492" s="15" t="s">
        <v>10</v>
      </c>
      <c r="I492" s="15" t="s">
        <v>10</v>
      </c>
      <c r="J492" s="15" t="s">
        <v>10</v>
      </c>
      <c r="K492" s="15" t="s">
        <v>10</v>
      </c>
      <c r="L492" s="15" t="s">
        <v>10</v>
      </c>
      <c r="M492" s="15">
        <v>50.36218487394958</v>
      </c>
      <c r="N492" s="15">
        <v>50.36218487394958</v>
      </c>
      <c r="O492" s="15" t="s">
        <v>10</v>
      </c>
      <c r="P492" s="15" t="s">
        <v>10</v>
      </c>
      <c r="Q492" s="8"/>
      <c r="R492" s="9" t="s">
        <v>498</v>
      </c>
    </row>
    <row r="493" spans="1:18" x14ac:dyDescent="0.25">
      <c r="A493" s="6" t="str">
        <f>HYPERLINK("proteomic_fractions_linear_files/Yang_linear_img/30142699.jpg", "30142699")</f>
        <v>30142699</v>
      </c>
      <c r="B493" s="7"/>
      <c r="C493" s="6" t="str">
        <f>HYPERLINK("http://www.ncbi.nlm.nih.gov/protein/30142699","Arhgap33")</f>
        <v>Arhgap33</v>
      </c>
      <c r="D493" s="8"/>
      <c r="E493" s="8">
        <v>139670</v>
      </c>
      <c r="F493" s="8"/>
      <c r="G493" s="15" t="s">
        <v>10</v>
      </c>
      <c r="H493" s="15" t="s">
        <v>10</v>
      </c>
      <c r="I493" s="15">
        <v>0.19941579498344328</v>
      </c>
      <c r="J493" s="15">
        <v>0.19941579498344328</v>
      </c>
      <c r="K493" s="15" t="s">
        <v>10</v>
      </c>
      <c r="L493" s="15" t="s">
        <v>10</v>
      </c>
      <c r="M493" s="15" t="s">
        <v>10</v>
      </c>
      <c r="N493" s="15" t="s">
        <v>10</v>
      </c>
      <c r="O493" s="15" t="s">
        <v>10</v>
      </c>
      <c r="P493" s="15" t="s">
        <v>10</v>
      </c>
      <c r="Q493" s="8"/>
      <c r="R493" s="9" t="s">
        <v>499</v>
      </c>
    </row>
    <row r="494" spans="1:18" x14ac:dyDescent="0.25">
      <c r="A494" s="6" t="str">
        <f>HYPERLINK("proteomic_fractions_linear_files/Yang_linear_img/86262151.jpg", "86262151")</f>
        <v>86262151</v>
      </c>
      <c r="B494" s="7"/>
      <c r="C494" s="6" t="str">
        <f>HYPERLINK("http://www.ncbi.nlm.nih.gov/protein/86262151","Arhgap5")</f>
        <v>Arhgap5</v>
      </c>
      <c r="D494" s="8"/>
      <c r="E494" s="8">
        <v>172342</v>
      </c>
      <c r="F494" s="8"/>
      <c r="G494" s="15" t="s">
        <v>10</v>
      </c>
      <c r="H494" s="15" t="s">
        <v>10</v>
      </c>
      <c r="I494" s="15" t="s">
        <v>10</v>
      </c>
      <c r="J494" s="15" t="s">
        <v>10</v>
      </c>
      <c r="K494" s="15">
        <v>1.3567491141154016</v>
      </c>
      <c r="L494" s="15">
        <v>1.3567491141154016</v>
      </c>
      <c r="M494" s="15" t="s">
        <v>10</v>
      </c>
      <c r="N494" s="15" t="s">
        <v>10</v>
      </c>
      <c r="O494" s="15">
        <v>1.3567491141154016</v>
      </c>
      <c r="P494" s="15">
        <v>1.3567491141154016</v>
      </c>
      <c r="Q494" s="8"/>
      <c r="R494" s="9" t="s">
        <v>500</v>
      </c>
    </row>
    <row r="495" spans="1:18" x14ac:dyDescent="0.25">
      <c r="A495" s="6" t="str">
        <f>HYPERLINK("proteomic_fractions_linear_files/Yang_linear_img/31982030.jpg", "31982030")</f>
        <v>31982030</v>
      </c>
      <c r="B495" s="7"/>
      <c r="C495" s="6" t="str">
        <f>HYPERLINK("http://www.ncbi.nlm.nih.gov/protein/31982030","Arhgdia")</f>
        <v>Arhgdia</v>
      </c>
      <c r="D495" s="8"/>
      <c r="E495" s="8">
        <v>23276</v>
      </c>
      <c r="F495" s="8"/>
      <c r="G495" s="15">
        <v>1.5023207187163123</v>
      </c>
      <c r="H495" s="15">
        <v>1.5023207187163123</v>
      </c>
      <c r="I495" s="15">
        <v>1.0676008962294312</v>
      </c>
      <c r="J495" s="15">
        <v>1.0676008962294312</v>
      </c>
      <c r="K495" s="15">
        <v>1.0676008962294312</v>
      </c>
      <c r="L495" s="15">
        <v>1.0676008962294312</v>
      </c>
      <c r="M495" s="15">
        <v>1.136967744148913</v>
      </c>
      <c r="N495" s="15">
        <v>1.136967744148913</v>
      </c>
      <c r="O495" s="15">
        <v>0.94764096829038047</v>
      </c>
      <c r="P495" s="15">
        <v>0.94764096829038047</v>
      </c>
      <c r="Q495" s="8"/>
      <c r="R495" s="9" t="s">
        <v>501</v>
      </c>
    </row>
    <row r="496" spans="1:18" x14ac:dyDescent="0.25">
      <c r="A496" s="6" t="str">
        <f>HYPERLINK("proteomic_fractions_linear_files/Yang_linear_img/33563236.jpg", "33563236")</f>
        <v>33563236</v>
      </c>
      <c r="B496" s="7"/>
      <c r="C496" s="6" t="str">
        <f>HYPERLINK("http://www.ncbi.nlm.nih.gov/protein/33563236","Arhgdib")</f>
        <v>Arhgdib</v>
      </c>
      <c r="D496" s="8"/>
      <c r="E496" s="8">
        <v>22720</v>
      </c>
      <c r="F496" s="8"/>
      <c r="G496" s="15">
        <v>1.5023207187163123</v>
      </c>
      <c r="H496" s="15">
        <v>1.5023207187163123</v>
      </c>
      <c r="I496" s="15">
        <v>1.0676008962294312</v>
      </c>
      <c r="J496" s="15">
        <v>1.0676008962294312</v>
      </c>
      <c r="K496" s="15">
        <v>1.0676008962294312</v>
      </c>
      <c r="L496" s="15">
        <v>1.0676008962294312</v>
      </c>
      <c r="M496" s="15">
        <v>1.0676008962294312</v>
      </c>
      <c r="N496" s="15">
        <v>1.0676008962294312</v>
      </c>
      <c r="O496" s="15">
        <v>0.94764096829038047</v>
      </c>
      <c r="P496" s="15">
        <v>0.94764096829038047</v>
      </c>
      <c r="Q496" s="8"/>
      <c r="R496" s="9" t="s">
        <v>502</v>
      </c>
    </row>
    <row r="497" spans="1:18" x14ac:dyDescent="0.25">
      <c r="A497" s="6" t="str">
        <f>HYPERLINK("proteomic_fractions_linear_files/Yang_linear_img/194306547.jpg", "194306547")</f>
        <v>194306547</v>
      </c>
      <c r="B497" s="7"/>
      <c r="C497" s="6" t="str">
        <f>HYPERLINK("http://www.ncbi.nlm.nih.gov/protein/194306547","Arhgef1")</f>
        <v>Arhgef1</v>
      </c>
      <c r="D497" s="8"/>
      <c r="E497" s="8">
        <v>109118</v>
      </c>
      <c r="F497" s="8"/>
      <c r="G497" s="15" t="s">
        <v>10</v>
      </c>
      <c r="H497" s="15" t="s">
        <v>10</v>
      </c>
      <c r="I497" s="15" t="s">
        <v>10</v>
      </c>
      <c r="J497" s="15" t="s">
        <v>10</v>
      </c>
      <c r="K497" s="15" t="s">
        <v>10</v>
      </c>
      <c r="L497" s="15" t="s">
        <v>10</v>
      </c>
      <c r="M497" s="15">
        <v>0.87126588240903224</v>
      </c>
      <c r="N497" s="15">
        <v>0.87126588240903224</v>
      </c>
      <c r="O497" s="15">
        <v>0.22527358360804511</v>
      </c>
      <c r="P497" s="15">
        <v>0.22527358360804511</v>
      </c>
      <c r="Q497" s="8"/>
      <c r="R497" s="9" t="s">
        <v>503</v>
      </c>
    </row>
    <row r="498" spans="1:18" x14ac:dyDescent="0.25">
      <c r="A498" s="6" t="str">
        <f>HYPERLINK("proteomic_fractions_linear_files/Yang_linear_img/194306549.jpg", "194306549")</f>
        <v>194306549</v>
      </c>
      <c r="B498" s="7"/>
      <c r="C498" s="6" t="str">
        <f>HYPERLINK("http://www.ncbi.nlm.nih.gov/protein/194306549","Arhgef1")</f>
        <v>Arhgef1</v>
      </c>
      <c r="D498" s="8"/>
      <c r="E498" s="8">
        <v>108562</v>
      </c>
      <c r="F498" s="8"/>
      <c r="G498" s="15" t="s">
        <v>10</v>
      </c>
      <c r="H498" s="15" t="s">
        <v>10</v>
      </c>
      <c r="I498" s="15" t="s">
        <v>10</v>
      </c>
      <c r="J498" s="15" t="s">
        <v>10</v>
      </c>
      <c r="K498" s="15" t="s">
        <v>10</v>
      </c>
      <c r="L498" s="15" t="s">
        <v>10</v>
      </c>
      <c r="M498" s="15">
        <v>0.87126588240903224</v>
      </c>
      <c r="N498" s="15">
        <v>0.87126588240903224</v>
      </c>
      <c r="O498" s="15">
        <v>0.22527358360804511</v>
      </c>
      <c r="P498" s="15">
        <v>0.22527358360804511</v>
      </c>
      <c r="Q498" s="8"/>
      <c r="R498" s="9" t="s">
        <v>504</v>
      </c>
    </row>
    <row r="499" spans="1:18" x14ac:dyDescent="0.25">
      <c r="A499" s="6" t="str">
        <f>HYPERLINK("proteomic_fractions_linear_files/Yang_linear_img/194306551.jpg", "194306551")</f>
        <v>194306551</v>
      </c>
      <c r="B499" s="7"/>
      <c r="C499" s="6" t="str">
        <f>HYPERLINK("http://www.ncbi.nlm.nih.gov/protein/194306551","Arhgef1")</f>
        <v>Arhgef1</v>
      </c>
      <c r="D499" s="8"/>
      <c r="E499" s="8">
        <v>102674</v>
      </c>
      <c r="F499" s="8"/>
      <c r="G499" s="15" t="s">
        <v>10</v>
      </c>
      <c r="H499" s="15" t="s">
        <v>10</v>
      </c>
      <c r="I499" s="15" t="s">
        <v>10</v>
      </c>
      <c r="J499" s="15" t="s">
        <v>10</v>
      </c>
      <c r="K499" s="15" t="s">
        <v>10</v>
      </c>
      <c r="L499" s="15" t="s">
        <v>10</v>
      </c>
      <c r="M499" s="15">
        <v>0.92201923478237391</v>
      </c>
      <c r="N499" s="15">
        <v>0.92201923478237391</v>
      </c>
      <c r="O499" s="15">
        <v>0.23839631663375646</v>
      </c>
      <c r="P499" s="15">
        <v>0.23839631663375646</v>
      </c>
      <c r="Q499" s="8"/>
      <c r="R499" s="9" t="s">
        <v>505</v>
      </c>
    </row>
    <row r="500" spans="1:18" x14ac:dyDescent="0.25">
      <c r="A500" s="6" t="str">
        <f>HYPERLINK("proteomic_fractions_linear_files/Yang_linear_img/6678668.jpg", "6678668")</f>
        <v>6678668</v>
      </c>
      <c r="B500" s="7"/>
      <c r="C500" s="6" t="str">
        <f>HYPERLINK("http://www.ncbi.nlm.nih.gov/protein/6678668","Arhgef1")</f>
        <v>Arhgef1</v>
      </c>
      <c r="D500" s="8"/>
      <c r="E500" s="8">
        <v>102603</v>
      </c>
      <c r="F500" s="8"/>
      <c r="G500" s="15" t="s">
        <v>10</v>
      </c>
      <c r="H500" s="15" t="s">
        <v>10</v>
      </c>
      <c r="I500" s="15" t="s">
        <v>10</v>
      </c>
      <c r="J500" s="15" t="s">
        <v>10</v>
      </c>
      <c r="K500" s="15" t="s">
        <v>10</v>
      </c>
      <c r="L500" s="15" t="s">
        <v>10</v>
      </c>
      <c r="M500" s="15">
        <v>0.92201923478237391</v>
      </c>
      <c r="N500" s="15">
        <v>0.92201923478237391</v>
      </c>
      <c r="O500" s="15">
        <v>0.23839631663375646</v>
      </c>
      <c r="P500" s="15">
        <v>0.23839631663375646</v>
      </c>
      <c r="Q500" s="8"/>
      <c r="R500" s="9" t="s">
        <v>506</v>
      </c>
    </row>
    <row r="501" spans="1:18" x14ac:dyDescent="0.25">
      <c r="A501" s="6" t="str">
        <f>HYPERLINK("proteomic_fractions_linear_files/Yang_linear_img/111378383.jpg", "111378383")</f>
        <v>111378383</v>
      </c>
      <c r="B501" s="7"/>
      <c r="C501" s="6" t="str">
        <f>HYPERLINK("http://www.ncbi.nlm.nih.gov/protein/111378383","Arhgef10")</f>
        <v>Arhgef10</v>
      </c>
      <c r="D501" s="8"/>
      <c r="E501" s="8">
        <v>143321</v>
      </c>
      <c r="F501" s="8"/>
      <c r="G501" s="15" t="s">
        <v>10</v>
      </c>
      <c r="H501" s="15" t="s">
        <v>10</v>
      </c>
      <c r="I501" s="15" t="s">
        <v>10</v>
      </c>
      <c r="J501" s="15" t="s">
        <v>10</v>
      </c>
      <c r="K501" s="15" t="s">
        <v>10</v>
      </c>
      <c r="L501" s="15" t="s">
        <v>10</v>
      </c>
      <c r="M501" s="15">
        <v>1.6318940393555879</v>
      </c>
      <c r="N501" s="15">
        <v>1.6318940393555879</v>
      </c>
      <c r="O501" s="15">
        <v>1.3060547667128697</v>
      </c>
      <c r="P501" s="15">
        <v>1.3060547667128697</v>
      </c>
      <c r="Q501" s="8"/>
      <c r="R501" s="9" t="s">
        <v>507</v>
      </c>
    </row>
    <row r="502" spans="1:18" x14ac:dyDescent="0.25">
      <c r="A502" s="6" t="str">
        <f>HYPERLINK("proteomic_fractions_linear_files/Yang_linear_img/111378388.jpg", "111378388")</f>
        <v>111378388</v>
      </c>
      <c r="B502" s="7"/>
      <c r="C502" s="6" t="str">
        <f>HYPERLINK("http://www.ncbi.nlm.nih.gov/protein/111378388","Arhgef10")</f>
        <v>Arhgef10</v>
      </c>
      <c r="D502" s="8"/>
      <c r="E502" s="8">
        <v>147815</v>
      </c>
      <c r="F502" s="8"/>
      <c r="G502" s="15" t="s">
        <v>10</v>
      </c>
      <c r="H502" s="15" t="s">
        <v>10</v>
      </c>
      <c r="I502" s="15" t="s">
        <v>10</v>
      </c>
      <c r="J502" s="15" t="s">
        <v>10</v>
      </c>
      <c r="K502" s="15" t="s">
        <v>10</v>
      </c>
      <c r="L502" s="15" t="s">
        <v>10</v>
      </c>
      <c r="M502" s="15">
        <v>1.5767624839719532</v>
      </c>
      <c r="N502" s="15">
        <v>1.5767624839719532</v>
      </c>
      <c r="O502" s="15">
        <v>1.2619312948644619</v>
      </c>
      <c r="P502" s="15">
        <v>1.2619312948644619</v>
      </c>
      <c r="Q502" s="8"/>
      <c r="R502" s="9" t="s">
        <v>508</v>
      </c>
    </row>
    <row r="503" spans="1:18" x14ac:dyDescent="0.25">
      <c r="A503" s="6" t="str">
        <f>HYPERLINK("proteomic_fractions_linear_files/Yang_linear_img/163310755.jpg", "163310755")</f>
        <v>163310755</v>
      </c>
      <c r="B503" s="7"/>
      <c r="C503" s="6" t="str">
        <f>HYPERLINK("http://www.ncbi.nlm.nih.gov/protein/163310755","Arhgef10l")</f>
        <v>Arhgef10l</v>
      </c>
      <c r="D503" s="8"/>
      <c r="E503" s="8">
        <v>135256</v>
      </c>
      <c r="F503" s="8"/>
      <c r="G503" s="15" t="s">
        <v>10</v>
      </c>
      <c r="H503" s="15" t="s">
        <v>10</v>
      </c>
      <c r="I503" s="15" t="s">
        <v>10</v>
      </c>
      <c r="J503" s="15" t="s">
        <v>10</v>
      </c>
      <c r="K503" s="15">
        <v>1.7285988713174005</v>
      </c>
      <c r="L503" s="15">
        <v>1.7285988713174005</v>
      </c>
      <c r="M503" s="15">
        <v>1.7285988713174005</v>
      </c>
      <c r="N503" s="15">
        <v>1.7285988713174005</v>
      </c>
      <c r="O503" s="15">
        <v>1.383450604740299</v>
      </c>
      <c r="P503" s="15">
        <v>1.383450604740299</v>
      </c>
      <c r="Q503" s="8"/>
      <c r="R503" s="9" t="s">
        <v>509</v>
      </c>
    </row>
    <row r="504" spans="1:18" x14ac:dyDescent="0.25">
      <c r="A504" s="6" t="str">
        <f>HYPERLINK("proteomic_fractions_linear_files/Yang_linear_img/163310757.jpg", "163310757")</f>
        <v>163310757</v>
      </c>
      <c r="B504" s="7"/>
      <c r="C504" s="6" t="str">
        <f>HYPERLINK("http://www.ncbi.nlm.nih.gov/protein/163310757","Arhgef10l")</f>
        <v>Arhgef10l</v>
      </c>
      <c r="D504" s="8"/>
      <c r="E504" s="8">
        <v>134664</v>
      </c>
      <c r="F504" s="8"/>
      <c r="G504" s="15" t="s">
        <v>10</v>
      </c>
      <c r="H504" s="15" t="s">
        <v>10</v>
      </c>
      <c r="I504" s="15" t="s">
        <v>10</v>
      </c>
      <c r="J504" s="15" t="s">
        <v>10</v>
      </c>
      <c r="K504" s="15">
        <v>1.7285988713174005</v>
      </c>
      <c r="L504" s="15">
        <v>1.7285988713174005</v>
      </c>
      <c r="M504" s="15">
        <v>1.7285988713174005</v>
      </c>
      <c r="N504" s="15">
        <v>1.7285988713174005</v>
      </c>
      <c r="O504" s="15">
        <v>1.383450604740299</v>
      </c>
      <c r="P504" s="15">
        <v>1.383450604740299</v>
      </c>
      <c r="Q504" s="8"/>
      <c r="R504" s="9" t="s">
        <v>510</v>
      </c>
    </row>
    <row r="505" spans="1:18" x14ac:dyDescent="0.25">
      <c r="A505" s="6" t="str">
        <f>HYPERLINK("proteomic_fractions_linear_files/Yang_linear_img/163310759.jpg", "163310759")</f>
        <v>163310759</v>
      </c>
      <c r="B505" s="7"/>
      <c r="C505" s="6" t="str">
        <f>HYPERLINK("http://www.ncbi.nlm.nih.gov/protein/163310759","Arhgef10l")</f>
        <v>Arhgef10l</v>
      </c>
      <c r="D505" s="8"/>
      <c r="E505" s="8">
        <v>139265</v>
      </c>
      <c r="F505" s="8"/>
      <c r="G505" s="15" t="s">
        <v>10</v>
      </c>
      <c r="H505" s="15" t="s">
        <v>10</v>
      </c>
      <c r="I505" s="15" t="s">
        <v>10</v>
      </c>
      <c r="J505" s="15" t="s">
        <v>10</v>
      </c>
      <c r="K505" s="15">
        <v>1.678855018905389</v>
      </c>
      <c r="L505" s="15">
        <v>1.678855018905389</v>
      </c>
      <c r="M505" s="15">
        <v>1.678855018905389</v>
      </c>
      <c r="N505" s="15">
        <v>1.678855018905389</v>
      </c>
      <c r="O505" s="15">
        <v>1.3436390765463335</v>
      </c>
      <c r="P505" s="15">
        <v>1.3436390765463335</v>
      </c>
      <c r="Q505" s="8"/>
      <c r="R505" s="9" t="s">
        <v>511</v>
      </c>
    </row>
    <row r="506" spans="1:18" x14ac:dyDescent="0.25">
      <c r="A506" s="6" t="str">
        <f>HYPERLINK("proteomic_fractions_linear_files/Yang_linear_img/51491850.jpg", "51491850")</f>
        <v>51491850</v>
      </c>
      <c r="B506" s="7"/>
      <c r="C506" s="6" t="str">
        <f>HYPERLINK("http://www.ncbi.nlm.nih.gov/protein/51491850","Arhgef11")</f>
        <v>Arhgef11</v>
      </c>
      <c r="D506" s="8"/>
      <c r="E506" s="8">
        <v>171673</v>
      </c>
      <c r="F506" s="8"/>
      <c r="G506" s="15" t="s">
        <v>10</v>
      </c>
      <c r="H506" s="15" t="s">
        <v>10</v>
      </c>
      <c r="I506" s="15">
        <v>0.14276058496091232</v>
      </c>
      <c r="J506" s="15">
        <v>0.14276058496091232</v>
      </c>
      <c r="K506" s="15">
        <v>0.13435798473672933</v>
      </c>
      <c r="L506" s="15">
        <v>0.13435798473672933</v>
      </c>
      <c r="M506" s="15" t="s">
        <v>10</v>
      </c>
      <c r="N506" s="15" t="s">
        <v>10</v>
      </c>
      <c r="O506" s="15" t="s">
        <v>10</v>
      </c>
      <c r="P506" s="15" t="s">
        <v>10</v>
      </c>
      <c r="Q506" s="8"/>
      <c r="R506" s="9" t="s">
        <v>512</v>
      </c>
    </row>
    <row r="507" spans="1:18" x14ac:dyDescent="0.25">
      <c r="A507" s="6" t="str">
        <f>HYPERLINK("proteomic_fractions_linear_files/Yang_linear_img/145046273.jpg", "145046273")</f>
        <v>145046273</v>
      </c>
      <c r="B507" s="7"/>
      <c r="C507" s="6" t="str">
        <f>HYPERLINK("http://www.ncbi.nlm.nih.gov/protein/145046273","Arhgef12")</f>
        <v>Arhgef12</v>
      </c>
      <c r="D507" s="8"/>
      <c r="E507" s="8">
        <v>172346</v>
      </c>
      <c r="F507" s="8"/>
      <c r="G507" s="15" t="s">
        <v>10</v>
      </c>
      <c r="H507" s="15" t="s">
        <v>10</v>
      </c>
      <c r="I507" s="15">
        <v>1.3567491141154016</v>
      </c>
      <c r="J507" s="15">
        <v>1.3567491141154016</v>
      </c>
      <c r="K507" s="15">
        <v>1.3567491141154016</v>
      </c>
      <c r="L507" s="15">
        <v>1.3567491141154016</v>
      </c>
      <c r="M507" s="15" t="s">
        <v>10</v>
      </c>
      <c r="N507" s="15" t="s">
        <v>10</v>
      </c>
      <c r="O507" s="15">
        <v>1.3567491141154016</v>
      </c>
      <c r="P507" s="15">
        <v>1.3567491141154016</v>
      </c>
      <c r="Q507" s="8"/>
      <c r="R507" s="9" t="s">
        <v>513</v>
      </c>
    </row>
    <row r="508" spans="1:18" x14ac:dyDescent="0.25">
      <c r="A508" s="6" t="str">
        <f>HYPERLINK("proteomic_fractions_linear_files/Yang_linear_img/163838664.jpg", "163838664")</f>
        <v>163838664</v>
      </c>
      <c r="B508" s="7"/>
      <c r="C508" s="6" t="str">
        <f>HYPERLINK("http://www.ncbi.nlm.nih.gov/protein/163838664","Arhgef16")</f>
        <v>Arhgef16</v>
      </c>
      <c r="D508" s="8"/>
      <c r="E508" s="8">
        <v>80250</v>
      </c>
      <c r="F508" s="8"/>
      <c r="G508" s="15" t="s">
        <v>10</v>
      </c>
      <c r="H508" s="15" t="s">
        <v>10</v>
      </c>
      <c r="I508" s="15" t="s">
        <v>10</v>
      </c>
      <c r="J508" s="15" t="s">
        <v>10</v>
      </c>
      <c r="K508" s="15">
        <v>1.1870997647823063</v>
      </c>
      <c r="L508" s="15">
        <v>1.1870997647823063</v>
      </c>
      <c r="M508" s="15" t="s">
        <v>10</v>
      </c>
      <c r="N508" s="15" t="s">
        <v>10</v>
      </c>
      <c r="O508" s="15">
        <v>0.66400712037501353</v>
      </c>
      <c r="P508" s="15">
        <v>0.66400712037501353</v>
      </c>
      <c r="Q508" s="8"/>
      <c r="R508" s="9" t="s">
        <v>514</v>
      </c>
    </row>
    <row r="509" spans="1:18" x14ac:dyDescent="0.25">
      <c r="A509" s="6" t="str">
        <f>HYPERLINK("proteomic_fractions_linear_files/Yang_linear_img/41056261.jpg", "41056261")</f>
        <v>41056261</v>
      </c>
      <c r="B509" s="7"/>
      <c r="C509" s="6" t="str">
        <f>HYPERLINK("http://www.ncbi.nlm.nih.gov/protein/41056261","Arhgef18")</f>
        <v>Arhgef18</v>
      </c>
      <c r="D509" s="8"/>
      <c r="E509" s="8">
        <v>114205</v>
      </c>
      <c r="F509" s="8"/>
      <c r="G509" s="15" t="s">
        <v>10</v>
      </c>
      <c r="H509" s="15" t="s">
        <v>10</v>
      </c>
      <c r="I509" s="15" t="s">
        <v>10</v>
      </c>
      <c r="J509" s="15" t="s">
        <v>10</v>
      </c>
      <c r="K509" s="15" t="s">
        <v>10</v>
      </c>
      <c r="L509" s="15" t="s">
        <v>10</v>
      </c>
      <c r="M509" s="15" t="s">
        <v>10</v>
      </c>
      <c r="N509" s="15" t="s">
        <v>10</v>
      </c>
      <c r="O509" s="15">
        <v>1.1291370889922541</v>
      </c>
      <c r="P509" s="15">
        <v>1.1291370889922541</v>
      </c>
      <c r="Q509" s="8"/>
      <c r="R509" s="9" t="s">
        <v>515</v>
      </c>
    </row>
    <row r="510" spans="1:18" x14ac:dyDescent="0.25">
      <c r="A510" s="6" t="str">
        <f>HYPERLINK("proteomic_fractions_linear_files/Yang_linear_img/170650647.jpg", "170650647")</f>
        <v>170650647</v>
      </c>
      <c r="B510" s="7"/>
      <c r="C510" s="6" t="str">
        <f>HYPERLINK("http://www.ncbi.nlm.nih.gov/protein/170650647","Arhgef2")</f>
        <v>Arhgef2</v>
      </c>
      <c r="D510" s="8"/>
      <c r="E510" s="8">
        <v>111844</v>
      </c>
      <c r="F510" s="8"/>
      <c r="G510" s="15" t="s">
        <v>10</v>
      </c>
      <c r="H510" s="15" t="s">
        <v>10</v>
      </c>
      <c r="I510" s="15" t="s">
        <v>10</v>
      </c>
      <c r="J510" s="15" t="s">
        <v>10</v>
      </c>
      <c r="K510" s="15">
        <v>1.1493002512956871</v>
      </c>
      <c r="L510" s="15">
        <v>1.1493002512956871</v>
      </c>
      <c r="M510" s="15">
        <v>1.1493002512956871</v>
      </c>
      <c r="N510" s="15">
        <v>1.1493002512956871</v>
      </c>
      <c r="O510" s="15" t="s">
        <v>10</v>
      </c>
      <c r="P510" s="15" t="s">
        <v>10</v>
      </c>
      <c r="Q510" s="8"/>
      <c r="R510" s="9" t="s">
        <v>516</v>
      </c>
    </row>
    <row r="511" spans="1:18" x14ac:dyDescent="0.25">
      <c r="A511" s="6" t="str">
        <f>HYPERLINK("proteomic_fractions_linear_files/Yang_linear_img/312032458.jpg", "312032458")</f>
        <v>312032458</v>
      </c>
      <c r="B511" s="7"/>
      <c r="C511" s="6" t="str">
        <f>HYPERLINK("http://www.ncbi.nlm.nih.gov/protein/312032458","Arhgef2")</f>
        <v>Arhgef2</v>
      </c>
      <c r="D511" s="8"/>
      <c r="E511" s="8">
        <v>109858</v>
      </c>
      <c r="F511" s="8"/>
      <c r="G511" s="15" t="s">
        <v>10</v>
      </c>
      <c r="H511" s="15" t="s">
        <v>10</v>
      </c>
      <c r="I511" s="15" t="s">
        <v>10</v>
      </c>
      <c r="J511" s="15" t="s">
        <v>10</v>
      </c>
      <c r="K511" s="15">
        <v>1.1701966195010634</v>
      </c>
      <c r="L511" s="15">
        <v>1.1701966195010634</v>
      </c>
      <c r="M511" s="15">
        <v>1.1701966195010634</v>
      </c>
      <c r="N511" s="15">
        <v>1.1701966195010634</v>
      </c>
      <c r="O511" s="15" t="s">
        <v>10</v>
      </c>
      <c r="P511" s="15" t="s">
        <v>10</v>
      </c>
      <c r="Q511" s="8"/>
      <c r="R511" s="9" t="s">
        <v>517</v>
      </c>
    </row>
    <row r="512" spans="1:18" x14ac:dyDescent="0.25">
      <c r="A512" s="6" t="str">
        <f>HYPERLINK("proteomic_fractions_linear_files/Yang_linear_img/312032460.jpg", "312032460")</f>
        <v>312032460</v>
      </c>
      <c r="B512" s="7"/>
      <c r="C512" s="6" t="str">
        <f>HYPERLINK("http://www.ncbi.nlm.nih.gov/protein/312032460","Arhgef2")</f>
        <v>Arhgef2</v>
      </c>
      <c r="D512" s="8"/>
      <c r="E512" s="8">
        <v>108613</v>
      </c>
      <c r="F512" s="8"/>
      <c r="G512" s="15" t="s">
        <v>10</v>
      </c>
      <c r="H512" s="15" t="s">
        <v>10</v>
      </c>
      <c r="I512" s="15" t="s">
        <v>10</v>
      </c>
      <c r="J512" s="15" t="s">
        <v>10</v>
      </c>
      <c r="K512" s="15">
        <v>1.1809323683038253</v>
      </c>
      <c r="L512" s="15">
        <v>1.1809323683038253</v>
      </c>
      <c r="M512" s="15">
        <v>1.1809323683038253</v>
      </c>
      <c r="N512" s="15">
        <v>1.1809323683038253</v>
      </c>
      <c r="O512" s="15" t="s">
        <v>10</v>
      </c>
      <c r="P512" s="15" t="s">
        <v>10</v>
      </c>
      <c r="Q512" s="8"/>
      <c r="R512" s="9" t="s">
        <v>518</v>
      </c>
    </row>
    <row r="513" spans="1:18" x14ac:dyDescent="0.25">
      <c r="A513" s="6" t="str">
        <f>HYPERLINK("proteomic_fractions_linear_files/Yang_linear_img/312032462.jpg", "312032462")</f>
        <v>312032462</v>
      </c>
      <c r="B513" s="7"/>
      <c r="C513" s="6" t="str">
        <f>HYPERLINK("http://www.ncbi.nlm.nih.gov/protein/312032462","Arhgef2")</f>
        <v>Arhgef2</v>
      </c>
      <c r="D513" s="8"/>
      <c r="E513" s="8">
        <v>108398</v>
      </c>
      <c r="F513" s="8"/>
      <c r="G513" s="15" t="s">
        <v>10</v>
      </c>
      <c r="H513" s="15" t="s">
        <v>10</v>
      </c>
      <c r="I513" s="15" t="s">
        <v>10</v>
      </c>
      <c r="J513" s="15" t="s">
        <v>10</v>
      </c>
      <c r="K513" s="15">
        <v>1.1918669272696016</v>
      </c>
      <c r="L513" s="15">
        <v>1.1918669272696016</v>
      </c>
      <c r="M513" s="15">
        <v>1.1918669272696016</v>
      </c>
      <c r="N513" s="15">
        <v>1.1918669272696016</v>
      </c>
      <c r="O513" s="15" t="s">
        <v>10</v>
      </c>
      <c r="P513" s="15" t="s">
        <v>10</v>
      </c>
      <c r="Q513" s="8"/>
      <c r="R513" s="9" t="s">
        <v>519</v>
      </c>
    </row>
    <row r="514" spans="1:18" x14ac:dyDescent="0.25">
      <c r="A514" s="6" t="str">
        <f>HYPERLINK("proteomic_fractions_linear_files/Yang_linear_img/123702010.jpg", "123702010")</f>
        <v>123702010</v>
      </c>
      <c r="B514" s="7"/>
      <c r="C514" s="6" t="str">
        <f>HYPERLINK("http://www.ncbi.nlm.nih.gov/protein/123702010","Arhgef28")</f>
        <v>Arhgef28</v>
      </c>
      <c r="D514" s="8"/>
      <c r="E514" s="8">
        <v>190359</v>
      </c>
      <c r="F514" s="8"/>
      <c r="G514" s="15" t="s">
        <v>10</v>
      </c>
      <c r="H514" s="15" t="s">
        <v>10</v>
      </c>
      <c r="I514" s="15" t="s">
        <v>10</v>
      </c>
      <c r="J514" s="15" t="s">
        <v>10</v>
      </c>
      <c r="K514" s="15" t="s">
        <v>10</v>
      </c>
      <c r="L514" s="15" t="s">
        <v>10</v>
      </c>
      <c r="M514" s="15" t="s">
        <v>10</v>
      </c>
      <c r="N514" s="15" t="s">
        <v>10</v>
      </c>
      <c r="O514" s="15">
        <v>0.11471443300357237</v>
      </c>
      <c r="P514" s="15">
        <v>0.11471443300357237</v>
      </c>
      <c r="Q514" s="8"/>
      <c r="R514" s="9" t="s">
        <v>520</v>
      </c>
    </row>
    <row r="515" spans="1:18" x14ac:dyDescent="0.25">
      <c r="A515" s="6" t="str">
        <f>HYPERLINK("proteomic_fractions_linear_files/Yang_linear_img/160333547.jpg", "160333547")</f>
        <v>160333547</v>
      </c>
      <c r="B515" s="7"/>
      <c r="C515" s="6" t="str">
        <f>HYPERLINK("http://www.ncbi.nlm.nih.gov/protein/160333547","Arhgef37")</f>
        <v>Arhgef37</v>
      </c>
      <c r="D515" s="8"/>
      <c r="E515" s="8">
        <v>76423</v>
      </c>
      <c r="F515" s="8"/>
      <c r="G515" s="15" t="s">
        <v>10</v>
      </c>
      <c r="H515" s="15" t="s">
        <v>10</v>
      </c>
      <c r="I515" s="15">
        <v>1.0934034009624192</v>
      </c>
      <c r="J515" s="15">
        <v>1.0934034009624192</v>
      </c>
      <c r="K515" s="15" t="s">
        <v>10</v>
      </c>
      <c r="L515" s="15" t="s">
        <v>10</v>
      </c>
      <c r="M515" s="15" t="s">
        <v>10</v>
      </c>
      <c r="N515" s="15" t="s">
        <v>10</v>
      </c>
      <c r="O515" s="15">
        <v>1.0934034009624192</v>
      </c>
      <c r="P515" s="15">
        <v>1.0934034009624192</v>
      </c>
      <c r="Q515" s="8"/>
      <c r="R515" s="9" t="s">
        <v>521</v>
      </c>
    </row>
    <row r="516" spans="1:18" x14ac:dyDescent="0.25">
      <c r="A516" s="6" t="str">
        <f>HYPERLINK("proteomic_fractions_linear_files/Yang_linear_img/56699448.jpg", "56699448")</f>
        <v>56699448</v>
      </c>
      <c r="B516" s="7"/>
      <c r="C516" s="6" t="str">
        <f>HYPERLINK("http://www.ncbi.nlm.nih.gov/protein/56699448","Arhgef4")</f>
        <v>Arhgef4</v>
      </c>
      <c r="D516" s="8"/>
      <c r="E516" s="8">
        <v>56549</v>
      </c>
      <c r="F516" s="8"/>
      <c r="G516" s="15" t="s">
        <v>10</v>
      </c>
      <c r="H516" s="15" t="s">
        <v>10</v>
      </c>
      <c r="I516" s="15" t="s">
        <v>10</v>
      </c>
      <c r="J516" s="15" t="s">
        <v>10</v>
      </c>
      <c r="K516" s="15">
        <v>4.0940499583833168</v>
      </c>
      <c r="L516" s="15">
        <v>4.0940499583833168</v>
      </c>
      <c r="M516" s="15" t="s">
        <v>10</v>
      </c>
      <c r="N516" s="15" t="s">
        <v>10</v>
      </c>
      <c r="O516" s="15" t="s">
        <v>10</v>
      </c>
      <c r="P516" s="15" t="s">
        <v>10</v>
      </c>
      <c r="Q516" s="8"/>
      <c r="R516" s="9" t="s">
        <v>522</v>
      </c>
    </row>
    <row r="517" spans="1:18" x14ac:dyDescent="0.25">
      <c r="A517" s="6" t="str">
        <f>HYPERLINK("proteomic_fractions_linear_files/Yang_linear_img/110625819.jpg", "110625819")</f>
        <v>110625819</v>
      </c>
      <c r="B517" s="7"/>
      <c r="C517" s="6" t="str">
        <f>HYPERLINK("http://www.ncbi.nlm.nih.gov/protein/110625819","Arhgef40")</f>
        <v>Arhgef40</v>
      </c>
      <c r="D517" s="8"/>
      <c r="E517" s="8">
        <v>165002</v>
      </c>
      <c r="F517" s="8"/>
      <c r="G517" s="15" t="s">
        <v>10</v>
      </c>
      <c r="H517" s="15" t="s">
        <v>10</v>
      </c>
      <c r="I517" s="15" t="s">
        <v>10</v>
      </c>
      <c r="J517" s="15" t="s">
        <v>10</v>
      </c>
      <c r="K517" s="15">
        <v>1.4143081674415094</v>
      </c>
      <c r="L517" s="15">
        <v>1.4143081674415094</v>
      </c>
      <c r="M517" s="15" t="s">
        <v>10</v>
      </c>
      <c r="N517" s="15" t="s">
        <v>10</v>
      </c>
      <c r="O517" s="15" t="s">
        <v>10</v>
      </c>
      <c r="P517" s="15" t="s">
        <v>10</v>
      </c>
      <c r="Q517" s="8"/>
      <c r="R517" s="9" t="s">
        <v>523</v>
      </c>
    </row>
    <row r="518" spans="1:18" x14ac:dyDescent="0.25">
      <c r="A518" s="6" t="str">
        <f>HYPERLINK("proteomic_fractions_linear_files/Yang_linear_img/225543507.jpg", "225543507")</f>
        <v>225543507</v>
      </c>
      <c r="B518" s="7"/>
      <c r="C518" s="6" t="str">
        <f>HYPERLINK("http://www.ncbi.nlm.nih.gov/protein/225543507","Arhgef40")</f>
        <v>Arhgef40</v>
      </c>
      <c r="D518" s="8"/>
      <c r="E518" s="8">
        <v>160867</v>
      </c>
      <c r="F518" s="8"/>
      <c r="G518" s="15" t="s">
        <v>10</v>
      </c>
      <c r="H518" s="15" t="s">
        <v>10</v>
      </c>
      <c r="I518" s="15" t="s">
        <v>10</v>
      </c>
      <c r="J518" s="15" t="s">
        <v>10</v>
      </c>
      <c r="K518" s="15">
        <v>1.4494462585580687</v>
      </c>
      <c r="L518" s="15">
        <v>1.4494462585580687</v>
      </c>
      <c r="M518" s="15" t="s">
        <v>10</v>
      </c>
      <c r="N518" s="15" t="s">
        <v>10</v>
      </c>
      <c r="O518" s="15" t="s">
        <v>10</v>
      </c>
      <c r="P518" s="15" t="s">
        <v>10</v>
      </c>
      <c r="Q518" s="8"/>
      <c r="R518" s="9" t="s">
        <v>524</v>
      </c>
    </row>
    <row r="519" spans="1:18" x14ac:dyDescent="0.25">
      <c r="A519" s="6" t="str">
        <f>HYPERLINK("proteomic_fractions_linear_files/Yang_linear_img/225543509.jpg", "225543509")</f>
        <v>225543509</v>
      </c>
      <c r="B519" s="7"/>
      <c r="C519" s="6" t="str">
        <f>HYPERLINK("http://www.ncbi.nlm.nih.gov/protein/225543509","Arhgef40")</f>
        <v>Arhgef40</v>
      </c>
      <c r="D519" s="8"/>
      <c r="E519" s="8">
        <v>160042</v>
      </c>
      <c r="F519" s="8"/>
      <c r="G519" s="15" t="s">
        <v>10</v>
      </c>
      <c r="H519" s="15" t="s">
        <v>10</v>
      </c>
      <c r="I519" s="15" t="s">
        <v>10</v>
      </c>
      <c r="J519" s="15" t="s">
        <v>10</v>
      </c>
      <c r="K519" s="15">
        <v>1.4585052976740567</v>
      </c>
      <c r="L519" s="15">
        <v>1.4585052976740567</v>
      </c>
      <c r="M519" s="15" t="s">
        <v>10</v>
      </c>
      <c r="N519" s="15" t="s">
        <v>10</v>
      </c>
      <c r="O519" s="15" t="s">
        <v>10</v>
      </c>
      <c r="P519" s="15" t="s">
        <v>10</v>
      </c>
      <c r="Q519" s="8"/>
      <c r="R519" s="9" t="s">
        <v>525</v>
      </c>
    </row>
    <row r="520" spans="1:18" x14ac:dyDescent="0.25">
      <c r="A520" s="6" t="str">
        <f>HYPERLINK("proteomic_fractions_linear_files/Yang_linear_img/169234803.jpg", "169234803")</f>
        <v>169234803</v>
      </c>
      <c r="B520" s="7"/>
      <c r="C520" s="6" t="str">
        <f>HYPERLINK("http://www.ncbi.nlm.nih.gov/protein/169234803","Arhgef5")</f>
        <v>Arhgef5</v>
      </c>
      <c r="D520" s="8"/>
      <c r="E520" s="8">
        <v>176534</v>
      </c>
      <c r="F520" s="8"/>
      <c r="G520" s="15" t="s">
        <v>10</v>
      </c>
      <c r="H520" s="15" t="s">
        <v>10</v>
      </c>
      <c r="I520" s="15" t="s">
        <v>10</v>
      </c>
      <c r="J520" s="15" t="s">
        <v>10</v>
      </c>
      <c r="K520" s="15">
        <v>1.3184228679539496</v>
      </c>
      <c r="L520" s="15">
        <v>1.3184228679539496</v>
      </c>
      <c r="M520" s="15" t="s">
        <v>10</v>
      </c>
      <c r="N520" s="15" t="s">
        <v>10</v>
      </c>
      <c r="O520" s="15" t="s">
        <v>10</v>
      </c>
      <c r="P520" s="15" t="s">
        <v>10</v>
      </c>
      <c r="Q520" s="8"/>
      <c r="R520" s="9" t="s">
        <v>526</v>
      </c>
    </row>
    <row r="521" spans="1:18" x14ac:dyDescent="0.25">
      <c r="A521" s="6" t="str">
        <f>HYPERLINK("proteomic_fractions_linear_files/Yang_linear_img/270132620.jpg", "270132620")</f>
        <v>270132620</v>
      </c>
      <c r="B521" s="7"/>
      <c r="C521" s="6" t="str">
        <f>HYPERLINK("http://www.ncbi.nlm.nih.gov/protein/270132620","Arhgef6")</f>
        <v>Arhgef6</v>
      </c>
      <c r="D521" s="8"/>
      <c r="E521" s="8">
        <v>89681</v>
      </c>
      <c r="F521" s="8"/>
      <c r="G521" s="15" t="s">
        <v>10</v>
      </c>
      <c r="H521" s="15" t="s">
        <v>10</v>
      </c>
      <c r="I521" s="15" t="s">
        <v>10</v>
      </c>
      <c r="J521" s="15" t="s">
        <v>10</v>
      </c>
      <c r="K521" s="15" t="s">
        <v>10</v>
      </c>
      <c r="L521" s="15" t="s">
        <v>10</v>
      </c>
      <c r="M521" s="15">
        <v>0.9233184274793762</v>
      </c>
      <c r="N521" s="15">
        <v>0.9233184274793762</v>
      </c>
      <c r="O521" s="15" t="s">
        <v>10</v>
      </c>
      <c r="P521" s="15" t="s">
        <v>10</v>
      </c>
      <c r="Q521" s="8"/>
      <c r="R521" s="9" t="s">
        <v>527</v>
      </c>
    </row>
    <row r="522" spans="1:18" x14ac:dyDescent="0.25">
      <c r="A522" s="6" t="str">
        <f>HYPERLINK("proteomic_fractions_linear_files/Yang_linear_img/165377085.jpg", "165377085")</f>
        <v>165377085</v>
      </c>
      <c r="B522" s="7"/>
      <c r="C522" s="6" t="str">
        <f>HYPERLINK("http://www.ncbi.nlm.nih.gov/protein/165377085","Arhgef7")</f>
        <v>Arhgef7</v>
      </c>
      <c r="D522" s="8"/>
      <c r="E522" s="8">
        <v>87542</v>
      </c>
      <c r="F522" s="8"/>
      <c r="G522" s="15" t="s">
        <v>10</v>
      </c>
      <c r="H522" s="15" t="s">
        <v>10</v>
      </c>
      <c r="I522" s="15" t="s">
        <v>10</v>
      </c>
      <c r="J522" s="15" t="s">
        <v>10</v>
      </c>
      <c r="K522" s="15">
        <v>0.94430293719481651</v>
      </c>
      <c r="L522" s="15">
        <v>0.94430293719481651</v>
      </c>
      <c r="M522" s="15">
        <v>0.94430293719481651</v>
      </c>
      <c r="N522" s="15">
        <v>0.94430293719481651</v>
      </c>
      <c r="O522" s="15" t="s">
        <v>10</v>
      </c>
      <c r="P522" s="15" t="s">
        <v>10</v>
      </c>
      <c r="Q522" s="8"/>
      <c r="R522" s="9" t="s">
        <v>528</v>
      </c>
    </row>
    <row r="523" spans="1:18" x14ac:dyDescent="0.25">
      <c r="A523" s="6" t="str">
        <f>HYPERLINK("proteomic_fractions_linear_files/Yang_linear_img/165377089.jpg", "165377089")</f>
        <v>165377089</v>
      </c>
      <c r="B523" s="7"/>
      <c r="C523" s="6" t="str">
        <f>HYPERLINK("http://www.ncbi.nlm.nih.gov/protein/165377089","Arhgef7")</f>
        <v>Arhgef7</v>
      </c>
      <c r="D523" s="8"/>
      <c r="E523" s="8">
        <v>79565</v>
      </c>
      <c r="F523" s="8"/>
      <c r="G523" s="15" t="s">
        <v>10</v>
      </c>
      <c r="H523" s="15" t="s">
        <v>10</v>
      </c>
      <c r="I523" s="15" t="s">
        <v>10</v>
      </c>
      <c r="J523" s="15" t="s">
        <v>10</v>
      </c>
      <c r="K523" s="15">
        <v>1.0387332309142983</v>
      </c>
      <c r="L523" s="15">
        <v>1.0387332309142983</v>
      </c>
      <c r="M523" s="15">
        <v>1.0387332309142983</v>
      </c>
      <c r="N523" s="15">
        <v>1.0387332309142983</v>
      </c>
      <c r="O523" s="15" t="s">
        <v>10</v>
      </c>
      <c r="P523" s="15" t="s">
        <v>10</v>
      </c>
      <c r="Q523" s="8"/>
      <c r="R523" s="9" t="s">
        <v>529</v>
      </c>
    </row>
    <row r="524" spans="1:18" x14ac:dyDescent="0.25">
      <c r="A524" s="6" t="str">
        <f>HYPERLINK("proteomic_fractions_linear_files/Yang_linear_img/31980859.jpg", "31980859")</f>
        <v>31980859</v>
      </c>
      <c r="B524" s="7"/>
      <c r="C524" s="6" t="str">
        <f>HYPERLINK("http://www.ncbi.nlm.nih.gov/protein/31980859","Arhgef7")</f>
        <v>Arhgef7</v>
      </c>
      <c r="D524" s="8"/>
      <c r="E524" s="8">
        <v>72899</v>
      </c>
      <c r="F524" s="8"/>
      <c r="G524" s="15" t="s">
        <v>10</v>
      </c>
      <c r="H524" s="15" t="s">
        <v>10</v>
      </c>
      <c r="I524" s="15" t="s">
        <v>10</v>
      </c>
      <c r="J524" s="15" t="s">
        <v>10</v>
      </c>
      <c r="K524" s="15">
        <v>1.1383377873033405</v>
      </c>
      <c r="L524" s="15">
        <v>1.1383377873033405</v>
      </c>
      <c r="M524" s="15">
        <v>1.1383377873033405</v>
      </c>
      <c r="N524" s="15">
        <v>1.1383377873033405</v>
      </c>
      <c r="O524" s="15" t="s">
        <v>10</v>
      </c>
      <c r="P524" s="15" t="s">
        <v>10</v>
      </c>
      <c r="Q524" s="8"/>
      <c r="R524" s="9" t="s">
        <v>530</v>
      </c>
    </row>
    <row r="525" spans="1:18" x14ac:dyDescent="0.25">
      <c r="A525" s="6" t="str">
        <f>HYPERLINK("proteomic_fractions_linear_files/Yang_linear_img/84370312.jpg", "84370312")</f>
        <v>84370312</v>
      </c>
      <c r="B525" s="7"/>
      <c r="C525" s="6" t="str">
        <f>HYPERLINK("http://www.ncbi.nlm.nih.gov/protein/84370312","Arhgef9")</f>
        <v>Arhgef9</v>
      </c>
      <c r="D525" s="8"/>
      <c r="E525" s="8">
        <v>60796</v>
      </c>
      <c r="F525" s="8"/>
      <c r="G525" s="15" t="s">
        <v>10</v>
      </c>
      <c r="H525" s="15" t="s">
        <v>10</v>
      </c>
      <c r="I525" s="15" t="s">
        <v>10</v>
      </c>
      <c r="J525" s="15" t="s">
        <v>10</v>
      </c>
      <c r="K525" s="15">
        <v>3.8255876660303128</v>
      </c>
      <c r="L525" s="15">
        <v>3.8255876660303128</v>
      </c>
      <c r="M525" s="15" t="s">
        <v>10</v>
      </c>
      <c r="N525" s="15" t="s">
        <v>10</v>
      </c>
      <c r="O525" s="15" t="s">
        <v>10</v>
      </c>
      <c r="P525" s="15" t="s">
        <v>10</v>
      </c>
      <c r="Q525" s="8"/>
      <c r="R525" s="9" t="s">
        <v>531</v>
      </c>
    </row>
    <row r="526" spans="1:18" x14ac:dyDescent="0.25">
      <c r="A526" s="6" t="str">
        <f>HYPERLINK("proteomic_fractions_linear_files/Yang_linear_img/124249109.jpg", "124249109")</f>
        <v>124249109</v>
      </c>
      <c r="B526" s="7"/>
      <c r="C526" s="6" t="str">
        <f>HYPERLINK("http://www.ncbi.nlm.nih.gov/protein/124249109","Arid1a")</f>
        <v>Arid1a</v>
      </c>
      <c r="D526" s="8"/>
      <c r="E526" s="8">
        <v>241962</v>
      </c>
      <c r="F526" s="8"/>
      <c r="G526" s="15" t="s">
        <v>10</v>
      </c>
      <c r="H526" s="15" t="s">
        <v>10</v>
      </c>
      <c r="I526" s="15">
        <v>0.14278254764659168</v>
      </c>
      <c r="J526" s="15">
        <v>0.14278254764659168</v>
      </c>
      <c r="K526" s="15">
        <v>0.15430300174844871</v>
      </c>
      <c r="L526" s="15">
        <v>0.15430300174844871</v>
      </c>
      <c r="M526" s="15">
        <v>0.15430300174844871</v>
      </c>
      <c r="N526" s="15">
        <v>0.15430300174844871</v>
      </c>
      <c r="O526" s="15">
        <v>0.13257881345344458</v>
      </c>
      <c r="P526" s="15">
        <v>0.13257881345344458</v>
      </c>
      <c r="Q526" s="8"/>
      <c r="R526" s="9" t="s">
        <v>532</v>
      </c>
    </row>
    <row r="527" spans="1:18" x14ac:dyDescent="0.25">
      <c r="A527" s="6" t="str">
        <f>HYPERLINK("proteomic_fractions_linear_files/Yang_linear_img/163954953.jpg", "163954953")</f>
        <v>163954953</v>
      </c>
      <c r="B527" s="7"/>
      <c r="C527" s="6" t="str">
        <f>HYPERLINK("http://www.ncbi.nlm.nih.gov/protein/163954953","Arih1")</f>
        <v>Arih1</v>
      </c>
      <c r="D527" s="8"/>
      <c r="E527" s="8">
        <v>63886</v>
      </c>
      <c r="F527" s="8"/>
      <c r="G527" s="15" t="s">
        <v>10</v>
      </c>
      <c r="H527" s="15" t="s">
        <v>10</v>
      </c>
      <c r="I527" s="15" t="s">
        <v>10</v>
      </c>
      <c r="J527" s="15" t="s">
        <v>10</v>
      </c>
      <c r="K527" s="15" t="s">
        <v>10</v>
      </c>
      <c r="L527" s="15" t="s">
        <v>10</v>
      </c>
      <c r="M527" s="15" t="s">
        <v>10</v>
      </c>
      <c r="N527" s="15" t="s">
        <v>10</v>
      </c>
      <c r="O527" s="15">
        <v>1.0227072395397552</v>
      </c>
      <c r="P527" s="15">
        <v>1.0227072395397552</v>
      </c>
      <c r="Q527" s="8"/>
      <c r="R527" s="9" t="s">
        <v>533</v>
      </c>
    </row>
    <row r="528" spans="1:18" x14ac:dyDescent="0.25">
      <c r="A528" s="6" t="str">
        <f>HYPERLINK("proteomic_fractions_linear_files/Yang_linear_img/6753118.jpg", "6753118")</f>
        <v>6753118</v>
      </c>
      <c r="B528" s="7"/>
      <c r="C528" s="6" t="str">
        <f>HYPERLINK("http://www.ncbi.nlm.nih.gov/protein/6753118","Arih2")</f>
        <v>Arih2</v>
      </c>
      <c r="D528" s="8"/>
      <c r="E528" s="8">
        <v>57566</v>
      </c>
      <c r="F528" s="8"/>
      <c r="G528" s="15" t="s">
        <v>10</v>
      </c>
      <c r="H528" s="15" t="s">
        <v>10</v>
      </c>
      <c r="I528" s="15">
        <v>1.0133311652688595</v>
      </c>
      <c r="J528" s="15">
        <v>1.0133311652688595</v>
      </c>
      <c r="K528" s="15" t="s">
        <v>10</v>
      </c>
      <c r="L528" s="15" t="s">
        <v>10</v>
      </c>
      <c r="M528" s="15">
        <v>1.0133311652688595</v>
      </c>
      <c r="N528" s="15">
        <v>1.0133311652688595</v>
      </c>
      <c r="O528" s="15">
        <v>1.0133311652688595</v>
      </c>
      <c r="P528" s="15">
        <v>1.0133311652688595</v>
      </c>
      <c r="Q528" s="8"/>
      <c r="R528" s="9" t="s">
        <v>534</v>
      </c>
    </row>
    <row r="529" spans="1:18" x14ac:dyDescent="0.25">
      <c r="A529" s="6" t="str">
        <f>HYPERLINK("proteomic_fractions_linear_files/Yang_linear_img/153792526.jpg", "153792526")</f>
        <v>153792526</v>
      </c>
      <c r="B529" s="7"/>
      <c r="C529" s="6" t="str">
        <f>HYPERLINK("http://www.ncbi.nlm.nih.gov/protein/153792526","Arl1")</f>
        <v>Arl1</v>
      </c>
      <c r="D529" s="8"/>
      <c r="E529" s="8">
        <v>20280</v>
      </c>
      <c r="F529" s="8"/>
      <c r="G529" s="15">
        <v>1.395910564884103</v>
      </c>
      <c r="H529" s="15">
        <v>1.395910564884103</v>
      </c>
      <c r="I529" s="15">
        <v>1.0298720593328137</v>
      </c>
      <c r="J529" s="15">
        <v>1.0298720593328137</v>
      </c>
      <c r="K529" s="15">
        <v>0.97505749140176368</v>
      </c>
      <c r="L529" s="15">
        <v>0.97505749140176368</v>
      </c>
      <c r="M529" s="15">
        <v>1.0298720593328137</v>
      </c>
      <c r="N529" s="15">
        <v>1.0298720593328137</v>
      </c>
      <c r="O529" s="15">
        <v>0.97505749140176368</v>
      </c>
      <c r="P529" s="15">
        <v>0.97505749140176368</v>
      </c>
      <c r="Q529" s="8"/>
      <c r="R529" s="9" t="s">
        <v>535</v>
      </c>
    </row>
    <row r="530" spans="1:18" x14ac:dyDescent="0.25">
      <c r="A530" s="6" t="str">
        <f>HYPERLINK("proteomic_fractions_linear_files/Yang_linear_img/255683326.jpg", "255683326")</f>
        <v>255683326</v>
      </c>
      <c r="B530" s="7"/>
      <c r="C530" s="6" t="str">
        <f>HYPERLINK("http://www.ncbi.nlm.nih.gov/protein/255683326","Arl13b")</f>
        <v>Arl13b</v>
      </c>
      <c r="D530" s="8"/>
      <c r="E530" s="8">
        <v>48013</v>
      </c>
      <c r="F530" s="8"/>
      <c r="G530" s="15" t="s">
        <v>10</v>
      </c>
      <c r="H530" s="15" t="s">
        <v>10</v>
      </c>
      <c r="I530" s="15" t="s">
        <v>10</v>
      </c>
      <c r="J530" s="15" t="s">
        <v>10</v>
      </c>
      <c r="K530" s="15">
        <v>1.3636096527196735</v>
      </c>
      <c r="L530" s="15">
        <v>1.3636096527196735</v>
      </c>
      <c r="M530" s="15" t="s">
        <v>10</v>
      </c>
      <c r="N530" s="15" t="s">
        <v>10</v>
      </c>
      <c r="O530" s="15" t="s">
        <v>10</v>
      </c>
      <c r="P530" s="15" t="s">
        <v>10</v>
      </c>
      <c r="Q530" s="8"/>
      <c r="R530" s="9" t="s">
        <v>536</v>
      </c>
    </row>
    <row r="531" spans="1:18" x14ac:dyDescent="0.25">
      <c r="A531" s="6" t="str">
        <f>HYPERLINK("proteomic_fractions_linear_files/Yang_linear_img/27369856.jpg", "27369856")</f>
        <v>27369856</v>
      </c>
      <c r="B531" s="7"/>
      <c r="C531" s="6" t="str">
        <f>HYPERLINK("http://www.ncbi.nlm.nih.gov/protein/27369856","Arl15")</f>
        <v>Arl15</v>
      </c>
      <c r="D531" s="8"/>
      <c r="E531" s="8">
        <v>22774</v>
      </c>
      <c r="F531" s="8"/>
      <c r="G531" s="15" t="s">
        <v>10</v>
      </c>
      <c r="H531" s="15" t="s">
        <v>10</v>
      </c>
      <c r="I531" s="15">
        <v>0.94764096829038047</v>
      </c>
      <c r="J531" s="15">
        <v>0.94764096829038047</v>
      </c>
      <c r="K531" s="15">
        <v>1.0047640597703238</v>
      </c>
      <c r="L531" s="15">
        <v>1.0047640597703238</v>
      </c>
      <c r="M531" s="15" t="s">
        <v>10</v>
      </c>
      <c r="N531" s="15" t="s">
        <v>10</v>
      </c>
      <c r="O531" s="15" t="s">
        <v>10</v>
      </c>
      <c r="P531" s="15" t="s">
        <v>10</v>
      </c>
      <c r="Q531" s="8"/>
      <c r="R531" s="9" t="s">
        <v>537</v>
      </c>
    </row>
    <row r="532" spans="1:18" x14ac:dyDescent="0.25">
      <c r="A532" s="6" t="str">
        <f>HYPERLINK("proteomic_fractions_linear_files/Yang_linear_img/31980988.jpg", "31980988")</f>
        <v>31980988</v>
      </c>
      <c r="B532" s="7"/>
      <c r="C532" s="6" t="str">
        <f>HYPERLINK("http://www.ncbi.nlm.nih.gov/protein/31980988","Arl2")</f>
        <v>Arl2</v>
      </c>
      <c r="D532" s="8"/>
      <c r="E532" s="8">
        <v>20733</v>
      </c>
      <c r="F532" s="8"/>
      <c r="G532" s="15">
        <v>0.83666379835042703</v>
      </c>
      <c r="H532" s="15">
        <v>0.83666379835042703</v>
      </c>
      <c r="I532" s="15">
        <v>0.88072853164590881</v>
      </c>
      <c r="J532" s="15">
        <v>0.88072853164590881</v>
      </c>
      <c r="K532" s="15">
        <v>0.88072853164590881</v>
      </c>
      <c r="L532" s="15">
        <v>0.88072853164590881</v>
      </c>
      <c r="M532" s="15">
        <v>0.92862618228739402</v>
      </c>
      <c r="N532" s="15">
        <v>0.92862618228739402</v>
      </c>
      <c r="O532" s="15">
        <v>0.88072853164590881</v>
      </c>
      <c r="P532" s="15">
        <v>0.88072853164590881</v>
      </c>
      <c r="Q532" s="8"/>
      <c r="R532" s="9" t="s">
        <v>538</v>
      </c>
    </row>
    <row r="533" spans="1:18" x14ac:dyDescent="0.25">
      <c r="A533" s="6" t="str">
        <f>HYPERLINK("proteomic_fractions_linear_files/Yang_linear_img/18859591.jpg", "18859591")</f>
        <v>18859591</v>
      </c>
      <c r="B533" s="7"/>
      <c r="C533" s="6" t="str">
        <f>HYPERLINK("http://www.ncbi.nlm.nih.gov/protein/18859591","Arl2bp")</f>
        <v>Arl2bp</v>
      </c>
      <c r="D533" s="8"/>
      <c r="E533" s="8">
        <v>18623</v>
      </c>
      <c r="F533" s="8"/>
      <c r="G533" s="15" t="s">
        <v>10</v>
      </c>
      <c r="H533" s="15" t="s">
        <v>10</v>
      </c>
      <c r="I533" s="15" t="s">
        <v>10</v>
      </c>
      <c r="J533" s="15" t="s">
        <v>10</v>
      </c>
      <c r="K533" s="15">
        <v>1.0263763067386986</v>
      </c>
      <c r="L533" s="15">
        <v>1.0263763067386986</v>
      </c>
      <c r="M533" s="15" t="s">
        <v>10</v>
      </c>
      <c r="N533" s="15" t="s">
        <v>10</v>
      </c>
      <c r="O533" s="15">
        <v>0.97343679813495176</v>
      </c>
      <c r="P533" s="15">
        <v>0.97343679813495176</v>
      </c>
      <c r="Q533" s="8"/>
      <c r="R533" s="9" t="s">
        <v>539</v>
      </c>
    </row>
    <row r="534" spans="1:18" x14ac:dyDescent="0.25">
      <c r="A534" s="6" t="str">
        <f>HYPERLINK("proteomic_fractions_linear_files/Yang_linear_img/30348958.jpg", "30348958")</f>
        <v>30348958</v>
      </c>
      <c r="B534" s="7"/>
      <c r="C534" s="6" t="str">
        <f>HYPERLINK("http://www.ncbi.nlm.nih.gov/protein/30348958","Arl2bp")</f>
        <v>Arl2bp</v>
      </c>
      <c r="D534" s="8"/>
      <c r="E534" s="8">
        <v>17440</v>
      </c>
      <c r="F534" s="8"/>
      <c r="G534" s="15" t="s">
        <v>10</v>
      </c>
      <c r="H534" s="15" t="s">
        <v>10</v>
      </c>
      <c r="I534" s="15" t="s">
        <v>10</v>
      </c>
      <c r="J534" s="15" t="s">
        <v>10</v>
      </c>
      <c r="K534" s="15">
        <v>1.1471264604726632</v>
      </c>
      <c r="L534" s="15">
        <v>1.1471264604726632</v>
      </c>
      <c r="M534" s="15" t="s">
        <v>10</v>
      </c>
      <c r="N534" s="15" t="s">
        <v>10</v>
      </c>
      <c r="O534" s="15">
        <v>1.0879587743861225</v>
      </c>
      <c r="P534" s="15">
        <v>1.0879587743861225</v>
      </c>
      <c r="Q534" s="8"/>
      <c r="R534" s="9" t="s">
        <v>540</v>
      </c>
    </row>
    <row r="535" spans="1:18" x14ac:dyDescent="0.25">
      <c r="A535" s="6" t="str">
        <f>HYPERLINK("proteomic_fractions_linear_files/Yang_linear_img/9789881.jpg", "9789881")</f>
        <v>9789881</v>
      </c>
      <c r="B535" s="7"/>
      <c r="C535" s="6" t="str">
        <f>HYPERLINK("http://www.ncbi.nlm.nih.gov/protein/9789881","Arl3")</f>
        <v>Arl3</v>
      </c>
      <c r="D535" s="8"/>
      <c r="E535" s="8">
        <v>20355</v>
      </c>
      <c r="F535" s="8"/>
      <c r="G535" s="15">
        <v>1.4942703445856567</v>
      </c>
      <c r="H535" s="15">
        <v>1.4942703445856567</v>
      </c>
      <c r="I535" s="15">
        <v>1.0897871135339376</v>
      </c>
      <c r="J535" s="15">
        <v>1.0897871135339376</v>
      </c>
      <c r="K535" s="15">
        <v>1.0897871135339376</v>
      </c>
      <c r="L535" s="15">
        <v>1.0897871135339376</v>
      </c>
      <c r="M535" s="15">
        <v>1.0897871135339376</v>
      </c>
      <c r="N535" s="15">
        <v>1.0897871135339376</v>
      </c>
      <c r="O535" s="15">
        <v>1.0298720593328137</v>
      </c>
      <c r="P535" s="15">
        <v>1.0298720593328137</v>
      </c>
      <c r="Q535" s="8"/>
      <c r="R535" s="9" t="s">
        <v>541</v>
      </c>
    </row>
    <row r="536" spans="1:18" x14ac:dyDescent="0.25">
      <c r="A536" s="6" t="str">
        <f>HYPERLINK("proteomic_fractions_linear_files/Yang_linear_img/113462000.jpg", "113462000")</f>
        <v>113462000</v>
      </c>
      <c r="B536" s="7"/>
      <c r="C536" s="6" t="str">
        <f>HYPERLINK("http://www.ncbi.nlm.nih.gov/protein/113462000","Arl4c")</f>
        <v>Arl4c</v>
      </c>
      <c r="D536" s="8"/>
      <c r="E536" s="8">
        <v>21356</v>
      </c>
      <c r="F536" s="8"/>
      <c r="G536" s="15" t="s">
        <v>10</v>
      </c>
      <c r="H536" s="15" t="s">
        <v>10</v>
      </c>
      <c r="I536" s="15" t="s">
        <v>10</v>
      </c>
      <c r="J536" s="15" t="s">
        <v>10</v>
      </c>
      <c r="K536" s="15">
        <v>1.100455874986545</v>
      </c>
      <c r="L536" s="15">
        <v>1.100455874986545</v>
      </c>
      <c r="M536" s="15" t="s">
        <v>10</v>
      </c>
      <c r="N536" s="15" t="s">
        <v>10</v>
      </c>
      <c r="O536" s="15" t="s">
        <v>10</v>
      </c>
      <c r="P536" s="15" t="s">
        <v>10</v>
      </c>
      <c r="Q536" s="8"/>
      <c r="R536" s="9" t="s">
        <v>542</v>
      </c>
    </row>
    <row r="537" spans="1:18" x14ac:dyDescent="0.25">
      <c r="A537" s="6" t="str">
        <f>HYPERLINK("proteomic_fractions_linear_files/Yang_linear_img/33695144.jpg", "33695144")</f>
        <v>33695144</v>
      </c>
      <c r="B537" s="7"/>
      <c r="C537" s="6" t="str">
        <f>HYPERLINK("http://www.ncbi.nlm.nih.gov/protein/33695144","Arl5a")</f>
        <v>Arl5a</v>
      </c>
      <c r="D537" s="8"/>
      <c r="E537" s="8">
        <v>20593</v>
      </c>
      <c r="F537" s="8"/>
      <c r="G537" s="15" t="s">
        <v>10</v>
      </c>
      <c r="H537" s="15" t="s">
        <v>10</v>
      </c>
      <c r="I537" s="15">
        <v>0.88072853164590881</v>
      </c>
      <c r="J537" s="15">
        <v>0.88072853164590881</v>
      </c>
      <c r="K537" s="15">
        <v>0.83666379835042703</v>
      </c>
      <c r="L537" s="15">
        <v>0.83666379835042703</v>
      </c>
      <c r="M537" s="15">
        <v>0.88072853164590881</v>
      </c>
      <c r="N537" s="15">
        <v>0.88072853164590881</v>
      </c>
      <c r="O537" s="15" t="s">
        <v>10</v>
      </c>
      <c r="P537" s="15" t="s">
        <v>10</v>
      </c>
      <c r="Q537" s="8"/>
      <c r="R537" s="9" t="s">
        <v>543</v>
      </c>
    </row>
    <row r="538" spans="1:18" x14ac:dyDescent="0.25">
      <c r="A538" s="6" t="str">
        <f>HYPERLINK("proteomic_fractions_linear_files/Yang_linear_img/27229225.jpg", "27229225")</f>
        <v>27229225</v>
      </c>
      <c r="B538" s="7"/>
      <c r="C538" s="6" t="str">
        <f>HYPERLINK("http://www.ncbi.nlm.nih.gov/protein/27229225","Arl5b")</f>
        <v>Arl5b</v>
      </c>
      <c r="D538" s="8"/>
      <c r="E538" s="8">
        <v>20375</v>
      </c>
      <c r="F538" s="8"/>
      <c r="G538" s="15" t="s">
        <v>10</v>
      </c>
      <c r="H538" s="15" t="s">
        <v>10</v>
      </c>
      <c r="I538" s="15">
        <v>0.92476495822820426</v>
      </c>
      <c r="J538" s="15">
        <v>0.92476495822820426</v>
      </c>
      <c r="K538" s="15">
        <v>0.87849698826794831</v>
      </c>
      <c r="L538" s="15">
        <v>0.87849698826794831</v>
      </c>
      <c r="M538" s="15">
        <v>0.92476495822820426</v>
      </c>
      <c r="N538" s="15">
        <v>0.92476495822820426</v>
      </c>
      <c r="O538" s="15" t="s">
        <v>10</v>
      </c>
      <c r="P538" s="15" t="s">
        <v>10</v>
      </c>
      <c r="Q538" s="8"/>
      <c r="R538" s="9" t="s">
        <v>544</v>
      </c>
    </row>
    <row r="539" spans="1:18" x14ac:dyDescent="0.25">
      <c r="A539" s="6" t="str">
        <f>HYPERLINK("proteomic_fractions_linear_files/Yang_linear_img/46402217.jpg", "46402217")</f>
        <v>46402217</v>
      </c>
      <c r="B539" s="7"/>
      <c r="C539" s="6" t="str">
        <f>HYPERLINK("http://www.ncbi.nlm.nih.gov/protein/46402217","Arl5c")</f>
        <v>Arl5c</v>
      </c>
      <c r="D539" s="8"/>
      <c r="E539" s="8">
        <v>19928</v>
      </c>
      <c r="F539" s="8"/>
      <c r="G539" s="15" t="s">
        <v>10</v>
      </c>
      <c r="H539" s="15" t="s">
        <v>10</v>
      </c>
      <c r="I539" s="15">
        <v>0.92476495822820426</v>
      </c>
      <c r="J539" s="15">
        <v>0.92476495822820426</v>
      </c>
      <c r="K539" s="15">
        <v>0.87849698826794831</v>
      </c>
      <c r="L539" s="15">
        <v>0.87849698826794831</v>
      </c>
      <c r="M539" s="15">
        <v>0.92476495822820426</v>
      </c>
      <c r="N539" s="15">
        <v>0.92476495822820426</v>
      </c>
      <c r="O539" s="15" t="s">
        <v>10</v>
      </c>
      <c r="P539" s="15" t="s">
        <v>10</v>
      </c>
      <c r="Q539" s="8"/>
      <c r="R539" s="9" t="s">
        <v>545</v>
      </c>
    </row>
    <row r="540" spans="1:18" x14ac:dyDescent="0.25">
      <c r="A540" s="6" t="str">
        <f>HYPERLINK("proteomic_fractions_linear_files/Yang_linear_img/188528681.jpg", "188528681")</f>
        <v>188528681</v>
      </c>
      <c r="B540" s="7"/>
      <c r="C540" s="6" t="str">
        <f>HYPERLINK("http://www.ncbi.nlm.nih.gov/protein/188528681","Arl6")</f>
        <v>Arl6</v>
      </c>
      <c r="D540" s="8"/>
      <c r="E540" s="8">
        <v>20828</v>
      </c>
      <c r="F540" s="8"/>
      <c r="G540" s="15" t="s">
        <v>10</v>
      </c>
      <c r="H540" s="15" t="s">
        <v>10</v>
      </c>
      <c r="I540" s="15">
        <v>0.98083053269791776</v>
      </c>
      <c r="J540" s="15">
        <v>0.98083053269791776</v>
      </c>
      <c r="K540" s="15">
        <v>0.98083053269791776</v>
      </c>
      <c r="L540" s="15">
        <v>0.98083053269791776</v>
      </c>
      <c r="M540" s="15">
        <v>0.98083053269791776</v>
      </c>
      <c r="N540" s="15">
        <v>0.98083053269791776</v>
      </c>
      <c r="O540" s="15">
        <v>0.98083053269791776</v>
      </c>
      <c r="P540" s="15">
        <v>0.98083053269791776</v>
      </c>
      <c r="Q540" s="8"/>
      <c r="R540" s="9" t="s">
        <v>546</v>
      </c>
    </row>
    <row r="541" spans="1:18" x14ac:dyDescent="0.25">
      <c r="A541" s="6" t="str">
        <f>HYPERLINK("proteomic_fractions_linear_files/Yang_linear_img/45433590.jpg", "45433590")</f>
        <v>45433590</v>
      </c>
      <c r="B541" s="7"/>
      <c r="C541" s="6" t="str">
        <f>HYPERLINK("http://www.ncbi.nlm.nih.gov/protein/45433590","Arl6ip1")</f>
        <v>Arl6ip1</v>
      </c>
      <c r="D541" s="8"/>
      <c r="E541" s="8">
        <v>23306</v>
      </c>
      <c r="F541" s="8"/>
      <c r="G541" s="15">
        <v>0.80414344193756893</v>
      </c>
      <c r="H541" s="15">
        <v>0.80414344193756893</v>
      </c>
      <c r="I541" s="15" t="s">
        <v>10</v>
      </c>
      <c r="J541" s="15" t="s">
        <v>10</v>
      </c>
      <c r="K541" s="15">
        <v>0.84787607947979449</v>
      </c>
      <c r="L541" s="15">
        <v>0.84787607947979449</v>
      </c>
      <c r="M541" s="15" t="s">
        <v>10</v>
      </c>
      <c r="N541" s="15" t="s">
        <v>10</v>
      </c>
      <c r="O541" s="15" t="s">
        <v>10</v>
      </c>
      <c r="P541" s="15" t="s">
        <v>10</v>
      </c>
      <c r="Q541" s="8"/>
      <c r="R541" s="9" t="s">
        <v>547</v>
      </c>
    </row>
    <row r="542" spans="1:18" x14ac:dyDescent="0.25">
      <c r="A542" s="6" t="str">
        <f>HYPERLINK("proteomic_fractions_linear_files/Yang_linear_img/21362283.jpg", "21362283")</f>
        <v>21362283</v>
      </c>
      <c r="B542" s="7"/>
      <c r="C542" s="6" t="str">
        <f>HYPERLINK("http://www.ncbi.nlm.nih.gov/protein/21362283","Arl6ip4")</f>
        <v>Arl6ip4</v>
      </c>
      <c r="D542" s="8"/>
      <c r="E542" s="8">
        <v>25394</v>
      </c>
      <c r="F542" s="8"/>
      <c r="G542" s="15" t="s">
        <v>10</v>
      </c>
      <c r="H542" s="15" t="s">
        <v>10</v>
      </c>
      <c r="I542" s="15">
        <v>239.72400000000002</v>
      </c>
      <c r="J542" s="15">
        <v>239.72400000000002</v>
      </c>
      <c r="K542" s="15">
        <v>1.0460103246170001</v>
      </c>
      <c r="L542" s="15">
        <v>1.0460103246170001</v>
      </c>
      <c r="M542" s="15">
        <v>239.72400000000002</v>
      </c>
      <c r="N542" s="15">
        <v>239.72400000000002</v>
      </c>
      <c r="O542" s="15" t="s">
        <v>10</v>
      </c>
      <c r="P542" s="15" t="s">
        <v>10</v>
      </c>
      <c r="Q542" s="8"/>
      <c r="R542" s="9" t="s">
        <v>548</v>
      </c>
    </row>
    <row r="543" spans="1:18" x14ac:dyDescent="0.25">
      <c r="A543" s="6" t="str">
        <f>HYPERLINK("proteomic_fractions_linear_files/Yang_linear_img/14149750.jpg", "14149750")</f>
        <v>14149750</v>
      </c>
      <c r="B543" s="7"/>
      <c r="C543" s="6" t="str">
        <f>HYPERLINK("http://www.ncbi.nlm.nih.gov/protein/14149750","Arl6ip5")</f>
        <v>Arl6ip5</v>
      </c>
      <c r="D543" s="8"/>
      <c r="E543" s="8">
        <v>21427</v>
      </c>
      <c r="F543" s="8"/>
      <c r="G543" s="15">
        <v>1.1692771720608055</v>
      </c>
      <c r="H543" s="15">
        <v>1.1692771720608055</v>
      </c>
      <c r="I543" s="15">
        <v>0.79602259621938198</v>
      </c>
      <c r="J543" s="15">
        <v>0.79602259621938198</v>
      </c>
      <c r="K543" s="15">
        <v>0.83666379835042703</v>
      </c>
      <c r="L543" s="15">
        <v>0.83666379835042703</v>
      </c>
      <c r="M543" s="15" t="s">
        <v>10</v>
      </c>
      <c r="N543" s="15" t="s">
        <v>10</v>
      </c>
      <c r="O543" s="15" t="s">
        <v>10</v>
      </c>
      <c r="P543" s="15" t="s">
        <v>10</v>
      </c>
      <c r="Q543" s="8"/>
      <c r="R543" s="9" t="s">
        <v>549</v>
      </c>
    </row>
    <row r="544" spans="1:18" x14ac:dyDescent="0.25">
      <c r="A544" s="6" t="str">
        <f>HYPERLINK("proteomic_fractions_linear_files/Yang_linear_img/254281227.jpg", "254281227")</f>
        <v>254281227</v>
      </c>
      <c r="B544" s="7"/>
      <c r="C544" s="6" t="str">
        <f>HYPERLINK("http://www.ncbi.nlm.nih.gov/protein/254281227","Arl6ip6")</f>
        <v>Arl6ip6</v>
      </c>
      <c r="D544" s="8"/>
      <c r="E544" s="8">
        <v>24778</v>
      </c>
      <c r="F544" s="8"/>
      <c r="G544" s="15">
        <v>1.1954162756685252</v>
      </c>
      <c r="H544" s="15">
        <v>1.1954162756685252</v>
      </c>
      <c r="I544" s="15" t="s">
        <v>10</v>
      </c>
      <c r="J544" s="15" t="s">
        <v>10</v>
      </c>
      <c r="K544" s="15" t="s">
        <v>10</v>
      </c>
      <c r="L544" s="15" t="s">
        <v>10</v>
      </c>
      <c r="M544" s="15" t="s">
        <v>10</v>
      </c>
      <c r="N544" s="15" t="s">
        <v>10</v>
      </c>
      <c r="O544" s="15" t="s">
        <v>10</v>
      </c>
      <c r="P544" s="15" t="s">
        <v>10</v>
      </c>
      <c r="Q544" s="8"/>
      <c r="R544" s="9" t="s">
        <v>550</v>
      </c>
    </row>
    <row r="545" spans="1:18" x14ac:dyDescent="0.25">
      <c r="A545" s="6" t="str">
        <f>HYPERLINK("proteomic_fractions_linear_files/Yang_linear_img/23956194.jpg", "23956194")</f>
        <v>23956194</v>
      </c>
      <c r="B545" s="7"/>
      <c r="C545" s="6" t="str">
        <f>HYPERLINK("http://www.ncbi.nlm.nih.gov/protein/23956194","Arl8a")</f>
        <v>Arl8a</v>
      </c>
      <c r="D545" s="8"/>
      <c r="E545" s="8">
        <v>21259</v>
      </c>
      <c r="F545" s="8"/>
      <c r="G545" s="15">
        <v>1.3294386332229553</v>
      </c>
      <c r="H545" s="15">
        <v>0.88072853164590881</v>
      </c>
      <c r="I545" s="15">
        <v>0.88072853164590881</v>
      </c>
      <c r="J545" s="15">
        <v>0.88072853164590881</v>
      </c>
      <c r="K545" s="15">
        <v>0.92862618228739402</v>
      </c>
      <c r="L545" s="15">
        <v>0.92862618228739402</v>
      </c>
      <c r="M545" s="15">
        <v>0.92862618228739402</v>
      </c>
      <c r="N545" s="15">
        <v>0.92862618228739402</v>
      </c>
      <c r="O545" s="15">
        <v>0.92862618228739402</v>
      </c>
      <c r="P545" s="15">
        <v>0.92862618228739402</v>
      </c>
      <c r="Q545" s="8"/>
      <c r="R545" s="9" t="s">
        <v>551</v>
      </c>
    </row>
    <row r="546" spans="1:18" x14ac:dyDescent="0.25">
      <c r="A546" s="6" t="str">
        <f>HYPERLINK("proteomic_fractions_linear_files/Yang_linear_img/13385518.jpg", "13385518")</f>
        <v>13385518</v>
      </c>
      <c r="B546" s="7"/>
      <c r="C546" s="6" t="str">
        <f>HYPERLINK("http://www.ncbi.nlm.nih.gov/protein/13385518","Arl8b")</f>
        <v>Arl8b</v>
      </c>
      <c r="D546" s="8"/>
      <c r="E546" s="8">
        <v>21408</v>
      </c>
      <c r="F546" s="8"/>
      <c r="G546" s="15">
        <v>1.3294386332229553</v>
      </c>
      <c r="H546" s="15">
        <v>0.88072853164590881</v>
      </c>
      <c r="I546" s="15">
        <v>0.92862618228739402</v>
      </c>
      <c r="J546" s="15">
        <v>0.92862618228739402</v>
      </c>
      <c r="K546" s="15">
        <v>0.92862618228739402</v>
      </c>
      <c r="L546" s="15">
        <v>0.92862618228739402</v>
      </c>
      <c r="M546" s="15">
        <v>0.92862618228739402</v>
      </c>
      <c r="N546" s="15">
        <v>0.92862618228739402</v>
      </c>
      <c r="O546" s="15">
        <v>0.92862618228739402</v>
      </c>
      <c r="P546" s="15">
        <v>0.92862618228739402</v>
      </c>
      <c r="Q546" s="8"/>
      <c r="R546" s="9" t="s">
        <v>552</v>
      </c>
    </row>
    <row r="547" spans="1:18" x14ac:dyDescent="0.25">
      <c r="A547" s="6" t="str">
        <f>HYPERLINK("proteomic_fractions_linear_files/Yang_linear_img/21312676.jpg", "21312676")</f>
        <v>21312676</v>
      </c>
      <c r="B547" s="7"/>
      <c r="C547" s="6" t="str">
        <f>HYPERLINK("http://www.ncbi.nlm.nih.gov/protein/21312676","Armc1")</f>
        <v>Armc1</v>
      </c>
      <c r="D547" s="8"/>
      <c r="E547" s="8">
        <v>31116</v>
      </c>
      <c r="F547" s="8"/>
      <c r="G547" s="15" t="s">
        <v>10</v>
      </c>
      <c r="H547" s="15" t="s">
        <v>10</v>
      </c>
      <c r="I547" s="15">
        <v>1.1146250493701673</v>
      </c>
      <c r="J547" s="15">
        <v>1.1146250493701673</v>
      </c>
      <c r="K547" s="15">
        <v>1.2045589168749868</v>
      </c>
      <c r="L547" s="15">
        <v>1.2045589168749868</v>
      </c>
      <c r="M547" s="15" t="s">
        <v>10</v>
      </c>
      <c r="N547" s="15" t="s">
        <v>10</v>
      </c>
      <c r="O547" s="15">
        <v>1.0349700921204383</v>
      </c>
      <c r="P547" s="15">
        <v>1.0349700921204383</v>
      </c>
      <c r="Q547" s="8"/>
      <c r="R547" s="9" t="s">
        <v>553</v>
      </c>
    </row>
    <row r="548" spans="1:18" x14ac:dyDescent="0.25">
      <c r="A548" s="6" t="str">
        <f>HYPERLINK("proteomic_fractions_linear_files/Yang_linear_img/377833866.jpg", "377833866")</f>
        <v>377833866</v>
      </c>
      <c r="B548" s="7"/>
      <c r="C548" s="6" t="str">
        <f>HYPERLINK("http://www.ncbi.nlm.nih.gov/protein/377833866","Armc1")</f>
        <v>Armc1</v>
      </c>
      <c r="D548" s="8"/>
      <c r="E548" s="8">
        <v>24390</v>
      </c>
      <c r="F548" s="8"/>
      <c r="G548" s="15" t="s">
        <v>10</v>
      </c>
      <c r="H548" s="15" t="s">
        <v>10</v>
      </c>
      <c r="I548" s="15">
        <v>1.4397240221031327</v>
      </c>
      <c r="J548" s="15">
        <v>1.4397240221031327</v>
      </c>
      <c r="K548" s="15">
        <v>1.5558886009635247</v>
      </c>
      <c r="L548" s="15">
        <v>1.5558886009635247</v>
      </c>
      <c r="M548" s="15" t="s">
        <v>10</v>
      </c>
      <c r="N548" s="15" t="s">
        <v>10</v>
      </c>
      <c r="O548" s="15">
        <v>1.3368363689888996</v>
      </c>
      <c r="P548" s="15">
        <v>1.3368363689888996</v>
      </c>
      <c r="Q548" s="8"/>
      <c r="R548" s="9" t="s">
        <v>8044</v>
      </c>
    </row>
    <row r="549" spans="1:18" x14ac:dyDescent="0.25">
      <c r="A549" s="6" t="str">
        <f>HYPERLINK("proteomic_fractions_linear_files/Yang_linear_img/13385536.jpg", "13385536")</f>
        <v>13385536</v>
      </c>
      <c r="B549" s="7"/>
      <c r="C549" s="6" t="str">
        <f>HYPERLINK("http://www.ncbi.nlm.nih.gov/protein/13385536","Armc10")</f>
        <v>Armc10</v>
      </c>
      <c r="D549" s="8"/>
      <c r="E549" s="8">
        <v>33179</v>
      </c>
      <c r="F549" s="8"/>
      <c r="G549" s="15">
        <v>1.1315553461552907</v>
      </c>
      <c r="H549" s="15">
        <v>1.1315553461552907</v>
      </c>
      <c r="I549" s="15">
        <v>0.79243206410378786</v>
      </c>
      <c r="J549" s="15">
        <v>0.79243206410378786</v>
      </c>
      <c r="K549" s="15">
        <v>0.84600640296006246</v>
      </c>
      <c r="L549" s="15">
        <v>0.84600640296006246</v>
      </c>
      <c r="M549" s="15" t="s">
        <v>10</v>
      </c>
      <c r="N549" s="15" t="s">
        <v>10</v>
      </c>
      <c r="O549" s="15" t="s">
        <v>10</v>
      </c>
      <c r="P549" s="15" t="s">
        <v>10</v>
      </c>
      <c r="Q549" s="8"/>
      <c r="R549" s="9" t="s">
        <v>554</v>
      </c>
    </row>
    <row r="550" spans="1:18" x14ac:dyDescent="0.25">
      <c r="A550" s="6" t="str">
        <f>HYPERLINK("proteomic_fractions_linear_files/Yang_linear_img/113199755.jpg", "113199755")</f>
        <v>113199755</v>
      </c>
      <c r="B550" s="7"/>
      <c r="C550" s="6" t="str">
        <f>HYPERLINK("http://www.ncbi.nlm.nih.gov/protein/113199755","Armc6")</f>
        <v>Armc6</v>
      </c>
      <c r="D550" s="8"/>
      <c r="E550" s="8">
        <v>50552</v>
      </c>
      <c r="F550" s="8"/>
      <c r="G550" s="15" t="s">
        <v>10</v>
      </c>
      <c r="H550" s="15" t="s">
        <v>10</v>
      </c>
      <c r="I550" s="15" t="s">
        <v>10</v>
      </c>
      <c r="J550" s="15" t="s">
        <v>10</v>
      </c>
      <c r="K550" s="15">
        <v>0.94686226636108339</v>
      </c>
      <c r="L550" s="15">
        <v>0.94686226636108339</v>
      </c>
      <c r="M550" s="15" t="s">
        <v>10</v>
      </c>
      <c r="N550" s="15" t="s">
        <v>10</v>
      </c>
      <c r="O550" s="15">
        <v>0.86520763229344055</v>
      </c>
      <c r="P550" s="15">
        <v>0.86520763229344055</v>
      </c>
      <c r="Q550" s="8"/>
      <c r="R550" s="9" t="s">
        <v>555</v>
      </c>
    </row>
    <row r="551" spans="1:18" x14ac:dyDescent="0.25">
      <c r="A551" s="6" t="str">
        <f>HYPERLINK("proteomic_fractions_linear_files/Yang_linear_img/29244300.jpg", "29244300")</f>
        <v>29244300</v>
      </c>
      <c r="B551" s="7"/>
      <c r="C551" s="6" t="str">
        <f>HYPERLINK("http://www.ncbi.nlm.nih.gov/protein/29244300","Armc7")</f>
        <v>Armc7</v>
      </c>
      <c r="D551" s="8"/>
      <c r="E551" s="8">
        <v>21508</v>
      </c>
      <c r="F551" s="8"/>
      <c r="G551" s="15" t="s">
        <v>10</v>
      </c>
      <c r="H551" s="15" t="s">
        <v>10</v>
      </c>
      <c r="I551" s="15" t="s">
        <v>10</v>
      </c>
      <c r="J551" s="15" t="s">
        <v>10</v>
      </c>
      <c r="K551" s="15" t="s">
        <v>10</v>
      </c>
      <c r="L551" s="15" t="s">
        <v>10</v>
      </c>
      <c r="M551" s="15" t="s">
        <v>10</v>
      </c>
      <c r="N551" s="15" t="s">
        <v>10</v>
      </c>
      <c r="O551" s="15">
        <v>0.93624732666619426</v>
      </c>
      <c r="P551" s="15">
        <v>0.93624732666619426</v>
      </c>
      <c r="Q551" s="8"/>
      <c r="R551" s="9" t="s">
        <v>556</v>
      </c>
    </row>
    <row r="552" spans="1:18" x14ac:dyDescent="0.25">
      <c r="A552" s="6" t="str">
        <f>HYPERLINK("proteomic_fractions_linear_files/Yang_linear_img/260763997.jpg", "260763997")</f>
        <v>260763997</v>
      </c>
      <c r="B552" s="7"/>
      <c r="C552" s="6" t="str">
        <f>HYPERLINK("http://www.ncbi.nlm.nih.gov/protein/260763997","Armc8")</f>
        <v>Armc8</v>
      </c>
      <c r="D552" s="8"/>
      <c r="E552" s="8">
        <v>75271</v>
      </c>
      <c r="F552" s="8"/>
      <c r="G552" s="15" t="s">
        <v>10</v>
      </c>
      <c r="H552" s="15" t="s">
        <v>10</v>
      </c>
      <c r="I552" s="15" t="s">
        <v>10</v>
      </c>
      <c r="J552" s="15" t="s">
        <v>10</v>
      </c>
      <c r="K552" s="15">
        <v>0.97914880322242992</v>
      </c>
      <c r="L552" s="15">
        <v>0.97914880322242992</v>
      </c>
      <c r="M552" s="15">
        <v>0.97914880322242992</v>
      </c>
      <c r="N552" s="15">
        <v>0.97914880322242992</v>
      </c>
      <c r="O552" s="15" t="s">
        <v>10</v>
      </c>
      <c r="P552" s="15" t="s">
        <v>10</v>
      </c>
      <c r="Q552" s="8"/>
      <c r="R552" s="9" t="s">
        <v>557</v>
      </c>
    </row>
    <row r="553" spans="1:18" x14ac:dyDescent="0.25">
      <c r="A553" s="6" t="str">
        <f>HYPERLINK("proteomic_fractions_linear_files/Yang_linear_img/260763999.jpg", "260763999")</f>
        <v>260763999</v>
      </c>
      <c r="B553" s="7"/>
      <c r="C553" s="6" t="str">
        <f>HYPERLINK("http://www.ncbi.nlm.nih.gov/protein/260763999","Armc8")</f>
        <v>Armc8</v>
      </c>
      <c r="D553" s="8"/>
      <c r="E553" s="8">
        <v>44325</v>
      </c>
      <c r="F553" s="8"/>
      <c r="G553" s="15" t="s">
        <v>10</v>
      </c>
      <c r="H553" s="15" t="s">
        <v>10</v>
      </c>
      <c r="I553" s="15" t="s">
        <v>10</v>
      </c>
      <c r="J553" s="15" t="s">
        <v>10</v>
      </c>
      <c r="K553" s="15">
        <v>1.6690036418564147</v>
      </c>
      <c r="L553" s="15">
        <v>1.6690036418564147</v>
      </c>
      <c r="M553" s="15">
        <v>1.6690036418564147</v>
      </c>
      <c r="N553" s="15">
        <v>1.6690036418564147</v>
      </c>
      <c r="O553" s="15" t="s">
        <v>10</v>
      </c>
      <c r="P553" s="15" t="s">
        <v>10</v>
      </c>
      <c r="Q553" s="8"/>
      <c r="R553" s="9" t="s">
        <v>558</v>
      </c>
    </row>
    <row r="554" spans="1:18" x14ac:dyDescent="0.25">
      <c r="A554" s="6" t="str">
        <f>HYPERLINK("proteomic_fractions_linear_files/Yang_linear_img/83627702.jpg", "83627702")</f>
        <v>83627702</v>
      </c>
      <c r="B554" s="7"/>
      <c r="C554" s="6" t="str">
        <f>HYPERLINK("http://www.ncbi.nlm.nih.gov/protein/83627702","Arnt")</f>
        <v>Arnt</v>
      </c>
      <c r="D554" s="8"/>
      <c r="E554" s="8">
        <v>85143</v>
      </c>
      <c r="F554" s="8"/>
      <c r="G554" s="15" t="s">
        <v>10</v>
      </c>
      <c r="H554" s="15" t="s">
        <v>10</v>
      </c>
      <c r="I554" s="15" t="s">
        <v>10</v>
      </c>
      <c r="J554" s="15" t="s">
        <v>10</v>
      </c>
      <c r="K554" s="15">
        <v>0.37745968065568924</v>
      </c>
      <c r="L554" s="15">
        <v>0.37745968065568924</v>
      </c>
      <c r="M554" s="15" t="s">
        <v>10</v>
      </c>
      <c r="N554" s="15" t="s">
        <v>10</v>
      </c>
      <c r="O554" s="15" t="s">
        <v>10</v>
      </c>
      <c r="P554" s="15" t="s">
        <v>10</v>
      </c>
      <c r="Q554" s="8"/>
      <c r="R554" s="9" t="s">
        <v>559</v>
      </c>
    </row>
    <row r="555" spans="1:18" x14ac:dyDescent="0.25">
      <c r="A555" s="6" t="str">
        <f>HYPERLINK("proteomic_fractions_linear_files/Yang_linear_img/83627709.jpg", "83627709")</f>
        <v>83627709</v>
      </c>
      <c r="B555" s="7"/>
      <c r="C555" s="6" t="str">
        <f>HYPERLINK("http://www.ncbi.nlm.nih.gov/protein/83627709","Arnt")</f>
        <v>Arnt</v>
      </c>
      <c r="D555" s="8"/>
      <c r="E555" s="8">
        <v>86832</v>
      </c>
      <c r="F555" s="8"/>
      <c r="G555" s="15" t="s">
        <v>10</v>
      </c>
      <c r="H555" s="15" t="s">
        <v>10</v>
      </c>
      <c r="I555" s="15" t="s">
        <v>10</v>
      </c>
      <c r="J555" s="15" t="s">
        <v>10</v>
      </c>
      <c r="K555" s="15">
        <v>0.36878244661762744</v>
      </c>
      <c r="L555" s="15">
        <v>0.36878244661762744</v>
      </c>
      <c r="M555" s="15" t="s">
        <v>10</v>
      </c>
      <c r="N555" s="15" t="s">
        <v>10</v>
      </c>
      <c r="O555" s="15" t="s">
        <v>10</v>
      </c>
      <c r="P555" s="15" t="s">
        <v>10</v>
      </c>
      <c r="Q555" s="8"/>
      <c r="R555" s="9" t="s">
        <v>560</v>
      </c>
    </row>
    <row r="556" spans="1:18" x14ac:dyDescent="0.25">
      <c r="A556" s="6" t="str">
        <f>HYPERLINK("proteomic_fractions_linear_files/Yang_linear_img/34328095.jpg", "34328095")</f>
        <v>34328095</v>
      </c>
      <c r="B556" s="7"/>
      <c r="C556" s="6" t="str">
        <f>HYPERLINK("http://www.ncbi.nlm.nih.gov/protein/34328095","Arnt2")</f>
        <v>Arnt2</v>
      </c>
      <c r="D556" s="8"/>
      <c r="E556" s="8">
        <v>77760</v>
      </c>
      <c r="F556" s="8"/>
      <c r="G556" s="15" t="s">
        <v>10</v>
      </c>
      <c r="H556" s="15" t="s">
        <v>10</v>
      </c>
      <c r="I556" s="15" t="s">
        <v>10</v>
      </c>
      <c r="J556" s="15" t="s">
        <v>10</v>
      </c>
      <c r="K556" s="15">
        <v>0.41133426738119983</v>
      </c>
      <c r="L556" s="15">
        <v>0.41133426738119983</v>
      </c>
      <c r="M556" s="15" t="s">
        <v>10</v>
      </c>
      <c r="N556" s="15" t="s">
        <v>10</v>
      </c>
      <c r="O556" s="15" t="s">
        <v>10</v>
      </c>
      <c r="P556" s="15" t="s">
        <v>10</v>
      </c>
      <c r="Q556" s="8"/>
      <c r="R556" s="9" t="s">
        <v>561</v>
      </c>
    </row>
    <row r="557" spans="1:18" x14ac:dyDescent="0.25">
      <c r="A557" s="6" t="str">
        <f>HYPERLINK("proteomic_fractions_linear_files/Yang_linear_img/9790221.jpg", "9790221")</f>
        <v>9790221</v>
      </c>
      <c r="B557" s="7"/>
      <c r="C557" s="6" t="str">
        <f>HYPERLINK("http://www.ncbi.nlm.nih.gov/protein/9790221","Arpc1a")</f>
        <v>Arpc1a</v>
      </c>
      <c r="D557" s="8"/>
      <c r="E557" s="8">
        <v>41495</v>
      </c>
      <c r="F557" s="8"/>
      <c r="G557" s="15" t="s">
        <v>10</v>
      </c>
      <c r="H557" s="15" t="s">
        <v>10</v>
      </c>
      <c r="I557" s="15" t="s">
        <v>10</v>
      </c>
      <c r="J557" s="15" t="s">
        <v>10</v>
      </c>
      <c r="K557" s="15">
        <v>0.91076405910059977</v>
      </c>
      <c r="L557" s="15">
        <v>0.91076405910059977</v>
      </c>
      <c r="M557" s="15">
        <v>0.91076405910059977</v>
      </c>
      <c r="N557" s="15">
        <v>0.91076405910059977</v>
      </c>
      <c r="O557" s="15">
        <v>0.84276528123110206</v>
      </c>
      <c r="P557" s="15">
        <v>0.84276528123110206</v>
      </c>
      <c r="Q557" s="8"/>
      <c r="R557" s="9" t="s">
        <v>562</v>
      </c>
    </row>
    <row r="558" spans="1:18" x14ac:dyDescent="0.25">
      <c r="A558" s="6" t="str">
        <f>HYPERLINK("proteomic_fractions_linear_files/Yang_linear_img/160837788.jpg", "160837788")</f>
        <v>160837788</v>
      </c>
      <c r="B558" s="7"/>
      <c r="C558" s="6" t="str">
        <f>HYPERLINK("http://www.ncbi.nlm.nih.gov/protein/160837788","Arpc1b")</f>
        <v>Arpc1b</v>
      </c>
      <c r="D558" s="8"/>
      <c r="E558" s="8">
        <v>40933</v>
      </c>
      <c r="F558" s="8"/>
      <c r="G558" s="15">
        <v>0.84276528123110206</v>
      </c>
      <c r="H558" s="15">
        <v>0.84276528123110206</v>
      </c>
      <c r="I558" s="15">
        <v>0.91076405910059977</v>
      </c>
      <c r="J558" s="15">
        <v>0.84276528123110206</v>
      </c>
      <c r="K558" s="15">
        <v>0.91076405910059977</v>
      </c>
      <c r="L558" s="15">
        <v>0.91076405910059977</v>
      </c>
      <c r="M558" s="15">
        <v>0.91076405910059977</v>
      </c>
      <c r="N558" s="15">
        <v>0.91076405910059977</v>
      </c>
      <c r="O558" s="15">
        <v>0.84276528123110206</v>
      </c>
      <c r="P558" s="15">
        <v>0.84276528123110206</v>
      </c>
      <c r="Q558" s="8"/>
      <c r="R558" s="9" t="s">
        <v>563</v>
      </c>
    </row>
    <row r="559" spans="1:18" x14ac:dyDescent="0.25">
      <c r="A559" s="6" t="str">
        <f>HYPERLINK("proteomic_fractions_linear_files/Yang_linear_img/112363072.jpg", "112363072")</f>
        <v>112363072</v>
      </c>
      <c r="B559" s="7"/>
      <c r="C559" s="6" t="str">
        <f>HYPERLINK("http://www.ncbi.nlm.nih.gov/protein/112363072","Arpc2")</f>
        <v>Arpc2</v>
      </c>
      <c r="D559" s="8"/>
      <c r="E559" s="8">
        <v>34226</v>
      </c>
      <c r="F559" s="8"/>
      <c r="G559" s="15">
        <v>0.76912523868897065</v>
      </c>
      <c r="H559" s="15">
        <v>0.76912523868897065</v>
      </c>
      <c r="I559" s="15">
        <v>0.82112386169653118</v>
      </c>
      <c r="J559" s="15">
        <v>0.82112386169653118</v>
      </c>
      <c r="K559" s="15">
        <v>0.87898255563862149</v>
      </c>
      <c r="L559" s="15">
        <v>0.87898255563862149</v>
      </c>
      <c r="M559" s="15">
        <v>0.82112386169653118</v>
      </c>
      <c r="N559" s="15">
        <v>0.87898255563862149</v>
      </c>
      <c r="O559" s="15">
        <v>0.76912523868897065</v>
      </c>
      <c r="P559" s="15">
        <v>0.76912523868897065</v>
      </c>
      <c r="Q559" s="8"/>
      <c r="R559" s="9" t="s">
        <v>564</v>
      </c>
    </row>
    <row r="560" spans="1:18" x14ac:dyDescent="0.25">
      <c r="A560" s="6" t="str">
        <f>HYPERLINK("proteomic_fractions_linear_files/Yang_linear_img/9790141.jpg", "9790141")</f>
        <v>9790141</v>
      </c>
      <c r="B560" s="7"/>
      <c r="C560" s="6" t="str">
        <f>HYPERLINK("http://www.ncbi.nlm.nih.gov/protein/9790141","Arpc3")</f>
        <v>Arpc3</v>
      </c>
      <c r="D560" s="8"/>
      <c r="E560" s="8">
        <v>20394</v>
      </c>
      <c r="F560" s="8"/>
      <c r="G560" s="15">
        <v>1.395910564884103</v>
      </c>
      <c r="H560" s="15">
        <v>1.395910564884103</v>
      </c>
      <c r="I560" s="15">
        <v>0.97505749140176368</v>
      </c>
      <c r="J560" s="15">
        <v>0.97505749140176368</v>
      </c>
      <c r="K560" s="15">
        <v>0.92476495822820426</v>
      </c>
      <c r="L560" s="15">
        <v>0.92476495822820426</v>
      </c>
      <c r="M560" s="15">
        <v>0.97505749140176368</v>
      </c>
      <c r="N560" s="15">
        <v>0.97505749140176368</v>
      </c>
      <c r="O560" s="15">
        <v>0.97505749140176368</v>
      </c>
      <c r="P560" s="15">
        <v>0.97505749140176368</v>
      </c>
      <c r="Q560" s="8"/>
      <c r="R560" s="9" t="s">
        <v>565</v>
      </c>
    </row>
    <row r="561" spans="1:18" x14ac:dyDescent="0.25">
      <c r="A561" s="6" t="str">
        <f>HYPERLINK("proteomic_fractions_linear_files/Yang_linear_img/13386054.jpg", "13386054")</f>
        <v>13386054</v>
      </c>
      <c r="B561" s="7"/>
      <c r="C561" s="6" t="str">
        <f>HYPERLINK("http://www.ncbi.nlm.nih.gov/protein/13386054","Arpc4")</f>
        <v>Arpc4</v>
      </c>
      <c r="D561" s="8"/>
      <c r="E561" s="8">
        <v>19536</v>
      </c>
      <c r="F561" s="8"/>
      <c r="G561" s="15">
        <v>1.1554786687358722</v>
      </c>
      <c r="H561" s="15">
        <v>1.1554786687358722</v>
      </c>
      <c r="I561" s="15">
        <v>0.92476495822820426</v>
      </c>
      <c r="J561" s="15">
        <v>0.92476495822820426</v>
      </c>
      <c r="K561" s="15">
        <v>0.87849698826794831</v>
      </c>
      <c r="L561" s="15">
        <v>0.87849698826794831</v>
      </c>
      <c r="M561" s="15">
        <v>0.92476495822820426</v>
      </c>
      <c r="N561" s="15">
        <v>0.92476495822820426</v>
      </c>
      <c r="O561" s="15">
        <v>0.92476495822820426</v>
      </c>
      <c r="P561" s="15">
        <v>0.92476495822820426</v>
      </c>
      <c r="Q561" s="8"/>
      <c r="R561" s="9" t="s">
        <v>566</v>
      </c>
    </row>
    <row r="562" spans="1:18" x14ac:dyDescent="0.25">
      <c r="A562" s="6" t="str">
        <f>HYPERLINK("proteomic_fractions_linear_files/Yang_linear_img/281427242.jpg", "281427242")</f>
        <v>281427242</v>
      </c>
      <c r="B562" s="7"/>
      <c r="C562" s="6" t="str">
        <f>HYPERLINK("http://www.ncbi.nlm.nih.gov/protein/281427242","Arpc4")</f>
        <v>Arpc4</v>
      </c>
      <c r="D562" s="8"/>
      <c r="E562" s="8">
        <v>10980</v>
      </c>
      <c r="F562" s="8"/>
      <c r="G562" s="15">
        <v>1.5972672513962698</v>
      </c>
      <c r="H562" s="15">
        <v>1.5972672513962698</v>
      </c>
      <c r="I562" s="15">
        <v>1.6813908331421894</v>
      </c>
      <c r="J562" s="15">
        <v>1.6813908331421894</v>
      </c>
      <c r="K562" s="15">
        <v>1.5972672513962698</v>
      </c>
      <c r="L562" s="15">
        <v>1.5972672513962698</v>
      </c>
      <c r="M562" s="15">
        <v>1.6813908331421894</v>
      </c>
      <c r="N562" s="15">
        <v>1.6813908331421894</v>
      </c>
      <c r="O562" s="15">
        <v>1.5972672513962698</v>
      </c>
      <c r="P562" s="15">
        <v>1.5972672513962698</v>
      </c>
      <c r="Q562" s="8"/>
      <c r="R562" s="9" t="s">
        <v>567</v>
      </c>
    </row>
    <row r="563" spans="1:18" x14ac:dyDescent="0.25">
      <c r="A563" s="6" t="str">
        <f>HYPERLINK("proteomic_fractions_linear_files/Yang_linear_img/281427244.jpg", "281427244")</f>
        <v>281427244</v>
      </c>
      <c r="B563" s="7"/>
      <c r="C563" s="6" t="str">
        <f>HYPERLINK("http://www.ncbi.nlm.nih.gov/protein/281427244","Arpc4")</f>
        <v>Arpc4</v>
      </c>
      <c r="D563" s="8"/>
      <c r="E563" s="8">
        <v>9421</v>
      </c>
      <c r="F563" s="8"/>
      <c r="G563" s="15">
        <v>1.9522155294843297</v>
      </c>
      <c r="H563" s="15">
        <v>1.9522155294843297</v>
      </c>
      <c r="I563" s="15">
        <v>2.0550332405071203</v>
      </c>
      <c r="J563" s="15">
        <v>2.0550332405071203</v>
      </c>
      <c r="K563" s="15">
        <v>1.9522155294843297</v>
      </c>
      <c r="L563" s="15">
        <v>1.9522155294843297</v>
      </c>
      <c r="M563" s="15">
        <v>2.0550332405071203</v>
      </c>
      <c r="N563" s="15">
        <v>2.0550332405071203</v>
      </c>
      <c r="O563" s="15">
        <v>1.9522155294843297</v>
      </c>
      <c r="P563" s="15">
        <v>1.9522155294843297</v>
      </c>
      <c r="Q563" s="8"/>
      <c r="R563" s="9" t="s">
        <v>568</v>
      </c>
    </row>
    <row r="564" spans="1:18" x14ac:dyDescent="0.25">
      <c r="A564" s="6" t="str">
        <f>HYPERLINK("proteomic_fractions_linear_files/Yang_linear_img/224809382.jpg", "224809382")</f>
        <v>224809382</v>
      </c>
      <c r="B564" s="7"/>
      <c r="C564" s="6" t="str">
        <f>HYPERLINK("http://www.ncbi.nlm.nih.gov/protein/224809382","Arpc5")</f>
        <v>Arpc5</v>
      </c>
      <c r="D564" s="8"/>
      <c r="E564" s="8">
        <v>16157</v>
      </c>
      <c r="F564" s="8"/>
      <c r="G564" s="15">
        <v>1.5346762883298073</v>
      </c>
      <c r="H564" s="15">
        <v>1.5346762883298073</v>
      </c>
      <c r="I564" s="15">
        <v>1.0447796575379389</v>
      </c>
      <c r="J564" s="15">
        <v>1.0447796575379389</v>
      </c>
      <c r="K564" s="15">
        <v>1.0981212353349354</v>
      </c>
      <c r="L564" s="15">
        <v>1.0981212353349354</v>
      </c>
      <c r="M564" s="15">
        <v>1.0981212353349354</v>
      </c>
      <c r="N564" s="15">
        <v>1.0981212353349354</v>
      </c>
      <c r="O564" s="15">
        <v>1.0447796575379389</v>
      </c>
      <c r="P564" s="15">
        <v>1.0447796575379389</v>
      </c>
      <c r="Q564" s="8"/>
      <c r="R564" s="9" t="s">
        <v>569</v>
      </c>
    </row>
    <row r="565" spans="1:18" x14ac:dyDescent="0.25">
      <c r="A565" s="6" t="str">
        <f>HYPERLINK("proteomic_fractions_linear_files/Yang_linear_img/21312654.jpg", "21312654")</f>
        <v>21312654</v>
      </c>
      <c r="B565" s="7"/>
      <c r="C565" s="6" t="str">
        <f>HYPERLINK("http://www.ncbi.nlm.nih.gov/protein/21312654","Arpc5l")</f>
        <v>Arpc5l</v>
      </c>
      <c r="D565" s="8"/>
      <c r="E565" s="8">
        <v>16849</v>
      </c>
      <c r="F565" s="8"/>
      <c r="G565" s="15">
        <v>1.5382504773779413</v>
      </c>
      <c r="H565" s="15">
        <v>1.5382504773779413</v>
      </c>
      <c r="I565" s="15">
        <v>1.0879587743861225</v>
      </c>
      <c r="J565" s="15">
        <v>1.0335258685505275</v>
      </c>
      <c r="K565" s="15">
        <v>1.0879587743861225</v>
      </c>
      <c r="L565" s="15">
        <v>1.0879587743861225</v>
      </c>
      <c r="M565" s="15">
        <v>1.0335258685505275</v>
      </c>
      <c r="N565" s="15">
        <v>1.0335258685505275</v>
      </c>
      <c r="O565" s="15">
        <v>1.0335258685505275</v>
      </c>
      <c r="P565" s="15">
        <v>1.0335258685505275</v>
      </c>
      <c r="Q565" s="8"/>
      <c r="R565" s="9" t="s">
        <v>570</v>
      </c>
    </row>
    <row r="566" spans="1:18" x14ac:dyDescent="0.25">
      <c r="A566" s="6" t="str">
        <f>HYPERLINK("proteomic_fractions_linear_files/Yang_linear_img/10946986.jpg", "10946986")</f>
        <v>10946986</v>
      </c>
      <c r="B566" s="7"/>
      <c r="C566" s="6" t="str">
        <f>HYPERLINK("http://www.ncbi.nlm.nih.gov/protein/10946986","Arpp19")</f>
        <v>Arpp19</v>
      </c>
      <c r="D566" s="8"/>
      <c r="E566" s="8">
        <v>12162</v>
      </c>
      <c r="F566" s="8"/>
      <c r="G566" s="15" t="s">
        <v>10</v>
      </c>
      <c r="H566" s="15" t="s">
        <v>10</v>
      </c>
      <c r="I566" s="15" t="s">
        <v>10</v>
      </c>
      <c r="J566" s="15" t="s">
        <v>10</v>
      </c>
      <c r="K566" s="15" t="s">
        <v>10</v>
      </c>
      <c r="L566" s="15" t="s">
        <v>10</v>
      </c>
      <c r="M566" s="15" t="s">
        <v>10</v>
      </c>
      <c r="N566" s="15" t="s">
        <v>10</v>
      </c>
      <c r="O566" s="15">
        <v>1.3930395433839184</v>
      </c>
      <c r="P566" s="15">
        <v>1.3930395433839184</v>
      </c>
      <c r="Q566" s="8"/>
      <c r="R566" s="9" t="s">
        <v>571</v>
      </c>
    </row>
    <row r="567" spans="1:18" x14ac:dyDescent="0.25">
      <c r="A567" s="6" t="str">
        <f>HYPERLINK("proteomic_fractions_linear_files/Yang_linear_img/217416411.jpg", "217416411")</f>
        <v>217416411</v>
      </c>
      <c r="B567" s="7"/>
      <c r="C567" s="6" t="str">
        <f>HYPERLINK("http://www.ncbi.nlm.nih.gov/protein/217416411","Arpp19")</f>
        <v>Arpp19</v>
      </c>
      <c r="D567" s="8"/>
      <c r="E567" s="8">
        <v>15955</v>
      </c>
      <c r="F567" s="8"/>
      <c r="G567" s="15" t="s">
        <v>10</v>
      </c>
      <c r="H567" s="15" t="s">
        <v>10</v>
      </c>
      <c r="I567" s="15" t="s">
        <v>10</v>
      </c>
      <c r="J567" s="15" t="s">
        <v>10</v>
      </c>
      <c r="K567" s="15" t="s">
        <v>10</v>
      </c>
      <c r="L567" s="15" t="s">
        <v>10</v>
      </c>
      <c r="M567" s="15" t="s">
        <v>10</v>
      </c>
      <c r="N567" s="15" t="s">
        <v>10</v>
      </c>
      <c r="O567" s="15">
        <v>1.0447796575379389</v>
      </c>
      <c r="P567" s="15">
        <v>1.0447796575379389</v>
      </c>
      <c r="Q567" s="8"/>
      <c r="R567" s="9" t="s">
        <v>572</v>
      </c>
    </row>
    <row r="568" spans="1:18" x14ac:dyDescent="0.25">
      <c r="A568" s="6" t="str">
        <f>HYPERLINK("proteomic_fractions_linear_files/Yang_linear_img/244798004.jpg", "244798004")</f>
        <v>244798004</v>
      </c>
      <c r="B568" s="7"/>
      <c r="C568" s="6" t="str">
        <f>HYPERLINK("http://www.ncbi.nlm.nih.gov/protein/244798004","Arrdc1")</f>
        <v>Arrdc1</v>
      </c>
      <c r="D568" s="8"/>
      <c r="E568" s="8">
        <v>46199</v>
      </c>
      <c r="F568" s="8"/>
      <c r="G568" s="15" t="s">
        <v>10</v>
      </c>
      <c r="H568" s="15" t="s">
        <v>10</v>
      </c>
      <c r="I568" s="15">
        <v>1.0497820779220708</v>
      </c>
      <c r="J568" s="15">
        <v>1.0497820779220708</v>
      </c>
      <c r="K568" s="15">
        <v>0.69747984468986057</v>
      </c>
      <c r="L568" s="15">
        <v>0.69747984468986057</v>
      </c>
      <c r="M568" s="15" t="s">
        <v>10</v>
      </c>
      <c r="N568" s="15" t="s">
        <v>10</v>
      </c>
      <c r="O568" s="15" t="s">
        <v>10</v>
      </c>
      <c r="P568" s="15" t="s">
        <v>10</v>
      </c>
      <c r="Q568" s="8"/>
      <c r="R568" s="9" t="s">
        <v>573</v>
      </c>
    </row>
    <row r="569" spans="1:18" x14ac:dyDescent="0.25">
      <c r="A569" s="6" t="str">
        <f>HYPERLINK("proteomic_fractions_linear_files/Yang_linear_img/244798112.jpg", "244798112")</f>
        <v>244798112</v>
      </c>
      <c r="B569" s="7"/>
      <c r="C569" s="6" t="str">
        <f>HYPERLINK("http://www.ncbi.nlm.nih.gov/protein/244798112","Arrdc1")</f>
        <v>Arrdc1</v>
      </c>
      <c r="D569" s="8"/>
      <c r="E569" s="8">
        <v>46071</v>
      </c>
      <c r="F569" s="8"/>
      <c r="G569" s="15" t="s">
        <v>10</v>
      </c>
      <c r="H569" s="15" t="s">
        <v>10</v>
      </c>
      <c r="I569" s="15">
        <v>1.0497820779220708</v>
      </c>
      <c r="J569" s="15">
        <v>1.0497820779220708</v>
      </c>
      <c r="K569" s="15">
        <v>0.69747984468986057</v>
      </c>
      <c r="L569" s="15">
        <v>0.69747984468986057</v>
      </c>
      <c r="M569" s="15" t="s">
        <v>10</v>
      </c>
      <c r="N569" s="15" t="s">
        <v>10</v>
      </c>
      <c r="O569" s="15" t="s">
        <v>10</v>
      </c>
      <c r="P569" s="15" t="s">
        <v>10</v>
      </c>
      <c r="Q569" s="8"/>
      <c r="R569" s="9" t="s">
        <v>574</v>
      </c>
    </row>
    <row r="570" spans="1:18" x14ac:dyDescent="0.25">
      <c r="A570" s="6" t="str">
        <f>HYPERLINK("proteomic_fractions_linear_files/Yang_linear_img/67972647.jpg", "67972647")</f>
        <v>67972647</v>
      </c>
      <c r="B570" s="7"/>
      <c r="C570" s="6" t="str">
        <f>HYPERLINK("http://www.ncbi.nlm.nih.gov/protein/67972647","Arsa")</f>
        <v>Arsa</v>
      </c>
      <c r="D570" s="8"/>
      <c r="E570" s="8">
        <v>52145</v>
      </c>
      <c r="F570" s="8"/>
      <c r="G570" s="15" t="s">
        <v>10</v>
      </c>
      <c r="H570" s="15" t="s">
        <v>10</v>
      </c>
      <c r="I570" s="15">
        <v>1.1302539920306509</v>
      </c>
      <c r="J570" s="15">
        <v>1.1302539920306509</v>
      </c>
      <c r="K570" s="15">
        <v>1.1302539920306509</v>
      </c>
      <c r="L570" s="15">
        <v>1.1302539920306509</v>
      </c>
      <c r="M570" s="15">
        <v>1.0215494159615592</v>
      </c>
      <c r="N570" s="15">
        <v>1.0215494159615592</v>
      </c>
      <c r="O570" s="15">
        <v>1.0215494159615592</v>
      </c>
      <c r="P570" s="15">
        <v>1.0215494159615592</v>
      </c>
      <c r="Q570" s="8"/>
      <c r="R570" s="9" t="s">
        <v>575</v>
      </c>
    </row>
    <row r="571" spans="1:18" x14ac:dyDescent="0.25">
      <c r="A571" s="6" t="str">
        <f>HYPERLINK("proteomic_fractions_linear_files/Yang_linear_img/125656171.jpg", "125656171")</f>
        <v>125656171</v>
      </c>
      <c r="B571" s="7"/>
      <c r="C571" s="6" t="str">
        <f>HYPERLINK("http://www.ncbi.nlm.nih.gov/protein/125656171","Arsb")</f>
        <v>Arsb</v>
      </c>
      <c r="D571" s="8"/>
      <c r="E571" s="8">
        <v>55517</v>
      </c>
      <c r="F571" s="8"/>
      <c r="G571" s="15">
        <v>1.0495215640284616</v>
      </c>
      <c r="H571" s="15">
        <v>1.0495215640284616</v>
      </c>
      <c r="I571" s="15">
        <v>0.86232099257884376</v>
      </c>
      <c r="J571" s="15">
        <v>0.86232099257884376</v>
      </c>
      <c r="K571" s="15">
        <v>0.21844395164877423</v>
      </c>
      <c r="L571" s="15">
        <v>0.21844395164877423</v>
      </c>
      <c r="M571" s="15" t="s">
        <v>10</v>
      </c>
      <c r="N571" s="15" t="s">
        <v>10</v>
      </c>
      <c r="O571" s="15">
        <v>0.78795695083866912</v>
      </c>
      <c r="P571" s="15">
        <v>0.78795695083866912</v>
      </c>
      <c r="Q571" s="8"/>
      <c r="R571" s="9" t="s">
        <v>576</v>
      </c>
    </row>
    <row r="572" spans="1:18" x14ac:dyDescent="0.25">
      <c r="A572" s="6" t="str">
        <f>HYPERLINK("proteomic_fractions_linear_files/Yang_linear_img/433809355;40254129.jpg", "433809355;40254129")</f>
        <v>433809355;40254129</v>
      </c>
      <c r="B572" s="8"/>
      <c r="C572" s="6" t="str">
        <f>HYPERLINK("http://www.ncbi.nlm.nih.gov/protein/433809355;40254129","Arvcf")</f>
        <v>Arvcf</v>
      </c>
      <c r="D572" s="8"/>
      <c r="E572" s="8">
        <v>104935</v>
      </c>
      <c r="F572" s="8"/>
      <c r="G572" s="15">
        <v>1.2259202680487331</v>
      </c>
      <c r="H572" s="15">
        <v>1.4614559155832556</v>
      </c>
      <c r="I572" s="15" t="s">
        <v>10</v>
      </c>
      <c r="J572" s="15" t="s">
        <v>10</v>
      </c>
      <c r="K572" s="15" t="s">
        <v>10</v>
      </c>
      <c r="L572" s="15" t="s">
        <v>10</v>
      </c>
      <c r="M572" s="15" t="s">
        <v>10</v>
      </c>
      <c r="N572" s="15" t="s">
        <v>10</v>
      </c>
      <c r="O572" s="15" t="s">
        <v>10</v>
      </c>
      <c r="P572" s="15" t="s">
        <v>10</v>
      </c>
      <c r="Q572" s="8"/>
      <c r="R572" s="9" t="s">
        <v>577</v>
      </c>
    </row>
    <row r="573" spans="1:18" x14ac:dyDescent="0.25">
      <c r="A573" s="6" t="str">
        <f>HYPERLINK("proteomic_fractions_linear_files/Yang_linear_img/40254129.jpg", "40254129")</f>
        <v>40254129</v>
      </c>
      <c r="B573" s="7"/>
      <c r="C573" s="6" t="str">
        <f>HYPERLINK("http://www.ncbi.nlm.nih.gov/protein/40254129","Arvcf")</f>
        <v>Arvcf</v>
      </c>
      <c r="D573" s="8"/>
      <c r="E573" s="8">
        <v>104935</v>
      </c>
      <c r="F573" s="8"/>
      <c r="G573" s="15" t="s">
        <v>10</v>
      </c>
      <c r="H573" s="15" t="s">
        <v>10</v>
      </c>
      <c r="I573" s="15">
        <v>1.0457291792488712</v>
      </c>
      <c r="J573" s="15">
        <v>1.0457291792488712</v>
      </c>
      <c r="K573" s="15">
        <v>1.2259202680487331</v>
      </c>
      <c r="L573" s="15">
        <v>1.2259202680487331</v>
      </c>
      <c r="M573" s="15" t="s">
        <v>10</v>
      </c>
      <c r="N573" s="15" t="s">
        <v>10</v>
      </c>
      <c r="O573" s="15" t="s">
        <v>10</v>
      </c>
      <c r="P573" s="15" t="s">
        <v>10</v>
      </c>
      <c r="Q573" s="8"/>
      <c r="R573" s="9" t="s">
        <v>577</v>
      </c>
    </row>
    <row r="574" spans="1:18" x14ac:dyDescent="0.25">
      <c r="A574" s="6" t="str">
        <f>HYPERLINK("proteomic_fractions_linear_files/Yang_linear_img/433809348.jpg", "433809348")</f>
        <v>433809348</v>
      </c>
      <c r="B574" s="7"/>
      <c r="C574" s="6" t="str">
        <f>HYPERLINK("http://www.ncbi.nlm.nih.gov/protein/433809348","Arvcf")</f>
        <v>Arvcf</v>
      </c>
      <c r="D574" s="8"/>
      <c r="E574" s="8">
        <v>97891</v>
      </c>
      <c r="F574" s="8"/>
      <c r="G574" s="15">
        <v>1.3134860014807854</v>
      </c>
      <c r="H574" s="15">
        <v>1.5658456238392024</v>
      </c>
      <c r="I574" s="15">
        <v>1.1204241206237904</v>
      </c>
      <c r="J574" s="15">
        <v>1.1204241206237904</v>
      </c>
      <c r="K574" s="15">
        <v>1.3134860014807854</v>
      </c>
      <c r="L574" s="15">
        <v>1.3134860014807854</v>
      </c>
      <c r="M574" s="15" t="s">
        <v>10</v>
      </c>
      <c r="N574" s="15" t="s">
        <v>10</v>
      </c>
      <c r="O574" s="15" t="s">
        <v>10</v>
      </c>
      <c r="P574" s="15" t="s">
        <v>10</v>
      </c>
      <c r="Q574" s="8"/>
      <c r="R574" s="9" t="s">
        <v>578</v>
      </c>
    </row>
    <row r="575" spans="1:18" x14ac:dyDescent="0.25">
      <c r="A575" s="6" t="str">
        <f>HYPERLINK("proteomic_fractions_linear_files/Yang_linear_img/433809350.jpg", "433809350")</f>
        <v>433809350</v>
      </c>
      <c r="B575" s="7"/>
      <c r="C575" s="6" t="str">
        <f>HYPERLINK("http://www.ncbi.nlm.nih.gov/protein/433809350","Arvcf")</f>
        <v>Arvcf</v>
      </c>
      <c r="D575" s="8"/>
      <c r="E575" s="8">
        <v>97034</v>
      </c>
      <c r="F575" s="8"/>
      <c r="G575" s="15">
        <v>1.3270270942795563</v>
      </c>
      <c r="H575" s="15">
        <v>1.5819883622292974</v>
      </c>
      <c r="I575" s="15">
        <v>1.1319748847539326</v>
      </c>
      <c r="J575" s="15">
        <v>1.1319748847539326</v>
      </c>
      <c r="K575" s="15">
        <v>1.3270270942795563</v>
      </c>
      <c r="L575" s="15">
        <v>1.3270270942795563</v>
      </c>
      <c r="M575" s="15" t="s">
        <v>10</v>
      </c>
      <c r="N575" s="15" t="s">
        <v>10</v>
      </c>
      <c r="O575" s="15" t="s">
        <v>10</v>
      </c>
      <c r="P575" s="15" t="s">
        <v>10</v>
      </c>
      <c r="Q575" s="8"/>
      <c r="R575" s="9" t="s">
        <v>579</v>
      </c>
    </row>
    <row r="576" spans="1:18" x14ac:dyDescent="0.25">
      <c r="A576" s="6" t="str">
        <f>HYPERLINK("proteomic_fractions_linear_files/Yang_linear_img/433809357.jpg", "433809357")</f>
        <v>433809357</v>
      </c>
      <c r="B576" s="7"/>
      <c r="C576" s="6" t="str">
        <f>HYPERLINK("http://www.ncbi.nlm.nih.gov/protein/433809357","Arvcf")</f>
        <v>Arvcf</v>
      </c>
      <c r="D576" s="8"/>
      <c r="E576" s="8">
        <v>104078</v>
      </c>
      <c r="F576" s="8"/>
      <c r="G576" s="15">
        <v>1.237707962933817</v>
      </c>
      <c r="H576" s="15">
        <v>1.4755083763100176</v>
      </c>
      <c r="I576" s="15">
        <v>1.0557842675108795</v>
      </c>
      <c r="J576" s="15">
        <v>1.0557842675108795</v>
      </c>
      <c r="K576" s="15">
        <v>1.237707962933817</v>
      </c>
      <c r="L576" s="15">
        <v>1.237707962933817</v>
      </c>
      <c r="M576" s="15" t="s">
        <v>10</v>
      </c>
      <c r="N576" s="15" t="s">
        <v>10</v>
      </c>
      <c r="O576" s="15" t="s">
        <v>10</v>
      </c>
      <c r="P576" s="15" t="s">
        <v>10</v>
      </c>
      <c r="Q576" s="8"/>
      <c r="R576" s="9" t="s">
        <v>580</v>
      </c>
    </row>
    <row r="577" spans="1:18" x14ac:dyDescent="0.25">
      <c r="A577" s="6" t="str">
        <f>HYPERLINK("proteomic_fractions_linear_files/Yang_linear_img/21624631.jpg", "21624631")</f>
        <v>21624631</v>
      </c>
      <c r="B577" s="7"/>
      <c r="C577" s="6" t="str">
        <f>HYPERLINK("http://www.ncbi.nlm.nih.gov/protein/21624631","Arxes2")</f>
        <v>Arxes2</v>
      </c>
      <c r="D577" s="8"/>
      <c r="E577" s="8">
        <v>20015</v>
      </c>
      <c r="F577" s="8"/>
      <c r="G577" s="15" t="s">
        <v>10</v>
      </c>
      <c r="H577" s="15" t="s">
        <v>10</v>
      </c>
      <c r="I577" s="15" t="s">
        <v>10</v>
      </c>
      <c r="J577" s="15" t="s">
        <v>10</v>
      </c>
      <c r="K577" s="15">
        <v>1.1554786687358722</v>
      </c>
      <c r="L577" s="15">
        <v>1.1554786687358722</v>
      </c>
      <c r="M577" s="15" t="s">
        <v>10</v>
      </c>
      <c r="N577" s="15" t="s">
        <v>10</v>
      </c>
      <c r="O577" s="15" t="s">
        <v>10</v>
      </c>
      <c r="P577" s="15" t="s">
        <v>10</v>
      </c>
      <c r="Q577" s="8"/>
      <c r="R577" s="9" t="s">
        <v>581</v>
      </c>
    </row>
    <row r="578" spans="1:18" x14ac:dyDescent="0.25">
      <c r="A578" s="6" t="str">
        <f>HYPERLINK("proteomic_fractions_linear_files/Yang_linear_img/9790019.jpg", "9790019")</f>
        <v>9790019</v>
      </c>
      <c r="B578" s="7"/>
      <c r="C578" s="6" t="str">
        <f>HYPERLINK("http://www.ncbi.nlm.nih.gov/protein/9790019","Asah1")</f>
        <v>Asah1</v>
      </c>
      <c r="D578" s="8"/>
      <c r="E578" s="8">
        <v>13797</v>
      </c>
      <c r="F578" s="8"/>
      <c r="G578" s="15">
        <v>3.449283970315375</v>
      </c>
      <c r="H578" s="15">
        <v>3.449283970315375</v>
      </c>
      <c r="I578" s="15">
        <v>2.4680983236053704</v>
      </c>
      <c r="J578" s="15">
        <v>2.4680983236053704</v>
      </c>
      <c r="K578" s="15">
        <v>2.6672376016517565</v>
      </c>
      <c r="L578" s="15">
        <v>2.6672376016517565</v>
      </c>
      <c r="M578" s="15">
        <v>2.6672376016517565</v>
      </c>
      <c r="N578" s="15">
        <v>2.6672376016517565</v>
      </c>
      <c r="O578" s="15">
        <v>2.1346719208366522</v>
      </c>
      <c r="P578" s="15">
        <v>2.1346719208366522</v>
      </c>
      <c r="Q578" s="8"/>
      <c r="R578" s="9" t="s">
        <v>582</v>
      </c>
    </row>
    <row r="579" spans="1:18" x14ac:dyDescent="0.25">
      <c r="A579" s="6" t="str">
        <f>HYPERLINK("proteomic_fractions_linear_files/Yang_linear_img/9055168.jpg", "9055168")</f>
        <v>9055168</v>
      </c>
      <c r="B579" s="7"/>
      <c r="C579" s="6" t="str">
        <f>HYPERLINK("http://www.ncbi.nlm.nih.gov/protein/9055168","Asah2")</f>
        <v>Asah2</v>
      </c>
      <c r="D579" s="8"/>
      <c r="E579" s="8">
        <v>83378</v>
      </c>
      <c r="F579" s="8"/>
      <c r="G579" s="15" t="s">
        <v>10</v>
      </c>
      <c r="H579" s="15" t="s">
        <v>10</v>
      </c>
      <c r="I579" s="15">
        <v>1.1441925443684882</v>
      </c>
      <c r="J579" s="15">
        <v>1.1441925443684882</v>
      </c>
      <c r="K579" s="15">
        <v>1.1441925443684882</v>
      </c>
      <c r="L579" s="15">
        <v>1.1441925443684882</v>
      </c>
      <c r="M579" s="15" t="s">
        <v>10</v>
      </c>
      <c r="N579" s="15" t="s">
        <v>10</v>
      </c>
      <c r="O579" s="15" t="s">
        <v>10</v>
      </c>
      <c r="P579" s="15" t="s">
        <v>10</v>
      </c>
      <c r="Q579" s="8"/>
      <c r="R579" s="9" t="s">
        <v>583</v>
      </c>
    </row>
    <row r="580" spans="1:18" x14ac:dyDescent="0.25">
      <c r="A580" s="6" t="str">
        <f>HYPERLINK("proteomic_fractions_linear_files/Yang_linear_img/451327597.jpg", "451327597")</f>
        <v>451327597</v>
      </c>
      <c r="B580" s="7"/>
      <c r="C580" s="6" t="str">
        <f>HYPERLINK("http://www.ncbi.nlm.nih.gov/protein/451327597","Asap1")</f>
        <v>Asap1</v>
      </c>
      <c r="D580" s="8"/>
      <c r="E580" s="8">
        <v>121145</v>
      </c>
      <c r="F580" s="8"/>
      <c r="G580" s="15" t="s">
        <v>10</v>
      </c>
      <c r="H580" s="15" t="s">
        <v>10</v>
      </c>
      <c r="I580" s="15" t="s">
        <v>10</v>
      </c>
      <c r="J580" s="15" t="s">
        <v>10</v>
      </c>
      <c r="K580" s="15">
        <v>1.2682055465805111</v>
      </c>
      <c r="L580" s="15">
        <v>1.2682055465805111</v>
      </c>
      <c r="M580" s="15" t="s">
        <v>10</v>
      </c>
      <c r="N580" s="15" t="s">
        <v>10</v>
      </c>
      <c r="O580" s="15">
        <v>1.0638151086373302</v>
      </c>
      <c r="P580" s="15">
        <v>1.0638151086373302</v>
      </c>
      <c r="Q580" s="8"/>
      <c r="R580" s="9" t="s">
        <v>584</v>
      </c>
    </row>
    <row r="581" spans="1:18" x14ac:dyDescent="0.25">
      <c r="A581" s="6" t="str">
        <f>HYPERLINK("proteomic_fractions_linear_files/Yang_linear_img/451327599.jpg", "451327599")</f>
        <v>451327599</v>
      </c>
      <c r="B581" s="7"/>
      <c r="C581" s="6" t="str">
        <f>HYPERLINK("http://www.ncbi.nlm.nih.gov/protein/451327599","Asap1")</f>
        <v>Asap1</v>
      </c>
      <c r="D581" s="8"/>
      <c r="E581" s="8">
        <v>124579</v>
      </c>
      <c r="F581" s="8"/>
      <c r="G581" s="15" t="s">
        <v>10</v>
      </c>
      <c r="H581" s="15" t="s">
        <v>10</v>
      </c>
      <c r="I581" s="15" t="s">
        <v>10</v>
      </c>
      <c r="J581" s="15" t="s">
        <v>10</v>
      </c>
      <c r="K581" s="15">
        <v>1.2276229690899347</v>
      </c>
      <c r="L581" s="15">
        <v>1.2276229690899347</v>
      </c>
      <c r="M581" s="15" t="s">
        <v>10</v>
      </c>
      <c r="N581" s="15" t="s">
        <v>10</v>
      </c>
      <c r="O581" s="15">
        <v>1.0297730251609358</v>
      </c>
      <c r="P581" s="15">
        <v>1.0297730251609358</v>
      </c>
      <c r="Q581" s="8"/>
      <c r="R581" s="9" t="s">
        <v>585</v>
      </c>
    </row>
    <row r="582" spans="1:18" x14ac:dyDescent="0.25">
      <c r="A582" s="6" t="str">
        <f>HYPERLINK("proteomic_fractions_linear_files/Yang_linear_img/451327601.jpg", "451327601")</f>
        <v>451327601</v>
      </c>
      <c r="B582" s="7"/>
      <c r="C582" s="6" t="str">
        <f>HYPERLINK("http://www.ncbi.nlm.nih.gov/protein/451327601","Asap1")</f>
        <v>Asap1</v>
      </c>
      <c r="D582" s="8"/>
      <c r="E582" s="8">
        <v>123403</v>
      </c>
      <c r="F582" s="8"/>
      <c r="G582" s="15" t="s">
        <v>10</v>
      </c>
      <c r="H582" s="15" t="s">
        <v>10</v>
      </c>
      <c r="I582" s="15" t="s">
        <v>10</v>
      </c>
      <c r="J582" s="15" t="s">
        <v>10</v>
      </c>
      <c r="K582" s="15">
        <v>1.2475843181808279</v>
      </c>
      <c r="L582" s="15">
        <v>1.2475843181808279</v>
      </c>
      <c r="M582" s="15" t="s">
        <v>10</v>
      </c>
      <c r="N582" s="15" t="s">
        <v>10</v>
      </c>
      <c r="O582" s="15">
        <v>1.0465173019928209</v>
      </c>
      <c r="P582" s="15">
        <v>1.0465173019928209</v>
      </c>
      <c r="Q582" s="8"/>
      <c r="R582" s="9" t="s">
        <v>586</v>
      </c>
    </row>
    <row r="583" spans="1:18" x14ac:dyDescent="0.25">
      <c r="A583" s="6" t="str">
        <f>HYPERLINK("proteomic_fractions_linear_files/Yang_linear_img/451327606.jpg", "451327606")</f>
        <v>451327606</v>
      </c>
      <c r="B583" s="7"/>
      <c r="C583" s="6" t="str">
        <f>HYPERLINK("http://www.ncbi.nlm.nih.gov/protein/451327606","Asap1")</f>
        <v>Asap1</v>
      </c>
      <c r="D583" s="8"/>
      <c r="E583" s="8">
        <v>121544</v>
      </c>
      <c r="F583" s="8"/>
      <c r="G583" s="15" t="s">
        <v>10</v>
      </c>
      <c r="H583" s="15" t="s">
        <v>10</v>
      </c>
      <c r="I583" s="15" t="s">
        <v>10</v>
      </c>
      <c r="J583" s="15" t="s">
        <v>10</v>
      </c>
      <c r="K583" s="15">
        <v>1.2578104191495232</v>
      </c>
      <c r="L583" s="15">
        <v>1.2578104191495232</v>
      </c>
      <c r="M583" s="15" t="s">
        <v>10</v>
      </c>
      <c r="N583" s="15" t="s">
        <v>10</v>
      </c>
      <c r="O583" s="15">
        <v>1.0550953126648932</v>
      </c>
      <c r="P583" s="15">
        <v>1.0550953126648932</v>
      </c>
      <c r="Q583" s="8"/>
      <c r="R583" s="9" t="s">
        <v>587</v>
      </c>
    </row>
    <row r="584" spans="1:18" x14ac:dyDescent="0.25">
      <c r="A584" s="6" t="str">
        <f>HYPERLINK("proteomic_fractions_linear_files/Yang_linear_img/65301464.jpg", "65301464")</f>
        <v>65301464</v>
      </c>
      <c r="B584" s="7"/>
      <c r="C584" s="6" t="str">
        <f>HYPERLINK("http://www.ncbi.nlm.nih.gov/protein/65301464","Asap1")</f>
        <v>Asap1</v>
      </c>
      <c r="D584" s="8"/>
      <c r="E584" s="8">
        <v>127291</v>
      </c>
      <c r="F584" s="8"/>
      <c r="G584" s="15" t="s">
        <v>10</v>
      </c>
      <c r="H584" s="15" t="s">
        <v>10</v>
      </c>
      <c r="I584" s="15" t="s">
        <v>10</v>
      </c>
      <c r="J584" s="15" t="s">
        <v>10</v>
      </c>
      <c r="K584" s="15">
        <v>1.2082903239074161</v>
      </c>
      <c r="L584" s="15">
        <v>1.2082903239074161</v>
      </c>
      <c r="M584" s="15" t="s">
        <v>10</v>
      </c>
      <c r="N584" s="15" t="s">
        <v>10</v>
      </c>
      <c r="O584" s="15">
        <v>1.0135561271269053</v>
      </c>
      <c r="P584" s="15">
        <v>1.0135561271269053</v>
      </c>
      <c r="Q584" s="8"/>
      <c r="R584" s="9" t="s">
        <v>588</v>
      </c>
    </row>
    <row r="585" spans="1:18" x14ac:dyDescent="0.25">
      <c r="A585" s="6" t="str">
        <f>HYPERLINK("proteomic_fractions_linear_files/Yang_linear_img/147907212.jpg", "147907212")</f>
        <v>147907212</v>
      </c>
      <c r="B585" s="7"/>
      <c r="C585" s="6" t="str">
        <f>HYPERLINK("http://www.ncbi.nlm.nih.gov/protein/147907212","Asap2")</f>
        <v>Asap2</v>
      </c>
      <c r="D585" s="8"/>
      <c r="E585" s="8">
        <v>106275</v>
      </c>
      <c r="F585" s="8"/>
      <c r="G585" s="15" t="s">
        <v>10</v>
      </c>
      <c r="H585" s="15" t="s">
        <v>10</v>
      </c>
      <c r="I585" s="15" t="s">
        <v>10</v>
      </c>
      <c r="J585" s="15" t="s">
        <v>10</v>
      </c>
      <c r="K585" s="15">
        <v>0.61748361632588988</v>
      </c>
      <c r="L585" s="15">
        <v>0.61748361632588988</v>
      </c>
      <c r="M585" s="15">
        <v>0.61748361632588988</v>
      </c>
      <c r="N585" s="15">
        <v>0.61748361632588988</v>
      </c>
      <c r="O585" s="15">
        <v>1.2143549825011035</v>
      </c>
      <c r="P585" s="15">
        <v>1.2143549825011035</v>
      </c>
      <c r="Q585" s="8"/>
      <c r="R585" s="9" t="s">
        <v>589</v>
      </c>
    </row>
    <row r="586" spans="1:18" x14ac:dyDescent="0.25">
      <c r="A586" s="6" t="str">
        <f>HYPERLINK("proteomic_fractions_linear_files/Yang_linear_img/148223355.jpg", "148223355")</f>
        <v>148223355</v>
      </c>
      <c r="B586" s="7"/>
      <c r="C586" s="6" t="str">
        <f>HYPERLINK("http://www.ncbi.nlm.nih.gov/protein/148223355","Asap2")</f>
        <v>Asap2</v>
      </c>
      <c r="D586" s="8"/>
      <c r="E586" s="8">
        <v>106674</v>
      </c>
      <c r="F586" s="8"/>
      <c r="G586" s="15" t="s">
        <v>10</v>
      </c>
      <c r="H586" s="15" t="s">
        <v>10</v>
      </c>
      <c r="I586" s="15" t="s">
        <v>10</v>
      </c>
      <c r="J586" s="15" t="s">
        <v>10</v>
      </c>
      <c r="K586" s="15">
        <v>0.61171274140695642</v>
      </c>
      <c r="L586" s="15">
        <v>0.61171274140695642</v>
      </c>
      <c r="M586" s="15">
        <v>0.61171274140695642</v>
      </c>
      <c r="N586" s="15">
        <v>0.61171274140695642</v>
      </c>
      <c r="O586" s="15">
        <v>1.2030058705151119</v>
      </c>
      <c r="P586" s="15">
        <v>1.2030058705151119</v>
      </c>
      <c r="Q586" s="8"/>
      <c r="R586" s="9" t="s">
        <v>590</v>
      </c>
    </row>
    <row r="587" spans="1:18" x14ac:dyDescent="0.25">
      <c r="A587" s="6" t="str">
        <f>HYPERLINK("proteomic_fractions_linear_files/Yang_linear_img/206597526.jpg", "206597526")</f>
        <v>206597526</v>
      </c>
      <c r="B587" s="7"/>
      <c r="C587" s="6" t="str">
        <f>HYPERLINK("http://www.ncbi.nlm.nih.gov/protein/206597526","Asap2")</f>
        <v>Asap2</v>
      </c>
      <c r="D587" s="8"/>
      <c r="E587" s="8">
        <v>111029</v>
      </c>
      <c r="F587" s="8"/>
      <c r="G587" s="15" t="s">
        <v>10</v>
      </c>
      <c r="H587" s="15" t="s">
        <v>10</v>
      </c>
      <c r="I587" s="15" t="s">
        <v>10</v>
      </c>
      <c r="J587" s="15" t="s">
        <v>10</v>
      </c>
      <c r="K587" s="15">
        <v>0.58966903901391288</v>
      </c>
      <c r="L587" s="15">
        <v>0.58966903901391288</v>
      </c>
      <c r="M587" s="15">
        <v>0.58966903901391288</v>
      </c>
      <c r="N587" s="15">
        <v>0.58966903901391288</v>
      </c>
      <c r="O587" s="15">
        <v>1.1596543076136663</v>
      </c>
      <c r="P587" s="15">
        <v>1.1596543076136663</v>
      </c>
      <c r="Q587" s="8"/>
      <c r="R587" s="9" t="s">
        <v>591</v>
      </c>
    </row>
    <row r="588" spans="1:18" x14ac:dyDescent="0.25">
      <c r="A588" s="6" t="str">
        <f>HYPERLINK("proteomic_fractions_linear_files/Yang_linear_img/282721040.jpg", "282721040")</f>
        <v>282721040</v>
      </c>
      <c r="B588" s="7"/>
      <c r="C588" s="6" t="str">
        <f>HYPERLINK("http://www.ncbi.nlm.nih.gov/protein/282721040","Asb14")</f>
        <v>Asb14</v>
      </c>
      <c r="D588" s="8"/>
      <c r="E588" s="8">
        <v>62794</v>
      </c>
      <c r="F588" s="8"/>
      <c r="G588" s="15" t="s">
        <v>10</v>
      </c>
      <c r="H588" s="15" t="s">
        <v>10</v>
      </c>
      <c r="I588" s="15" t="s">
        <v>10</v>
      </c>
      <c r="J588" s="15" t="s">
        <v>10</v>
      </c>
      <c r="K588" s="15">
        <v>6.4927548847530128</v>
      </c>
      <c r="L588" s="15">
        <v>6.4927548847530128</v>
      </c>
      <c r="M588" s="15" t="s">
        <v>10</v>
      </c>
      <c r="N588" s="15" t="s">
        <v>10</v>
      </c>
      <c r="O588" s="15" t="s">
        <v>10</v>
      </c>
      <c r="P588" s="15" t="s">
        <v>10</v>
      </c>
      <c r="Q588" s="8"/>
      <c r="R588" s="9" t="s">
        <v>592</v>
      </c>
    </row>
    <row r="589" spans="1:18" x14ac:dyDescent="0.25">
      <c r="A589" s="6" t="str">
        <f>HYPERLINK("proteomic_fractions_linear_files/Yang_linear_img/268370092.jpg", "268370092")</f>
        <v>268370092</v>
      </c>
      <c r="B589" s="7"/>
      <c r="C589" s="6" t="str">
        <f>HYPERLINK("http://www.ncbi.nlm.nih.gov/protein/268370092","Asb15")</f>
        <v>Asb15</v>
      </c>
      <c r="D589" s="8"/>
      <c r="E589" s="8">
        <v>65381</v>
      </c>
      <c r="F589" s="8"/>
      <c r="G589" s="15">
        <v>0.57448194497114757</v>
      </c>
      <c r="H589" s="15">
        <v>0.57448194497114757</v>
      </c>
      <c r="I589" s="15" t="s">
        <v>10</v>
      </c>
      <c r="J589" s="15" t="s">
        <v>10</v>
      </c>
      <c r="K589" s="15" t="s">
        <v>10</v>
      </c>
      <c r="L589" s="15" t="s">
        <v>10</v>
      </c>
      <c r="M589" s="15" t="s">
        <v>10</v>
      </c>
      <c r="N589" s="15" t="s">
        <v>10</v>
      </c>
      <c r="O589" s="15" t="s">
        <v>10</v>
      </c>
      <c r="P589" s="15" t="s">
        <v>10</v>
      </c>
      <c r="Q589" s="8"/>
      <c r="R589" s="9" t="s">
        <v>593</v>
      </c>
    </row>
    <row r="590" spans="1:18" x14ac:dyDescent="0.25">
      <c r="A590" s="6" t="str">
        <f>HYPERLINK("proteomic_fractions_linear_files/Yang_linear_img/17505202.jpg", "17505202")</f>
        <v>17505202</v>
      </c>
      <c r="B590" s="7"/>
      <c r="C590" s="6" t="str">
        <f>HYPERLINK("http://www.ncbi.nlm.nih.gov/protein/17505202","Asb4")</f>
        <v>Asb4</v>
      </c>
      <c r="D590" s="8"/>
      <c r="E590" s="8">
        <v>47967</v>
      </c>
      <c r="F590" s="8"/>
      <c r="G590" s="15" t="s">
        <v>10</v>
      </c>
      <c r="H590" s="15" t="s">
        <v>10</v>
      </c>
      <c r="I590" s="15" t="s">
        <v>10</v>
      </c>
      <c r="J590" s="15" t="s">
        <v>10</v>
      </c>
      <c r="K590" s="15">
        <v>0.71986201105156633</v>
      </c>
      <c r="L590" s="15">
        <v>0.71986201105156633</v>
      </c>
      <c r="M590" s="15" t="s">
        <v>10</v>
      </c>
      <c r="N590" s="15" t="s">
        <v>10</v>
      </c>
      <c r="O590" s="15" t="s">
        <v>10</v>
      </c>
      <c r="P590" s="15" t="s">
        <v>10</v>
      </c>
      <c r="Q590" s="8"/>
      <c r="R590" s="9" t="s">
        <v>594</v>
      </c>
    </row>
    <row r="591" spans="1:18" x14ac:dyDescent="0.25">
      <c r="A591" s="6" t="str">
        <f>HYPERLINK("proteomic_fractions_linear_files/Yang_linear_img/58037141.jpg", "58037141")</f>
        <v>58037141</v>
      </c>
      <c r="B591" s="7"/>
      <c r="C591" s="6" t="str">
        <f>HYPERLINK("http://www.ncbi.nlm.nih.gov/protein/58037141","Ascc1")</f>
        <v>Ascc1</v>
      </c>
      <c r="D591" s="8"/>
      <c r="E591" s="8">
        <v>41149</v>
      </c>
      <c r="F591" s="8"/>
      <c r="G591" s="15" t="s">
        <v>10</v>
      </c>
      <c r="H591" s="15" t="s">
        <v>10</v>
      </c>
      <c r="I591" s="15" t="s">
        <v>10</v>
      </c>
      <c r="J591" s="15" t="s">
        <v>10</v>
      </c>
      <c r="K591" s="15">
        <v>1.0762338840723285</v>
      </c>
      <c r="L591" s="15">
        <v>1.0762338840723285</v>
      </c>
      <c r="M591" s="15">
        <v>1.0762338840723285</v>
      </c>
      <c r="N591" s="15">
        <v>1.0762338840723285</v>
      </c>
      <c r="O591" s="15" t="s">
        <v>10</v>
      </c>
      <c r="P591" s="15" t="s">
        <v>10</v>
      </c>
      <c r="Q591" s="8"/>
      <c r="R591" s="9" t="s">
        <v>595</v>
      </c>
    </row>
    <row r="592" spans="1:18" x14ac:dyDescent="0.25">
      <c r="A592" s="6" t="str">
        <f>HYPERLINK("proteomic_fractions_linear_files/Yang_linear_img/20270208.jpg", "20270208")</f>
        <v>20270208</v>
      </c>
      <c r="B592" s="7"/>
      <c r="C592" s="6" t="str">
        <f>HYPERLINK("http://www.ncbi.nlm.nih.gov/protein/20270208","Ascc2")</f>
        <v>Ascc2</v>
      </c>
      <c r="D592" s="8"/>
      <c r="E592" s="8">
        <v>85522</v>
      </c>
      <c r="F592" s="8"/>
      <c r="G592" s="15" t="s">
        <v>10</v>
      </c>
      <c r="H592" s="15" t="s">
        <v>10</v>
      </c>
      <c r="I592" s="15" t="s">
        <v>10</v>
      </c>
      <c r="J592" s="15" t="s">
        <v>10</v>
      </c>
      <c r="K592" s="15">
        <v>1.2767623700131565</v>
      </c>
      <c r="L592" s="15">
        <v>1.2767623700131565</v>
      </c>
      <c r="M592" s="15">
        <v>1.2767623700131565</v>
      </c>
      <c r="N592" s="15">
        <v>1.2767623700131565</v>
      </c>
      <c r="O592" s="15" t="s">
        <v>10</v>
      </c>
      <c r="P592" s="15" t="s">
        <v>10</v>
      </c>
      <c r="Q592" s="8"/>
      <c r="R592" s="9" t="s">
        <v>596</v>
      </c>
    </row>
    <row r="593" spans="1:18" x14ac:dyDescent="0.25">
      <c r="A593" s="6" t="str">
        <f>HYPERLINK("proteomic_fractions_linear_files/Yang_linear_img/225703058.jpg", "225703058")</f>
        <v>225703058</v>
      </c>
      <c r="B593" s="7"/>
      <c r="C593" s="6" t="str">
        <f>HYPERLINK("http://www.ncbi.nlm.nih.gov/protein/225703058","Ascc3")</f>
        <v>Ascc3</v>
      </c>
      <c r="D593" s="8"/>
      <c r="E593" s="8">
        <v>250427</v>
      </c>
      <c r="F593" s="8"/>
      <c r="G593" s="15" t="s">
        <v>10</v>
      </c>
      <c r="H593" s="15" t="s">
        <v>10</v>
      </c>
      <c r="I593" s="15" t="s">
        <v>10</v>
      </c>
      <c r="J593" s="15" t="s">
        <v>10</v>
      </c>
      <c r="K593" s="15">
        <v>1.207133298545995</v>
      </c>
      <c r="L593" s="15">
        <v>1.207133298545995</v>
      </c>
      <c r="M593" s="15">
        <v>1.207133298545995</v>
      </c>
      <c r="N593" s="15">
        <v>1.207133298545995</v>
      </c>
      <c r="O593" s="15" t="s">
        <v>10</v>
      </c>
      <c r="P593" s="15" t="s">
        <v>10</v>
      </c>
      <c r="Q593" s="8"/>
      <c r="R593" s="9" t="s">
        <v>597</v>
      </c>
    </row>
    <row r="594" spans="1:18" x14ac:dyDescent="0.25">
      <c r="A594" s="6" t="str">
        <f>HYPERLINK("proteomic_fractions_linear_files/Yang_linear_img/13384964.jpg", "13384964")</f>
        <v>13384964</v>
      </c>
      <c r="B594" s="7"/>
      <c r="C594" s="6" t="str">
        <f>HYPERLINK("http://www.ncbi.nlm.nih.gov/protein/13384964","Asf1a")</f>
        <v>Asf1a</v>
      </c>
      <c r="D594" s="8"/>
      <c r="E594" s="8">
        <v>22812</v>
      </c>
      <c r="F594" s="8"/>
      <c r="G594" s="15" t="s">
        <v>10</v>
      </c>
      <c r="H594" s="15" t="s">
        <v>10</v>
      </c>
      <c r="I594" s="15" t="s">
        <v>10</v>
      </c>
      <c r="J594" s="15" t="s">
        <v>10</v>
      </c>
      <c r="K594" s="15">
        <v>0.80414344193756893</v>
      </c>
      <c r="L594" s="15">
        <v>0.80414344193756893</v>
      </c>
      <c r="M594" s="15">
        <v>0.84787607947979449</v>
      </c>
      <c r="N594" s="15">
        <v>0.84787607947979449</v>
      </c>
      <c r="O594" s="15">
        <v>0.80414344193756893</v>
      </c>
      <c r="P594" s="15">
        <v>0.80414344193756893</v>
      </c>
      <c r="Q594" s="8"/>
      <c r="R594" s="9" t="s">
        <v>598</v>
      </c>
    </row>
    <row r="595" spans="1:18" x14ac:dyDescent="0.25">
      <c r="A595" s="6" t="str">
        <f>HYPERLINK("proteomic_fractions_linear_files/Yang_linear_img/21313226.jpg", "21313226")</f>
        <v>21313226</v>
      </c>
      <c r="B595" s="7"/>
      <c r="C595" s="6" t="str">
        <f>HYPERLINK("http://www.ncbi.nlm.nih.gov/protein/21313226","Asf1b")</f>
        <v>Asf1b</v>
      </c>
      <c r="D595" s="8"/>
      <c r="E595" s="8">
        <v>22333</v>
      </c>
      <c r="F595" s="8"/>
      <c r="G595" s="15" t="s">
        <v>10</v>
      </c>
      <c r="H595" s="15" t="s">
        <v>10</v>
      </c>
      <c r="I595" s="15" t="s">
        <v>10</v>
      </c>
      <c r="J595" s="15" t="s">
        <v>10</v>
      </c>
      <c r="K595" s="15">
        <v>0.88641590127433068</v>
      </c>
      <c r="L595" s="15">
        <v>0.88641590127433068</v>
      </c>
      <c r="M595" s="15">
        <v>0.88641590127433068</v>
      </c>
      <c r="N595" s="15">
        <v>0.88641590127433068</v>
      </c>
      <c r="O595" s="15">
        <v>0.8406954165710947</v>
      </c>
      <c r="P595" s="15">
        <v>0.8406954165710947</v>
      </c>
      <c r="Q595" s="8"/>
      <c r="R595" s="9" t="s">
        <v>599</v>
      </c>
    </row>
    <row r="596" spans="1:18" x14ac:dyDescent="0.25">
      <c r="A596" s="6" t="str">
        <f>HYPERLINK("proteomic_fractions_linear_files/Yang_linear_img/124248550.jpg", "124248550")</f>
        <v>124248550</v>
      </c>
      <c r="B596" s="7"/>
      <c r="C596" s="6" t="str">
        <f>HYPERLINK("http://www.ncbi.nlm.nih.gov/protein/124248550","Ash2l")</f>
        <v>Ash2l</v>
      </c>
      <c r="D596" s="8"/>
      <c r="E596" s="8">
        <v>60040</v>
      </c>
      <c r="F596" s="8"/>
      <c r="G596" s="15" t="s">
        <v>10</v>
      </c>
      <c r="H596" s="15" t="s">
        <v>10</v>
      </c>
      <c r="I596" s="15">
        <v>1.3849776412190642</v>
      </c>
      <c r="J596" s="15">
        <v>1.3849776412190642</v>
      </c>
      <c r="K596" s="15">
        <v>1.5827996863764084</v>
      </c>
      <c r="L596" s="15">
        <v>1.5827996863764084</v>
      </c>
      <c r="M596" s="15">
        <v>1.3849776412190642</v>
      </c>
      <c r="N596" s="15">
        <v>1.3849776412190642</v>
      </c>
      <c r="O596" s="15">
        <v>1.3849776412190642</v>
      </c>
      <c r="P596" s="15">
        <v>1.3849776412190642</v>
      </c>
      <c r="Q596" s="8"/>
      <c r="R596" s="9" t="s">
        <v>600</v>
      </c>
    </row>
    <row r="597" spans="1:18" x14ac:dyDescent="0.25">
      <c r="A597" s="6" t="str">
        <f>HYPERLINK("proteomic_fractions_linear_files/Yang_linear_img/124248552.jpg", "124248552")</f>
        <v>124248552</v>
      </c>
      <c r="B597" s="7"/>
      <c r="C597" s="6" t="str">
        <f>HYPERLINK("http://www.ncbi.nlm.nih.gov/protein/124248552","Ash2l")</f>
        <v>Ash2l</v>
      </c>
      <c r="D597" s="8"/>
      <c r="E597" s="8">
        <v>68119</v>
      </c>
      <c r="F597" s="8"/>
      <c r="G597" s="15" t="s">
        <v>10</v>
      </c>
      <c r="H597" s="15" t="s">
        <v>10</v>
      </c>
      <c r="I597" s="15">
        <v>1.222039095193292</v>
      </c>
      <c r="J597" s="15">
        <v>1.222039095193292</v>
      </c>
      <c r="K597" s="15">
        <v>1.3965879585674192</v>
      </c>
      <c r="L597" s="15">
        <v>1.3965879585674192</v>
      </c>
      <c r="M597" s="15">
        <v>1.222039095193292</v>
      </c>
      <c r="N597" s="15">
        <v>1.222039095193292</v>
      </c>
      <c r="O597" s="15">
        <v>1.222039095193292</v>
      </c>
      <c r="P597" s="15">
        <v>1.222039095193292</v>
      </c>
      <c r="Q597" s="8"/>
      <c r="R597" s="9" t="s">
        <v>601</v>
      </c>
    </row>
    <row r="598" spans="1:18" x14ac:dyDescent="0.25">
      <c r="A598" s="6" t="str">
        <f>HYPERLINK("proteomic_fractions_linear_files/Yang_linear_img/19526986.jpg", "19526986")</f>
        <v>19526986</v>
      </c>
      <c r="B598" s="7"/>
      <c r="C598" s="6" t="str">
        <f>HYPERLINK("http://www.ncbi.nlm.nih.gov/protein/19526986","Asl")</f>
        <v>Asl</v>
      </c>
      <c r="D598" s="8"/>
      <c r="E598" s="8">
        <v>51608</v>
      </c>
      <c r="F598" s="8"/>
      <c r="G598" s="15" t="s">
        <v>10</v>
      </c>
      <c r="H598" s="15" t="s">
        <v>10</v>
      </c>
      <c r="I598" s="15">
        <v>0.92865337662337022</v>
      </c>
      <c r="J598" s="15">
        <v>0.92865337662337022</v>
      </c>
      <c r="K598" s="15">
        <v>1.0215494159615592</v>
      </c>
      <c r="L598" s="15">
        <v>1.0215494159615592</v>
      </c>
      <c r="M598" s="15">
        <v>0.92865337662337022</v>
      </c>
      <c r="N598" s="15">
        <v>0.92865337662337022</v>
      </c>
      <c r="O598" s="15">
        <v>0.92865337662337022</v>
      </c>
      <c r="P598" s="15">
        <v>0.92865337662337022</v>
      </c>
      <c r="Q598" s="8"/>
      <c r="R598" s="9" t="s">
        <v>602</v>
      </c>
    </row>
    <row r="599" spans="1:18" x14ac:dyDescent="0.25">
      <c r="A599" s="6" t="str">
        <f>HYPERLINK("proteomic_fractions_linear_files/Yang_linear_img/12025542.jpg", "12025542")</f>
        <v>12025542</v>
      </c>
      <c r="B599" s="7"/>
      <c r="C599" s="6" t="str">
        <f>HYPERLINK("http://www.ncbi.nlm.nih.gov/protein/12025542","Asna1")</f>
        <v>Asna1</v>
      </c>
      <c r="D599" s="8"/>
      <c r="E599" s="8">
        <v>38692</v>
      </c>
      <c r="F599" s="8"/>
      <c r="G599" s="15">
        <v>1.3620658879487455</v>
      </c>
      <c r="H599" s="15">
        <v>1.3620658879487455</v>
      </c>
      <c r="I599" s="15">
        <v>1.038649184698019</v>
      </c>
      <c r="J599" s="15">
        <v>1.038649184698019</v>
      </c>
      <c r="K599" s="15">
        <v>1.038649184698019</v>
      </c>
      <c r="L599" s="15">
        <v>1.038649184698019</v>
      </c>
      <c r="M599" s="15">
        <v>0.95746990828524592</v>
      </c>
      <c r="N599" s="15">
        <v>0.95746990828524592</v>
      </c>
      <c r="O599" s="15">
        <v>0.8859840136019278</v>
      </c>
      <c r="P599" s="15">
        <v>0.8859840136019278</v>
      </c>
      <c r="Q599" s="8"/>
      <c r="R599" s="9" t="s">
        <v>603</v>
      </c>
    </row>
    <row r="600" spans="1:18" x14ac:dyDescent="0.25">
      <c r="A600" s="6" t="str">
        <f>HYPERLINK("proteomic_fractions_linear_files/Yang_linear_img/33469123.jpg", "33469123")</f>
        <v>33469123</v>
      </c>
      <c r="B600" s="7"/>
      <c r="C600" s="6" t="str">
        <f>HYPERLINK("http://www.ncbi.nlm.nih.gov/protein/33469123","Asns")</f>
        <v>Asns</v>
      </c>
      <c r="D600" s="8"/>
      <c r="E600" s="8">
        <v>64152</v>
      </c>
      <c r="F600" s="8"/>
      <c r="G600" s="15" t="s">
        <v>10</v>
      </c>
      <c r="H600" s="15" t="s">
        <v>10</v>
      </c>
      <c r="I600" s="15">
        <v>0.91833136852490393</v>
      </c>
      <c r="J600" s="15">
        <v>0.91833136852490393</v>
      </c>
      <c r="K600" s="15">
        <v>1.0227072395397552</v>
      </c>
      <c r="L600" s="15">
        <v>1.0227072395397552</v>
      </c>
      <c r="M600" s="15" t="s">
        <v>10</v>
      </c>
      <c r="N600" s="15" t="s">
        <v>10</v>
      </c>
      <c r="O600" s="15">
        <v>0.91833136852490393</v>
      </c>
      <c r="P600" s="15">
        <v>0.91833136852490393</v>
      </c>
      <c r="Q600" s="8"/>
      <c r="R600" s="9" t="s">
        <v>604</v>
      </c>
    </row>
    <row r="601" spans="1:18" x14ac:dyDescent="0.25">
      <c r="A601" s="6" t="str">
        <f>HYPERLINK("proteomic_fractions_linear_files/Yang_linear_img/125628654.jpg", "125628654")</f>
        <v>125628654</v>
      </c>
      <c r="B601" s="7"/>
      <c r="C601" s="6" t="str">
        <f>HYPERLINK("http://www.ncbi.nlm.nih.gov/protein/125628654","Asph")</f>
        <v>Asph</v>
      </c>
      <c r="D601" s="8"/>
      <c r="E601" s="8">
        <v>22609</v>
      </c>
      <c r="F601" s="8"/>
      <c r="G601" s="15" t="s">
        <v>10</v>
      </c>
      <c r="H601" s="15" t="s">
        <v>10</v>
      </c>
      <c r="I601" s="15">
        <v>2.0995641558441416</v>
      </c>
      <c r="J601" s="15">
        <v>2.0995641558441416</v>
      </c>
      <c r="K601" s="15" t="s">
        <v>10</v>
      </c>
      <c r="L601" s="15" t="s">
        <v>10</v>
      </c>
      <c r="M601" s="15" t="s">
        <v>10</v>
      </c>
      <c r="N601" s="15" t="s">
        <v>10</v>
      </c>
      <c r="O601" s="15" t="s">
        <v>10</v>
      </c>
      <c r="P601" s="15" t="s">
        <v>10</v>
      </c>
      <c r="Q601" s="8"/>
      <c r="R601" s="9" t="s">
        <v>605</v>
      </c>
    </row>
    <row r="602" spans="1:18" x14ac:dyDescent="0.25">
      <c r="A602" s="6" t="str">
        <f>HYPERLINK("proteomic_fractions_linear_files/Yang_linear_img/295390570.jpg", "295390570")</f>
        <v>295390570</v>
      </c>
      <c r="B602" s="7"/>
      <c r="C602" s="6" t="str">
        <f>HYPERLINK("http://www.ncbi.nlm.nih.gov/protein/295390570","Asph")</f>
        <v>Asph</v>
      </c>
      <c r="D602" s="8"/>
      <c r="E602" s="8">
        <v>30018</v>
      </c>
      <c r="F602" s="8"/>
      <c r="G602" s="15" t="s">
        <v>10</v>
      </c>
      <c r="H602" s="15" t="s">
        <v>10</v>
      </c>
      <c r="I602" s="15">
        <v>1.6096658528138417</v>
      </c>
      <c r="J602" s="15">
        <v>1.6096658528138417</v>
      </c>
      <c r="K602" s="15" t="s">
        <v>10</v>
      </c>
      <c r="L602" s="15" t="s">
        <v>10</v>
      </c>
      <c r="M602" s="15" t="s">
        <v>10</v>
      </c>
      <c r="N602" s="15" t="s">
        <v>10</v>
      </c>
      <c r="O602" s="15" t="s">
        <v>10</v>
      </c>
      <c r="P602" s="15" t="s">
        <v>10</v>
      </c>
      <c r="Q602" s="8"/>
      <c r="R602" s="9" t="s">
        <v>606</v>
      </c>
    </row>
    <row r="603" spans="1:18" x14ac:dyDescent="0.25">
      <c r="A603" s="6" t="str">
        <f>HYPERLINK("proteomic_fractions_linear_files/Yang_linear_img/295390587.jpg", "295390587")</f>
        <v>295390587</v>
      </c>
      <c r="B603" s="7"/>
      <c r="C603" s="6" t="str">
        <f>HYPERLINK("http://www.ncbi.nlm.nih.gov/protein/295390587","Asph")</f>
        <v>Asph</v>
      </c>
      <c r="D603" s="8"/>
      <c r="E603" s="8">
        <v>28525</v>
      </c>
      <c r="F603" s="8"/>
      <c r="G603" s="15" t="s">
        <v>10</v>
      </c>
      <c r="H603" s="15" t="s">
        <v>10</v>
      </c>
      <c r="I603" s="15">
        <v>1.665171571876388</v>
      </c>
      <c r="J603" s="15">
        <v>1.665171571876388</v>
      </c>
      <c r="K603" s="15" t="s">
        <v>10</v>
      </c>
      <c r="L603" s="15" t="s">
        <v>10</v>
      </c>
      <c r="M603" s="15" t="s">
        <v>10</v>
      </c>
      <c r="N603" s="15" t="s">
        <v>10</v>
      </c>
      <c r="O603" s="15" t="s">
        <v>10</v>
      </c>
      <c r="P603" s="15" t="s">
        <v>10</v>
      </c>
      <c r="Q603" s="8"/>
      <c r="R603" s="9" t="s">
        <v>607</v>
      </c>
    </row>
    <row r="604" spans="1:18" x14ac:dyDescent="0.25">
      <c r="A604" s="6" t="str">
        <f>HYPERLINK("proteomic_fractions_linear_files/Yang_linear_img/295390598.jpg", "295390598")</f>
        <v>295390598</v>
      </c>
      <c r="B604" s="7"/>
      <c r="C604" s="6" t="str">
        <f>HYPERLINK("http://www.ncbi.nlm.nih.gov/protein/295390598","Asph")</f>
        <v>Asph</v>
      </c>
      <c r="D604" s="8"/>
      <c r="E604" s="8">
        <v>23568</v>
      </c>
      <c r="F604" s="8"/>
      <c r="G604" s="15" t="s">
        <v>10</v>
      </c>
      <c r="H604" s="15" t="s">
        <v>10</v>
      </c>
      <c r="I604" s="15">
        <v>2.012082316017302</v>
      </c>
      <c r="J604" s="15">
        <v>2.012082316017302</v>
      </c>
      <c r="K604" s="15" t="s">
        <v>10</v>
      </c>
      <c r="L604" s="15" t="s">
        <v>10</v>
      </c>
      <c r="M604" s="15" t="s">
        <v>10</v>
      </c>
      <c r="N604" s="15" t="s">
        <v>10</v>
      </c>
      <c r="O604" s="15" t="s">
        <v>10</v>
      </c>
      <c r="P604" s="15" t="s">
        <v>10</v>
      </c>
      <c r="Q604" s="8"/>
      <c r="R604" s="9" t="s">
        <v>608</v>
      </c>
    </row>
    <row r="605" spans="1:18" x14ac:dyDescent="0.25">
      <c r="A605" s="6" t="str">
        <f>HYPERLINK("proteomic_fractions_linear_files/Yang_linear_img/125628659.jpg", "125628659")</f>
        <v>125628659</v>
      </c>
      <c r="B605" s="7"/>
      <c r="C605" s="6" t="str">
        <f>HYPERLINK("http://www.ncbi.nlm.nih.gov/protein/125628659","Asph")</f>
        <v>Asph</v>
      </c>
      <c r="D605" s="8"/>
      <c r="E605" s="8">
        <v>82911</v>
      </c>
      <c r="F605" s="8"/>
      <c r="G605" s="15">
        <v>1.8488297727258054</v>
      </c>
      <c r="H605" s="15">
        <v>1.8488297727258054</v>
      </c>
      <c r="I605" s="15">
        <v>0.58180693475199097</v>
      </c>
      <c r="J605" s="15">
        <v>0.58180693475199097</v>
      </c>
      <c r="K605" s="15">
        <v>1.5508629897002044</v>
      </c>
      <c r="L605" s="15">
        <v>1.5508629897002044</v>
      </c>
      <c r="M605" s="15" t="s">
        <v>10</v>
      </c>
      <c r="N605" s="15" t="s">
        <v>10</v>
      </c>
      <c r="O605" s="15" t="s">
        <v>10</v>
      </c>
      <c r="P605" s="15" t="s">
        <v>10</v>
      </c>
      <c r="Q605" s="8"/>
      <c r="R605" s="9" t="s">
        <v>609</v>
      </c>
    </row>
    <row r="606" spans="1:18" x14ac:dyDescent="0.25">
      <c r="A606" s="6" t="str">
        <f>HYPERLINK("proteomic_fractions_linear_files/Yang_linear_img/295390525.jpg", "295390525")</f>
        <v>295390525</v>
      </c>
      <c r="B606" s="7"/>
      <c r="C606" s="6" t="str">
        <f>HYPERLINK("http://www.ncbi.nlm.nih.gov/protein/295390525","Asph")</f>
        <v>Asph</v>
      </c>
      <c r="D606" s="8"/>
      <c r="E606" s="8">
        <v>81338</v>
      </c>
      <c r="F606" s="8"/>
      <c r="G606" s="15">
        <v>1.8944798905708868</v>
      </c>
      <c r="H606" s="15">
        <v>1.8944798905708868</v>
      </c>
      <c r="I606" s="15">
        <v>0.59617253807920068</v>
      </c>
      <c r="J606" s="15">
        <v>0.59617253807920068</v>
      </c>
      <c r="K606" s="15">
        <v>1.5891559030261353</v>
      </c>
      <c r="L606" s="15">
        <v>1.5891559030261353</v>
      </c>
      <c r="M606" s="15" t="s">
        <v>10</v>
      </c>
      <c r="N606" s="15" t="s">
        <v>10</v>
      </c>
      <c r="O606" s="15" t="s">
        <v>10</v>
      </c>
      <c r="P606" s="15" t="s">
        <v>10</v>
      </c>
      <c r="Q606" s="8"/>
      <c r="R606" s="9" t="s">
        <v>610</v>
      </c>
    </row>
    <row r="607" spans="1:18" x14ac:dyDescent="0.25">
      <c r="A607" s="6" t="str">
        <f>HYPERLINK("proteomic_fractions_linear_files/Yang_linear_img/295390538.jpg", "295390538")</f>
        <v>295390538</v>
      </c>
      <c r="B607" s="7"/>
      <c r="C607" s="6" t="str">
        <f>HYPERLINK("http://www.ncbi.nlm.nih.gov/protein/295390538","Asph")</f>
        <v>Asph</v>
      </c>
      <c r="D607" s="8"/>
      <c r="E607" s="8">
        <v>33211</v>
      </c>
      <c r="F607" s="8"/>
      <c r="G607" s="15">
        <v>1.983432222137707</v>
      </c>
      <c r="H607" s="15">
        <v>4.6500870041285403</v>
      </c>
      <c r="I607" s="15">
        <v>1.4633325934671289</v>
      </c>
      <c r="J607" s="15">
        <v>1.4633325934671289</v>
      </c>
      <c r="K607" s="15">
        <v>1.4633325934671289</v>
      </c>
      <c r="L607" s="15">
        <v>1.4633325934671289</v>
      </c>
      <c r="M607" s="15" t="s">
        <v>10</v>
      </c>
      <c r="N607" s="15" t="s">
        <v>10</v>
      </c>
      <c r="O607" s="15" t="s">
        <v>10</v>
      </c>
      <c r="P607" s="15" t="s">
        <v>10</v>
      </c>
      <c r="Q607" s="8"/>
      <c r="R607" s="9" t="s">
        <v>611</v>
      </c>
    </row>
    <row r="608" spans="1:18" x14ac:dyDescent="0.25">
      <c r="A608" s="6" t="str">
        <f>HYPERLINK("proteomic_fractions_linear_files/Yang_linear_img/295390552.jpg", "295390552")</f>
        <v>295390552</v>
      </c>
      <c r="B608" s="7"/>
      <c r="C608" s="6" t="str">
        <f>HYPERLINK("http://www.ncbi.nlm.nih.gov/protein/295390552","Asph")</f>
        <v>Asph</v>
      </c>
      <c r="D608" s="8"/>
      <c r="E608" s="8">
        <v>31638</v>
      </c>
      <c r="F608" s="8"/>
      <c r="G608" s="15">
        <v>2.0454144790795104</v>
      </c>
      <c r="H608" s="15">
        <v>4.7954022230075575</v>
      </c>
      <c r="I608" s="15">
        <v>1.5090617370129766</v>
      </c>
      <c r="J608" s="15">
        <v>1.5090617370129766</v>
      </c>
      <c r="K608" s="15">
        <v>1.5090617370129766</v>
      </c>
      <c r="L608" s="15">
        <v>1.5090617370129766</v>
      </c>
      <c r="M608" s="15" t="s">
        <v>10</v>
      </c>
      <c r="N608" s="15" t="s">
        <v>10</v>
      </c>
      <c r="O608" s="15" t="s">
        <v>10</v>
      </c>
      <c r="P608" s="15" t="s">
        <v>10</v>
      </c>
      <c r="Q608" s="8"/>
      <c r="R608" s="9" t="s">
        <v>612</v>
      </c>
    </row>
    <row r="609" spans="1:18" x14ac:dyDescent="0.25">
      <c r="A609" s="6" t="str">
        <f>HYPERLINK("proteomic_fractions_linear_files/Yang_linear_img/295390613.jpg", "295390613")</f>
        <v>295390613</v>
      </c>
      <c r="B609" s="7"/>
      <c r="C609" s="6" t="str">
        <f>HYPERLINK("http://www.ncbi.nlm.nih.gov/protein/295390613","Asph")</f>
        <v>Asph</v>
      </c>
      <c r="D609" s="8"/>
      <c r="E609" s="8">
        <v>25803</v>
      </c>
      <c r="F609" s="8"/>
      <c r="G609" s="15">
        <v>2.5174332050209358</v>
      </c>
      <c r="H609" s="15">
        <v>5.9020335052400705</v>
      </c>
      <c r="I609" s="15">
        <v>1.8573067532467404</v>
      </c>
      <c r="J609" s="15">
        <v>1.8573067532467404</v>
      </c>
      <c r="K609" s="15">
        <v>1.8573067532467404</v>
      </c>
      <c r="L609" s="15">
        <v>1.8573067532467404</v>
      </c>
      <c r="M609" s="15" t="s">
        <v>10</v>
      </c>
      <c r="N609" s="15" t="s">
        <v>10</v>
      </c>
      <c r="O609" s="15" t="s">
        <v>10</v>
      </c>
      <c r="P609" s="15" t="s">
        <v>10</v>
      </c>
      <c r="Q609" s="8"/>
      <c r="R609" s="9" t="s">
        <v>613</v>
      </c>
    </row>
    <row r="610" spans="1:18" x14ac:dyDescent="0.25">
      <c r="A610" s="6" t="str">
        <f>HYPERLINK("proteomic_fractions_linear_files/Yang_linear_img/295390633.jpg", "295390633")</f>
        <v>295390633</v>
      </c>
      <c r="B610" s="7"/>
      <c r="C610" s="6" t="str">
        <f>HYPERLINK("http://www.ncbi.nlm.nih.gov/protein/295390633","Asph")</f>
        <v>Asph</v>
      </c>
      <c r="D610" s="8"/>
      <c r="E610" s="8">
        <v>22357</v>
      </c>
      <c r="F610" s="8"/>
      <c r="G610" s="15">
        <v>2.9751483332065605</v>
      </c>
      <c r="H610" s="15">
        <v>6.9751305061928113</v>
      </c>
      <c r="I610" s="15">
        <v>2.1949988902006932</v>
      </c>
      <c r="J610" s="15">
        <v>2.1949988902006932</v>
      </c>
      <c r="K610" s="15">
        <v>2.1949988902006932</v>
      </c>
      <c r="L610" s="15">
        <v>2.1949988902006932</v>
      </c>
      <c r="M610" s="15" t="s">
        <v>10</v>
      </c>
      <c r="N610" s="15" t="s">
        <v>10</v>
      </c>
      <c r="O610" s="15" t="s">
        <v>10</v>
      </c>
      <c r="P610" s="15" t="s">
        <v>10</v>
      </c>
      <c r="Q610" s="8"/>
      <c r="R610" s="9" t="s">
        <v>614</v>
      </c>
    </row>
    <row r="611" spans="1:18" x14ac:dyDescent="0.25">
      <c r="A611" s="6" t="str">
        <f>HYPERLINK("proteomic_fractions_linear_files/Yang_linear_img/87298845.jpg", "87298845")</f>
        <v>87298845</v>
      </c>
      <c r="B611" s="7"/>
      <c r="C611" s="6" t="str">
        <f>HYPERLINK("http://www.ncbi.nlm.nih.gov/protein/87298845","Aspm")</f>
        <v>Aspm</v>
      </c>
      <c r="D611" s="8"/>
      <c r="E611" s="8">
        <v>364089</v>
      </c>
      <c r="F611" s="8"/>
      <c r="G611" s="15" t="s">
        <v>10</v>
      </c>
      <c r="H611" s="15" t="s">
        <v>10</v>
      </c>
      <c r="I611" s="15" t="s">
        <v>10</v>
      </c>
      <c r="J611" s="15" t="s">
        <v>10</v>
      </c>
      <c r="K611" s="15">
        <v>1.1237460377457138</v>
      </c>
      <c r="L611" s="15">
        <v>1.1237460377457138</v>
      </c>
      <c r="M611" s="15" t="s">
        <v>10</v>
      </c>
      <c r="N611" s="15" t="s">
        <v>10</v>
      </c>
      <c r="O611" s="15" t="s">
        <v>10</v>
      </c>
      <c r="P611" s="15" t="s">
        <v>10</v>
      </c>
      <c r="Q611" s="8"/>
      <c r="R611" s="9" t="s">
        <v>615</v>
      </c>
    </row>
    <row r="612" spans="1:18" x14ac:dyDescent="0.25">
      <c r="A612" s="6" t="str">
        <f>HYPERLINK("proteomic_fractions_linear_files/Yang_linear_img/255982537.jpg", "255982537")</f>
        <v>255982537</v>
      </c>
      <c r="B612" s="7"/>
      <c r="C612" s="6" t="str">
        <f>HYPERLINK("http://www.ncbi.nlm.nih.gov/protein/255982537","Aspscr1")</f>
        <v>Aspscr1</v>
      </c>
      <c r="D612" s="8"/>
      <c r="E612" s="8">
        <v>48750</v>
      </c>
      <c r="F612" s="8"/>
      <c r="G612" s="15" t="s">
        <v>10</v>
      </c>
      <c r="H612" s="15" t="s">
        <v>10</v>
      </c>
      <c r="I612" s="15" t="s">
        <v>10</v>
      </c>
      <c r="J612" s="15" t="s">
        <v>10</v>
      </c>
      <c r="K612" s="15" t="s">
        <v>10</v>
      </c>
      <c r="L612" s="15" t="s">
        <v>10</v>
      </c>
      <c r="M612" s="15">
        <v>1.4986971477894335</v>
      </c>
      <c r="N612" s="15">
        <v>1.4986971477894335</v>
      </c>
      <c r="O612" s="15" t="s">
        <v>10</v>
      </c>
      <c r="P612" s="15" t="s">
        <v>10</v>
      </c>
      <c r="Q612" s="8"/>
      <c r="R612" s="9" t="s">
        <v>616</v>
      </c>
    </row>
    <row r="613" spans="1:18" x14ac:dyDescent="0.25">
      <c r="A613" s="6" t="str">
        <f>HYPERLINK("proteomic_fractions_linear_files/Yang_linear_img/38016200.jpg", "38016200")</f>
        <v>38016200</v>
      </c>
      <c r="B613" s="7"/>
      <c r="C613" s="6" t="str">
        <f>HYPERLINK("http://www.ncbi.nlm.nih.gov/protein/38016200","Aspscr1")</f>
        <v>Aspscr1</v>
      </c>
      <c r="D613" s="8"/>
      <c r="E613" s="8">
        <v>51215</v>
      </c>
      <c r="F613" s="8"/>
      <c r="G613" s="15" t="s">
        <v>10</v>
      </c>
      <c r="H613" s="15" t="s">
        <v>10</v>
      </c>
      <c r="I613" s="15" t="s">
        <v>10</v>
      </c>
      <c r="J613" s="15" t="s">
        <v>10</v>
      </c>
      <c r="K613" s="15" t="s">
        <v>10</v>
      </c>
      <c r="L613" s="15" t="s">
        <v>10</v>
      </c>
      <c r="M613" s="15">
        <v>1.4399247106212205</v>
      </c>
      <c r="N613" s="15">
        <v>1.4399247106212205</v>
      </c>
      <c r="O613" s="15" t="s">
        <v>10</v>
      </c>
      <c r="P613" s="15" t="s">
        <v>10</v>
      </c>
      <c r="Q613" s="8"/>
      <c r="R613" s="9" t="s">
        <v>617</v>
      </c>
    </row>
    <row r="614" spans="1:18" x14ac:dyDescent="0.25">
      <c r="A614" s="6" t="str">
        <f>HYPERLINK("proteomic_fractions_linear_files/Yang_linear_img/30794438.jpg", "30794438")</f>
        <v>30794438</v>
      </c>
      <c r="B614" s="7"/>
      <c r="C614" s="6" t="str">
        <f>HYPERLINK("http://www.ncbi.nlm.nih.gov/protein/30794438","Aspscr1")</f>
        <v>Aspscr1</v>
      </c>
      <c r="D614" s="8"/>
      <c r="E614" s="8">
        <v>59665</v>
      </c>
      <c r="F614" s="8"/>
      <c r="G614" s="15" t="s">
        <v>10</v>
      </c>
      <c r="H614" s="15" t="s">
        <v>10</v>
      </c>
      <c r="I614" s="15">
        <v>1.2239360040280374</v>
      </c>
      <c r="J614" s="15">
        <v>1.2239360040280374</v>
      </c>
      <c r="K614" s="15" t="s">
        <v>10</v>
      </c>
      <c r="L614" s="15" t="s">
        <v>10</v>
      </c>
      <c r="M614" s="15">
        <v>1.2239360040280374</v>
      </c>
      <c r="N614" s="15">
        <v>1.2239360040280374</v>
      </c>
      <c r="O614" s="15">
        <v>1.2239360040280374</v>
      </c>
      <c r="P614" s="15">
        <v>1.2239360040280374</v>
      </c>
      <c r="Q614" s="8"/>
      <c r="R614" s="9" t="s">
        <v>618</v>
      </c>
    </row>
    <row r="615" spans="1:18" x14ac:dyDescent="0.25">
      <c r="A615" s="6" t="str">
        <f>HYPERLINK("proteomic_fractions_linear_files/Yang_linear_img/6996911.jpg", "6996911")</f>
        <v>6996911</v>
      </c>
      <c r="B615" s="7"/>
      <c r="C615" s="6" t="str">
        <f>HYPERLINK("http://www.ncbi.nlm.nih.gov/protein/6996911","Ass1")</f>
        <v>Ass1</v>
      </c>
      <c r="D615" s="8"/>
      <c r="E615" s="8">
        <v>46454</v>
      </c>
      <c r="F615" s="8"/>
      <c r="G615" s="15" t="s">
        <v>10</v>
      </c>
      <c r="H615" s="15" t="s">
        <v>10</v>
      </c>
      <c r="I615" s="15">
        <v>0.95925194015142323</v>
      </c>
      <c r="J615" s="15">
        <v>0.95925194015142323</v>
      </c>
      <c r="K615" s="15">
        <v>0.95925194015142323</v>
      </c>
      <c r="L615" s="15">
        <v>0.95925194015142323</v>
      </c>
      <c r="M615" s="15">
        <v>0.95925194015142323</v>
      </c>
      <c r="N615" s="15">
        <v>0.95925194015142323</v>
      </c>
      <c r="O615" s="15">
        <v>0.88059387398310318</v>
      </c>
      <c r="P615" s="15">
        <v>0.88059387398310318</v>
      </c>
      <c r="Q615" s="8"/>
      <c r="R615" s="9" t="s">
        <v>619</v>
      </c>
    </row>
    <row r="616" spans="1:18" x14ac:dyDescent="0.25">
      <c r="A616" s="6" t="str">
        <f>HYPERLINK("proteomic_fractions_linear_files/Yang_linear_img/31560168.jpg", "31560168")</f>
        <v>31560168</v>
      </c>
      <c r="B616" s="7"/>
      <c r="C616" s="6" t="str">
        <f>HYPERLINK("http://www.ncbi.nlm.nih.gov/protein/31560168","Atad1")</f>
        <v>Atad1</v>
      </c>
      <c r="D616" s="8"/>
      <c r="E616" s="8">
        <v>40613</v>
      </c>
      <c r="F616" s="8"/>
      <c r="G616" s="15" t="s">
        <v>10</v>
      </c>
      <c r="H616" s="15" t="s">
        <v>10</v>
      </c>
      <c r="I616" s="15">
        <v>0.84276528123110206</v>
      </c>
      <c r="J616" s="15">
        <v>0.84276528123110206</v>
      </c>
      <c r="K616" s="15">
        <v>0.91076405910059977</v>
      </c>
      <c r="L616" s="15">
        <v>0.91076405910059977</v>
      </c>
      <c r="M616" s="15" t="s">
        <v>10</v>
      </c>
      <c r="N616" s="15" t="s">
        <v>10</v>
      </c>
      <c r="O616" s="15" t="s">
        <v>10</v>
      </c>
      <c r="P616" s="15" t="s">
        <v>10</v>
      </c>
      <c r="Q616" s="8"/>
      <c r="R616" s="9" t="s">
        <v>620</v>
      </c>
    </row>
    <row r="617" spans="1:18" x14ac:dyDescent="0.25">
      <c r="A617" s="6" t="str">
        <f>HYPERLINK("proteomic_fractions_linear_files/Yang_linear_img/91199557.jpg", "91199557")</f>
        <v>91199557</v>
      </c>
      <c r="B617" s="7"/>
      <c r="C617" s="6" t="str">
        <f>HYPERLINK("http://www.ncbi.nlm.nih.gov/protein/91199557","Atad2")</f>
        <v>Atad2</v>
      </c>
      <c r="D617" s="8"/>
      <c r="E617" s="8">
        <v>155154</v>
      </c>
      <c r="F617" s="8"/>
      <c r="G617" s="15">
        <v>1.2049408492899378</v>
      </c>
      <c r="H617" s="15">
        <v>1.2049408492899378</v>
      </c>
      <c r="I617" s="15" t="s">
        <v>10</v>
      </c>
      <c r="J617" s="15" t="s">
        <v>10</v>
      </c>
      <c r="K617" s="15" t="s">
        <v>10</v>
      </c>
      <c r="L617" s="15" t="s">
        <v>10</v>
      </c>
      <c r="M617" s="15" t="s">
        <v>10</v>
      </c>
      <c r="N617" s="15" t="s">
        <v>10</v>
      </c>
      <c r="O617" s="15" t="s">
        <v>10</v>
      </c>
      <c r="P617" s="15" t="s">
        <v>10</v>
      </c>
      <c r="Q617" s="8"/>
      <c r="R617" s="9" t="s">
        <v>621</v>
      </c>
    </row>
    <row r="618" spans="1:18" x14ac:dyDescent="0.25">
      <c r="A618" s="6" t="str">
        <f>HYPERLINK("proteomic_fractions_linear_files/Yang_linear_img/239985513.jpg", "239985513")</f>
        <v>239985513</v>
      </c>
      <c r="B618" s="7"/>
      <c r="C618" s="6" t="str">
        <f>HYPERLINK("http://www.ncbi.nlm.nih.gov/protein/239985513","Atad3a")</f>
        <v>Atad3a</v>
      </c>
      <c r="D618" s="8"/>
      <c r="E618" s="8">
        <v>66611</v>
      </c>
      <c r="F618" s="8"/>
      <c r="G618" s="15">
        <v>1.2402784846737889</v>
      </c>
      <c r="H618" s="15">
        <v>1.2402784846737889</v>
      </c>
      <c r="I618" s="15">
        <v>0.97691437806782588</v>
      </c>
      <c r="J618" s="15">
        <v>0.97691437806782588</v>
      </c>
      <c r="K618" s="15">
        <v>1.0960620931594365</v>
      </c>
      <c r="L618" s="15">
        <v>1.0960620931594365</v>
      </c>
      <c r="M618" s="15" t="s">
        <v>10</v>
      </c>
      <c r="N618" s="15" t="s">
        <v>10</v>
      </c>
      <c r="O618" s="15" t="s">
        <v>10</v>
      </c>
      <c r="P618" s="15" t="s">
        <v>10</v>
      </c>
      <c r="Q618" s="8"/>
      <c r="R618" s="9" t="s">
        <v>622</v>
      </c>
    </row>
    <row r="619" spans="1:18" x14ac:dyDescent="0.25">
      <c r="A619" s="6" t="str">
        <f>HYPERLINK("proteomic_fractions_linear_files/Yang_linear_img/209862913.jpg", "209862913")</f>
        <v>209862913</v>
      </c>
      <c r="B619" s="7"/>
      <c r="C619" s="6" t="str">
        <f>HYPERLINK("http://www.ncbi.nlm.nih.gov/protein/209862913","Ate1")</f>
        <v>Ate1</v>
      </c>
      <c r="D619" s="8"/>
      <c r="E619" s="8">
        <v>58917</v>
      </c>
      <c r="F619" s="8"/>
      <c r="G619" s="15" t="s">
        <v>10</v>
      </c>
      <c r="H619" s="15" t="s">
        <v>10</v>
      </c>
      <c r="I619" s="15" t="s">
        <v>10</v>
      </c>
      <c r="J619" s="15" t="s">
        <v>10</v>
      </c>
      <c r="K619" s="15" t="s">
        <v>10</v>
      </c>
      <c r="L619" s="15" t="s">
        <v>10</v>
      </c>
      <c r="M619" s="15" t="s">
        <v>10</v>
      </c>
      <c r="N619" s="15" t="s">
        <v>10</v>
      </c>
      <c r="O619" s="15">
        <v>1.1093773445854971</v>
      </c>
      <c r="P619" s="15">
        <v>1.1093773445854971</v>
      </c>
      <c r="Q619" s="8"/>
      <c r="R619" s="9" t="s">
        <v>623</v>
      </c>
    </row>
    <row r="620" spans="1:18" x14ac:dyDescent="0.25">
      <c r="A620" s="6" t="str">
        <f>HYPERLINK("proteomic_fractions_linear_files/Yang_linear_img/31542151.jpg", "31542151")</f>
        <v>31542151</v>
      </c>
      <c r="B620" s="7"/>
      <c r="C620" s="6" t="str">
        <f>HYPERLINK("http://www.ncbi.nlm.nih.gov/protein/31542151","Ate1")</f>
        <v>Ate1</v>
      </c>
      <c r="D620" s="8"/>
      <c r="E620" s="8">
        <v>59016</v>
      </c>
      <c r="F620" s="8"/>
      <c r="G620" s="15" t="s">
        <v>10</v>
      </c>
      <c r="H620" s="15" t="s">
        <v>10</v>
      </c>
      <c r="I620" s="15" t="s">
        <v>10</v>
      </c>
      <c r="J620" s="15" t="s">
        <v>10</v>
      </c>
      <c r="K620" s="15" t="s">
        <v>10</v>
      </c>
      <c r="L620" s="15" t="s">
        <v>10</v>
      </c>
      <c r="M620" s="15" t="s">
        <v>10</v>
      </c>
      <c r="N620" s="15" t="s">
        <v>10</v>
      </c>
      <c r="O620" s="15">
        <v>1.1093773445854971</v>
      </c>
      <c r="P620" s="15">
        <v>1.1093773445854971</v>
      </c>
      <c r="Q620" s="8"/>
      <c r="R620" s="9" t="s">
        <v>624</v>
      </c>
    </row>
    <row r="621" spans="1:18" x14ac:dyDescent="0.25">
      <c r="A621" s="6" t="str">
        <f>HYPERLINK("proteomic_fractions_linear_files/Yang_linear_img/405113032.jpg", "405113032")</f>
        <v>405113032</v>
      </c>
      <c r="B621" s="7"/>
      <c r="C621" s="6" t="str">
        <f>HYPERLINK("http://www.ncbi.nlm.nih.gov/protein/405113032","Ate1")</f>
        <v>Ate1</v>
      </c>
      <c r="D621" s="8"/>
      <c r="E621" s="8">
        <v>58090</v>
      </c>
      <c r="F621" s="8"/>
      <c r="G621" s="15" t="s">
        <v>10</v>
      </c>
      <c r="H621" s="15" t="s">
        <v>10</v>
      </c>
      <c r="I621" s="15" t="s">
        <v>10</v>
      </c>
      <c r="J621" s="15" t="s">
        <v>10</v>
      </c>
      <c r="K621" s="15" t="s">
        <v>10</v>
      </c>
      <c r="L621" s="15" t="s">
        <v>10</v>
      </c>
      <c r="M621" s="15" t="s">
        <v>10</v>
      </c>
      <c r="N621" s="15" t="s">
        <v>10</v>
      </c>
      <c r="O621" s="15">
        <v>1.1285045401817988</v>
      </c>
      <c r="P621" s="15">
        <v>1.1285045401817988</v>
      </c>
      <c r="Q621" s="8"/>
      <c r="R621" s="9" t="s">
        <v>625</v>
      </c>
    </row>
    <row r="622" spans="1:18" x14ac:dyDescent="0.25">
      <c r="A622" s="6" t="str">
        <f>HYPERLINK("proteomic_fractions_linear_files/Yang_linear_img/71274127.jpg", "71274127")</f>
        <v>71274127</v>
      </c>
      <c r="B622" s="7"/>
      <c r="C622" s="6" t="str">
        <f>HYPERLINK("http://www.ncbi.nlm.nih.gov/protein/71274127","Ate1")</f>
        <v>Ate1</v>
      </c>
      <c r="D622" s="8"/>
      <c r="E622" s="8">
        <v>58189</v>
      </c>
      <c r="F622" s="8"/>
      <c r="G622" s="15" t="s">
        <v>10</v>
      </c>
      <c r="H622" s="15" t="s">
        <v>10</v>
      </c>
      <c r="I622" s="15" t="s">
        <v>10</v>
      </c>
      <c r="J622" s="15" t="s">
        <v>10</v>
      </c>
      <c r="K622" s="15" t="s">
        <v>10</v>
      </c>
      <c r="L622" s="15" t="s">
        <v>10</v>
      </c>
      <c r="M622" s="15" t="s">
        <v>10</v>
      </c>
      <c r="N622" s="15" t="s">
        <v>10</v>
      </c>
      <c r="O622" s="15">
        <v>1.1285045401817988</v>
      </c>
      <c r="P622" s="15">
        <v>1.1285045401817988</v>
      </c>
      <c r="Q622" s="8"/>
      <c r="R622" s="9" t="s">
        <v>626</v>
      </c>
    </row>
    <row r="623" spans="1:18" x14ac:dyDescent="0.25">
      <c r="A623" s="6" t="str">
        <f>HYPERLINK("proteomic_fractions_linear_files/Yang_linear_img/124486811.jpg", "124486811")</f>
        <v>124486811</v>
      </c>
      <c r="B623" s="7"/>
      <c r="C623" s="6" t="str">
        <f>HYPERLINK("http://www.ncbi.nlm.nih.gov/protein/124486811","Atf6")</f>
        <v>Atf6</v>
      </c>
      <c r="D623" s="8"/>
      <c r="E623" s="8">
        <v>72564</v>
      </c>
      <c r="F623" s="8"/>
      <c r="G623" s="15" t="s">
        <v>10</v>
      </c>
      <c r="H623" s="15" t="s">
        <v>10</v>
      </c>
      <c r="I623" s="15" t="s">
        <v>10</v>
      </c>
      <c r="J623" s="15" t="s">
        <v>10</v>
      </c>
      <c r="K623" s="15" t="s">
        <v>10</v>
      </c>
      <c r="L623" s="15" t="s">
        <v>10</v>
      </c>
      <c r="M623" s="15" t="s">
        <v>10</v>
      </c>
      <c r="N623" s="15" t="s">
        <v>10</v>
      </c>
      <c r="O623" s="15">
        <v>1.5041310112483763</v>
      </c>
      <c r="P623" s="15">
        <v>1.5041310112483763</v>
      </c>
      <c r="Q623" s="8"/>
      <c r="R623" s="9" t="s">
        <v>627</v>
      </c>
    </row>
    <row r="624" spans="1:18" x14ac:dyDescent="0.25">
      <c r="A624" s="6" t="str">
        <f>HYPERLINK("proteomic_fractions_linear_files/Yang_linear_img/34328232.jpg", "34328232")</f>
        <v>34328232</v>
      </c>
      <c r="B624" s="7"/>
      <c r="C624" s="6" t="str">
        <f>HYPERLINK("http://www.ncbi.nlm.nih.gov/protein/34328232","Atf7ip")</f>
        <v>Atf7ip</v>
      </c>
      <c r="D624" s="8"/>
      <c r="E624" s="8">
        <v>138462</v>
      </c>
      <c r="F624" s="8"/>
      <c r="G624" s="15" t="s">
        <v>10</v>
      </c>
      <c r="H624" s="15" t="s">
        <v>10</v>
      </c>
      <c r="I624" s="15" t="s">
        <v>10</v>
      </c>
      <c r="J624" s="15" t="s">
        <v>10</v>
      </c>
      <c r="K624" s="15" t="s">
        <v>10</v>
      </c>
      <c r="L624" s="15" t="s">
        <v>10</v>
      </c>
      <c r="M624" s="15" t="s">
        <v>10</v>
      </c>
      <c r="N624" s="15" t="s">
        <v>10</v>
      </c>
      <c r="O624" s="15">
        <v>1.6910206349844135</v>
      </c>
      <c r="P624" s="15">
        <v>1.6910206349844135</v>
      </c>
      <c r="Q624" s="8"/>
      <c r="R624" s="9" t="s">
        <v>628</v>
      </c>
    </row>
    <row r="625" spans="1:18" x14ac:dyDescent="0.25">
      <c r="A625" s="6" t="str">
        <f>HYPERLINK("proteomic_fractions_linear_files/Yang_linear_img/27777650.jpg", "27777650")</f>
        <v>27777650</v>
      </c>
      <c r="B625" s="7"/>
      <c r="C625" s="6" t="str">
        <f>HYPERLINK("http://www.ncbi.nlm.nih.gov/protein/27777650","Atg16l1")</f>
        <v>Atg16l1</v>
      </c>
      <c r="D625" s="8"/>
      <c r="E625" s="8">
        <v>68041</v>
      </c>
      <c r="F625" s="8"/>
      <c r="G625" s="15" t="s">
        <v>10</v>
      </c>
      <c r="H625" s="15" t="s">
        <v>10</v>
      </c>
      <c r="I625" s="15" t="s">
        <v>10</v>
      </c>
      <c r="J625" s="15" t="s">
        <v>10</v>
      </c>
      <c r="K625" s="15">
        <v>1.0799435329659153</v>
      </c>
      <c r="L625" s="15">
        <v>1.0799435329659153</v>
      </c>
      <c r="M625" s="15" t="s">
        <v>10</v>
      </c>
      <c r="N625" s="15" t="s">
        <v>10</v>
      </c>
      <c r="O625" s="15">
        <v>0.96254799015506365</v>
      </c>
      <c r="P625" s="15">
        <v>0.96254799015506365</v>
      </c>
      <c r="Q625" s="8"/>
      <c r="R625" s="9" t="s">
        <v>629</v>
      </c>
    </row>
    <row r="626" spans="1:18" x14ac:dyDescent="0.25">
      <c r="A626" s="6" t="str">
        <f>HYPERLINK("proteomic_fractions_linear_files/Yang_linear_img/329663747.jpg", "329663747")</f>
        <v>329663747</v>
      </c>
      <c r="B626" s="7"/>
      <c r="C626" s="6" t="str">
        <f>HYPERLINK("http://www.ncbi.nlm.nih.gov/protein/329663747","Atg16l1")</f>
        <v>Atg16l1</v>
      </c>
      <c r="D626" s="8"/>
      <c r="E626" s="8">
        <v>69700</v>
      </c>
      <c r="F626" s="8"/>
      <c r="G626" s="15" t="s">
        <v>10</v>
      </c>
      <c r="H626" s="15" t="s">
        <v>10</v>
      </c>
      <c r="I626" s="15" t="s">
        <v>10</v>
      </c>
      <c r="J626" s="15" t="s">
        <v>10</v>
      </c>
      <c r="K626" s="15">
        <v>1.0490880034526036</v>
      </c>
      <c r="L626" s="15">
        <v>1.0490880034526036</v>
      </c>
      <c r="M626" s="15" t="s">
        <v>10</v>
      </c>
      <c r="N626" s="15" t="s">
        <v>10</v>
      </c>
      <c r="O626" s="15">
        <v>0.93504661900777619</v>
      </c>
      <c r="P626" s="15">
        <v>0.93504661900777619</v>
      </c>
      <c r="Q626" s="8"/>
      <c r="R626" s="9" t="s">
        <v>630</v>
      </c>
    </row>
    <row r="627" spans="1:18" x14ac:dyDescent="0.25">
      <c r="A627" s="6" t="str">
        <f>HYPERLINK("proteomic_fractions_linear_files/Yang_linear_img/329663755.jpg", "329663755")</f>
        <v>329663755</v>
      </c>
      <c r="B627" s="7"/>
      <c r="C627" s="6" t="str">
        <f>HYPERLINK("http://www.ncbi.nlm.nih.gov/protein/329663755","Atg16l1")</f>
        <v>Atg16l1</v>
      </c>
      <c r="D627" s="8"/>
      <c r="E627" s="8">
        <v>66072</v>
      </c>
      <c r="F627" s="8"/>
      <c r="G627" s="15" t="s">
        <v>10</v>
      </c>
      <c r="H627" s="15" t="s">
        <v>10</v>
      </c>
      <c r="I627" s="15" t="s">
        <v>10</v>
      </c>
      <c r="J627" s="15" t="s">
        <v>10</v>
      </c>
      <c r="K627" s="15">
        <v>1.1126690945709432</v>
      </c>
      <c r="L627" s="15">
        <v>1.1126690945709432</v>
      </c>
      <c r="M627" s="15" t="s">
        <v>10</v>
      </c>
      <c r="N627" s="15" t="s">
        <v>10</v>
      </c>
      <c r="O627" s="15">
        <v>0.99171611106885349</v>
      </c>
      <c r="P627" s="15">
        <v>0.99171611106885349</v>
      </c>
      <c r="Q627" s="8"/>
      <c r="R627" s="9" t="s">
        <v>631</v>
      </c>
    </row>
    <row r="628" spans="1:18" x14ac:dyDescent="0.25">
      <c r="A628" s="6" t="str">
        <f>HYPERLINK("proteomic_fractions_linear_files/Yang_linear_img/118197274.jpg", "118197274")</f>
        <v>118197274</v>
      </c>
      <c r="B628" s="7"/>
      <c r="C628" s="6" t="str">
        <f>HYPERLINK("http://www.ncbi.nlm.nih.gov/protein/118197274","Atg2b")</f>
        <v>Atg2b</v>
      </c>
      <c r="D628" s="8"/>
      <c r="E628" s="8">
        <v>231269</v>
      </c>
      <c r="F628" s="8"/>
      <c r="G628" s="15" t="s">
        <v>10</v>
      </c>
      <c r="H628" s="15" t="s">
        <v>10</v>
      </c>
      <c r="I628" s="15" t="s">
        <v>10</v>
      </c>
      <c r="J628" s="15" t="s">
        <v>10</v>
      </c>
      <c r="K628" s="15" t="s">
        <v>10</v>
      </c>
      <c r="L628" s="15" t="s">
        <v>10</v>
      </c>
      <c r="M628" s="15" t="s">
        <v>10</v>
      </c>
      <c r="N628" s="15" t="s">
        <v>10</v>
      </c>
      <c r="O628" s="15">
        <v>1.0102201196010783</v>
      </c>
      <c r="P628" s="15">
        <v>1.0102201196010783</v>
      </c>
      <c r="Q628" s="8"/>
      <c r="R628" s="9" t="s">
        <v>632</v>
      </c>
    </row>
    <row r="629" spans="1:18" x14ac:dyDescent="0.25">
      <c r="A629" s="6" t="str">
        <f>HYPERLINK("proteomic_fractions_linear_files/Yang_linear_img/13385890.jpg", "13385890")</f>
        <v>13385890</v>
      </c>
      <c r="B629" s="7"/>
      <c r="C629" s="6" t="str">
        <f>HYPERLINK("http://www.ncbi.nlm.nih.gov/protein/13385890","Atg3")</f>
        <v>Atg3</v>
      </c>
      <c r="D629" s="8"/>
      <c r="E629" s="8">
        <v>35665</v>
      </c>
      <c r="F629" s="8"/>
      <c r="G629" s="15" t="s">
        <v>10</v>
      </c>
      <c r="H629" s="15" t="s">
        <v>10</v>
      </c>
      <c r="I629" s="15" t="s">
        <v>10</v>
      </c>
      <c r="J629" s="15" t="s">
        <v>10</v>
      </c>
      <c r="K629" s="15">
        <v>1.125203283422854</v>
      </c>
      <c r="L629" s="15">
        <v>1.125203283422854</v>
      </c>
      <c r="M629" s="15" t="s">
        <v>10</v>
      </c>
      <c r="N629" s="15" t="s">
        <v>10</v>
      </c>
      <c r="O629" s="15">
        <v>0.95981601473542177</v>
      </c>
      <c r="P629" s="15">
        <v>0.95981601473542177</v>
      </c>
      <c r="Q629" s="8"/>
      <c r="R629" s="9" t="s">
        <v>633</v>
      </c>
    </row>
    <row r="630" spans="1:18" x14ac:dyDescent="0.25">
      <c r="A630" s="6" t="str">
        <f>HYPERLINK("proteomic_fractions_linear_files/Yang_linear_img/27883848.jpg", "27883848")</f>
        <v>27883848</v>
      </c>
      <c r="B630" s="7"/>
      <c r="C630" s="6" t="str">
        <f>HYPERLINK("http://www.ncbi.nlm.nih.gov/protein/27883848","Atg4b")</f>
        <v>Atg4b</v>
      </c>
      <c r="D630" s="8"/>
      <c r="E630" s="8">
        <v>44272</v>
      </c>
      <c r="F630" s="8"/>
      <c r="G630" s="15" t="s">
        <v>10</v>
      </c>
      <c r="H630" s="15" t="s">
        <v>10</v>
      </c>
      <c r="I630" s="15" t="s">
        <v>10</v>
      </c>
      <c r="J630" s="15" t="s">
        <v>10</v>
      </c>
      <c r="K630" s="15" t="s">
        <v>10</v>
      </c>
      <c r="L630" s="15" t="s">
        <v>10</v>
      </c>
      <c r="M630" s="15" t="s">
        <v>10</v>
      </c>
      <c r="N630" s="15" t="s">
        <v>10</v>
      </c>
      <c r="O630" s="15">
        <v>1.0028543010673969</v>
      </c>
      <c r="P630" s="15">
        <v>1.0028543010673969</v>
      </c>
      <c r="Q630" s="8"/>
      <c r="R630" s="9" t="s">
        <v>634</v>
      </c>
    </row>
    <row r="631" spans="1:18" x14ac:dyDescent="0.25">
      <c r="A631" s="6" t="str">
        <f>HYPERLINK("proteomic_fractions_linear_files/Yang_linear_img/16716341.jpg", "16716341")</f>
        <v>16716341</v>
      </c>
      <c r="B631" s="7"/>
      <c r="C631" s="6" t="str">
        <f>HYPERLINK("http://www.ncbi.nlm.nih.gov/protein/16716341","Atg5")</f>
        <v>Atg5</v>
      </c>
      <c r="D631" s="8"/>
      <c r="E631" s="8">
        <v>32271</v>
      </c>
      <c r="F631" s="8"/>
      <c r="G631" s="15" t="s">
        <v>10</v>
      </c>
      <c r="H631" s="15" t="s">
        <v>10</v>
      </c>
      <c r="I631" s="15" t="s">
        <v>10</v>
      </c>
      <c r="J631" s="15" t="s">
        <v>10</v>
      </c>
      <c r="K631" s="15">
        <v>1.8366627370498079</v>
      </c>
      <c r="L631" s="15">
        <v>1.8366627370498079</v>
      </c>
      <c r="M631" s="15">
        <v>1.8366627370498079</v>
      </c>
      <c r="N631" s="15">
        <v>1.8366627370498079</v>
      </c>
      <c r="O631" s="15">
        <v>1.6600178009375337</v>
      </c>
      <c r="P631" s="15">
        <v>1.6600178009375337</v>
      </c>
      <c r="Q631" s="8"/>
      <c r="R631" s="9" t="s">
        <v>635</v>
      </c>
    </row>
    <row r="632" spans="1:18" x14ac:dyDescent="0.25">
      <c r="A632" s="6" t="str">
        <f>HYPERLINK("proteomic_fractions_linear_files/Yang_linear_img/22550098.jpg", "22550098")</f>
        <v>22550098</v>
      </c>
      <c r="B632" s="7"/>
      <c r="C632" s="6" t="str">
        <f>HYPERLINK("http://www.ncbi.nlm.nih.gov/protein/22550098","Atg7")</f>
        <v>Atg7</v>
      </c>
      <c r="D632" s="8"/>
      <c r="E632" s="8">
        <v>77389</v>
      </c>
      <c r="F632" s="8"/>
      <c r="G632" s="15" t="s">
        <v>10</v>
      </c>
      <c r="H632" s="15" t="s">
        <v>10</v>
      </c>
      <c r="I632" s="15">
        <v>1.079203356794076</v>
      </c>
      <c r="J632" s="15">
        <v>1.079203356794076</v>
      </c>
      <c r="K632" s="15" t="s">
        <v>10</v>
      </c>
      <c r="L632" s="15" t="s">
        <v>10</v>
      </c>
      <c r="M632" s="15" t="s">
        <v>10</v>
      </c>
      <c r="N632" s="15" t="s">
        <v>10</v>
      </c>
      <c r="O632" s="15" t="s">
        <v>10</v>
      </c>
      <c r="P632" s="15" t="s">
        <v>10</v>
      </c>
      <c r="Q632" s="8"/>
      <c r="R632" s="9" t="s">
        <v>636</v>
      </c>
    </row>
    <row r="633" spans="1:18" x14ac:dyDescent="0.25">
      <c r="A633" s="6" t="str">
        <f>HYPERLINK("proteomic_fractions_linear_files/Yang_linear_img/22550098;358679371.jpg", "22550098;358679371")</f>
        <v>22550098;358679371</v>
      </c>
      <c r="B633" s="8"/>
      <c r="C633" s="6" t="str">
        <f>HYPERLINK("http://www.ncbi.nlm.nih.gov/protein/22550098;358679371","Atg7")</f>
        <v>Atg7</v>
      </c>
      <c r="D633" s="8"/>
      <c r="E633" s="8">
        <v>77389</v>
      </c>
      <c r="F633" s="8"/>
      <c r="G633" s="15" t="s">
        <v>10</v>
      </c>
      <c r="H633" s="15" t="s">
        <v>10</v>
      </c>
      <c r="I633" s="15" t="s">
        <v>10</v>
      </c>
      <c r="J633" s="15" t="s">
        <v>10</v>
      </c>
      <c r="K633" s="15">
        <v>1.079203356794076</v>
      </c>
      <c r="L633" s="15">
        <v>1.079203356794076</v>
      </c>
      <c r="M633" s="15">
        <v>1.079203356794076</v>
      </c>
      <c r="N633" s="15">
        <v>1.079203356794076</v>
      </c>
      <c r="O633" s="15">
        <v>0.95371636677509408</v>
      </c>
      <c r="P633" s="15">
        <v>0.95371636677509408</v>
      </c>
      <c r="Q633" s="8"/>
      <c r="R633" s="9" t="s">
        <v>636</v>
      </c>
    </row>
    <row r="634" spans="1:18" x14ac:dyDescent="0.25">
      <c r="A634" s="6" t="str">
        <f>HYPERLINK("proteomic_fractions_linear_files/Yang_linear_img/358679369.jpg", "358679369")</f>
        <v>358679369</v>
      </c>
      <c r="B634" s="7"/>
      <c r="C634" s="6" t="str">
        <f>HYPERLINK("http://www.ncbi.nlm.nih.gov/protein/358679369","Atg7")</f>
        <v>Atg7</v>
      </c>
      <c r="D634" s="8"/>
      <c r="E634" s="8">
        <v>82146</v>
      </c>
      <c r="F634" s="8"/>
      <c r="G634" s="15" t="s">
        <v>10</v>
      </c>
      <c r="H634" s="15" t="s">
        <v>10</v>
      </c>
      <c r="I634" s="15">
        <v>1.0133982740627299</v>
      </c>
      <c r="J634" s="15">
        <v>1.0133982740627299</v>
      </c>
      <c r="K634" s="15">
        <v>1.0133982740627299</v>
      </c>
      <c r="L634" s="15">
        <v>1.0133982740627299</v>
      </c>
      <c r="M634" s="15">
        <v>1.0133982740627299</v>
      </c>
      <c r="N634" s="15">
        <v>1.0133982740627299</v>
      </c>
      <c r="O634" s="15">
        <v>0.89556292977661278</v>
      </c>
      <c r="P634" s="15">
        <v>0.89556292977661278</v>
      </c>
      <c r="Q634" s="8"/>
      <c r="R634" s="9" t="s">
        <v>637</v>
      </c>
    </row>
    <row r="635" spans="1:18" x14ac:dyDescent="0.25">
      <c r="A635" s="6" t="str">
        <f>HYPERLINK("proteomic_fractions_linear_files/Yang_linear_img/227908823.jpg", "227908823")</f>
        <v>227908823</v>
      </c>
      <c r="B635" s="7"/>
      <c r="C635" s="6" t="str">
        <f>HYPERLINK("http://www.ncbi.nlm.nih.gov/protein/227908823","Atic")</f>
        <v>Atic</v>
      </c>
      <c r="D635" s="8"/>
      <c r="E635" s="8">
        <v>64087</v>
      </c>
      <c r="F635" s="8"/>
      <c r="G635" s="15" t="s">
        <v>10</v>
      </c>
      <c r="H635" s="15" t="s">
        <v>10</v>
      </c>
      <c r="I635" s="15">
        <v>1.0227072395397552</v>
      </c>
      <c r="J635" s="15">
        <v>1.0227072395397552</v>
      </c>
      <c r="K635" s="15">
        <v>1.0227072395397552</v>
      </c>
      <c r="L635" s="15">
        <v>1.0227072395397552</v>
      </c>
      <c r="M635" s="15">
        <v>1.0227072395397552</v>
      </c>
      <c r="N635" s="15">
        <v>1.0227072395397552</v>
      </c>
      <c r="O635" s="15">
        <v>1.0227072395397552</v>
      </c>
      <c r="P635" s="15">
        <v>1.0227072395397552</v>
      </c>
      <c r="Q635" s="8"/>
      <c r="R635" s="9" t="s">
        <v>638</v>
      </c>
    </row>
    <row r="636" spans="1:18" x14ac:dyDescent="0.25">
      <c r="A636" s="6" t="str">
        <f>HYPERLINK("proteomic_fractions_linear_files/Yang_linear_img/30519971.jpg", "30519971")</f>
        <v>30519971</v>
      </c>
      <c r="B636" s="7"/>
      <c r="C636" s="6" t="str">
        <f>HYPERLINK("http://www.ncbi.nlm.nih.gov/protein/30519971","Atl1")</f>
        <v>Atl1</v>
      </c>
      <c r="D636" s="8"/>
      <c r="E636" s="8">
        <v>63247</v>
      </c>
      <c r="F636" s="8"/>
      <c r="G636" s="15" t="s">
        <v>10</v>
      </c>
      <c r="H636" s="15" t="s">
        <v>10</v>
      </c>
      <c r="I636" s="15">
        <v>0.9329080569141881</v>
      </c>
      <c r="J636" s="15">
        <v>0.9329080569141881</v>
      </c>
      <c r="K636" s="15" t="s">
        <v>10</v>
      </c>
      <c r="L636" s="15" t="s">
        <v>10</v>
      </c>
      <c r="M636" s="15" t="s">
        <v>10</v>
      </c>
      <c r="N636" s="15" t="s">
        <v>10</v>
      </c>
      <c r="O636" s="15" t="s">
        <v>10</v>
      </c>
      <c r="P636" s="15" t="s">
        <v>10</v>
      </c>
      <c r="Q636" s="8"/>
      <c r="R636" s="9" t="s">
        <v>639</v>
      </c>
    </row>
    <row r="637" spans="1:18" x14ac:dyDescent="0.25">
      <c r="A637" s="6" t="str">
        <f>HYPERLINK("proteomic_fractions_linear_files/Yang_linear_img/557786119.jpg", "557786119")</f>
        <v>557786119</v>
      </c>
      <c r="B637" s="7"/>
      <c r="C637" s="6" t="str">
        <f>HYPERLINK("http://www.ncbi.nlm.nih.gov/protein/557786119","Atl2")</f>
        <v>Atl2</v>
      </c>
      <c r="D637" s="8"/>
      <c r="E637" s="8">
        <v>47250</v>
      </c>
      <c r="F637" s="8"/>
      <c r="G637" s="15">
        <v>1.2504937784168904</v>
      </c>
      <c r="H637" s="15">
        <v>1.2504937784168904</v>
      </c>
      <c r="I637" s="15" t="s">
        <v>10</v>
      </c>
      <c r="J637" s="15" t="s">
        <v>10</v>
      </c>
      <c r="K637" s="15" t="s">
        <v>10</v>
      </c>
      <c r="L637" s="15" t="s">
        <v>10</v>
      </c>
      <c r="M637" s="15" t="s">
        <v>10</v>
      </c>
      <c r="N637" s="15" t="s">
        <v>10</v>
      </c>
      <c r="O637" s="15" t="s">
        <v>10</v>
      </c>
      <c r="P637" s="15" t="s">
        <v>10</v>
      </c>
      <c r="Q637" s="8"/>
      <c r="R637" s="9" t="s">
        <v>640</v>
      </c>
    </row>
    <row r="638" spans="1:18" x14ac:dyDescent="0.25">
      <c r="A638" s="6" t="str">
        <f>HYPERLINK("proteomic_fractions_linear_files/Yang_linear_img/119372300.jpg", "119372300")</f>
        <v>119372300</v>
      </c>
      <c r="B638" s="7"/>
      <c r="C638" s="6" t="str">
        <f>HYPERLINK("http://www.ncbi.nlm.nih.gov/protein/119372300","Atl2")</f>
        <v>Atl2</v>
      </c>
      <c r="D638" s="8"/>
      <c r="E638" s="8">
        <v>66093</v>
      </c>
      <c r="F638" s="8"/>
      <c r="G638" s="15">
        <v>0.8905031452362705</v>
      </c>
      <c r="H638" s="15">
        <v>0.8905031452362705</v>
      </c>
      <c r="I638" s="15">
        <v>0.99171611106885349</v>
      </c>
      <c r="J638" s="15">
        <v>0.99171611106885349</v>
      </c>
      <c r="K638" s="15">
        <v>0.99171611106885349</v>
      </c>
      <c r="L638" s="15">
        <v>0.99171611106885349</v>
      </c>
      <c r="M638" s="15" t="s">
        <v>10</v>
      </c>
      <c r="N638" s="15" t="s">
        <v>10</v>
      </c>
      <c r="O638" s="15" t="s">
        <v>10</v>
      </c>
      <c r="P638" s="15" t="s">
        <v>10</v>
      </c>
      <c r="Q638" s="8"/>
      <c r="R638" s="9" t="s">
        <v>641</v>
      </c>
    </row>
    <row r="639" spans="1:18" x14ac:dyDescent="0.25">
      <c r="A639" s="6" t="str">
        <f>HYPERLINK("proteomic_fractions_linear_files/Yang_linear_img/119372304.jpg", "119372304")</f>
        <v>119372304</v>
      </c>
      <c r="B639" s="7"/>
      <c r="C639" s="6" t="str">
        <f>HYPERLINK("http://www.ncbi.nlm.nih.gov/protein/119372304","Atl2")</f>
        <v>Atl2</v>
      </c>
      <c r="D639" s="8"/>
      <c r="E639" s="8">
        <v>46745</v>
      </c>
      <c r="F639" s="8"/>
      <c r="G639" s="15">
        <v>1.2504937784168904</v>
      </c>
      <c r="H639" s="15">
        <v>1.2504937784168904</v>
      </c>
      <c r="I639" s="15">
        <v>1.3926226240541346</v>
      </c>
      <c r="J639" s="15">
        <v>1.3926226240541346</v>
      </c>
      <c r="K639" s="15">
        <v>1.3926226240541346</v>
      </c>
      <c r="L639" s="15">
        <v>1.3926226240541346</v>
      </c>
      <c r="M639" s="15" t="s">
        <v>10</v>
      </c>
      <c r="N639" s="15" t="s">
        <v>10</v>
      </c>
      <c r="O639" s="15" t="s">
        <v>10</v>
      </c>
      <c r="P639" s="15" t="s">
        <v>10</v>
      </c>
      <c r="Q639" s="8"/>
      <c r="R639" s="9" t="s">
        <v>642</v>
      </c>
    </row>
    <row r="640" spans="1:18" x14ac:dyDescent="0.25">
      <c r="A640" s="6" t="str">
        <f>HYPERLINK("proteomic_fractions_linear_files/Yang_linear_img/254826716.jpg", "254826716")</f>
        <v>254826716</v>
      </c>
      <c r="B640" s="7"/>
      <c r="C640" s="6" t="str">
        <f>HYPERLINK("http://www.ncbi.nlm.nih.gov/protein/254826716","Atl3")</f>
        <v>Atl3</v>
      </c>
      <c r="D640" s="8"/>
      <c r="E640" s="8">
        <v>60101</v>
      </c>
      <c r="F640" s="8"/>
      <c r="G640" s="15">
        <v>1.2239360040280374</v>
      </c>
      <c r="H640" s="15">
        <v>1.2239360040280374</v>
      </c>
      <c r="I640" s="15">
        <v>0.97955345975989749</v>
      </c>
      <c r="J640" s="15">
        <v>0.97955345975989749</v>
      </c>
      <c r="K640" s="15">
        <v>0.97955345975989749</v>
      </c>
      <c r="L640" s="15">
        <v>0.97955345975989749</v>
      </c>
      <c r="M640" s="15">
        <v>0.97955345975989749</v>
      </c>
      <c r="N640" s="15">
        <v>0.97955345975989749</v>
      </c>
      <c r="O640" s="15" t="s">
        <v>10</v>
      </c>
      <c r="P640" s="15" t="s">
        <v>10</v>
      </c>
      <c r="Q640" s="8"/>
      <c r="R640" s="9" t="s">
        <v>643</v>
      </c>
    </row>
    <row r="641" spans="1:18" x14ac:dyDescent="0.25">
      <c r="A641" s="6" t="str">
        <f>HYPERLINK("proteomic_fractions_linear_files/Yang_linear_img/254826718.jpg", "254826718")</f>
        <v>254826718</v>
      </c>
      <c r="B641" s="7"/>
      <c r="C641" s="6" t="str">
        <f>HYPERLINK("http://www.ncbi.nlm.nih.gov/protein/254826718","Atl3")</f>
        <v>Atl3</v>
      </c>
      <c r="D641" s="8"/>
      <c r="E641" s="8">
        <v>60444</v>
      </c>
      <c r="F641" s="8"/>
      <c r="G641" s="15">
        <v>1.2239360040280374</v>
      </c>
      <c r="H641" s="15">
        <v>1.2239360040280374</v>
      </c>
      <c r="I641" s="15">
        <v>0.97955345975989749</v>
      </c>
      <c r="J641" s="15">
        <v>0.97955345975989749</v>
      </c>
      <c r="K641" s="15">
        <v>0.97955345975989749</v>
      </c>
      <c r="L641" s="15">
        <v>0.97955345975989749</v>
      </c>
      <c r="M641" s="15">
        <v>0.97955345975989749</v>
      </c>
      <c r="N641" s="15">
        <v>0.97955345975989749</v>
      </c>
      <c r="O641" s="15" t="s">
        <v>10</v>
      </c>
      <c r="P641" s="15" t="s">
        <v>10</v>
      </c>
      <c r="Q641" s="8"/>
      <c r="R641" s="9" t="s">
        <v>644</v>
      </c>
    </row>
    <row r="642" spans="1:18" x14ac:dyDescent="0.25">
      <c r="A642" s="6" t="str">
        <f>HYPERLINK("proteomic_fractions_linear_files/Yang_linear_img/163838660.jpg", "163838660")</f>
        <v>163838660</v>
      </c>
      <c r="B642" s="7"/>
      <c r="C642" s="6" t="str">
        <f>HYPERLINK("http://www.ncbi.nlm.nih.gov/protein/163838660","Atm")</f>
        <v>Atm</v>
      </c>
      <c r="D642" s="8"/>
      <c r="E642" s="8">
        <v>349289</v>
      </c>
      <c r="F642" s="8"/>
      <c r="G642" s="15" t="s">
        <v>10</v>
      </c>
      <c r="H642" s="15" t="s">
        <v>10</v>
      </c>
      <c r="I642" s="15" t="s">
        <v>10</v>
      </c>
      <c r="J642" s="15" t="s">
        <v>10</v>
      </c>
      <c r="K642" s="15">
        <v>0.86470866658022572</v>
      </c>
      <c r="L642" s="15">
        <v>0.86470866658022572</v>
      </c>
      <c r="M642" s="15">
        <v>1.7005524517745105</v>
      </c>
      <c r="N642" s="15">
        <v>1.7005524517745105</v>
      </c>
      <c r="O642" s="15" t="s">
        <v>10</v>
      </c>
      <c r="P642" s="15" t="s">
        <v>10</v>
      </c>
      <c r="Q642" s="8"/>
      <c r="R642" s="9" t="s">
        <v>645</v>
      </c>
    </row>
    <row r="643" spans="1:18" x14ac:dyDescent="0.25">
      <c r="A643" s="6" t="str">
        <f>HYPERLINK("proteomic_fractions_linear_files/Yang_linear_img/239049657.jpg", "239049657")</f>
        <v>239049657</v>
      </c>
      <c r="B643" s="7"/>
      <c r="C643" s="6" t="str">
        <f>HYPERLINK("http://www.ncbi.nlm.nih.gov/protein/239049657","Atmin")</f>
        <v>Atmin</v>
      </c>
      <c r="D643" s="8"/>
      <c r="E643" s="8">
        <v>87293</v>
      </c>
      <c r="F643" s="8"/>
      <c r="G643" s="15" t="s">
        <v>10</v>
      </c>
      <c r="H643" s="15" t="s">
        <v>10</v>
      </c>
      <c r="I643" s="15" t="s">
        <v>10</v>
      </c>
      <c r="J643" s="15" t="s">
        <v>10</v>
      </c>
      <c r="K643" s="15" t="s">
        <v>10</v>
      </c>
      <c r="L643" s="15" t="s">
        <v>10</v>
      </c>
      <c r="M643" s="15" t="s">
        <v>10</v>
      </c>
      <c r="N643" s="15" t="s">
        <v>10</v>
      </c>
      <c r="O643" s="15">
        <v>0.9551569939441823</v>
      </c>
      <c r="P643" s="15">
        <v>0.9551569939441823</v>
      </c>
      <c r="Q643" s="8"/>
      <c r="R643" s="9" t="s">
        <v>646</v>
      </c>
    </row>
    <row r="644" spans="1:18" x14ac:dyDescent="0.25">
      <c r="A644" s="6" t="str">
        <f>HYPERLINK("proteomic_fractions_linear_files/Yang_linear_img/6753136.jpg", "6753136")</f>
        <v>6753136</v>
      </c>
      <c r="B644" s="7"/>
      <c r="C644" s="6" t="str">
        <f>HYPERLINK("http://www.ncbi.nlm.nih.gov/protein/6753136","Atox1")</f>
        <v>Atox1</v>
      </c>
      <c r="D644" s="8"/>
      <c r="E644" s="8">
        <v>7207</v>
      </c>
      <c r="F644" s="8"/>
      <c r="G644" s="15">
        <v>1.6140913139436019</v>
      </c>
      <c r="H644" s="15">
        <v>1.6140913139436019</v>
      </c>
      <c r="I644" s="15">
        <v>1.6787022322605194</v>
      </c>
      <c r="J644" s="15">
        <v>1.6787022322605194</v>
      </c>
      <c r="K644" s="15">
        <v>1.7475516131901938</v>
      </c>
      <c r="L644" s="15">
        <v>1.7475516131901938</v>
      </c>
      <c r="M644" s="15" t="s">
        <v>10</v>
      </c>
      <c r="N644" s="15" t="s">
        <v>10</v>
      </c>
      <c r="O644" s="15" t="s">
        <v>10</v>
      </c>
      <c r="P644" s="15" t="s">
        <v>10</v>
      </c>
      <c r="Q644" s="8"/>
      <c r="R644" s="9" t="s">
        <v>647</v>
      </c>
    </row>
    <row r="645" spans="1:18" x14ac:dyDescent="0.25">
      <c r="A645" s="6" t="str">
        <f>HYPERLINK("proteomic_fractions_linear_files/Yang_linear_img/7656914.jpg", "7656914")</f>
        <v>7656914</v>
      </c>
      <c r="B645" s="7"/>
      <c r="C645" s="6" t="str">
        <f>HYPERLINK("http://www.ncbi.nlm.nih.gov/protein/7656914","Atp11a")</f>
        <v>Atp11a</v>
      </c>
      <c r="D645" s="8"/>
      <c r="E645" s="8">
        <v>135372</v>
      </c>
      <c r="F645" s="8"/>
      <c r="G645" s="15" t="s">
        <v>10</v>
      </c>
      <c r="H645" s="15" t="s">
        <v>10</v>
      </c>
      <c r="I645" s="15" t="s">
        <v>10</v>
      </c>
      <c r="J645" s="15" t="s">
        <v>10</v>
      </c>
      <c r="K645" s="15">
        <v>1.1366879343425322</v>
      </c>
      <c r="L645" s="15">
        <v>1.1366879343425322</v>
      </c>
      <c r="M645" s="15" t="s">
        <v>10</v>
      </c>
      <c r="N645" s="15" t="s">
        <v>10</v>
      </c>
      <c r="O645" s="15" t="s">
        <v>10</v>
      </c>
      <c r="P645" s="15" t="s">
        <v>10</v>
      </c>
      <c r="Q645" s="8"/>
      <c r="R645" s="9" t="s">
        <v>648</v>
      </c>
    </row>
    <row r="646" spans="1:18" x14ac:dyDescent="0.25">
      <c r="A646" s="6" t="str">
        <f>HYPERLINK("proteomic_fractions_linear_files/Yang_linear_img/62632754.jpg", "62632754")</f>
        <v>62632754</v>
      </c>
      <c r="B646" s="7"/>
      <c r="C646" s="6" t="str">
        <f>HYPERLINK("http://www.ncbi.nlm.nih.gov/protein/62632754","Atp11b")</f>
        <v>Atp11b</v>
      </c>
      <c r="D646" s="8"/>
      <c r="E646" s="8">
        <v>133406</v>
      </c>
      <c r="F646" s="8"/>
      <c r="G646" s="15" t="s">
        <v>10</v>
      </c>
      <c r="H646" s="15" t="s">
        <v>10</v>
      </c>
      <c r="I646" s="15" t="s">
        <v>10</v>
      </c>
      <c r="J646" s="15" t="s">
        <v>10</v>
      </c>
      <c r="K646" s="15">
        <v>1.1537809859867807</v>
      </c>
      <c r="L646" s="15">
        <v>1.1537809859867807</v>
      </c>
      <c r="M646" s="15" t="s">
        <v>10</v>
      </c>
      <c r="N646" s="15" t="s">
        <v>10</v>
      </c>
      <c r="O646" s="15" t="s">
        <v>10</v>
      </c>
      <c r="P646" s="15" t="s">
        <v>10</v>
      </c>
      <c r="Q646" s="8"/>
      <c r="R646" s="9" t="s">
        <v>649</v>
      </c>
    </row>
    <row r="647" spans="1:18" x14ac:dyDescent="0.25">
      <c r="A647" s="6" t="str">
        <f>HYPERLINK("proteomic_fractions_linear_files/Yang_linear_img/157168326.jpg", "157168326")</f>
        <v>157168326</v>
      </c>
      <c r="B647" s="7"/>
      <c r="C647" s="6" t="str">
        <f>HYPERLINK("http://www.ncbi.nlm.nih.gov/protein/157168326","Atp12a")</f>
        <v>Atp12a</v>
      </c>
      <c r="D647" s="8"/>
      <c r="E647" s="8">
        <v>114596</v>
      </c>
      <c r="F647" s="8"/>
      <c r="G647" s="15">
        <v>1.1193185056097128</v>
      </c>
      <c r="H647" s="15">
        <v>1.1193185056097128</v>
      </c>
      <c r="I647" s="15">
        <v>0.95479620714027358</v>
      </c>
      <c r="J647" s="15">
        <v>0.95479620714027358</v>
      </c>
      <c r="K647" s="15">
        <v>1.1193185056097128</v>
      </c>
      <c r="L647" s="15">
        <v>1.1193185056097128</v>
      </c>
      <c r="M647" s="15">
        <v>0.95479620714027358</v>
      </c>
      <c r="N647" s="15">
        <v>0.95479620714027358</v>
      </c>
      <c r="O647" s="15" t="s">
        <v>10</v>
      </c>
      <c r="P647" s="15" t="s">
        <v>10</v>
      </c>
      <c r="Q647" s="8"/>
      <c r="R647" s="9" t="s">
        <v>650</v>
      </c>
    </row>
    <row r="648" spans="1:18" x14ac:dyDescent="0.25">
      <c r="A648" s="6" t="str">
        <f>HYPERLINK("proteomic_fractions_linear_files/Yang_linear_img/283135194.jpg", "283135194")</f>
        <v>283135194</v>
      </c>
      <c r="B648" s="7"/>
      <c r="C648" s="6" t="str">
        <f>HYPERLINK("http://www.ncbi.nlm.nih.gov/protein/283135194","Atp13a1")</f>
        <v>Atp13a1</v>
      </c>
      <c r="D648" s="8"/>
      <c r="E648" s="8">
        <v>132258</v>
      </c>
      <c r="F648" s="8"/>
      <c r="G648" s="15">
        <v>3.0988148313593924</v>
      </c>
      <c r="H648" s="15">
        <v>3.0988148313593924</v>
      </c>
      <c r="I648" s="15">
        <v>1.1625217510321351</v>
      </c>
      <c r="J648" s="15">
        <v>1.1625217510321351</v>
      </c>
      <c r="K648" s="15">
        <v>0.30687362275168745</v>
      </c>
      <c r="L648" s="15">
        <v>0.30687362275168745</v>
      </c>
      <c r="M648" s="15" t="s">
        <v>10</v>
      </c>
      <c r="N648" s="15" t="s">
        <v>10</v>
      </c>
      <c r="O648" s="15">
        <v>0.28288883653882269</v>
      </c>
      <c r="P648" s="15">
        <v>0.28288883653882269</v>
      </c>
      <c r="Q648" s="8"/>
      <c r="R648" s="9" t="s">
        <v>651</v>
      </c>
    </row>
    <row r="649" spans="1:18" x14ac:dyDescent="0.25">
      <c r="A649" s="6" t="str">
        <f>HYPERLINK("proteomic_fractions_linear_files/Yang_linear_img/189339252.jpg", "189339252")</f>
        <v>189339252</v>
      </c>
      <c r="B649" s="7"/>
      <c r="C649" s="6" t="str">
        <f>HYPERLINK("http://www.ncbi.nlm.nih.gov/protein/189339252","Atp13a3")</f>
        <v>Atp13a3</v>
      </c>
      <c r="D649" s="8"/>
      <c r="E649" s="8">
        <v>137339</v>
      </c>
      <c r="F649" s="8"/>
      <c r="G649" s="15" t="s">
        <v>10</v>
      </c>
      <c r="H649" s="15" t="s">
        <v>10</v>
      </c>
      <c r="I649" s="15" t="s">
        <v>10</v>
      </c>
      <c r="J649" s="15" t="s">
        <v>10</v>
      </c>
      <c r="K649" s="15">
        <v>1.7033638512981684</v>
      </c>
      <c r="L649" s="15">
        <v>1.7033638512981684</v>
      </c>
      <c r="M649" s="15" t="s">
        <v>10</v>
      </c>
      <c r="N649" s="15" t="s">
        <v>10</v>
      </c>
      <c r="O649" s="15" t="s">
        <v>10</v>
      </c>
      <c r="P649" s="15" t="s">
        <v>10</v>
      </c>
      <c r="Q649" s="8"/>
      <c r="R649" s="9" t="s">
        <v>652</v>
      </c>
    </row>
    <row r="650" spans="1:18" x14ac:dyDescent="0.25">
      <c r="A650" s="6" t="str">
        <f>HYPERLINK("proteomic_fractions_linear_files/Yang_linear_img/189339254.jpg", "189339254")</f>
        <v>189339254</v>
      </c>
      <c r="B650" s="7"/>
      <c r="C650" s="6" t="str">
        <f>HYPERLINK("http://www.ncbi.nlm.nih.gov/protein/189339254","Atp13a3")</f>
        <v>Atp13a3</v>
      </c>
      <c r="D650" s="8"/>
      <c r="E650" s="8">
        <v>140896</v>
      </c>
      <c r="F650" s="8"/>
      <c r="G650" s="15" t="s">
        <v>10</v>
      </c>
      <c r="H650" s="15" t="s">
        <v>10</v>
      </c>
      <c r="I650" s="15" t="s">
        <v>10</v>
      </c>
      <c r="J650" s="15" t="s">
        <v>10</v>
      </c>
      <c r="K650" s="15">
        <v>1.6550414725379368</v>
      </c>
      <c r="L650" s="15">
        <v>1.6550414725379368</v>
      </c>
      <c r="M650" s="15" t="s">
        <v>10</v>
      </c>
      <c r="N650" s="15" t="s">
        <v>10</v>
      </c>
      <c r="O650" s="15" t="s">
        <v>10</v>
      </c>
      <c r="P650" s="15" t="s">
        <v>10</v>
      </c>
      <c r="Q650" s="8"/>
      <c r="R650" s="9" t="s">
        <v>653</v>
      </c>
    </row>
    <row r="651" spans="1:18" x14ac:dyDescent="0.25">
      <c r="A651" s="6" t="str">
        <f>HYPERLINK("proteomic_fractions_linear_files/Yang_linear_img/21450277.jpg", "21450277")</f>
        <v>21450277</v>
      </c>
      <c r="B651" s="7"/>
      <c r="C651" s="6" t="str">
        <f>HYPERLINK("http://www.ncbi.nlm.nih.gov/protein/21450277","Atp1a1")</f>
        <v>Atp1a1</v>
      </c>
      <c r="D651" s="8"/>
      <c r="E651" s="8">
        <v>112852</v>
      </c>
      <c r="F651" s="8"/>
      <c r="G651" s="15">
        <v>1.1391294526116547</v>
      </c>
      <c r="H651" s="15">
        <v>1.1391294526116547</v>
      </c>
      <c r="I651" s="15">
        <v>0.9716952550542608</v>
      </c>
      <c r="J651" s="15">
        <v>0.9716952550542608</v>
      </c>
      <c r="K651" s="15">
        <v>0.9716952550542608</v>
      </c>
      <c r="L651" s="15">
        <v>0.9716952550542608</v>
      </c>
      <c r="M651" s="15">
        <v>0.9716952550542608</v>
      </c>
      <c r="N651" s="15">
        <v>0.9716952550542608</v>
      </c>
      <c r="O651" s="15" t="s">
        <v>10</v>
      </c>
      <c r="P651" s="15" t="s">
        <v>10</v>
      </c>
      <c r="Q651" s="8"/>
      <c r="R651" s="9" t="s">
        <v>654</v>
      </c>
    </row>
    <row r="652" spans="1:18" x14ac:dyDescent="0.25">
      <c r="A652" s="6" t="str">
        <f>HYPERLINK("proteomic_fractions_linear_files/Yang_linear_img/30409956.jpg", "30409956")</f>
        <v>30409956</v>
      </c>
      <c r="B652" s="7"/>
      <c r="C652" s="6" t="str">
        <f>HYPERLINK("http://www.ncbi.nlm.nih.gov/protein/30409956","Atp1a2")</f>
        <v>Atp1a2</v>
      </c>
      <c r="D652" s="8"/>
      <c r="E652" s="8">
        <v>112087</v>
      </c>
      <c r="F652" s="8"/>
      <c r="G652" s="15">
        <v>1.1493002512956871</v>
      </c>
      <c r="H652" s="15">
        <v>1.1493002512956871</v>
      </c>
      <c r="I652" s="15">
        <v>0.98037110554581663</v>
      </c>
      <c r="J652" s="15">
        <v>0.98037110554581663</v>
      </c>
      <c r="K652" s="15">
        <v>0.98037110554581663</v>
      </c>
      <c r="L652" s="15">
        <v>0.98037110554581663</v>
      </c>
      <c r="M652" s="15">
        <v>0.98037110554581663</v>
      </c>
      <c r="N652" s="15">
        <v>0.98037110554581663</v>
      </c>
      <c r="O652" s="15" t="s">
        <v>10</v>
      </c>
      <c r="P652" s="15" t="s">
        <v>10</v>
      </c>
      <c r="Q652" s="8"/>
      <c r="R652" s="9" t="s">
        <v>655</v>
      </c>
    </row>
    <row r="653" spans="1:18" x14ac:dyDescent="0.25">
      <c r="A653" s="6" t="str">
        <f>HYPERLINK("proteomic_fractions_linear_files/Yang_linear_img/21450321.jpg", "21450321")</f>
        <v>21450321</v>
      </c>
      <c r="B653" s="7"/>
      <c r="C653" s="6" t="str">
        <f>HYPERLINK("http://www.ncbi.nlm.nih.gov/protein/21450321","Atp1a3")</f>
        <v>Atp1a3</v>
      </c>
      <c r="D653" s="8"/>
      <c r="E653" s="8">
        <v>115838</v>
      </c>
      <c r="F653" s="8"/>
      <c r="G653" s="15">
        <v>1.1096692081475601</v>
      </c>
      <c r="H653" s="15">
        <v>1.1096692081475601</v>
      </c>
      <c r="I653" s="15">
        <v>0.94656520535458166</v>
      </c>
      <c r="J653" s="15">
        <v>0.94656520535458166</v>
      </c>
      <c r="K653" s="15">
        <v>0.94656520535458166</v>
      </c>
      <c r="L653" s="15">
        <v>0.94656520535458166</v>
      </c>
      <c r="M653" s="15">
        <v>0.94656520535458166</v>
      </c>
      <c r="N653" s="15">
        <v>0.94656520535458166</v>
      </c>
      <c r="O653" s="15" t="s">
        <v>10</v>
      </c>
      <c r="P653" s="15" t="s">
        <v>10</v>
      </c>
      <c r="Q653" s="8"/>
      <c r="R653" s="9" t="s">
        <v>656</v>
      </c>
    </row>
    <row r="654" spans="1:18" x14ac:dyDescent="0.25">
      <c r="A654" s="6" t="str">
        <f>HYPERLINK("proteomic_fractions_linear_files/Yang_linear_img/226958351.jpg", "226958351")</f>
        <v>226958351</v>
      </c>
      <c r="B654" s="7"/>
      <c r="C654" s="6" t="str">
        <f>HYPERLINK("http://www.ncbi.nlm.nih.gov/protein/226958351","Atp1a4")</f>
        <v>Atp1a4</v>
      </c>
      <c r="D654" s="8"/>
      <c r="E654" s="8">
        <v>114756</v>
      </c>
      <c r="F654" s="8"/>
      <c r="G654" s="15">
        <v>1.1193185056097128</v>
      </c>
      <c r="H654" s="15">
        <v>1.1193185056097128</v>
      </c>
      <c r="I654" s="15">
        <v>0.95479620714027358</v>
      </c>
      <c r="J654" s="15">
        <v>0.95479620714027358</v>
      </c>
      <c r="K654" s="15">
        <v>0.95479620714027358</v>
      </c>
      <c r="L654" s="15">
        <v>0.95479620714027358</v>
      </c>
      <c r="M654" s="15">
        <v>0.95479620714027358</v>
      </c>
      <c r="N654" s="15">
        <v>0.95479620714027358</v>
      </c>
      <c r="O654" s="15" t="s">
        <v>10</v>
      </c>
      <c r="P654" s="15" t="s">
        <v>10</v>
      </c>
      <c r="Q654" s="8"/>
      <c r="R654" s="9" t="s">
        <v>657</v>
      </c>
    </row>
    <row r="655" spans="1:18" x14ac:dyDescent="0.25">
      <c r="A655" s="6" t="str">
        <f>HYPERLINK("proteomic_fractions_linear_files/Yang_linear_img/6753138.jpg", "6753138")</f>
        <v>6753138</v>
      </c>
      <c r="B655" s="7"/>
      <c r="C655" s="6" t="str">
        <f>HYPERLINK("http://www.ncbi.nlm.nih.gov/protein/6753138","Atp1b1")</f>
        <v>Atp1b1</v>
      </c>
      <c r="D655" s="8"/>
      <c r="E655" s="8">
        <v>35064</v>
      </c>
      <c r="F655" s="8"/>
      <c r="G655" s="15">
        <v>2.0981760069052071</v>
      </c>
      <c r="H655" s="15">
        <v>2.0981760069052071</v>
      </c>
      <c r="I655" s="15">
        <v>1.5177305608571736</v>
      </c>
      <c r="J655" s="15">
        <v>1.5177305608571736</v>
      </c>
      <c r="K655" s="15">
        <v>1.8700932380155524</v>
      </c>
      <c r="L655" s="15">
        <v>1.8700932380155524</v>
      </c>
      <c r="M655" s="15">
        <v>2.0981760069052071</v>
      </c>
      <c r="N655" s="15">
        <v>2.0981760069052071</v>
      </c>
      <c r="O655" s="15" t="s">
        <v>10</v>
      </c>
      <c r="P655" s="15" t="s">
        <v>10</v>
      </c>
      <c r="Q655" s="8"/>
      <c r="R655" s="9" t="s">
        <v>658</v>
      </c>
    </row>
    <row r="656" spans="1:18" x14ac:dyDescent="0.25">
      <c r="A656" s="6" t="str">
        <f>HYPERLINK("proteomic_fractions_linear_files/Yang_linear_img/6680744.jpg", "6680744")</f>
        <v>6680744</v>
      </c>
      <c r="B656" s="7"/>
      <c r="C656" s="6" t="str">
        <f>HYPERLINK("http://www.ncbi.nlm.nih.gov/protein/6680744","Atp1b3")</f>
        <v>Atp1b3</v>
      </c>
      <c r="D656" s="8"/>
      <c r="E656" s="8">
        <v>31645</v>
      </c>
      <c r="F656" s="8"/>
      <c r="G656" s="15">
        <v>1.8366627370498079</v>
      </c>
      <c r="H656" s="15">
        <v>2.0454144790795104</v>
      </c>
      <c r="I656" s="15">
        <v>1.6600178009375337</v>
      </c>
      <c r="J656" s="15">
        <v>1.6600178009375337</v>
      </c>
      <c r="K656" s="15">
        <v>1.8366627370498079</v>
      </c>
      <c r="L656" s="15">
        <v>1.5090617370129766</v>
      </c>
      <c r="M656" s="15" t="s">
        <v>10</v>
      </c>
      <c r="N656" s="15" t="s">
        <v>10</v>
      </c>
      <c r="O656" s="15" t="s">
        <v>10</v>
      </c>
      <c r="P656" s="15" t="s">
        <v>10</v>
      </c>
      <c r="Q656" s="8"/>
      <c r="R656" s="9" t="s">
        <v>659</v>
      </c>
    </row>
    <row r="657" spans="1:18" x14ac:dyDescent="0.25">
      <c r="A657" s="6" t="str">
        <f>HYPERLINK("proteomic_fractions_linear_files/Yang_linear_img/36031132.jpg", "36031132")</f>
        <v>36031132</v>
      </c>
      <c r="B657" s="7"/>
      <c r="C657" s="6" t="str">
        <f>HYPERLINK("http://www.ncbi.nlm.nih.gov/protein/36031132","Atp2a1")</f>
        <v>Atp2a1</v>
      </c>
      <c r="D657" s="8"/>
      <c r="E657" s="8">
        <v>109295</v>
      </c>
      <c r="F657" s="8"/>
      <c r="G657" s="15">
        <v>1.0073537965241419</v>
      </c>
      <c r="H657" s="15">
        <v>1.0073537965241419</v>
      </c>
      <c r="I657" s="15">
        <v>1.0073537965241419</v>
      </c>
      <c r="J657" s="15">
        <v>1.0073537965241419</v>
      </c>
      <c r="K657" s="15">
        <v>1.1809323683038253</v>
      </c>
      <c r="L657" s="15">
        <v>1.1809323683038253</v>
      </c>
      <c r="M657" s="15" t="s">
        <v>10</v>
      </c>
      <c r="N657" s="15" t="s">
        <v>10</v>
      </c>
      <c r="O657" s="15" t="s">
        <v>10</v>
      </c>
      <c r="P657" s="15" t="s">
        <v>10</v>
      </c>
      <c r="Q657" s="8"/>
      <c r="R657" s="9" t="s">
        <v>660</v>
      </c>
    </row>
    <row r="658" spans="1:18" x14ac:dyDescent="0.25">
      <c r="A658" s="6" t="str">
        <f>HYPERLINK("proteomic_fractions_linear_files/Yang_linear_img/158635979.jpg", "158635979")</f>
        <v>158635979</v>
      </c>
      <c r="B658" s="7"/>
      <c r="C658" s="6" t="str">
        <f>HYPERLINK("http://www.ncbi.nlm.nih.gov/protein/158635979","Atp2a2")</f>
        <v>Atp2a2</v>
      </c>
      <c r="D658" s="8"/>
      <c r="E658" s="8">
        <v>114728</v>
      </c>
      <c r="F658" s="8"/>
      <c r="G658" s="15">
        <v>1.3343727924890594</v>
      </c>
      <c r="H658" s="15">
        <v>1.3343727924890594</v>
      </c>
      <c r="I658" s="15">
        <v>0.95479620714027358</v>
      </c>
      <c r="J658" s="15">
        <v>0.95479620714027358</v>
      </c>
      <c r="K658" s="15">
        <v>1.1193185056097128</v>
      </c>
      <c r="L658" s="15">
        <v>1.1193185056097128</v>
      </c>
      <c r="M658" s="15" t="s">
        <v>10</v>
      </c>
      <c r="N658" s="15" t="s">
        <v>10</v>
      </c>
      <c r="O658" s="15" t="s">
        <v>10</v>
      </c>
      <c r="P658" s="15" t="s">
        <v>10</v>
      </c>
      <c r="Q658" s="8"/>
      <c r="R658" s="9" t="s">
        <v>661</v>
      </c>
    </row>
    <row r="659" spans="1:18" x14ac:dyDescent="0.25">
      <c r="A659" s="6" t="str">
        <f>HYPERLINK("proteomic_fractions_linear_files/Yang_linear_img/6806903.jpg", "6806903")</f>
        <v>6806903</v>
      </c>
      <c r="B659" s="7"/>
      <c r="C659" s="6" t="str">
        <f>HYPERLINK("http://www.ncbi.nlm.nih.gov/protein/6806903","Atp2a2")</f>
        <v>Atp2a2</v>
      </c>
      <c r="D659" s="8"/>
      <c r="E659" s="8">
        <v>109623</v>
      </c>
      <c r="F659" s="8"/>
      <c r="G659" s="15">
        <v>1.3950261012385621</v>
      </c>
      <c r="H659" s="15">
        <v>1.3950261012385621</v>
      </c>
      <c r="I659" s="15">
        <v>0.9981960347375588</v>
      </c>
      <c r="J659" s="15">
        <v>0.9981960347375588</v>
      </c>
      <c r="K659" s="15">
        <v>1.1701966195010634</v>
      </c>
      <c r="L659" s="15">
        <v>1.1701966195010634</v>
      </c>
      <c r="M659" s="15" t="s">
        <v>10</v>
      </c>
      <c r="N659" s="15" t="s">
        <v>10</v>
      </c>
      <c r="O659" s="15" t="s">
        <v>10</v>
      </c>
      <c r="P659" s="15" t="s">
        <v>10</v>
      </c>
      <c r="Q659" s="8"/>
      <c r="R659" s="9" t="s">
        <v>662</v>
      </c>
    </row>
    <row r="660" spans="1:18" x14ac:dyDescent="0.25">
      <c r="A660" s="6" t="str">
        <f>HYPERLINK("proteomic_fractions_linear_files/Yang_linear_img/254039658.jpg", "254039658")</f>
        <v>254039658</v>
      </c>
      <c r="B660" s="7"/>
      <c r="C660" s="6" t="str">
        <f>HYPERLINK("http://www.ncbi.nlm.nih.gov/protein/254039658","Atp2a3")</f>
        <v>Atp2a3</v>
      </c>
      <c r="D660" s="8"/>
      <c r="E660" s="8">
        <v>109399</v>
      </c>
      <c r="F660" s="8"/>
      <c r="G660" s="15">
        <v>1.4078245058370811</v>
      </c>
      <c r="H660" s="15">
        <v>1.4078245058370811</v>
      </c>
      <c r="I660" s="15">
        <v>1.0073537965241419</v>
      </c>
      <c r="J660" s="15">
        <v>1.0073537965241419</v>
      </c>
      <c r="K660" s="15">
        <v>1.1809323683038253</v>
      </c>
      <c r="L660" s="15">
        <v>1.1809323683038253</v>
      </c>
      <c r="M660" s="15" t="s">
        <v>10</v>
      </c>
      <c r="N660" s="15" t="s">
        <v>10</v>
      </c>
      <c r="O660" s="15" t="s">
        <v>10</v>
      </c>
      <c r="P660" s="15" t="s">
        <v>10</v>
      </c>
      <c r="Q660" s="8"/>
      <c r="R660" s="9" t="s">
        <v>663</v>
      </c>
    </row>
    <row r="661" spans="1:18" x14ac:dyDescent="0.25">
      <c r="A661" s="6" t="str">
        <f>HYPERLINK("proteomic_fractions_linear_files/Yang_linear_img/254039660.jpg", "254039660")</f>
        <v>254039660</v>
      </c>
      <c r="B661" s="7"/>
      <c r="C661" s="6" t="str">
        <f>HYPERLINK("http://www.ncbi.nlm.nih.gov/protein/254039660","Atp2a3")</f>
        <v>Atp2a3</v>
      </c>
      <c r="D661" s="8"/>
      <c r="E661" s="8">
        <v>112373</v>
      </c>
      <c r="F661" s="8"/>
      <c r="G661" s="15">
        <v>1.3701149208593022</v>
      </c>
      <c r="H661" s="15">
        <v>1.3701149208593022</v>
      </c>
      <c r="I661" s="15">
        <v>0.98037110554581663</v>
      </c>
      <c r="J661" s="15">
        <v>0.98037110554581663</v>
      </c>
      <c r="K661" s="15">
        <v>1.1493002512956871</v>
      </c>
      <c r="L661" s="15">
        <v>1.1493002512956871</v>
      </c>
      <c r="M661" s="15" t="s">
        <v>10</v>
      </c>
      <c r="N661" s="15" t="s">
        <v>10</v>
      </c>
      <c r="O661" s="15" t="s">
        <v>10</v>
      </c>
      <c r="P661" s="15" t="s">
        <v>10</v>
      </c>
      <c r="Q661" s="8"/>
      <c r="R661" s="9" t="s">
        <v>664</v>
      </c>
    </row>
    <row r="662" spans="1:18" x14ac:dyDescent="0.25">
      <c r="A662" s="6" t="str">
        <f>HYPERLINK("proteomic_fractions_linear_files/Yang_linear_img/31542159.jpg", "31542159")</f>
        <v>31542159</v>
      </c>
      <c r="B662" s="7"/>
      <c r="C662" s="6" t="str">
        <f>HYPERLINK("http://www.ncbi.nlm.nih.gov/protein/31542159","Atp2a3")</f>
        <v>Atp2a3</v>
      </c>
      <c r="D662" s="8"/>
      <c r="E662" s="8">
        <v>113508</v>
      </c>
      <c r="F662" s="8"/>
      <c r="G662" s="15">
        <v>1.3460778169845775</v>
      </c>
      <c r="H662" s="15">
        <v>1.3460778169845775</v>
      </c>
      <c r="I662" s="15">
        <v>0.96317161246606553</v>
      </c>
      <c r="J662" s="15">
        <v>0.96317161246606553</v>
      </c>
      <c r="K662" s="15">
        <v>1.1291370889922541</v>
      </c>
      <c r="L662" s="15">
        <v>1.1291370889922541</v>
      </c>
      <c r="M662" s="15" t="s">
        <v>10</v>
      </c>
      <c r="N662" s="15" t="s">
        <v>10</v>
      </c>
      <c r="O662" s="15" t="s">
        <v>10</v>
      </c>
      <c r="P662" s="15" t="s">
        <v>10</v>
      </c>
      <c r="Q662" s="8"/>
      <c r="R662" s="9" t="s">
        <v>665</v>
      </c>
    </row>
    <row r="663" spans="1:18" x14ac:dyDescent="0.25">
      <c r="A663" s="6" t="str">
        <f>HYPERLINK("proteomic_fractions_linear_files/Yang_linear_img/62234487.jpg", "62234487")</f>
        <v>62234487</v>
      </c>
      <c r="B663" s="7"/>
      <c r="C663" s="6" t="str">
        <f>HYPERLINK("http://www.ncbi.nlm.nih.gov/protein/62234487","Atp2b1")</f>
        <v>Atp2b1</v>
      </c>
      <c r="D663" s="8"/>
      <c r="E663" s="8">
        <v>134616</v>
      </c>
      <c r="F663" s="8"/>
      <c r="G663" s="15">
        <v>1.383450604740299</v>
      </c>
      <c r="H663" s="15">
        <v>1.383450604740299</v>
      </c>
      <c r="I663" s="15">
        <v>1.1366879343425322</v>
      </c>
      <c r="J663" s="15">
        <v>1.1366879343425322</v>
      </c>
      <c r="K663" s="15">
        <v>1.383450604740299</v>
      </c>
      <c r="L663" s="15">
        <v>1.383450604740299</v>
      </c>
      <c r="M663" s="15">
        <v>0.27660241794907103</v>
      </c>
      <c r="N663" s="15">
        <v>0.27660241794907103</v>
      </c>
      <c r="O663" s="15" t="s">
        <v>10</v>
      </c>
      <c r="P663" s="15" t="s">
        <v>10</v>
      </c>
      <c r="Q663" s="8"/>
      <c r="R663" s="9" t="s">
        <v>666</v>
      </c>
    </row>
    <row r="664" spans="1:18" x14ac:dyDescent="0.25">
      <c r="A664" s="6" t="str">
        <f>HYPERLINK("proteomic_fractions_linear_files/Yang_linear_img/6753140.jpg", "6753140")</f>
        <v>6753140</v>
      </c>
      <c r="B664" s="7"/>
      <c r="C664" s="6" t="str">
        <f>HYPERLINK("http://www.ncbi.nlm.nih.gov/protein/6753140","Atp2b2")</f>
        <v>Atp2b2</v>
      </c>
      <c r="D664" s="8"/>
      <c r="E664" s="8">
        <v>132457</v>
      </c>
      <c r="F664" s="8"/>
      <c r="G664" s="15">
        <v>1.4148926639389421</v>
      </c>
      <c r="H664" s="15">
        <v>1.4148926639389421</v>
      </c>
      <c r="I664" s="15" t="s">
        <v>10</v>
      </c>
      <c r="J664" s="15" t="s">
        <v>10</v>
      </c>
      <c r="K664" s="15" t="s">
        <v>10</v>
      </c>
      <c r="L664" s="15" t="s">
        <v>10</v>
      </c>
      <c r="M664" s="15" t="s">
        <v>10</v>
      </c>
      <c r="N664" s="15" t="s">
        <v>10</v>
      </c>
      <c r="O664" s="15" t="s">
        <v>10</v>
      </c>
      <c r="P664" s="15" t="s">
        <v>10</v>
      </c>
      <c r="Q664" s="8"/>
      <c r="R664" s="9" t="s">
        <v>667</v>
      </c>
    </row>
    <row r="665" spans="1:18" x14ac:dyDescent="0.25">
      <c r="A665" s="6" t="str">
        <f>HYPERLINK("proteomic_fractions_linear_files/Yang_linear_img/80861454.jpg", "80861454")</f>
        <v>80861454</v>
      </c>
      <c r="B665" s="7"/>
      <c r="C665" s="6" t="str">
        <f>HYPERLINK("http://www.ncbi.nlm.nih.gov/protein/80861454","Atp2b2")</f>
        <v>Atp2b2</v>
      </c>
      <c r="D665" s="8"/>
      <c r="E665" s="8">
        <v>132457</v>
      </c>
      <c r="F665" s="8"/>
      <c r="G665" s="15" t="s">
        <v>10</v>
      </c>
      <c r="H665" s="15" t="s">
        <v>10</v>
      </c>
      <c r="I665" s="15">
        <v>1.1625217510321351</v>
      </c>
      <c r="J665" s="15">
        <v>1.1625217510321351</v>
      </c>
      <c r="K665" s="15">
        <v>1.4148926639389421</v>
      </c>
      <c r="L665" s="15">
        <v>1.4148926639389421</v>
      </c>
      <c r="M665" s="15">
        <v>0.28288883653882269</v>
      </c>
      <c r="N665" s="15">
        <v>0.28288883653882269</v>
      </c>
      <c r="O665" s="15" t="s">
        <v>10</v>
      </c>
      <c r="P665" s="15" t="s">
        <v>10</v>
      </c>
      <c r="Q665" s="8"/>
      <c r="R665" s="9" t="s">
        <v>667</v>
      </c>
    </row>
    <row r="666" spans="1:18" x14ac:dyDescent="0.25">
      <c r="A666" s="6" t="str">
        <f>HYPERLINK("proteomic_fractions_linear_files/Yang_linear_img/56699478.jpg", "56699478")</f>
        <v>56699478</v>
      </c>
      <c r="B666" s="7"/>
      <c r="C666" s="6" t="str">
        <f>HYPERLINK("http://www.ncbi.nlm.nih.gov/protein/56699478","Atp2b3")</f>
        <v>Atp2b3</v>
      </c>
      <c r="D666" s="8"/>
      <c r="E666" s="8">
        <v>134230</v>
      </c>
      <c r="F666" s="8"/>
      <c r="G666" s="15">
        <v>1.3937748629846296</v>
      </c>
      <c r="H666" s="15">
        <v>1.3937748629846296</v>
      </c>
      <c r="I666" s="15">
        <v>1.1451706801212078</v>
      </c>
      <c r="J666" s="15">
        <v>1.1451706801212078</v>
      </c>
      <c r="K666" s="15">
        <v>1.3937748629846296</v>
      </c>
      <c r="L666" s="15">
        <v>1.3937748629846296</v>
      </c>
      <c r="M666" s="15">
        <v>0.27866661509794471</v>
      </c>
      <c r="N666" s="15">
        <v>0.27866661509794471</v>
      </c>
      <c r="O666" s="15" t="s">
        <v>10</v>
      </c>
      <c r="P666" s="15" t="s">
        <v>10</v>
      </c>
      <c r="Q666" s="8"/>
      <c r="R666" s="9" t="s">
        <v>668</v>
      </c>
    </row>
    <row r="667" spans="1:18" x14ac:dyDescent="0.25">
      <c r="A667" s="6" t="str">
        <f>HYPERLINK("proteomic_fractions_linear_files/Yang_linear_img/269784615.jpg", "269784615")</f>
        <v>269784615</v>
      </c>
      <c r="B667" s="7"/>
      <c r="C667" s="6" t="str">
        <f>HYPERLINK("http://www.ncbi.nlm.nih.gov/protein/269784615","Atp2b4")</f>
        <v>Atp2b4</v>
      </c>
      <c r="D667" s="8"/>
      <c r="E667" s="8">
        <v>128431</v>
      </c>
      <c r="F667" s="8"/>
      <c r="G667" s="15" t="s">
        <v>10</v>
      </c>
      <c r="H667" s="15" t="s">
        <v>10</v>
      </c>
      <c r="I667" s="15">
        <v>1.1988505557518894</v>
      </c>
      <c r="J667" s="15">
        <v>1.1988505557518894</v>
      </c>
      <c r="K667" s="15">
        <v>1.4591080596870341</v>
      </c>
      <c r="L667" s="15">
        <v>1.4591080596870341</v>
      </c>
      <c r="M667" s="15">
        <v>0.29172911268066087</v>
      </c>
      <c r="N667" s="15">
        <v>0.29172911268066087</v>
      </c>
      <c r="O667" s="15" t="s">
        <v>10</v>
      </c>
      <c r="P667" s="15" t="s">
        <v>10</v>
      </c>
      <c r="Q667" s="8"/>
      <c r="R667" s="9" t="s">
        <v>669</v>
      </c>
    </row>
    <row r="668" spans="1:18" x14ac:dyDescent="0.25">
      <c r="A668" s="6" t="str">
        <f>HYPERLINK("proteomic_fractions_linear_files/Yang_linear_img/54261793.jpg", "54261793")</f>
        <v>54261793</v>
      </c>
      <c r="B668" s="7"/>
      <c r="C668" s="6" t="str">
        <f>HYPERLINK("http://www.ncbi.nlm.nih.gov/protein/54261793","Atp2b4")</f>
        <v>Atp2b4</v>
      </c>
      <c r="D668" s="8"/>
      <c r="E668" s="8">
        <v>132938</v>
      </c>
      <c r="F668" s="8"/>
      <c r="G668" s="15" t="s">
        <v>10</v>
      </c>
      <c r="H668" s="15" t="s">
        <v>10</v>
      </c>
      <c r="I668" s="15">
        <v>1.1537809859867807</v>
      </c>
      <c r="J668" s="15">
        <v>1.1537809859867807</v>
      </c>
      <c r="K668" s="15">
        <v>1.4042543732326342</v>
      </c>
      <c r="L668" s="15">
        <v>1.4042543732326342</v>
      </c>
      <c r="M668" s="15">
        <v>0.28076185280544808</v>
      </c>
      <c r="N668" s="15">
        <v>0.28076185280544808</v>
      </c>
      <c r="O668" s="15" t="s">
        <v>10</v>
      </c>
      <c r="P668" s="15" t="s">
        <v>10</v>
      </c>
      <c r="Q668" s="8"/>
      <c r="R668" s="9" t="s">
        <v>670</v>
      </c>
    </row>
    <row r="669" spans="1:18" x14ac:dyDescent="0.25">
      <c r="A669" s="6" t="str">
        <f>HYPERLINK("proteomic_fractions_linear_files/Yang_linear_img/225690606.jpg", "225690606")</f>
        <v>225690606</v>
      </c>
      <c r="B669" s="7"/>
      <c r="C669" s="6" t="str">
        <f>HYPERLINK("http://www.ncbi.nlm.nih.gov/protein/225690606","Atp2c1")</f>
        <v>Atp2c1</v>
      </c>
      <c r="D669" s="8"/>
      <c r="E669" s="8">
        <v>100168</v>
      </c>
      <c r="F669" s="8"/>
      <c r="G669" s="15" t="s">
        <v>10</v>
      </c>
      <c r="H669" s="15" t="s">
        <v>10</v>
      </c>
      <c r="I669" s="15">
        <v>0.94967981182584504</v>
      </c>
      <c r="J669" s="15">
        <v>0.94967981182584504</v>
      </c>
      <c r="K669" s="15">
        <v>1.0980156382113146</v>
      </c>
      <c r="L669" s="15">
        <v>1.0980156382113146</v>
      </c>
      <c r="M669" s="15" t="s">
        <v>10</v>
      </c>
      <c r="N669" s="15" t="s">
        <v>10</v>
      </c>
      <c r="O669" s="15" t="s">
        <v>10</v>
      </c>
      <c r="P669" s="15" t="s">
        <v>10</v>
      </c>
      <c r="Q669" s="8"/>
      <c r="R669" s="9" t="s">
        <v>671</v>
      </c>
    </row>
    <row r="670" spans="1:18" x14ac:dyDescent="0.25">
      <c r="A670" s="6" t="str">
        <f>HYPERLINK("proteomic_fractions_linear_files/Yang_linear_img/359465596.jpg", "359465596")</f>
        <v>359465596</v>
      </c>
      <c r="B670" s="7"/>
      <c r="C670" s="6" t="str">
        <f>HYPERLINK("http://www.ncbi.nlm.nih.gov/protein/359465596","Atp2c1")</f>
        <v>Atp2c1</v>
      </c>
      <c r="D670" s="8"/>
      <c r="E670" s="8">
        <v>104173</v>
      </c>
      <c r="F670" s="8"/>
      <c r="G670" s="15" t="s">
        <v>10</v>
      </c>
      <c r="H670" s="15" t="s">
        <v>10</v>
      </c>
      <c r="I670" s="15">
        <v>0.91315366521715879</v>
      </c>
      <c r="J670" s="15">
        <v>0.91315366521715879</v>
      </c>
      <c r="K670" s="15">
        <v>1.0557842675108795</v>
      </c>
      <c r="L670" s="15">
        <v>1.0557842675108795</v>
      </c>
      <c r="M670" s="15" t="s">
        <v>10</v>
      </c>
      <c r="N670" s="15" t="s">
        <v>10</v>
      </c>
      <c r="O670" s="15" t="s">
        <v>10</v>
      </c>
      <c r="P670" s="15" t="s">
        <v>10</v>
      </c>
      <c r="Q670" s="8"/>
      <c r="R670" s="9" t="s">
        <v>672</v>
      </c>
    </row>
    <row r="671" spans="1:18" x14ac:dyDescent="0.25">
      <c r="A671" s="6" t="str">
        <f>HYPERLINK("proteomic_fractions_linear_files/Yang_linear_img/359465610.jpg", "359465610")</f>
        <v>359465610</v>
      </c>
      <c r="B671" s="7"/>
      <c r="C671" s="6" t="str">
        <f>HYPERLINK("http://www.ncbi.nlm.nih.gov/protein/359465610","Atp2c1")</f>
        <v>Atp2c1</v>
      </c>
      <c r="D671" s="8"/>
      <c r="E671" s="8">
        <v>72199</v>
      </c>
      <c r="F671" s="8"/>
      <c r="G671" s="15" t="s">
        <v>10</v>
      </c>
      <c r="H671" s="15" t="s">
        <v>10</v>
      </c>
      <c r="I671" s="15">
        <v>1.3189997386470071</v>
      </c>
      <c r="J671" s="15">
        <v>1.3189997386470071</v>
      </c>
      <c r="K671" s="15">
        <v>1.525021719737937</v>
      </c>
      <c r="L671" s="15">
        <v>1.525021719737937</v>
      </c>
      <c r="M671" s="15" t="s">
        <v>10</v>
      </c>
      <c r="N671" s="15" t="s">
        <v>10</v>
      </c>
      <c r="O671" s="15" t="s">
        <v>10</v>
      </c>
      <c r="P671" s="15" t="s">
        <v>10</v>
      </c>
      <c r="Q671" s="8"/>
      <c r="R671" s="9" t="s">
        <v>673</v>
      </c>
    </row>
    <row r="672" spans="1:18" x14ac:dyDescent="0.25">
      <c r="A672" s="6" t="str">
        <f>HYPERLINK("proteomic_fractions_linear_files/Yang_linear_img/110225337.jpg", "110225337")</f>
        <v>110225337</v>
      </c>
      <c r="B672" s="7"/>
      <c r="C672" s="6" t="str">
        <f>HYPERLINK("http://www.ncbi.nlm.nih.gov/protein/110225337","Atp4a")</f>
        <v>Atp4a</v>
      </c>
      <c r="D672" s="8"/>
      <c r="E672" s="8">
        <v>112906</v>
      </c>
      <c r="F672" s="8"/>
      <c r="G672" s="15">
        <v>1.6527949702649589</v>
      </c>
      <c r="H672" s="15">
        <v>1.6527949702649589</v>
      </c>
      <c r="I672" s="15">
        <v>0.9716952550542608</v>
      </c>
      <c r="J672" s="15">
        <v>0.9716952550542608</v>
      </c>
      <c r="K672" s="15">
        <v>0.9716952550542608</v>
      </c>
      <c r="L672" s="15">
        <v>0.9716952550542608</v>
      </c>
      <c r="M672" s="15">
        <v>2.6706488905884846</v>
      </c>
      <c r="N672" s="15">
        <v>2.6706488905884846</v>
      </c>
      <c r="O672" s="15" t="s">
        <v>10</v>
      </c>
      <c r="P672" s="15" t="s">
        <v>10</v>
      </c>
      <c r="Q672" s="8"/>
      <c r="R672" s="9" t="s">
        <v>674</v>
      </c>
    </row>
    <row r="673" spans="1:18" x14ac:dyDescent="0.25">
      <c r="A673" s="6" t="str">
        <f>HYPERLINK("proteomic_fractions_linear_files/Yang_linear_img/6680748.jpg", "6680748")</f>
        <v>6680748</v>
      </c>
      <c r="B673" s="7"/>
      <c r="C673" s="6" t="str">
        <f>HYPERLINK("http://www.ncbi.nlm.nih.gov/protein/6680748","Atp5a1")</f>
        <v>Atp5a1</v>
      </c>
      <c r="D673" s="8"/>
      <c r="E673" s="8">
        <v>55311</v>
      </c>
      <c r="F673" s="8"/>
      <c r="G673" s="15">
        <v>1.1900593332826241</v>
      </c>
      <c r="H673" s="15">
        <v>1.1900593332826241</v>
      </c>
      <c r="I673" s="15">
        <v>0.96582853872729235</v>
      </c>
      <c r="J673" s="15">
        <v>0.96582853872729235</v>
      </c>
      <c r="K673" s="15">
        <v>0.96582853872729235</v>
      </c>
      <c r="L673" s="15">
        <v>0.96582853872729235</v>
      </c>
      <c r="M673" s="15">
        <v>0.96582853872729235</v>
      </c>
      <c r="N673" s="15">
        <v>0.96582853872729235</v>
      </c>
      <c r="O673" s="15">
        <v>0.87799955608027735</v>
      </c>
      <c r="P673" s="15">
        <v>0.87799955608027735</v>
      </c>
      <c r="Q673" s="8"/>
      <c r="R673" s="9" t="s">
        <v>675</v>
      </c>
    </row>
    <row r="674" spans="1:18" x14ac:dyDescent="0.25">
      <c r="A674" s="6" t="str">
        <f>HYPERLINK("proteomic_fractions_linear_files/Yang_linear_img/31980648.jpg", "31980648")</f>
        <v>31980648</v>
      </c>
      <c r="B674" s="7"/>
      <c r="C674" s="6" t="str">
        <f>HYPERLINK("http://www.ncbi.nlm.nih.gov/protein/31980648","Atp5b")</f>
        <v>Atp5b</v>
      </c>
      <c r="D674" s="8"/>
      <c r="E674" s="8">
        <v>51749</v>
      </c>
      <c r="F674" s="8"/>
      <c r="G674" s="15">
        <v>1.2587166025104679</v>
      </c>
      <c r="H674" s="15">
        <v>1.2587166025104679</v>
      </c>
      <c r="I674" s="15">
        <v>0.92865337662337022</v>
      </c>
      <c r="J674" s="15">
        <v>0.92865337662337022</v>
      </c>
      <c r="K674" s="15">
        <v>1.0215494159615592</v>
      </c>
      <c r="L674" s="15">
        <v>1.0215494159615592</v>
      </c>
      <c r="M674" s="15">
        <v>0.92865337662337022</v>
      </c>
      <c r="N674" s="15">
        <v>0.92865337662337022</v>
      </c>
      <c r="O674" s="15">
        <v>0.92865337662337022</v>
      </c>
      <c r="P674" s="15">
        <v>0.92865337662337022</v>
      </c>
      <c r="Q674" s="8"/>
      <c r="R674" s="9" t="s">
        <v>676</v>
      </c>
    </row>
    <row r="675" spans="1:18" x14ac:dyDescent="0.25">
      <c r="A675" s="6" t="str">
        <f>HYPERLINK("proteomic_fractions_linear_files/Yang_linear_img/163838641.jpg", "163838641")</f>
        <v>163838641</v>
      </c>
      <c r="B675" s="7"/>
      <c r="C675" s="6" t="str">
        <f>HYPERLINK("http://www.ncbi.nlm.nih.gov/protein/163838641","Atp5c1")</f>
        <v>Atp5c1</v>
      </c>
      <c r="D675" s="8"/>
      <c r="E675" s="8">
        <v>30125</v>
      </c>
      <c r="F675" s="8"/>
      <c r="G675" s="15">
        <v>0.87167527051416671</v>
      </c>
      <c r="H675" s="15">
        <v>0.87167527051416671</v>
      </c>
      <c r="I675" s="15">
        <v>0.93060704325606869</v>
      </c>
      <c r="J675" s="15">
        <v>0.93060704325606869</v>
      </c>
      <c r="K675" s="15">
        <v>0.93060704325606869</v>
      </c>
      <c r="L675" s="15">
        <v>0.93060704325606869</v>
      </c>
      <c r="M675" s="15">
        <v>0.93060704325606869</v>
      </c>
      <c r="N675" s="15">
        <v>0.93060704325606869</v>
      </c>
      <c r="O675" s="15" t="s">
        <v>10</v>
      </c>
      <c r="P675" s="15" t="s">
        <v>10</v>
      </c>
      <c r="Q675" s="8"/>
      <c r="R675" s="9" t="s">
        <v>677</v>
      </c>
    </row>
    <row r="676" spans="1:18" x14ac:dyDescent="0.25">
      <c r="A676" s="6" t="str">
        <f>HYPERLINK("proteomic_fractions_linear_files/Yang_linear_img/163838648.jpg", "163838648")</f>
        <v>163838648</v>
      </c>
      <c r="B676" s="7"/>
      <c r="C676" s="6" t="str">
        <f>HYPERLINK("http://www.ncbi.nlm.nih.gov/protein/163838648","Atp5c1")</f>
        <v>Atp5c1</v>
      </c>
      <c r="D676" s="8"/>
      <c r="E676" s="8">
        <v>30125</v>
      </c>
      <c r="F676" s="8"/>
      <c r="G676" s="15">
        <v>0.87167527051416671</v>
      </c>
      <c r="H676" s="15">
        <v>0.87167527051416671</v>
      </c>
      <c r="I676" s="15">
        <v>0.93060704325606869</v>
      </c>
      <c r="J676" s="15">
        <v>0.93060704325606869</v>
      </c>
      <c r="K676" s="15">
        <v>0.93060704325606869</v>
      </c>
      <c r="L676" s="15">
        <v>0.93060704325606869</v>
      </c>
      <c r="M676" s="15">
        <v>0.93060704325606869</v>
      </c>
      <c r="N676" s="15">
        <v>0.93060704325606869</v>
      </c>
      <c r="O676" s="15" t="s">
        <v>10</v>
      </c>
      <c r="P676" s="15" t="s">
        <v>10</v>
      </c>
      <c r="Q676" s="8"/>
      <c r="R676" s="9" t="s">
        <v>678</v>
      </c>
    </row>
    <row r="677" spans="1:18" x14ac:dyDescent="0.25">
      <c r="A677" s="6" t="str">
        <f>HYPERLINK("proteomic_fractions_linear_files/Yang_linear_img/166851828.jpg", "166851828")</f>
        <v>166851828</v>
      </c>
      <c r="B677" s="7"/>
      <c r="C677" s="6" t="str">
        <f>HYPERLINK("http://www.ncbi.nlm.nih.gov/protein/166851828","Atp5d")</f>
        <v>Atp5d</v>
      </c>
      <c r="D677" s="8"/>
      <c r="E677" s="8">
        <v>15024</v>
      </c>
      <c r="F677" s="8"/>
      <c r="G677" s="15">
        <v>1.0130892195876191</v>
      </c>
      <c r="H677" s="15">
        <v>1.0130892195876191</v>
      </c>
      <c r="I677" s="15">
        <v>1.0130892195876191</v>
      </c>
      <c r="J677" s="15">
        <v>1.0130892195876191</v>
      </c>
      <c r="K677" s="15">
        <v>1.0618294522121183</v>
      </c>
      <c r="L677" s="15">
        <v>1.0618294522121183</v>
      </c>
      <c r="M677" s="15" t="s">
        <v>10</v>
      </c>
      <c r="N677" s="15" t="s">
        <v>10</v>
      </c>
      <c r="O677" s="15">
        <v>1.0130892195876191</v>
      </c>
      <c r="P677" s="15">
        <v>1.0130892195876191</v>
      </c>
      <c r="Q677" s="8"/>
      <c r="R677" s="9" t="s">
        <v>679</v>
      </c>
    </row>
    <row r="678" spans="1:18" x14ac:dyDescent="0.25">
      <c r="A678" s="6" t="str">
        <f>HYPERLINK("proteomic_fractions_linear_files/Yang_linear_img/13385484.jpg", "13385484")</f>
        <v>13385484</v>
      </c>
      <c r="B678" s="7"/>
      <c r="C678" s="6" t="str">
        <f>HYPERLINK("http://www.ncbi.nlm.nih.gov/protein/13385484","Atp5e")</f>
        <v>Atp5e</v>
      </c>
      <c r="D678" s="8"/>
      <c r="E678" s="8">
        <v>5707</v>
      </c>
      <c r="F678" s="8"/>
      <c r="G678" s="15">
        <v>1.9584859376372725</v>
      </c>
      <c r="H678" s="15">
        <v>1.9584859376372725</v>
      </c>
      <c r="I678" s="15">
        <v>2.0388102153885597</v>
      </c>
      <c r="J678" s="15">
        <v>2.0388102153885597</v>
      </c>
      <c r="K678" s="15" t="s">
        <v>10</v>
      </c>
      <c r="L678" s="15" t="s">
        <v>10</v>
      </c>
      <c r="M678" s="15" t="s">
        <v>10</v>
      </c>
      <c r="N678" s="15" t="s">
        <v>10</v>
      </c>
      <c r="O678" s="15" t="s">
        <v>10</v>
      </c>
      <c r="P678" s="15" t="s">
        <v>10</v>
      </c>
      <c r="Q678" s="8"/>
      <c r="R678" s="9" t="s">
        <v>680</v>
      </c>
    </row>
    <row r="679" spans="1:18" x14ac:dyDescent="0.25">
      <c r="A679" s="6" t="str">
        <f>HYPERLINK("proteomic_fractions_linear_files/Yang_linear_img/78214312.jpg", "78214312")</f>
        <v>78214312</v>
      </c>
      <c r="B679" s="7"/>
      <c r="C679" s="6" t="str">
        <f>HYPERLINK("http://www.ncbi.nlm.nih.gov/protein/78214312","Atp5f1")</f>
        <v>Atp5f1</v>
      </c>
      <c r="D679" s="8"/>
      <c r="E679" s="8">
        <v>24765</v>
      </c>
      <c r="F679" s="8"/>
      <c r="G679" s="15">
        <v>0.87182969082715001</v>
      </c>
      <c r="H679" s="15">
        <v>1.2833629142293435</v>
      </c>
      <c r="I679" s="15">
        <v>0.87182969082715001</v>
      </c>
      <c r="J679" s="15">
        <v>0.87182969082715001</v>
      </c>
      <c r="K679" s="15">
        <v>0.92438293498869784</v>
      </c>
      <c r="L679" s="15">
        <v>0.92438293498869784</v>
      </c>
      <c r="M679" s="15">
        <v>0.92438293498869784</v>
      </c>
      <c r="N679" s="15">
        <v>0.92438293498869784</v>
      </c>
      <c r="O679" s="15" t="s">
        <v>10</v>
      </c>
      <c r="P679" s="15" t="s">
        <v>10</v>
      </c>
      <c r="Q679" s="8"/>
      <c r="R679" s="9" t="s">
        <v>681</v>
      </c>
    </row>
    <row r="680" spans="1:18" x14ac:dyDescent="0.25">
      <c r="A680" s="6" t="str">
        <f>HYPERLINK("proteomic_fractions_linear_files/Yang_linear_img/21313679.jpg", "21313679")</f>
        <v>21313679</v>
      </c>
      <c r="B680" s="7"/>
      <c r="C680" s="6" t="str">
        <f>HYPERLINK("http://www.ncbi.nlm.nih.gov/protein/21313679","Atp5h")</f>
        <v>Atp5h</v>
      </c>
      <c r="D680" s="8"/>
      <c r="E680" s="8">
        <v>18618</v>
      </c>
      <c r="F680" s="8"/>
      <c r="G680" s="15">
        <v>1.6886354134596626</v>
      </c>
      <c r="H680" s="15">
        <v>1.6886354134596626</v>
      </c>
      <c r="I680" s="15">
        <v>1.1471443300357238</v>
      </c>
      <c r="J680" s="15">
        <v>1.1471443300357238</v>
      </c>
      <c r="K680" s="15">
        <v>1.1471443300357238</v>
      </c>
      <c r="L680" s="15">
        <v>1.1471443300357238</v>
      </c>
      <c r="M680" s="15" t="s">
        <v>10</v>
      </c>
      <c r="N680" s="15" t="s">
        <v>10</v>
      </c>
      <c r="O680" s="15" t="s">
        <v>10</v>
      </c>
      <c r="P680" s="15" t="s">
        <v>10</v>
      </c>
      <c r="Q680" s="8"/>
      <c r="R680" s="9" t="s">
        <v>682</v>
      </c>
    </row>
    <row r="681" spans="1:18" x14ac:dyDescent="0.25">
      <c r="A681" s="6" t="str">
        <f>HYPERLINK("proteomic_fractions_linear_files/Yang_linear_img/7949005.jpg", "7949005")</f>
        <v>7949005</v>
      </c>
      <c r="B681" s="7"/>
      <c r="C681" s="6" t="str">
        <f>HYPERLINK("http://www.ncbi.nlm.nih.gov/protein/7949005","Atp5j")</f>
        <v>Atp5j</v>
      </c>
      <c r="D681" s="8"/>
      <c r="E681" s="8">
        <v>8945</v>
      </c>
      <c r="F681" s="8"/>
      <c r="G681" s="15">
        <v>1.3592068102590398</v>
      </c>
      <c r="H681" s="15">
        <v>1.3592068102590398</v>
      </c>
      <c r="I681" s="15">
        <v>1.4163577046597362</v>
      </c>
      <c r="J681" s="15">
        <v>1.4163577046597362</v>
      </c>
      <c r="K681" s="15">
        <v>1.4163577046597362</v>
      </c>
      <c r="L681" s="15">
        <v>1.4774515581112815</v>
      </c>
      <c r="M681" s="15" t="s">
        <v>10</v>
      </c>
      <c r="N681" s="15" t="s">
        <v>10</v>
      </c>
      <c r="O681" s="15" t="s">
        <v>10</v>
      </c>
      <c r="P681" s="15" t="s">
        <v>10</v>
      </c>
      <c r="Q681" s="8"/>
      <c r="R681" s="9" t="s">
        <v>683</v>
      </c>
    </row>
    <row r="682" spans="1:18" x14ac:dyDescent="0.25">
      <c r="A682" s="6" t="str">
        <f>HYPERLINK("proteomic_fractions_linear_files/Yang_linear_img/10181184.jpg", "10181184")</f>
        <v>10181184</v>
      </c>
      <c r="B682" s="7"/>
      <c r="C682" s="6" t="str">
        <f>HYPERLINK("http://www.ncbi.nlm.nih.gov/protein/10181184","Atp5j2")</f>
        <v>Atp5j2</v>
      </c>
      <c r="D682" s="8"/>
      <c r="E682" s="8">
        <v>10213</v>
      </c>
      <c r="F682" s="8"/>
      <c r="G682" s="15">
        <v>1.9501149828035274</v>
      </c>
      <c r="H682" s="15">
        <v>1.9501149828035274</v>
      </c>
      <c r="I682" s="15">
        <v>1.2747219341937626</v>
      </c>
      <c r="J682" s="15">
        <v>1.2747219341937626</v>
      </c>
      <c r="K682" s="15">
        <v>1.3297064023001535</v>
      </c>
      <c r="L682" s="15">
        <v>1.3297064023001535</v>
      </c>
      <c r="M682" s="15" t="s">
        <v>10</v>
      </c>
      <c r="N682" s="15" t="s">
        <v>10</v>
      </c>
      <c r="O682" s="15" t="s">
        <v>10</v>
      </c>
      <c r="P682" s="15" t="s">
        <v>10</v>
      </c>
      <c r="Q682" s="8"/>
      <c r="R682" s="9" t="s">
        <v>684</v>
      </c>
    </row>
    <row r="683" spans="1:18" x14ac:dyDescent="0.25">
      <c r="A683" s="6" t="str">
        <f>HYPERLINK("proteomic_fractions_linear_files/Yang_linear_img/83715998.jpg", "83715998")</f>
        <v>83715998</v>
      </c>
      <c r="B683" s="7"/>
      <c r="C683" s="6" t="str">
        <f>HYPERLINK("http://www.ncbi.nlm.nih.gov/protein/83715998","Atp5k")</f>
        <v>Atp5k</v>
      </c>
      <c r="D683" s="8"/>
      <c r="E683" s="8">
        <v>8104</v>
      </c>
      <c r="F683" s="8"/>
      <c r="G683" s="15">
        <v>2.4376437285044092</v>
      </c>
      <c r="H683" s="15">
        <v>2.4376437285044092</v>
      </c>
      <c r="I683" s="15">
        <v>1.6621330028751917</v>
      </c>
      <c r="J683" s="15">
        <v>1.6621330028751917</v>
      </c>
      <c r="K683" s="15">
        <v>1.7357313124920812</v>
      </c>
      <c r="L683" s="15">
        <v>1.7357313124920812</v>
      </c>
      <c r="M683" s="15">
        <v>1.6621330028751917</v>
      </c>
      <c r="N683" s="15">
        <v>1.6621330028751917</v>
      </c>
      <c r="O683" s="15" t="s">
        <v>10</v>
      </c>
      <c r="P683" s="15" t="s">
        <v>10</v>
      </c>
      <c r="Q683" s="8"/>
      <c r="R683" s="9" t="s">
        <v>685</v>
      </c>
    </row>
    <row r="684" spans="1:18" x14ac:dyDescent="0.25">
      <c r="A684" s="6" t="str">
        <f>HYPERLINK("proteomic_fractions_linear_files/Yang_linear_img/31980744.jpg", "31980744")</f>
        <v>31980744</v>
      </c>
      <c r="B684" s="7"/>
      <c r="C684" s="6" t="str">
        <f>HYPERLINK("http://www.ncbi.nlm.nih.gov/protein/31980744","Atp5l")</f>
        <v>Atp5l</v>
      </c>
      <c r="D684" s="8"/>
      <c r="E684" s="8">
        <v>11293</v>
      </c>
      <c r="F684" s="8"/>
      <c r="G684" s="15">
        <v>1.1120782993028506</v>
      </c>
      <c r="H684" s="15">
        <v>1.1120782993028506</v>
      </c>
      <c r="I684" s="15">
        <v>1.1588381219943296</v>
      </c>
      <c r="J684" s="15">
        <v>1.1588381219943296</v>
      </c>
      <c r="K684" s="15">
        <v>1.2088240020910486</v>
      </c>
      <c r="L684" s="15">
        <v>1.2623500454487864</v>
      </c>
      <c r="M684" s="15" t="s">
        <v>10</v>
      </c>
      <c r="N684" s="15" t="s">
        <v>10</v>
      </c>
      <c r="O684" s="15" t="s">
        <v>10</v>
      </c>
      <c r="P684" s="15" t="s">
        <v>10</v>
      </c>
      <c r="Q684" s="8"/>
      <c r="R684" s="9" t="s">
        <v>686</v>
      </c>
    </row>
    <row r="685" spans="1:18" x14ac:dyDescent="0.25">
      <c r="A685" s="6" t="str">
        <f>HYPERLINK("proteomic_fractions_linear_files/Yang_linear_img/20070412;149251053.jpg", "20070412;149251053")</f>
        <v>20070412;149251053</v>
      </c>
      <c r="B685" s="8"/>
      <c r="C685" s="6" t="str">
        <f>HYPERLINK("http://www.ncbi.nlm.nih.gov/protein/20070412;149251053","Atp5o")</f>
        <v>Atp5o</v>
      </c>
      <c r="D685" s="8"/>
      <c r="E685" s="8">
        <v>21006</v>
      </c>
      <c r="F685" s="8"/>
      <c r="G685" s="15" t="s">
        <v>10</v>
      </c>
      <c r="H685" s="15" t="s">
        <v>10</v>
      </c>
      <c r="I685" s="15">
        <v>1.0378924890799406</v>
      </c>
      <c r="J685" s="15">
        <v>1.0378924890799406</v>
      </c>
      <c r="K685" s="15" t="s">
        <v>10</v>
      </c>
      <c r="L685" s="15" t="s">
        <v>10</v>
      </c>
      <c r="M685" s="15">
        <v>1.0378924890799406</v>
      </c>
      <c r="N685" s="15">
        <v>1.0378924890799406</v>
      </c>
      <c r="O685" s="15" t="s">
        <v>10</v>
      </c>
      <c r="P685" s="15" t="s">
        <v>10</v>
      </c>
      <c r="Q685" s="8"/>
      <c r="R685" s="9" t="s">
        <v>687</v>
      </c>
    </row>
    <row r="686" spans="1:18" x14ac:dyDescent="0.25">
      <c r="A686" s="6" t="str">
        <f>HYPERLINK("proteomic_fractions_linear_files/Yang_linear_img/13386040.jpg", "13386040")</f>
        <v>13386040</v>
      </c>
      <c r="B686" s="7"/>
      <c r="C686" s="6" t="str">
        <f>HYPERLINK("http://www.ncbi.nlm.nih.gov/protein/13386040","Atp5s")</f>
        <v>Atp5s</v>
      </c>
      <c r="D686" s="8"/>
      <c r="E686" s="8">
        <v>20284</v>
      </c>
      <c r="F686" s="8"/>
      <c r="G686" s="15" t="s">
        <v>10</v>
      </c>
      <c r="H686" s="15" t="s">
        <v>10</v>
      </c>
      <c r="I686" s="15">
        <v>1.0298720593328137</v>
      </c>
      <c r="J686" s="15">
        <v>1.0298720593328137</v>
      </c>
      <c r="K686" s="15" t="s">
        <v>10</v>
      </c>
      <c r="L686" s="15" t="s">
        <v>10</v>
      </c>
      <c r="M686" s="15" t="s">
        <v>10</v>
      </c>
      <c r="N686" s="15" t="s">
        <v>10</v>
      </c>
      <c r="O686" s="15" t="s">
        <v>10</v>
      </c>
      <c r="P686" s="15" t="s">
        <v>10</v>
      </c>
      <c r="Q686" s="8"/>
      <c r="R686" s="9" t="s">
        <v>688</v>
      </c>
    </row>
    <row r="687" spans="1:18" x14ac:dyDescent="0.25">
      <c r="A687" s="6" t="str">
        <f>HYPERLINK("proteomic_fractions_linear_files/Yang_linear_img/21361250.jpg", "21361250")</f>
        <v>21361250</v>
      </c>
      <c r="B687" s="7"/>
      <c r="C687" s="6" t="str">
        <f>HYPERLINK("http://www.ncbi.nlm.nih.gov/protein/21361250","Atp6ap2")</f>
        <v>Atp6ap2</v>
      </c>
      <c r="D687" s="8"/>
      <c r="E687" s="8">
        <v>37377</v>
      </c>
      <c r="F687" s="8"/>
      <c r="G687" s="15">
        <v>0.33061787276571236</v>
      </c>
      <c r="H687" s="15">
        <v>0.33061787276571236</v>
      </c>
      <c r="I687" s="15">
        <v>0.3445194416739899</v>
      </c>
      <c r="J687" s="15">
        <v>0.3445194416739899</v>
      </c>
      <c r="K687" s="15">
        <v>0.3752932567550446</v>
      </c>
      <c r="L687" s="15">
        <v>0.3752932567550446</v>
      </c>
      <c r="M687" s="15">
        <v>0.3752932567550446</v>
      </c>
      <c r="N687" s="15">
        <v>0.3752932567550446</v>
      </c>
      <c r="O687" s="15" t="s">
        <v>10</v>
      </c>
      <c r="P687" s="15" t="s">
        <v>10</v>
      </c>
      <c r="Q687" s="8"/>
      <c r="R687" s="9" t="s">
        <v>689</v>
      </c>
    </row>
    <row r="688" spans="1:18" x14ac:dyDescent="0.25">
      <c r="A688" s="6" t="str">
        <f>HYPERLINK("proteomic_fractions_linear_files/Yang_linear_img/12025532.jpg", "12025532")</f>
        <v>12025532</v>
      </c>
      <c r="B688" s="7"/>
      <c r="C688" s="6" t="str">
        <f>HYPERLINK("http://www.ncbi.nlm.nih.gov/protein/12025532","Atp6v0a1")</f>
        <v>Atp6v0a1</v>
      </c>
      <c r="D688" s="8"/>
      <c r="E688" s="8">
        <v>96163</v>
      </c>
      <c r="F688" s="8"/>
      <c r="G688" s="15" t="s">
        <v>10</v>
      </c>
      <c r="H688" s="15" t="s">
        <v>10</v>
      </c>
      <c r="I688" s="15">
        <v>1.5984674076691858</v>
      </c>
      <c r="J688" s="15">
        <v>1.5984674076691858</v>
      </c>
      <c r="K688" s="15">
        <v>1.5984674076691858</v>
      </c>
      <c r="L688" s="15">
        <v>1.5984674076691858</v>
      </c>
      <c r="M688" s="15">
        <v>1.5984674076691858</v>
      </c>
      <c r="N688" s="15">
        <v>1.5984674076691858</v>
      </c>
      <c r="O688" s="15" t="s">
        <v>10</v>
      </c>
      <c r="P688" s="15" t="s">
        <v>10</v>
      </c>
      <c r="Q688" s="8"/>
      <c r="R688" s="9" t="s">
        <v>690</v>
      </c>
    </row>
    <row r="689" spans="1:18" x14ac:dyDescent="0.25">
      <c r="A689" s="6" t="str">
        <f>HYPERLINK("proteomic_fractions_linear_files/Yang_linear_img/340007375.jpg", "340007375")</f>
        <v>340007375</v>
      </c>
      <c r="B689" s="7"/>
      <c r="C689" s="6" t="str">
        <f>HYPERLINK("http://www.ncbi.nlm.nih.gov/protein/340007375","Atp6v0a1")</f>
        <v>Atp6v0a1</v>
      </c>
      <c r="D689" s="8"/>
      <c r="E689" s="8">
        <v>89305</v>
      </c>
      <c r="F689" s="8"/>
      <c r="G689" s="15" t="s">
        <v>10</v>
      </c>
      <c r="H689" s="15" t="s">
        <v>10</v>
      </c>
      <c r="I689" s="15">
        <v>1.72418956332856</v>
      </c>
      <c r="J689" s="15">
        <v>1.72418956332856</v>
      </c>
      <c r="K689" s="15">
        <v>1.72418956332856</v>
      </c>
      <c r="L689" s="15">
        <v>1.72418956332856</v>
      </c>
      <c r="M689" s="15">
        <v>1.72418956332856</v>
      </c>
      <c r="N689" s="15">
        <v>1.72418956332856</v>
      </c>
      <c r="O689" s="15" t="s">
        <v>10</v>
      </c>
      <c r="P689" s="15" t="s">
        <v>10</v>
      </c>
      <c r="Q689" s="8"/>
      <c r="R689" s="9" t="s">
        <v>691</v>
      </c>
    </row>
    <row r="690" spans="1:18" x14ac:dyDescent="0.25">
      <c r="A690" s="6" t="str">
        <f>HYPERLINK("proteomic_fractions_linear_files/Yang_linear_img/340007377.jpg", "340007377")</f>
        <v>340007377</v>
      </c>
      <c r="B690" s="7"/>
      <c r="C690" s="6" t="str">
        <f>HYPERLINK("http://www.ncbi.nlm.nih.gov/protein/340007377","Atp6v0a1")</f>
        <v>Atp6v0a1</v>
      </c>
      <c r="D690" s="8"/>
      <c r="E690" s="8">
        <v>95492</v>
      </c>
      <c r="F690" s="8"/>
      <c r="G690" s="15" t="s">
        <v>10</v>
      </c>
      <c r="H690" s="15" t="s">
        <v>10</v>
      </c>
      <c r="I690" s="15">
        <v>1.6152933803814931</v>
      </c>
      <c r="J690" s="15">
        <v>1.6152933803814931</v>
      </c>
      <c r="K690" s="15">
        <v>1.6152933803814931</v>
      </c>
      <c r="L690" s="15">
        <v>1.6152933803814931</v>
      </c>
      <c r="M690" s="15">
        <v>1.6152933803814931</v>
      </c>
      <c r="N690" s="15">
        <v>1.6152933803814931</v>
      </c>
      <c r="O690" s="15" t="s">
        <v>10</v>
      </c>
      <c r="P690" s="15" t="s">
        <v>10</v>
      </c>
      <c r="Q690" s="8"/>
      <c r="R690" s="9" t="s">
        <v>692</v>
      </c>
    </row>
    <row r="691" spans="1:18" x14ac:dyDescent="0.25">
      <c r="A691" s="6" t="str">
        <f>HYPERLINK("proteomic_fractions_linear_files/Yang_linear_img/340007379.jpg", "340007379")</f>
        <v>340007379</v>
      </c>
      <c r="B691" s="7"/>
      <c r="C691" s="6" t="str">
        <f>HYPERLINK("http://www.ncbi.nlm.nih.gov/protein/340007379","Atp6v0a1")</f>
        <v>Atp6v0a1</v>
      </c>
      <c r="D691" s="8"/>
      <c r="E691" s="8">
        <v>96336</v>
      </c>
      <c r="F691" s="8"/>
      <c r="G691" s="15" t="s">
        <v>10</v>
      </c>
      <c r="H691" s="15" t="s">
        <v>10</v>
      </c>
      <c r="I691" s="15">
        <v>1.5984674076691858</v>
      </c>
      <c r="J691" s="15">
        <v>1.5984674076691858</v>
      </c>
      <c r="K691" s="15">
        <v>1.5984674076691858</v>
      </c>
      <c r="L691" s="15">
        <v>1.5984674076691858</v>
      </c>
      <c r="M691" s="15">
        <v>1.5984674076691858</v>
      </c>
      <c r="N691" s="15">
        <v>1.5984674076691858</v>
      </c>
      <c r="O691" s="15" t="s">
        <v>10</v>
      </c>
      <c r="P691" s="15" t="s">
        <v>10</v>
      </c>
      <c r="Q691" s="8"/>
      <c r="R691" s="9" t="s">
        <v>693</v>
      </c>
    </row>
    <row r="692" spans="1:18" x14ac:dyDescent="0.25">
      <c r="A692" s="6" t="str">
        <f>HYPERLINK("proteomic_fractions_linear_files/Yang_linear_img/83627707.jpg", "83627707")</f>
        <v>83627707</v>
      </c>
      <c r="B692" s="7"/>
      <c r="C692" s="6" t="str">
        <f>HYPERLINK("http://www.ncbi.nlm.nih.gov/protein/83627707","Atp6v0a2")</f>
        <v>Atp6v0a2</v>
      </c>
      <c r="D692" s="8"/>
      <c r="E692" s="8">
        <v>98015</v>
      </c>
      <c r="F692" s="8"/>
      <c r="G692" s="15" t="s">
        <v>10</v>
      </c>
      <c r="H692" s="15" t="s">
        <v>10</v>
      </c>
      <c r="I692" s="15">
        <v>0.54204662887756205</v>
      </c>
      <c r="J692" s="15">
        <v>0.54204662887756205</v>
      </c>
      <c r="K692" s="15">
        <v>1.3134860014807854</v>
      </c>
      <c r="L692" s="15">
        <v>1.3134860014807854</v>
      </c>
      <c r="M692" s="15" t="s">
        <v>10</v>
      </c>
      <c r="N692" s="15" t="s">
        <v>10</v>
      </c>
      <c r="O692" s="15" t="s">
        <v>10</v>
      </c>
      <c r="P692" s="15" t="s">
        <v>10</v>
      </c>
      <c r="Q692" s="8"/>
      <c r="R692" s="9" t="s">
        <v>694</v>
      </c>
    </row>
    <row r="693" spans="1:18" x14ac:dyDescent="0.25">
      <c r="A693" s="6" t="str">
        <f>HYPERLINK("proteomic_fractions_linear_files/Yang_linear_img/171543866.jpg", "171543866")</f>
        <v>171543866</v>
      </c>
      <c r="B693" s="7"/>
      <c r="C693" s="6" t="str">
        <f>HYPERLINK("http://www.ncbi.nlm.nih.gov/protein/171543866","Atp6v0a4")</f>
        <v>Atp6v0a4</v>
      </c>
      <c r="D693" s="8"/>
      <c r="E693" s="8">
        <v>95474</v>
      </c>
      <c r="F693" s="8"/>
      <c r="G693" s="15" t="s">
        <v>10</v>
      </c>
      <c r="H693" s="15" t="s">
        <v>10</v>
      </c>
      <c r="I693" s="15" t="s">
        <v>10</v>
      </c>
      <c r="J693" s="15" t="s">
        <v>10</v>
      </c>
      <c r="K693" s="15">
        <v>1.354964506790705</v>
      </c>
      <c r="L693" s="15">
        <v>1.354964506790705</v>
      </c>
      <c r="M693" s="15" t="s">
        <v>10</v>
      </c>
      <c r="N693" s="15" t="s">
        <v>10</v>
      </c>
      <c r="O693" s="15" t="s">
        <v>10</v>
      </c>
      <c r="P693" s="15" t="s">
        <v>10</v>
      </c>
      <c r="Q693" s="8"/>
      <c r="R693" s="9" t="s">
        <v>695</v>
      </c>
    </row>
    <row r="694" spans="1:18" x14ac:dyDescent="0.25">
      <c r="A694" s="6" t="str">
        <f>HYPERLINK("proteomic_fractions_linear_files/Yang_linear_img/6753144.jpg", "6753144")</f>
        <v>6753144</v>
      </c>
      <c r="B694" s="7"/>
      <c r="C694" s="6" t="str">
        <f>HYPERLINK("http://www.ncbi.nlm.nih.gov/protein/6753144","Atp6v0c")</f>
        <v>Atp6v0c</v>
      </c>
      <c r="D694" s="8"/>
      <c r="E694" s="8">
        <v>15677</v>
      </c>
      <c r="F694" s="8"/>
      <c r="G694" s="15">
        <v>1.4443483359198404</v>
      </c>
      <c r="H694" s="15">
        <v>1.287340074166017</v>
      </c>
      <c r="I694" s="15">
        <v>0.90734210761689671</v>
      </c>
      <c r="J694" s="15">
        <v>0.90734210761689671</v>
      </c>
      <c r="K694" s="15">
        <v>0.94977114336339286</v>
      </c>
      <c r="L694" s="15">
        <v>0.94977114336339286</v>
      </c>
      <c r="M694" s="15">
        <v>0.94977114336339286</v>
      </c>
      <c r="N694" s="15">
        <v>0.94977114336339286</v>
      </c>
      <c r="O694" s="15" t="s">
        <v>10</v>
      </c>
      <c r="P694" s="15" t="s">
        <v>10</v>
      </c>
      <c r="Q694" s="8"/>
      <c r="R694" s="9" t="s">
        <v>696</v>
      </c>
    </row>
    <row r="695" spans="1:18" x14ac:dyDescent="0.25">
      <c r="A695" s="6" t="str">
        <f>HYPERLINK("proteomic_fractions_linear_files/Yang_linear_img/31981304.jpg", "31981304")</f>
        <v>31981304</v>
      </c>
      <c r="B695" s="7"/>
      <c r="C695" s="6" t="str">
        <f>HYPERLINK("http://www.ncbi.nlm.nih.gov/protein/31981304","Atp6v0d1")</f>
        <v>Atp6v0d1</v>
      </c>
      <c r="D695" s="8"/>
      <c r="E695" s="8">
        <v>40170</v>
      </c>
      <c r="F695" s="8"/>
      <c r="G695" s="15">
        <v>1.2072493896103813</v>
      </c>
      <c r="H695" s="15">
        <v>1.2072493896103813</v>
      </c>
      <c r="I695" s="15">
        <v>0.8638344132618796</v>
      </c>
      <c r="J695" s="15">
        <v>0.8638344132618796</v>
      </c>
      <c r="K695" s="15">
        <v>0.93353316057811475</v>
      </c>
      <c r="L695" s="15">
        <v>0.93353316057811475</v>
      </c>
      <c r="M695" s="15">
        <v>0.8638344132618796</v>
      </c>
      <c r="N695" s="15">
        <v>0.8638344132618796</v>
      </c>
      <c r="O695" s="15">
        <v>0.80210182139333974</v>
      </c>
      <c r="P695" s="15">
        <v>0.80210182139333974</v>
      </c>
      <c r="Q695" s="8"/>
      <c r="R695" s="9" t="s">
        <v>697</v>
      </c>
    </row>
    <row r="696" spans="1:18" x14ac:dyDescent="0.25">
      <c r="A696" s="6" t="str">
        <f>HYPERLINK("proteomic_fractions_linear_files/Yang_linear_img/31560731.jpg", "31560731")</f>
        <v>31560731</v>
      </c>
      <c r="B696" s="7"/>
      <c r="C696" s="6" t="str">
        <f>HYPERLINK("http://www.ncbi.nlm.nih.gov/protein/31560731","Atp6v1a")</f>
        <v>Atp6v1a</v>
      </c>
      <c r="D696" s="8"/>
      <c r="E696" s="8">
        <v>68195</v>
      </c>
      <c r="F696" s="8"/>
      <c r="G696" s="15">
        <v>1.3965879585674192</v>
      </c>
      <c r="H696" s="15">
        <v>1.3965879585674192</v>
      </c>
      <c r="I696" s="15">
        <v>1.0799435329659153</v>
      </c>
      <c r="J696" s="15">
        <v>1.0799435329659153</v>
      </c>
      <c r="K696" s="15">
        <v>1.222039095193292</v>
      </c>
      <c r="L696" s="15">
        <v>1.222039095193292</v>
      </c>
      <c r="M696" s="15">
        <v>1.0799435329659153</v>
      </c>
      <c r="N696" s="15">
        <v>1.0799435329659153</v>
      </c>
      <c r="O696" s="15">
        <v>1.0799435329659153</v>
      </c>
      <c r="P696" s="15">
        <v>1.0799435329659153</v>
      </c>
      <c r="Q696" s="8"/>
      <c r="R696" s="9" t="s">
        <v>698</v>
      </c>
    </row>
    <row r="697" spans="1:18" x14ac:dyDescent="0.25">
      <c r="A697" s="6" t="str">
        <f>HYPERLINK("proteomic_fractions_linear_files/Yang_linear_img/19527064.jpg", "19527064")</f>
        <v>19527064</v>
      </c>
      <c r="B697" s="7"/>
      <c r="C697" s="6" t="str">
        <f>HYPERLINK("http://www.ncbi.nlm.nih.gov/protein/19527064","Atp6v1b1")</f>
        <v>Atp6v1b1</v>
      </c>
      <c r="D697" s="8"/>
      <c r="E697" s="8">
        <v>56660</v>
      </c>
      <c r="F697" s="8"/>
      <c r="G697" s="15">
        <v>1.2883536884505657</v>
      </c>
      <c r="H697" s="15">
        <v>1.1483028654481462</v>
      </c>
      <c r="I697" s="15">
        <v>0.93193981807019433</v>
      </c>
      <c r="J697" s="15">
        <v>0.93193981807019433</v>
      </c>
      <c r="K697" s="15">
        <v>1.0311089050104185</v>
      </c>
      <c r="L697" s="15">
        <v>1.0311089050104185</v>
      </c>
      <c r="M697" s="15">
        <v>1.0311089050104185</v>
      </c>
      <c r="N697" s="15">
        <v>1.0311089050104185</v>
      </c>
      <c r="O697" s="15">
        <v>0.84719255411254824</v>
      </c>
      <c r="P697" s="15">
        <v>0.84719255411254824</v>
      </c>
      <c r="Q697" s="8"/>
      <c r="R697" s="9" t="s">
        <v>699</v>
      </c>
    </row>
    <row r="698" spans="1:18" x14ac:dyDescent="0.25">
      <c r="A698" s="6" t="str">
        <f>HYPERLINK("proteomic_fractions_linear_files/Yang_linear_img/19705578.jpg", "19705578")</f>
        <v>19705578</v>
      </c>
      <c r="B698" s="7"/>
      <c r="C698" s="6" t="str">
        <f>HYPERLINK("http://www.ncbi.nlm.nih.gov/protein/19705578","Atp6v1b2")</f>
        <v>Atp6v1b2</v>
      </c>
      <c r="D698" s="8"/>
      <c r="E698" s="8">
        <v>56420</v>
      </c>
      <c r="F698" s="8"/>
      <c r="G698" s="15">
        <v>1.3113600043157543</v>
      </c>
      <c r="H698" s="15">
        <v>1.1688082737597203</v>
      </c>
      <c r="I698" s="15">
        <v>0.94858160053573359</v>
      </c>
      <c r="J698" s="15">
        <v>0.94858160053573359</v>
      </c>
      <c r="K698" s="15">
        <v>1.0495215640284616</v>
      </c>
      <c r="L698" s="15">
        <v>1.0495215640284616</v>
      </c>
      <c r="M698" s="15">
        <v>0.94858160053573359</v>
      </c>
      <c r="N698" s="15">
        <v>0.94858160053573359</v>
      </c>
      <c r="O698" s="15">
        <v>0.86232099257884376</v>
      </c>
      <c r="P698" s="15">
        <v>0.86232099257884376</v>
      </c>
      <c r="Q698" s="8"/>
      <c r="R698" s="9" t="s">
        <v>700</v>
      </c>
    </row>
    <row r="699" spans="1:18" x14ac:dyDescent="0.25">
      <c r="A699" s="6" t="str">
        <f>HYPERLINK("proteomic_fractions_linear_files/Yang_linear_img/189339262.jpg", "189339262")</f>
        <v>189339262</v>
      </c>
      <c r="B699" s="7"/>
      <c r="C699" s="6" t="str">
        <f>HYPERLINK("http://www.ncbi.nlm.nih.gov/protein/189339262","Atp6v1c1")</f>
        <v>Atp6v1c1</v>
      </c>
      <c r="D699" s="8"/>
      <c r="E699" s="8">
        <v>43757</v>
      </c>
      <c r="F699" s="8"/>
      <c r="G699" s="15" t="s">
        <v>10</v>
      </c>
      <c r="H699" s="15" t="s">
        <v>10</v>
      </c>
      <c r="I699" s="15">
        <v>0.84866650961646795</v>
      </c>
      <c r="J699" s="15">
        <v>0.84866650961646795</v>
      </c>
      <c r="K699" s="15">
        <v>0.9206208682550624</v>
      </c>
      <c r="L699" s="15">
        <v>0.9206208682550624</v>
      </c>
      <c r="M699" s="15">
        <v>0.84866650961646795</v>
      </c>
      <c r="N699" s="15">
        <v>0.84866650961646795</v>
      </c>
      <c r="O699" s="15">
        <v>0.78530401205625422</v>
      </c>
      <c r="P699" s="15">
        <v>0.78530401205625422</v>
      </c>
      <c r="Q699" s="8"/>
      <c r="R699" s="9" t="s">
        <v>701</v>
      </c>
    </row>
    <row r="700" spans="1:18" x14ac:dyDescent="0.25">
      <c r="A700" s="6" t="str">
        <f>HYPERLINK("proteomic_fractions_linear_files/Yang_linear_img/19526870.jpg", "19526870")</f>
        <v>19526870</v>
      </c>
      <c r="B700" s="7"/>
      <c r="C700" s="6" t="str">
        <f>HYPERLINK("http://www.ncbi.nlm.nih.gov/protein/19526870","Atp6v1c2")</f>
        <v>Atp6v1c2</v>
      </c>
      <c r="D700" s="8"/>
      <c r="E700" s="8">
        <v>48219</v>
      </c>
      <c r="F700" s="8"/>
      <c r="G700" s="15" t="s">
        <v>10</v>
      </c>
      <c r="H700" s="15" t="s">
        <v>10</v>
      </c>
      <c r="I700" s="15" t="s">
        <v>10</v>
      </c>
      <c r="J700" s="15" t="s">
        <v>10</v>
      </c>
      <c r="K700" s="15">
        <v>0.84390246256714052</v>
      </c>
      <c r="L700" s="15">
        <v>0.84390246256714052</v>
      </c>
      <c r="M700" s="15" t="s">
        <v>10</v>
      </c>
      <c r="N700" s="15" t="s">
        <v>10</v>
      </c>
      <c r="O700" s="15" t="s">
        <v>10</v>
      </c>
      <c r="P700" s="15" t="s">
        <v>10</v>
      </c>
      <c r="Q700" s="8"/>
      <c r="R700" s="9" t="s">
        <v>702</v>
      </c>
    </row>
    <row r="701" spans="1:18" x14ac:dyDescent="0.25">
      <c r="A701" s="6" t="str">
        <f>HYPERLINK("proteomic_fractions_linear_files/Yang_linear_img/227499977.jpg", "227499977")</f>
        <v>227499977</v>
      </c>
      <c r="B701" s="7"/>
      <c r="C701" s="6" t="str">
        <f>HYPERLINK("http://www.ncbi.nlm.nih.gov/protein/227499977","Atp6v1c2")</f>
        <v>Atp6v1c2</v>
      </c>
      <c r="D701" s="8"/>
      <c r="E701" s="8">
        <v>49393</v>
      </c>
      <c r="F701" s="8"/>
      <c r="G701" s="15" t="s">
        <v>10</v>
      </c>
      <c r="H701" s="15" t="s">
        <v>10</v>
      </c>
      <c r="I701" s="15" t="s">
        <v>10</v>
      </c>
      <c r="J701" s="15" t="s">
        <v>10</v>
      </c>
      <c r="K701" s="15">
        <v>0.82667996333107641</v>
      </c>
      <c r="L701" s="15">
        <v>0.82667996333107641</v>
      </c>
      <c r="M701" s="15" t="s">
        <v>10</v>
      </c>
      <c r="N701" s="15" t="s">
        <v>10</v>
      </c>
      <c r="O701" s="15" t="s">
        <v>10</v>
      </c>
      <c r="P701" s="15" t="s">
        <v>10</v>
      </c>
      <c r="Q701" s="8"/>
      <c r="R701" s="9" t="s">
        <v>703</v>
      </c>
    </row>
    <row r="702" spans="1:18" x14ac:dyDescent="0.25">
      <c r="A702" s="6" t="str">
        <f>HYPERLINK("proteomic_fractions_linear_files/Yang_linear_img/12963799.jpg", "12963799")</f>
        <v>12963799</v>
      </c>
      <c r="B702" s="7"/>
      <c r="C702" s="6" t="str">
        <f>HYPERLINK("http://www.ncbi.nlm.nih.gov/protein/12963799","Atp6v1d")</f>
        <v>Atp6v1d</v>
      </c>
      <c r="D702" s="8"/>
      <c r="E702" s="8">
        <v>28238</v>
      </c>
      <c r="F702" s="8"/>
      <c r="G702" s="15">
        <v>0.93393778983660714</v>
      </c>
      <c r="H702" s="15">
        <v>0.93393778983660714</v>
      </c>
      <c r="I702" s="15">
        <v>0.99707897491721642</v>
      </c>
      <c r="J702" s="15">
        <v>0.99707897491721642</v>
      </c>
      <c r="K702" s="15">
        <v>1.0673359604183261</v>
      </c>
      <c r="L702" s="15">
        <v>1.0673359604183261</v>
      </c>
      <c r="M702" s="15">
        <v>0.99707897491721642</v>
      </c>
      <c r="N702" s="15">
        <v>0.99707897491721642</v>
      </c>
      <c r="O702" s="15">
        <v>0.93393778983660714</v>
      </c>
      <c r="P702" s="15">
        <v>0.93393778983660714</v>
      </c>
      <c r="Q702" s="8"/>
      <c r="R702" s="9" t="s">
        <v>704</v>
      </c>
    </row>
    <row r="703" spans="1:18" x14ac:dyDescent="0.25">
      <c r="A703" s="6" t="str">
        <f>HYPERLINK("proteomic_fractions_linear_files/Yang_linear_img/45504359.jpg", "45504359")</f>
        <v>45504359</v>
      </c>
      <c r="B703" s="7"/>
      <c r="C703" s="6" t="str">
        <f>HYPERLINK("http://www.ncbi.nlm.nih.gov/protein/45504359","Atp6v1e1")</f>
        <v>Atp6v1e1</v>
      </c>
      <c r="D703" s="8"/>
      <c r="E703" s="8">
        <v>26026</v>
      </c>
      <c r="F703" s="8"/>
      <c r="G703" s="15">
        <v>1.5579737770470286</v>
      </c>
      <c r="H703" s="15">
        <v>1.5579737770470286</v>
      </c>
      <c r="I703" s="15">
        <v>1.0737773576031562</v>
      </c>
      <c r="J703" s="15">
        <v>1.0737773576031562</v>
      </c>
      <c r="K703" s="15">
        <v>1.1494387266043513</v>
      </c>
      <c r="L703" s="15">
        <v>1.1494387266043513</v>
      </c>
      <c r="M703" s="15">
        <v>1.0737773576031562</v>
      </c>
      <c r="N703" s="15">
        <v>1.0737773576031562</v>
      </c>
      <c r="O703" s="15">
        <v>1.0057791582855768</v>
      </c>
      <c r="P703" s="15">
        <v>1.0057791582855768</v>
      </c>
      <c r="Q703" s="8"/>
      <c r="R703" s="9" t="s">
        <v>705</v>
      </c>
    </row>
    <row r="704" spans="1:18" x14ac:dyDescent="0.25">
      <c r="A704" s="6" t="str">
        <f>HYPERLINK("proteomic_fractions_linear_files/Yang_linear_img/254911018.jpg", "254911018")</f>
        <v>254911018</v>
      </c>
      <c r="B704" s="7"/>
      <c r="C704" s="6" t="str">
        <f>HYPERLINK("http://www.ncbi.nlm.nih.gov/protein/254911018","Atp6v1e2")</f>
        <v>Atp6v1e2</v>
      </c>
      <c r="D704" s="8"/>
      <c r="E704" s="8">
        <v>26176</v>
      </c>
      <c r="F704" s="8"/>
      <c r="G704" s="15" t="s">
        <v>10</v>
      </c>
      <c r="H704" s="15" t="s">
        <v>10</v>
      </c>
      <c r="I704" s="15">
        <v>1.0737773576031562</v>
      </c>
      <c r="J704" s="15">
        <v>1.0737773576031562</v>
      </c>
      <c r="K704" s="15">
        <v>1.1494387266043513</v>
      </c>
      <c r="L704" s="15">
        <v>1.1494387266043513</v>
      </c>
      <c r="M704" s="15">
        <v>1.0737773576031562</v>
      </c>
      <c r="N704" s="15">
        <v>1.0737773576031562</v>
      </c>
      <c r="O704" s="15">
        <v>0.94441617743372752</v>
      </c>
      <c r="P704" s="15">
        <v>0.94441617743372752</v>
      </c>
      <c r="Q704" s="8"/>
      <c r="R704" s="9" t="s">
        <v>706</v>
      </c>
    </row>
    <row r="705" spans="1:18" x14ac:dyDescent="0.25">
      <c r="A705" s="6" t="str">
        <f>HYPERLINK("proteomic_fractions_linear_files/Yang_linear_img/21314824.jpg", "21314824")</f>
        <v>21314824</v>
      </c>
      <c r="B705" s="7"/>
      <c r="C705" s="6" t="str">
        <f>HYPERLINK("http://www.ncbi.nlm.nih.gov/protein/21314824","Atp6v1f")</f>
        <v>Atp6v1f</v>
      </c>
      <c r="D705" s="8"/>
      <c r="E705" s="8">
        <v>13239</v>
      </c>
      <c r="F705" s="8"/>
      <c r="G705" s="15" t="s">
        <v>10</v>
      </c>
      <c r="H705" s="15" t="s">
        <v>10</v>
      </c>
      <c r="I705" s="15">
        <v>0.98055533399520201</v>
      </c>
      <c r="J705" s="15">
        <v>0.98055533399520201</v>
      </c>
      <c r="K705" s="15">
        <v>1.068142346148973</v>
      </c>
      <c r="L705" s="15">
        <v>1.068142346148973</v>
      </c>
      <c r="M705" s="15">
        <v>1.0228510786924256</v>
      </c>
      <c r="N705" s="15">
        <v>1.0228510786924256</v>
      </c>
      <c r="O705" s="15">
        <v>0.98055533399520201</v>
      </c>
      <c r="P705" s="15">
        <v>0.98055533399520201</v>
      </c>
      <c r="Q705" s="8"/>
      <c r="R705" s="9" t="s">
        <v>707</v>
      </c>
    </row>
    <row r="706" spans="1:18" x14ac:dyDescent="0.25">
      <c r="A706" s="6" t="str">
        <f>HYPERLINK("proteomic_fractions_linear_files/Yang_linear_img/15617197.jpg", "15617197")</f>
        <v>15617197</v>
      </c>
      <c r="B706" s="7"/>
      <c r="C706" s="6" t="str">
        <f>HYPERLINK("http://www.ncbi.nlm.nih.gov/protein/15617197","Atp6v1g1")</f>
        <v>Atp6v1g1</v>
      </c>
      <c r="D706" s="8"/>
      <c r="E706" s="8">
        <v>13593</v>
      </c>
      <c r="F706" s="8"/>
      <c r="G706" s="15">
        <v>0.99184646428118928</v>
      </c>
      <c r="H706" s="15">
        <v>0.99184646428118928</v>
      </c>
      <c r="I706" s="15">
        <v>0.99184646428118928</v>
      </c>
      <c r="J706" s="15">
        <v>0.99184646428118928</v>
      </c>
      <c r="K706" s="15">
        <v>1.085452735272449</v>
      </c>
      <c r="L706" s="15">
        <v>1.085452735272449</v>
      </c>
      <c r="M706" s="15">
        <v>0.94979028735725246</v>
      </c>
      <c r="N706" s="15">
        <v>0.94979028735725246</v>
      </c>
      <c r="O706" s="15">
        <v>0.99184646428118928</v>
      </c>
      <c r="P706" s="15">
        <v>0.99184646428118928</v>
      </c>
      <c r="Q706" s="8"/>
      <c r="R706" s="9" t="s">
        <v>708</v>
      </c>
    </row>
    <row r="707" spans="1:18" x14ac:dyDescent="0.25">
      <c r="A707" s="6" t="str">
        <f>HYPERLINK("proteomic_fractions_linear_files/Yang_linear_img/31981588.jpg", "31981588")</f>
        <v>31981588</v>
      </c>
      <c r="B707" s="7"/>
      <c r="C707" s="6" t="str">
        <f>HYPERLINK("http://www.ncbi.nlm.nih.gov/protein/31981588","Atp6v1h")</f>
        <v>Atp6v1h</v>
      </c>
      <c r="D707" s="8"/>
      <c r="E707" s="8">
        <v>55724</v>
      </c>
      <c r="F707" s="8"/>
      <c r="G707" s="15">
        <v>1.1688082737597203</v>
      </c>
      <c r="H707" s="15">
        <v>1.1688082737597203</v>
      </c>
      <c r="I707" s="15">
        <v>0.94858160053573359</v>
      </c>
      <c r="J707" s="15">
        <v>0.94858160053573359</v>
      </c>
      <c r="K707" s="15">
        <v>0.94858160053573359</v>
      </c>
      <c r="L707" s="15">
        <v>0.94858160053573359</v>
      </c>
      <c r="M707" s="15">
        <v>0.94858160053573359</v>
      </c>
      <c r="N707" s="15">
        <v>0.94858160053573359</v>
      </c>
      <c r="O707" s="15">
        <v>0.86232099257884376</v>
      </c>
      <c r="P707" s="15">
        <v>0.86232099257884376</v>
      </c>
      <c r="Q707" s="8"/>
      <c r="R707" s="9" t="s">
        <v>709</v>
      </c>
    </row>
    <row r="708" spans="1:18" x14ac:dyDescent="0.25">
      <c r="A708" s="6" t="str">
        <f>HYPERLINK("proteomic_fractions_linear_files/Yang_linear_img/157951680.jpg", "157951680")</f>
        <v>157951680</v>
      </c>
      <c r="B708" s="7"/>
      <c r="C708" s="6" t="str">
        <f>HYPERLINK("http://www.ncbi.nlm.nih.gov/protein/157951680","Atp7a")</f>
        <v>Atp7a</v>
      </c>
      <c r="D708" s="8"/>
      <c r="E708" s="8">
        <v>161829</v>
      </c>
      <c r="F708" s="8"/>
      <c r="G708" s="15" t="s">
        <v>10</v>
      </c>
      <c r="H708" s="15" t="s">
        <v>10</v>
      </c>
      <c r="I708" s="15">
        <v>2.5249602329595047</v>
      </c>
      <c r="J708" s="15">
        <v>2.5249602329595047</v>
      </c>
      <c r="K708" s="15">
        <v>1.4404990594311671</v>
      </c>
      <c r="L708" s="15">
        <v>1.4404990594311671</v>
      </c>
      <c r="M708" s="15" t="s">
        <v>10</v>
      </c>
      <c r="N708" s="15" t="s">
        <v>10</v>
      </c>
      <c r="O708" s="15" t="s">
        <v>10</v>
      </c>
      <c r="P708" s="15" t="s">
        <v>10</v>
      </c>
      <c r="Q708" s="8"/>
      <c r="R708" s="9" t="s">
        <v>710</v>
      </c>
    </row>
    <row r="709" spans="1:18" x14ac:dyDescent="0.25">
      <c r="A709" s="6" t="str">
        <f>HYPERLINK("proteomic_fractions_linear_files/Yang_linear_img/157951682.jpg", "157951682")</f>
        <v>157951682</v>
      </c>
      <c r="B709" s="7"/>
      <c r="C709" s="6" t="str">
        <f>HYPERLINK("http://www.ncbi.nlm.nih.gov/protein/157951682","Atp7a")</f>
        <v>Atp7a</v>
      </c>
      <c r="D709" s="8"/>
      <c r="E709" s="8">
        <v>161900</v>
      </c>
      <c r="F709" s="8"/>
      <c r="G709" s="15" t="s">
        <v>10</v>
      </c>
      <c r="H709" s="15" t="s">
        <v>10</v>
      </c>
      <c r="I709" s="15">
        <v>2.5249602329595047</v>
      </c>
      <c r="J709" s="15">
        <v>2.5249602329595047</v>
      </c>
      <c r="K709" s="15">
        <v>1.4404990594311671</v>
      </c>
      <c r="L709" s="15">
        <v>1.4404990594311671</v>
      </c>
      <c r="M709" s="15" t="s">
        <v>10</v>
      </c>
      <c r="N709" s="15" t="s">
        <v>10</v>
      </c>
      <c r="O709" s="15" t="s">
        <v>10</v>
      </c>
      <c r="P709" s="15" t="s">
        <v>10</v>
      </c>
      <c r="Q709" s="8"/>
      <c r="R709" s="9" t="s">
        <v>711</v>
      </c>
    </row>
    <row r="710" spans="1:18" x14ac:dyDescent="0.25">
      <c r="A710" s="6" t="str">
        <f>HYPERLINK("proteomic_fractions_linear_files/Yang_linear_img/167716841.jpg", "167716841")</f>
        <v>167716841</v>
      </c>
      <c r="B710" s="7"/>
      <c r="C710" s="6" t="str">
        <f>HYPERLINK("http://www.ncbi.nlm.nih.gov/protein/167716841","ATP8")</f>
        <v>ATP8</v>
      </c>
      <c r="D710" s="8"/>
      <c r="E710" s="8">
        <v>7653</v>
      </c>
      <c r="F710" s="8"/>
      <c r="G710" s="15">
        <v>1.5291076615414196</v>
      </c>
      <c r="H710" s="15">
        <v>1.5291076615414196</v>
      </c>
      <c r="I710" s="15">
        <v>1.5934024177422033</v>
      </c>
      <c r="J710" s="15">
        <v>1.5934024177422033</v>
      </c>
      <c r="K710" s="15">
        <v>1.5934024177422033</v>
      </c>
      <c r="L710" s="15">
        <v>1.5934024177422033</v>
      </c>
      <c r="M710" s="15">
        <v>1.5934024177422033</v>
      </c>
      <c r="N710" s="15">
        <v>1.5934024177422033</v>
      </c>
      <c r="O710" s="15" t="s">
        <v>10</v>
      </c>
      <c r="P710" s="15" t="s">
        <v>10</v>
      </c>
      <c r="Q710" s="8"/>
      <c r="R710" s="9" t="s">
        <v>712</v>
      </c>
    </row>
    <row r="711" spans="1:18" x14ac:dyDescent="0.25">
      <c r="A711" s="6" t="str">
        <f>HYPERLINK("proteomic_fractions_linear_files/Yang_linear_img/34538602.jpg", "34538602")</f>
        <v>34538602</v>
      </c>
      <c r="B711" s="7"/>
      <c r="C711" s="6" t="str">
        <f>HYPERLINK("http://www.ncbi.nlm.nih.gov/protein/34538602","ATP8")</f>
        <v>ATP8</v>
      </c>
      <c r="D711" s="8"/>
      <c r="E711" s="8">
        <v>7635</v>
      </c>
      <c r="F711" s="8"/>
      <c r="G711" s="15">
        <v>1.5291076615414196</v>
      </c>
      <c r="H711" s="15">
        <v>1.5291076615414196</v>
      </c>
      <c r="I711" s="15">
        <v>1.5934024177422033</v>
      </c>
      <c r="J711" s="15">
        <v>1.5934024177422033</v>
      </c>
      <c r="K711" s="15">
        <v>1.5934024177422033</v>
      </c>
      <c r="L711" s="15">
        <v>1.5934024177422033</v>
      </c>
      <c r="M711" s="15">
        <v>1.5934024177422033</v>
      </c>
      <c r="N711" s="15">
        <v>1.5934024177422033</v>
      </c>
      <c r="O711" s="15" t="s">
        <v>10</v>
      </c>
      <c r="P711" s="15" t="s">
        <v>10</v>
      </c>
      <c r="Q711" s="8"/>
      <c r="R711" s="9" t="s">
        <v>713</v>
      </c>
    </row>
    <row r="712" spans="1:18" x14ac:dyDescent="0.25">
      <c r="A712" s="6" t="str">
        <f>HYPERLINK("proteomic_fractions_linear_files/Yang_linear_img/7656912.jpg", "7656912")</f>
        <v>7656912</v>
      </c>
      <c r="B712" s="7"/>
      <c r="C712" s="6" t="str">
        <f>HYPERLINK("http://www.ncbi.nlm.nih.gov/protein/7656912","Atp8a2")</f>
        <v>Atp8a2</v>
      </c>
      <c r="D712" s="8"/>
      <c r="E712" s="8">
        <v>129286</v>
      </c>
      <c r="F712" s="8"/>
      <c r="G712" s="15">
        <v>0.1295850738031552</v>
      </c>
      <c r="H712" s="15">
        <v>0.1295850738031552</v>
      </c>
      <c r="I712" s="15" t="s">
        <v>10</v>
      </c>
      <c r="J712" s="15" t="s">
        <v>10</v>
      </c>
      <c r="K712" s="15" t="s">
        <v>10</v>
      </c>
      <c r="L712" s="15" t="s">
        <v>10</v>
      </c>
      <c r="M712" s="15" t="s">
        <v>10</v>
      </c>
      <c r="N712" s="15" t="s">
        <v>10</v>
      </c>
      <c r="O712" s="15" t="s">
        <v>10</v>
      </c>
      <c r="P712" s="15" t="s">
        <v>10</v>
      </c>
      <c r="Q712" s="8"/>
      <c r="R712" s="9" t="s">
        <v>714</v>
      </c>
    </row>
    <row r="713" spans="1:18" x14ac:dyDescent="0.25">
      <c r="A713" s="6" t="str">
        <f>HYPERLINK("proteomic_fractions_linear_files/Yang_linear_img/80861460.jpg", "80861460")</f>
        <v>80861460</v>
      </c>
      <c r="B713" s="7"/>
      <c r="C713" s="6" t="str">
        <f>HYPERLINK("http://www.ncbi.nlm.nih.gov/protein/80861460","Atp8b1")</f>
        <v>Atp8b1</v>
      </c>
      <c r="D713" s="8"/>
      <c r="E713" s="8">
        <v>143667</v>
      </c>
      <c r="F713" s="8"/>
      <c r="G713" s="15" t="s">
        <v>10</v>
      </c>
      <c r="H713" s="15" t="s">
        <v>10</v>
      </c>
      <c r="I713" s="15" t="s">
        <v>10</v>
      </c>
      <c r="J713" s="15" t="s">
        <v>10</v>
      </c>
      <c r="K713" s="15">
        <v>1.2969849419440302</v>
      </c>
      <c r="L713" s="15">
        <v>1.2969849419440302</v>
      </c>
      <c r="M713" s="15" t="s">
        <v>10</v>
      </c>
      <c r="N713" s="15" t="s">
        <v>10</v>
      </c>
      <c r="O713" s="15" t="s">
        <v>10</v>
      </c>
      <c r="P713" s="15" t="s">
        <v>10</v>
      </c>
      <c r="Q713" s="8"/>
      <c r="R713" s="9" t="s">
        <v>715</v>
      </c>
    </row>
    <row r="714" spans="1:18" x14ac:dyDescent="0.25">
      <c r="A714" s="6" t="str">
        <f>HYPERLINK("proteomic_fractions_linear_files/Yang_linear_img/46358405.jpg", "46358405")</f>
        <v>46358405</v>
      </c>
      <c r="B714" s="7"/>
      <c r="C714" s="6" t="str">
        <f>HYPERLINK("http://www.ncbi.nlm.nih.gov/protein/46358405","Atp8b3")</f>
        <v>Atp8b3</v>
      </c>
      <c r="D714" s="8"/>
      <c r="E714" s="8">
        <v>151824</v>
      </c>
      <c r="F714" s="8"/>
      <c r="G714" s="15" t="s">
        <v>10</v>
      </c>
      <c r="H714" s="15" t="s">
        <v>10</v>
      </c>
      <c r="I714" s="15" t="s">
        <v>10</v>
      </c>
      <c r="J714" s="15" t="s">
        <v>10</v>
      </c>
      <c r="K714" s="15">
        <v>1.228722576578555</v>
      </c>
      <c r="L714" s="15">
        <v>1.228722576578555</v>
      </c>
      <c r="M714" s="15" t="s">
        <v>10</v>
      </c>
      <c r="N714" s="15" t="s">
        <v>10</v>
      </c>
      <c r="O714" s="15" t="s">
        <v>10</v>
      </c>
      <c r="P714" s="15" t="s">
        <v>10</v>
      </c>
      <c r="Q714" s="8"/>
      <c r="R714" s="9" t="s">
        <v>716</v>
      </c>
    </row>
    <row r="715" spans="1:18" x14ac:dyDescent="0.25">
      <c r="A715" s="6" t="str">
        <f>HYPERLINK("proteomic_fractions_linear_files/Yang_linear_img/157671921.jpg", "157671921")</f>
        <v>157671921</v>
      </c>
      <c r="B715" s="7"/>
      <c r="C715" s="6" t="str">
        <f>HYPERLINK("http://www.ncbi.nlm.nih.gov/protein/157671921","Atp8b4")</f>
        <v>Atp8b4</v>
      </c>
      <c r="D715" s="8"/>
      <c r="E715" s="8">
        <v>135012</v>
      </c>
      <c r="F715" s="8"/>
      <c r="G715" s="15" t="s">
        <v>10</v>
      </c>
      <c r="H715" s="15" t="s">
        <v>10</v>
      </c>
      <c r="I715" s="15" t="s">
        <v>10</v>
      </c>
      <c r="J715" s="15" t="s">
        <v>10</v>
      </c>
      <c r="K715" s="15">
        <v>1.383450604740299</v>
      </c>
      <c r="L715" s="15">
        <v>1.383450604740299</v>
      </c>
      <c r="M715" s="15" t="s">
        <v>10</v>
      </c>
      <c r="N715" s="15" t="s">
        <v>10</v>
      </c>
      <c r="O715" s="15" t="s">
        <v>10</v>
      </c>
      <c r="P715" s="15" t="s">
        <v>10</v>
      </c>
      <c r="Q715" s="8"/>
      <c r="R715" s="9" t="s">
        <v>717</v>
      </c>
    </row>
    <row r="716" spans="1:18" x14ac:dyDescent="0.25">
      <c r="A716" s="6" t="str">
        <f>HYPERLINK("proteomic_fractions_linear_files/Yang_linear_img/40795674.jpg", "40795674")</f>
        <v>40795674</v>
      </c>
      <c r="B716" s="7"/>
      <c r="C716" s="6" t="str">
        <f>HYPERLINK("http://www.ncbi.nlm.nih.gov/protein/40795674","Atp9a")</f>
        <v>Atp9a</v>
      </c>
      <c r="D716" s="8"/>
      <c r="E716" s="8">
        <v>118478</v>
      </c>
      <c r="F716" s="8"/>
      <c r="G716" s="15" t="s">
        <v>10</v>
      </c>
      <c r="H716" s="15" t="s">
        <v>10</v>
      </c>
      <c r="I716" s="15" t="s">
        <v>10</v>
      </c>
      <c r="J716" s="15" t="s">
        <v>10</v>
      </c>
      <c r="K716" s="15">
        <v>1.0908612554670929</v>
      </c>
      <c r="L716" s="15">
        <v>1.0908612554670929</v>
      </c>
      <c r="M716" s="15" t="s">
        <v>10</v>
      </c>
      <c r="N716" s="15" t="s">
        <v>10</v>
      </c>
      <c r="O716" s="15" t="s">
        <v>10</v>
      </c>
      <c r="P716" s="15" t="s">
        <v>10</v>
      </c>
      <c r="Q716" s="8"/>
      <c r="R716" s="9" t="s">
        <v>718</v>
      </c>
    </row>
    <row r="717" spans="1:18" x14ac:dyDescent="0.25">
      <c r="A717" s="6" t="str">
        <f>HYPERLINK("proteomic_fractions_linear_files/Yang_linear_img/320089590.jpg", "320089590")</f>
        <v>320089590</v>
      </c>
      <c r="B717" s="7"/>
      <c r="C717" s="6" t="str">
        <f>HYPERLINK("http://www.ncbi.nlm.nih.gov/protein/320089590","Atp9b")</f>
        <v>Atp9b</v>
      </c>
      <c r="D717" s="8"/>
      <c r="E717" s="8">
        <v>128915</v>
      </c>
      <c r="F717" s="8"/>
      <c r="G717" s="15" t="s">
        <v>10</v>
      </c>
      <c r="H717" s="15" t="s">
        <v>10</v>
      </c>
      <c r="I717" s="15" t="s">
        <v>10</v>
      </c>
      <c r="J717" s="15" t="s">
        <v>10</v>
      </c>
      <c r="K717" s="15">
        <v>1.1895571405910219</v>
      </c>
      <c r="L717" s="15">
        <v>1.1895571405910219</v>
      </c>
      <c r="M717" s="15" t="s">
        <v>10</v>
      </c>
      <c r="N717" s="15" t="s">
        <v>10</v>
      </c>
      <c r="O717" s="15" t="s">
        <v>10</v>
      </c>
      <c r="P717" s="15" t="s">
        <v>10</v>
      </c>
      <c r="Q717" s="8"/>
      <c r="R717" s="9" t="s">
        <v>719</v>
      </c>
    </row>
    <row r="718" spans="1:18" x14ac:dyDescent="0.25">
      <c r="A718" s="6" t="str">
        <f>HYPERLINK("proteomic_fractions_linear_files/Yang_linear_img/40807502.jpg", "40807502")</f>
        <v>40807502</v>
      </c>
      <c r="B718" s="7"/>
      <c r="C718" s="6" t="str">
        <f>HYPERLINK("http://www.ncbi.nlm.nih.gov/protein/40807502","Atp9b")</f>
        <v>Atp9b</v>
      </c>
      <c r="D718" s="8"/>
      <c r="E718" s="8">
        <v>127809</v>
      </c>
      <c r="F718" s="8"/>
      <c r="G718" s="15" t="s">
        <v>10</v>
      </c>
      <c r="H718" s="15" t="s">
        <v>10</v>
      </c>
      <c r="I718" s="15" t="s">
        <v>10</v>
      </c>
      <c r="J718" s="15" t="s">
        <v>10</v>
      </c>
      <c r="K718" s="15">
        <v>1.1988505557518894</v>
      </c>
      <c r="L718" s="15">
        <v>1.1988505557518894</v>
      </c>
      <c r="M718" s="15" t="s">
        <v>10</v>
      </c>
      <c r="N718" s="15" t="s">
        <v>10</v>
      </c>
      <c r="O718" s="15" t="s">
        <v>10</v>
      </c>
      <c r="P718" s="15" t="s">
        <v>10</v>
      </c>
      <c r="Q718" s="8"/>
      <c r="R718" s="9" t="s">
        <v>720</v>
      </c>
    </row>
    <row r="719" spans="1:18" x14ac:dyDescent="0.25">
      <c r="A719" s="6" t="str">
        <f>HYPERLINK("proteomic_fractions_linear_files/Yang_linear_img/344925843.jpg", "344925843")</f>
        <v>344925843</v>
      </c>
      <c r="B719" s="7"/>
      <c r="C719" s="6" t="str">
        <f>HYPERLINK("http://www.ncbi.nlm.nih.gov/protein/344925843","Atpaf1")</f>
        <v>Atpaf1</v>
      </c>
      <c r="D719" s="8"/>
      <c r="E719" s="8">
        <v>38665</v>
      </c>
      <c r="F719" s="8"/>
      <c r="G719" s="15" t="s">
        <v>10</v>
      </c>
      <c r="H719" s="15" t="s">
        <v>10</v>
      </c>
      <c r="I719" s="15">
        <v>0.67051943885705134</v>
      </c>
      <c r="J719" s="15">
        <v>0.67051943885705134</v>
      </c>
      <c r="K719" s="15" t="s">
        <v>10</v>
      </c>
      <c r="L719" s="15" t="s">
        <v>10</v>
      </c>
      <c r="M719" s="15" t="s">
        <v>10</v>
      </c>
      <c r="N719" s="15" t="s">
        <v>10</v>
      </c>
      <c r="O719" s="15" t="s">
        <v>10</v>
      </c>
      <c r="P719" s="15" t="s">
        <v>10</v>
      </c>
      <c r="Q719" s="8"/>
      <c r="R719" s="9" t="s">
        <v>721</v>
      </c>
    </row>
    <row r="720" spans="1:18" x14ac:dyDescent="0.25">
      <c r="A720" s="6" t="str">
        <f>HYPERLINK("proteomic_fractions_linear_files/Yang_linear_img/238776839.jpg", "238776839")</f>
        <v>238776839</v>
      </c>
      <c r="B720" s="7"/>
      <c r="C720" s="6" t="str">
        <f>HYPERLINK("http://www.ncbi.nlm.nih.gov/protein/238776839","Atpaf2")</f>
        <v>Atpaf2</v>
      </c>
      <c r="D720" s="8"/>
      <c r="E720" s="8">
        <v>34156</v>
      </c>
      <c r="F720" s="8"/>
      <c r="G720" s="15">
        <v>1.0162757803080937</v>
      </c>
      <c r="H720" s="15">
        <v>1.0162757803080937</v>
      </c>
      <c r="I720" s="15">
        <v>0.72220060627285054</v>
      </c>
      <c r="J720" s="15">
        <v>0.72220060627285054</v>
      </c>
      <c r="K720" s="15" t="s">
        <v>10</v>
      </c>
      <c r="L720" s="15" t="s">
        <v>10</v>
      </c>
      <c r="M720" s="15" t="s">
        <v>10</v>
      </c>
      <c r="N720" s="15" t="s">
        <v>10</v>
      </c>
      <c r="O720" s="15" t="s">
        <v>10</v>
      </c>
      <c r="P720" s="15" t="s">
        <v>10</v>
      </c>
      <c r="Q720" s="8"/>
      <c r="R720" s="9" t="s">
        <v>722</v>
      </c>
    </row>
    <row r="721" spans="1:18" x14ac:dyDescent="0.25">
      <c r="A721" s="6" t="str">
        <f>HYPERLINK("proteomic_fractions_linear_files/Yang_linear_img/31982864.jpg", "31982864")</f>
        <v>31982864</v>
      </c>
      <c r="B721" s="7"/>
      <c r="C721" s="6" t="str">
        <f>HYPERLINK("http://www.ncbi.nlm.nih.gov/protein/31982864","Atpif1")</f>
        <v>Atpif1</v>
      </c>
      <c r="D721" s="8"/>
      <c r="E721" s="8">
        <v>9466</v>
      </c>
      <c r="F721" s="8"/>
      <c r="G721" s="15" t="s">
        <v>10</v>
      </c>
      <c r="H721" s="15" t="s">
        <v>10</v>
      </c>
      <c r="I721" s="15">
        <v>1.5428722777707389</v>
      </c>
      <c r="J721" s="15">
        <v>1.5428722777707389</v>
      </c>
      <c r="K721" s="15">
        <v>1.6130526357633719</v>
      </c>
      <c r="L721" s="15">
        <v>1.6130526357633719</v>
      </c>
      <c r="M721" s="15" t="s">
        <v>10</v>
      </c>
      <c r="N721" s="15" t="s">
        <v>10</v>
      </c>
      <c r="O721" s="15" t="s">
        <v>10</v>
      </c>
      <c r="P721" s="15" t="s">
        <v>10</v>
      </c>
      <c r="Q721" s="8"/>
      <c r="R721" s="9" t="s">
        <v>723</v>
      </c>
    </row>
    <row r="722" spans="1:18" x14ac:dyDescent="0.25">
      <c r="A722" s="6" t="str">
        <f>HYPERLINK("proteomic_fractions_linear_files/Yang_linear_img/189339266.jpg", "189339266")</f>
        <v>189339266</v>
      </c>
      <c r="B722" s="7"/>
      <c r="C722" s="6" t="str">
        <f>HYPERLINK("http://www.ncbi.nlm.nih.gov/protein/189339266","Atr")</f>
        <v>Atr</v>
      </c>
      <c r="D722" s="8"/>
      <c r="E722" s="8">
        <v>300892</v>
      </c>
      <c r="F722" s="8"/>
      <c r="G722" s="15" t="s">
        <v>10</v>
      </c>
      <c r="H722" s="15" t="s">
        <v>10</v>
      </c>
      <c r="I722" s="15" t="s">
        <v>10</v>
      </c>
      <c r="J722" s="15" t="s">
        <v>10</v>
      </c>
      <c r="K722" s="15">
        <v>1.0026024074302284</v>
      </c>
      <c r="L722" s="15">
        <v>1.0026024074302284</v>
      </c>
      <c r="M722" s="15" t="s">
        <v>10</v>
      </c>
      <c r="N722" s="15" t="s">
        <v>10</v>
      </c>
      <c r="O722" s="15" t="s">
        <v>10</v>
      </c>
      <c r="P722" s="15" t="s">
        <v>10</v>
      </c>
      <c r="Q722" s="8"/>
      <c r="R722" s="9" t="s">
        <v>724</v>
      </c>
    </row>
    <row r="723" spans="1:18" x14ac:dyDescent="0.25">
      <c r="A723" s="6" t="str">
        <f>HYPERLINK("proteomic_fractions_linear_files/Yang_linear_img/47087146.jpg", "47087146")</f>
        <v>47087146</v>
      </c>
      <c r="B723" s="7"/>
      <c r="C723" s="6" t="str">
        <f>HYPERLINK("http://www.ncbi.nlm.nih.gov/protein/47087146","Atraid")</f>
        <v>Atraid</v>
      </c>
      <c r="D723" s="8"/>
      <c r="E723" s="8">
        <v>21377</v>
      </c>
      <c r="F723" s="8"/>
      <c r="G723" s="15" t="s">
        <v>10</v>
      </c>
      <c r="H723" s="15" t="s">
        <v>10</v>
      </c>
      <c r="I723" s="15" t="s">
        <v>10</v>
      </c>
      <c r="J723" s="15" t="s">
        <v>10</v>
      </c>
      <c r="K723" s="15">
        <v>2.7987241707425645</v>
      </c>
      <c r="L723" s="15">
        <v>2.7987241707425645</v>
      </c>
      <c r="M723" s="15" t="s">
        <v>10</v>
      </c>
      <c r="N723" s="15" t="s">
        <v>10</v>
      </c>
      <c r="O723" s="15" t="s">
        <v>10</v>
      </c>
      <c r="P723" s="15" t="s">
        <v>10</v>
      </c>
      <c r="Q723" s="8"/>
      <c r="R723" s="9" t="s">
        <v>725</v>
      </c>
    </row>
    <row r="724" spans="1:18" x14ac:dyDescent="0.25">
      <c r="A724" s="6" t="str">
        <f>HYPERLINK("proteomic_fractions_linear_files/Yang_linear_img/83649709.jpg", "83649709")</f>
        <v>83649709</v>
      </c>
      <c r="B724" s="7"/>
      <c r="C724" s="6" t="str">
        <f>HYPERLINK("http://www.ncbi.nlm.nih.gov/protein/83649709","Atxn10")</f>
        <v>Atxn10</v>
      </c>
      <c r="D724" s="8"/>
      <c r="E724" s="8">
        <v>53576</v>
      </c>
      <c r="F724" s="8"/>
      <c r="G724" s="15" t="s">
        <v>10</v>
      </c>
      <c r="H724" s="15" t="s">
        <v>10</v>
      </c>
      <c r="I724" s="15">
        <v>0.89425880711880101</v>
      </c>
      <c r="J724" s="15">
        <v>0.89425880711880101</v>
      </c>
      <c r="K724" s="15">
        <v>0.89425880711880101</v>
      </c>
      <c r="L724" s="15">
        <v>0.89425880711880101</v>
      </c>
      <c r="M724" s="15">
        <v>0.89425880711880101</v>
      </c>
      <c r="N724" s="15">
        <v>0.89425880711880101</v>
      </c>
      <c r="O724" s="15">
        <v>0.81714054161047167</v>
      </c>
      <c r="P724" s="15">
        <v>0.81714054161047167</v>
      </c>
      <c r="Q724" s="8"/>
      <c r="R724" s="9" t="s">
        <v>726</v>
      </c>
    </row>
    <row r="725" spans="1:18" x14ac:dyDescent="0.25">
      <c r="A725" s="6" t="str">
        <f>HYPERLINK("proteomic_fractions_linear_files/Yang_linear_img/124244104.jpg", "124244104")</f>
        <v>124244104</v>
      </c>
      <c r="B725" s="7"/>
      <c r="C725" s="6" t="str">
        <f>HYPERLINK("http://www.ncbi.nlm.nih.gov/protein/124244104","Atxn2")</f>
        <v>Atxn2</v>
      </c>
      <c r="D725" s="8"/>
      <c r="E725" s="8">
        <v>136330</v>
      </c>
      <c r="F725" s="8"/>
      <c r="G725" s="15" t="s">
        <v>10</v>
      </c>
      <c r="H725" s="15" t="s">
        <v>10</v>
      </c>
      <c r="I725" s="15" t="s">
        <v>10</v>
      </c>
      <c r="J725" s="15" t="s">
        <v>10</v>
      </c>
      <c r="K725" s="15">
        <v>1.3732781738230908</v>
      </c>
      <c r="L725" s="15">
        <v>1.3732781738230908</v>
      </c>
      <c r="M725" s="15">
        <v>0.23591230040980579</v>
      </c>
      <c r="N725" s="15">
        <v>0.23591230040980579</v>
      </c>
      <c r="O725" s="15" t="s">
        <v>10</v>
      </c>
      <c r="P725" s="15" t="s">
        <v>10</v>
      </c>
      <c r="Q725" s="8"/>
      <c r="R725" s="9" t="s">
        <v>727</v>
      </c>
    </row>
    <row r="726" spans="1:18" x14ac:dyDescent="0.25">
      <c r="A726" s="6" t="str">
        <f>HYPERLINK("proteomic_fractions_linear_files/Yang_linear_img/33942089.jpg", "33942089")</f>
        <v>33942089</v>
      </c>
      <c r="B726" s="7"/>
      <c r="C726" s="6" t="str">
        <f>HYPERLINK("http://www.ncbi.nlm.nih.gov/protein/33942089","Atxn2l")</f>
        <v>Atxn2l</v>
      </c>
      <c r="D726" s="8"/>
      <c r="E726" s="8">
        <v>110518</v>
      </c>
      <c r="F726" s="8"/>
      <c r="G726" s="15" t="s">
        <v>10</v>
      </c>
      <c r="H726" s="15" t="s">
        <v>10</v>
      </c>
      <c r="I726" s="15" t="s">
        <v>10</v>
      </c>
      <c r="J726" s="15" t="s">
        <v>10</v>
      </c>
      <c r="K726" s="15">
        <v>1.6825750598192826</v>
      </c>
      <c r="L726" s="15">
        <v>1.6825750598192826</v>
      </c>
      <c r="M726" s="15" t="s">
        <v>10</v>
      </c>
      <c r="N726" s="15" t="s">
        <v>10</v>
      </c>
      <c r="O726" s="15">
        <v>0.39752783105374295</v>
      </c>
      <c r="P726" s="15">
        <v>0.74863656282111579</v>
      </c>
      <c r="Q726" s="8"/>
      <c r="R726" s="9" t="s">
        <v>728</v>
      </c>
    </row>
    <row r="727" spans="1:18" x14ac:dyDescent="0.25">
      <c r="A727" s="6" t="str">
        <f>HYPERLINK("proteomic_fractions_linear_files/Yang_linear_img/268837077.jpg", "268837077")</f>
        <v>268837077</v>
      </c>
      <c r="B727" s="7"/>
      <c r="C727" s="6" t="str">
        <f>HYPERLINK("http://www.ncbi.nlm.nih.gov/protein/268837077","Atxn3")</f>
        <v>Atxn3</v>
      </c>
      <c r="D727" s="8"/>
      <c r="E727" s="8">
        <v>40402</v>
      </c>
      <c r="F727" s="8"/>
      <c r="G727" s="15" t="s">
        <v>10</v>
      </c>
      <c r="H727" s="15" t="s">
        <v>10</v>
      </c>
      <c r="I727" s="15" t="s">
        <v>10</v>
      </c>
      <c r="J727" s="15" t="s">
        <v>10</v>
      </c>
      <c r="K727" s="15" t="s">
        <v>10</v>
      </c>
      <c r="L727" s="15" t="s">
        <v>10</v>
      </c>
      <c r="M727" s="15" t="s">
        <v>10</v>
      </c>
      <c r="N727" s="15" t="s">
        <v>10</v>
      </c>
      <c r="O727" s="15">
        <v>0.93353316057811475</v>
      </c>
      <c r="P727" s="15">
        <v>0.93353316057811475</v>
      </c>
      <c r="Q727" s="8"/>
      <c r="R727" s="9" t="s">
        <v>729</v>
      </c>
    </row>
    <row r="728" spans="1:18" x14ac:dyDescent="0.25">
      <c r="A728" s="6" t="str">
        <f>HYPERLINK("proteomic_fractions_linear_files/Yang_linear_img/268837154.jpg", "268837154")</f>
        <v>268837154</v>
      </c>
      <c r="B728" s="7"/>
      <c r="C728" s="6" t="str">
        <f>HYPERLINK("http://www.ncbi.nlm.nih.gov/protein/268837154","Atxn3")</f>
        <v>Atxn3</v>
      </c>
      <c r="D728" s="8"/>
      <c r="E728" s="8">
        <v>33303</v>
      </c>
      <c r="F728" s="8"/>
      <c r="G728" s="15" t="s">
        <v>10</v>
      </c>
      <c r="H728" s="15" t="s">
        <v>10</v>
      </c>
      <c r="I728" s="15" t="s">
        <v>10</v>
      </c>
      <c r="J728" s="15" t="s">
        <v>10</v>
      </c>
      <c r="K728" s="15" t="s">
        <v>10</v>
      </c>
      <c r="L728" s="15" t="s">
        <v>10</v>
      </c>
      <c r="M728" s="15" t="s">
        <v>10</v>
      </c>
      <c r="N728" s="15" t="s">
        <v>10</v>
      </c>
      <c r="O728" s="15">
        <v>1.1315553461552907</v>
      </c>
      <c r="P728" s="15">
        <v>1.1315553461552907</v>
      </c>
      <c r="Q728" s="8"/>
      <c r="R728" s="9" t="s">
        <v>730</v>
      </c>
    </row>
    <row r="729" spans="1:18" x14ac:dyDescent="0.25">
      <c r="A729" s="6" t="str">
        <f>HYPERLINK("proteomic_fractions_linear_files/Yang_linear_img/113930747.jpg", "113930747")</f>
        <v>113930747</v>
      </c>
      <c r="B729" s="7"/>
      <c r="C729" s="6" t="str">
        <f>HYPERLINK("http://www.ncbi.nlm.nih.gov/protein/113930747","Atxn7l3b")</f>
        <v>Atxn7l3b</v>
      </c>
      <c r="D729" s="8"/>
      <c r="E729" s="8">
        <v>10600</v>
      </c>
      <c r="F729" s="8"/>
      <c r="G729" s="15" t="s">
        <v>10</v>
      </c>
      <c r="H729" s="15" t="s">
        <v>10</v>
      </c>
      <c r="I729" s="15">
        <v>1.2088240020910486</v>
      </c>
      <c r="J729" s="15">
        <v>1.2088240020910486</v>
      </c>
      <c r="K729" s="15">
        <v>1.2623500454487864</v>
      </c>
      <c r="L729" s="15">
        <v>1.2623500454487864</v>
      </c>
      <c r="M729" s="15">
        <v>1.2623500454487864</v>
      </c>
      <c r="N729" s="15">
        <v>1.2623500454487864</v>
      </c>
      <c r="O729" s="15">
        <v>1.2088240020910486</v>
      </c>
      <c r="P729" s="15">
        <v>1.2088240020910486</v>
      </c>
      <c r="Q729" s="8"/>
      <c r="R729" s="9" t="s">
        <v>731</v>
      </c>
    </row>
    <row r="730" spans="1:18" x14ac:dyDescent="0.25">
      <c r="A730" s="6" t="str">
        <f>HYPERLINK("proteomic_fractions_linear_files/Yang_linear_img/85701612.jpg", "85701612")</f>
        <v>85701612</v>
      </c>
      <c r="B730" s="7"/>
      <c r="C730" s="6" t="str">
        <f>HYPERLINK("http://www.ncbi.nlm.nih.gov/protein/85701612","AU015228")</f>
        <v>AU015228</v>
      </c>
      <c r="D730" s="8"/>
      <c r="E730" s="8">
        <v>49031</v>
      </c>
      <c r="F730" s="8"/>
      <c r="G730" s="15" t="s">
        <v>10</v>
      </c>
      <c r="H730" s="15" t="s">
        <v>10</v>
      </c>
      <c r="I730" s="15">
        <v>1.1994532160325275</v>
      </c>
      <c r="J730" s="15">
        <v>1.1994532160325275</v>
      </c>
      <c r="K730" s="15">
        <v>1.1994532160325275</v>
      </c>
      <c r="L730" s="15">
        <v>1.1994532160325275</v>
      </c>
      <c r="M730" s="15">
        <v>1.1994532160325275</v>
      </c>
      <c r="N730" s="15">
        <v>1.1994532160325275</v>
      </c>
      <c r="O730" s="15" t="s">
        <v>10</v>
      </c>
      <c r="P730" s="15" t="s">
        <v>10</v>
      </c>
      <c r="Q730" s="8"/>
      <c r="R730" s="9" t="s">
        <v>732</v>
      </c>
    </row>
    <row r="731" spans="1:18" x14ac:dyDescent="0.25">
      <c r="A731" s="6" t="str">
        <f>HYPERLINK("proteomic_fractions_linear_files/Yang_linear_img/201025409.jpg", "201025409")</f>
        <v>201025409</v>
      </c>
      <c r="B731" s="7"/>
      <c r="C731" s="6" t="str">
        <f>HYPERLINK("http://www.ncbi.nlm.nih.gov/protein/201025409","AU019823")</f>
        <v>AU019823</v>
      </c>
      <c r="D731" s="8"/>
      <c r="E731" s="8">
        <v>33824</v>
      </c>
      <c r="F731" s="8"/>
      <c r="G731" s="15" t="s">
        <v>10</v>
      </c>
      <c r="H731" s="15" t="s">
        <v>10</v>
      </c>
      <c r="I731" s="15">
        <v>176.26764705882354</v>
      </c>
      <c r="J731" s="15">
        <v>176.26764705882354</v>
      </c>
      <c r="K731" s="15">
        <v>176.26764705882354</v>
      </c>
      <c r="L731" s="15">
        <v>176.26764705882354</v>
      </c>
      <c r="M731" s="15" t="s">
        <v>10</v>
      </c>
      <c r="N731" s="15" t="s">
        <v>10</v>
      </c>
      <c r="O731" s="15" t="s">
        <v>10</v>
      </c>
      <c r="P731" s="15" t="s">
        <v>10</v>
      </c>
      <c r="Q731" s="8"/>
      <c r="R731" s="9" t="s">
        <v>733</v>
      </c>
    </row>
    <row r="732" spans="1:18" x14ac:dyDescent="0.25">
      <c r="A732" s="6" t="str">
        <f>HYPERLINK("proteomic_fractions_linear_files/Yang_linear_img/116268115.jpg", "116268115")</f>
        <v>116268115</v>
      </c>
      <c r="B732" s="7"/>
      <c r="C732" s="6" t="str">
        <f>HYPERLINK("http://www.ncbi.nlm.nih.gov/protein/116268115","Auh")</f>
        <v>Auh</v>
      </c>
      <c r="D732" s="8"/>
      <c r="E732" s="8">
        <v>29204</v>
      </c>
      <c r="F732" s="8"/>
      <c r="G732" s="15" t="s">
        <v>10</v>
      </c>
      <c r="H732" s="15" t="s">
        <v>10</v>
      </c>
      <c r="I732" s="15">
        <v>0.90173303846293107</v>
      </c>
      <c r="J732" s="15">
        <v>0.90173303846293107</v>
      </c>
      <c r="K732" s="15" t="s">
        <v>10</v>
      </c>
      <c r="L732" s="15" t="s">
        <v>10</v>
      </c>
      <c r="M732" s="15" t="s">
        <v>10</v>
      </c>
      <c r="N732" s="15" t="s">
        <v>10</v>
      </c>
      <c r="O732" s="15" t="s">
        <v>10</v>
      </c>
      <c r="P732" s="15" t="s">
        <v>10</v>
      </c>
      <c r="Q732" s="8"/>
      <c r="R732" s="9" t="s">
        <v>734</v>
      </c>
    </row>
    <row r="733" spans="1:18" x14ac:dyDescent="0.25">
      <c r="A733" s="6" t="str">
        <f>HYPERLINK("proteomic_fractions_linear_files/Yang_linear_img/90403601.jpg", "90403601")</f>
        <v>90403601</v>
      </c>
      <c r="B733" s="7"/>
      <c r="C733" s="6" t="str">
        <f>HYPERLINK("http://www.ncbi.nlm.nih.gov/protein/90403601","Aup1")</f>
        <v>Aup1</v>
      </c>
      <c r="D733" s="8"/>
      <c r="E733" s="8">
        <v>49220</v>
      </c>
      <c r="F733" s="8"/>
      <c r="G733" s="15">
        <v>1.0840932577551241</v>
      </c>
      <c r="H733" s="15">
        <v>1.0840932577551241</v>
      </c>
      <c r="I733" s="15">
        <v>0.82667996333107641</v>
      </c>
      <c r="J733" s="15">
        <v>0.90052222952990757</v>
      </c>
      <c r="K733" s="15">
        <v>0.90052222952990757</v>
      </c>
      <c r="L733" s="15">
        <v>0.90052222952990757</v>
      </c>
      <c r="M733" s="15" t="s">
        <v>10</v>
      </c>
      <c r="N733" s="15" t="s">
        <v>10</v>
      </c>
      <c r="O733" s="15" t="s">
        <v>10</v>
      </c>
      <c r="P733" s="15" t="s">
        <v>10</v>
      </c>
      <c r="Q733" s="8"/>
      <c r="R733" s="9" t="s">
        <v>735</v>
      </c>
    </row>
    <row r="734" spans="1:18" x14ac:dyDescent="0.25">
      <c r="A734" s="6" t="str">
        <f>HYPERLINK("proteomic_fractions_linear_files/Yang_linear_img/46358064.jpg", "46358064")</f>
        <v>46358064</v>
      </c>
      <c r="B734" s="7"/>
      <c r="C734" s="6" t="str">
        <f>HYPERLINK("http://www.ncbi.nlm.nih.gov/protein/46358064","Aurka")</f>
        <v>Aurka</v>
      </c>
      <c r="D734" s="8"/>
      <c r="E734" s="8">
        <v>47042</v>
      </c>
      <c r="F734" s="8"/>
      <c r="G734" s="15" t="s">
        <v>10</v>
      </c>
      <c r="H734" s="15" t="s">
        <v>10</v>
      </c>
      <c r="I734" s="15" t="s">
        <v>10</v>
      </c>
      <c r="J734" s="15" t="s">
        <v>10</v>
      </c>
      <c r="K734" s="15">
        <v>0.93884232440352056</v>
      </c>
      <c r="L734" s="15">
        <v>0.93884232440352056</v>
      </c>
      <c r="M734" s="15" t="s">
        <v>10</v>
      </c>
      <c r="N734" s="15" t="s">
        <v>10</v>
      </c>
      <c r="O734" s="15" t="s">
        <v>10</v>
      </c>
      <c r="P734" s="15" t="s">
        <v>10</v>
      </c>
      <c r="Q734" s="8"/>
      <c r="R734" s="9" t="s">
        <v>736</v>
      </c>
    </row>
    <row r="735" spans="1:18" x14ac:dyDescent="0.25">
      <c r="A735" s="6" t="str">
        <f>HYPERLINK("proteomic_fractions_linear_files/Yang_linear_img/260099645.jpg", "260099645")</f>
        <v>260099645</v>
      </c>
      <c r="B735" s="7"/>
      <c r="C735" s="6" t="str">
        <f>HYPERLINK("http://www.ncbi.nlm.nih.gov/protein/260099645","Aven")</f>
        <v>Aven</v>
      </c>
      <c r="D735" s="8"/>
      <c r="E735" s="8">
        <v>37064</v>
      </c>
      <c r="F735" s="8"/>
      <c r="G735" s="15" t="s">
        <v>10</v>
      </c>
      <c r="H735" s="15" t="s">
        <v>10</v>
      </c>
      <c r="I735" s="15" t="s">
        <v>10</v>
      </c>
      <c r="J735" s="15" t="s">
        <v>10</v>
      </c>
      <c r="K735" s="15" t="s">
        <v>10</v>
      </c>
      <c r="L735" s="15" t="s">
        <v>10</v>
      </c>
      <c r="M735" s="15">
        <v>0.66364380035883563</v>
      </c>
      <c r="N735" s="15">
        <v>0.66364380035883563</v>
      </c>
      <c r="O735" s="15" t="s">
        <v>10</v>
      </c>
      <c r="P735" s="15" t="s">
        <v>10</v>
      </c>
      <c r="Q735" s="8"/>
      <c r="R735" s="9" t="s">
        <v>737</v>
      </c>
    </row>
    <row r="736" spans="1:18" x14ac:dyDescent="0.25">
      <c r="A736" s="6" t="str">
        <f>HYPERLINK("proteomic_fractions_linear_files/Yang_linear_img/260099647.jpg", "260099647")</f>
        <v>260099647</v>
      </c>
      <c r="B736" s="7"/>
      <c r="C736" s="6" t="str">
        <f>HYPERLINK("http://www.ncbi.nlm.nih.gov/protein/260099647","Aven")</f>
        <v>Aven</v>
      </c>
      <c r="D736" s="8"/>
      <c r="E736" s="8">
        <v>23942</v>
      </c>
      <c r="F736" s="8"/>
      <c r="G736" s="15" t="s">
        <v>10</v>
      </c>
      <c r="H736" s="15" t="s">
        <v>10</v>
      </c>
      <c r="I736" s="15" t="s">
        <v>10</v>
      </c>
      <c r="J736" s="15" t="s">
        <v>10</v>
      </c>
      <c r="K736" s="15" t="s">
        <v>10</v>
      </c>
      <c r="L736" s="15" t="s">
        <v>10</v>
      </c>
      <c r="M736" s="15">
        <v>1.0231175255532048</v>
      </c>
      <c r="N736" s="15">
        <v>1.0231175255532048</v>
      </c>
      <c r="O736" s="15" t="s">
        <v>10</v>
      </c>
      <c r="P736" s="15" t="s">
        <v>10</v>
      </c>
      <c r="Q736" s="8"/>
      <c r="R736" s="9" t="s">
        <v>738</v>
      </c>
    </row>
    <row r="737" spans="1:18" x14ac:dyDescent="0.25">
      <c r="A737" s="6" t="str">
        <f>HYPERLINK("proteomic_fractions_linear_files/Yang_linear_img/226529032.jpg", "226529032")</f>
        <v>226529032</v>
      </c>
      <c r="B737" s="7"/>
      <c r="C737" s="6" t="str">
        <f>HYPERLINK("http://www.ncbi.nlm.nih.gov/protein/226529032","Avl9")</f>
        <v>Avl9</v>
      </c>
      <c r="D737" s="8"/>
      <c r="E737" s="8">
        <v>72055</v>
      </c>
      <c r="F737" s="8"/>
      <c r="G737" s="15" t="s">
        <v>10</v>
      </c>
      <c r="H737" s="15" t="s">
        <v>10</v>
      </c>
      <c r="I737" s="15" t="s">
        <v>10</v>
      </c>
      <c r="J737" s="15" t="s">
        <v>10</v>
      </c>
      <c r="K737" s="15">
        <v>1.1541480343492203</v>
      </c>
      <c r="L737" s="15">
        <v>1.1541480343492203</v>
      </c>
      <c r="M737" s="15">
        <v>1.1541480343492203</v>
      </c>
      <c r="N737" s="15">
        <v>1.1541480343492203</v>
      </c>
      <c r="O737" s="15">
        <v>1.0199466700233646</v>
      </c>
      <c r="P737" s="15">
        <v>1.0199466700233646</v>
      </c>
      <c r="Q737" s="8"/>
      <c r="R737" s="9" t="s">
        <v>739</v>
      </c>
    </row>
    <row r="738" spans="1:18" x14ac:dyDescent="0.25">
      <c r="A738" s="6" t="str">
        <f>HYPERLINK("proteomic_fractions_linear_files/Yang_linear_img/19526465.jpg", "19526465")</f>
        <v>19526465</v>
      </c>
      <c r="B738" s="7"/>
      <c r="C738" s="6" t="str">
        <f>HYPERLINK("http://www.ncbi.nlm.nih.gov/protein/19526465","Avpi1")</f>
        <v>Avpi1</v>
      </c>
      <c r="D738" s="8"/>
      <c r="E738" s="8">
        <v>15670</v>
      </c>
      <c r="F738" s="8"/>
      <c r="G738" s="15" t="s">
        <v>10</v>
      </c>
      <c r="H738" s="15" t="s">
        <v>10</v>
      </c>
      <c r="I738" s="15" t="s">
        <v>10</v>
      </c>
      <c r="J738" s="15" t="s">
        <v>10</v>
      </c>
      <c r="K738" s="15" t="s">
        <v>10</v>
      </c>
      <c r="L738" s="15" t="s">
        <v>10</v>
      </c>
      <c r="M738" s="15">
        <v>1.0981212353349354</v>
      </c>
      <c r="N738" s="15">
        <v>1.0981212353349354</v>
      </c>
      <c r="O738" s="15" t="s">
        <v>10</v>
      </c>
      <c r="P738" s="15" t="s">
        <v>10</v>
      </c>
      <c r="Q738" s="8"/>
      <c r="R738" s="9" t="s">
        <v>740</v>
      </c>
    </row>
    <row r="739" spans="1:18" x14ac:dyDescent="0.25">
      <c r="A739" s="6" t="str">
        <f>HYPERLINK("proteomic_fractions_linear_files/Yang_linear_img/157388985.jpg", "157388985")</f>
        <v>157388985</v>
      </c>
      <c r="B739" s="7"/>
      <c r="C739" s="6" t="str">
        <f>HYPERLINK("http://www.ncbi.nlm.nih.gov/protein/157388985","AW209491")</f>
        <v>AW209491</v>
      </c>
      <c r="D739" s="8"/>
      <c r="E739" s="8">
        <v>46410</v>
      </c>
      <c r="F739" s="8"/>
      <c r="G739" s="15">
        <v>0.36340162001319615</v>
      </c>
      <c r="H739" s="15">
        <v>0.36340162001319615</v>
      </c>
      <c r="I739" s="15" t="s">
        <v>10</v>
      </c>
      <c r="J739" s="15" t="s">
        <v>10</v>
      </c>
      <c r="K739" s="15">
        <v>0.40207172096878446</v>
      </c>
      <c r="L739" s="15">
        <v>0.40207172096878446</v>
      </c>
      <c r="M739" s="15" t="s">
        <v>10</v>
      </c>
      <c r="N739" s="15" t="s">
        <v>10</v>
      </c>
      <c r="O739" s="15" t="s">
        <v>10</v>
      </c>
      <c r="P739" s="15" t="s">
        <v>10</v>
      </c>
      <c r="Q739" s="8"/>
      <c r="R739" s="9" t="s">
        <v>741</v>
      </c>
    </row>
    <row r="740" spans="1:18" x14ac:dyDescent="0.25">
      <c r="A740" s="6" t="str">
        <f>HYPERLINK("proteomic_fractions_linear_files/Yang_linear_img/52630434.jpg", "52630434")</f>
        <v>52630434</v>
      </c>
      <c r="B740" s="7"/>
      <c r="C740" s="6" t="str">
        <f>HYPERLINK("http://www.ncbi.nlm.nih.gov/protein/52630434","AW549877")</f>
        <v>AW549877</v>
      </c>
      <c r="D740" s="8"/>
      <c r="E740" s="8">
        <v>33340</v>
      </c>
      <c r="F740" s="8"/>
      <c r="G740" s="15" t="s">
        <v>10</v>
      </c>
      <c r="H740" s="15" t="s">
        <v>10</v>
      </c>
      <c r="I740" s="15">
        <v>1.0470720160750056</v>
      </c>
      <c r="J740" s="15">
        <v>1.0470720160750056</v>
      </c>
      <c r="K740" s="15" t="s">
        <v>10</v>
      </c>
      <c r="L740" s="15" t="s">
        <v>10</v>
      </c>
      <c r="M740" s="15">
        <v>1.1315553461552907</v>
      </c>
      <c r="N740" s="15">
        <v>1.1315553461552907</v>
      </c>
      <c r="O740" s="15">
        <v>0.9722446319919269</v>
      </c>
      <c r="P740" s="15">
        <v>0.9722446319919269</v>
      </c>
      <c r="Q740" s="8"/>
      <c r="R740" s="9" t="s">
        <v>742</v>
      </c>
    </row>
    <row r="741" spans="1:18" x14ac:dyDescent="0.25">
      <c r="A741" s="6" t="str">
        <f>HYPERLINK("proteomic_fractions_linear_files/Yang_linear_img/30520173.jpg", "30520173")</f>
        <v>30520173</v>
      </c>
      <c r="B741" s="7"/>
      <c r="C741" s="6" t="str">
        <f>HYPERLINK("http://www.ncbi.nlm.nih.gov/protein/30520173","AW551984")</f>
        <v>AW551984</v>
      </c>
      <c r="D741" s="8"/>
      <c r="E741" s="8">
        <v>89333</v>
      </c>
      <c r="F741" s="8"/>
      <c r="G741" s="15" t="s">
        <v>10</v>
      </c>
      <c r="H741" s="15" t="s">
        <v>10</v>
      </c>
      <c r="I741" s="15">
        <v>1.0670559683436462</v>
      </c>
      <c r="J741" s="15">
        <v>1.0670559683436462</v>
      </c>
      <c r="K741" s="15" t="s">
        <v>10</v>
      </c>
      <c r="L741" s="15" t="s">
        <v>10</v>
      </c>
      <c r="M741" s="15" t="s">
        <v>10</v>
      </c>
      <c r="N741" s="15" t="s">
        <v>10</v>
      </c>
      <c r="O741" s="15" t="s">
        <v>10</v>
      </c>
      <c r="P741" s="15" t="s">
        <v>10</v>
      </c>
      <c r="Q741" s="8"/>
      <c r="R741" s="9" t="s">
        <v>743</v>
      </c>
    </row>
    <row r="742" spans="1:18" x14ac:dyDescent="0.25">
      <c r="A742" s="6" t="str">
        <f>HYPERLINK("proteomic_fractions_linear_files/Yang_linear_img/39930561.jpg", "39930561")</f>
        <v>39930561</v>
      </c>
      <c r="B742" s="7"/>
      <c r="C742" s="6" t="str">
        <f>HYPERLINK("http://www.ncbi.nlm.nih.gov/protein/39930561","AY358078")</f>
        <v>AY358078</v>
      </c>
      <c r="D742" s="8"/>
      <c r="E742" s="8">
        <v>52896</v>
      </c>
      <c r="F742" s="8"/>
      <c r="G742" s="15" t="s">
        <v>10</v>
      </c>
      <c r="H742" s="15" t="s">
        <v>10</v>
      </c>
      <c r="I742" s="15" t="s">
        <v>10</v>
      </c>
      <c r="J742" s="15" t="s">
        <v>10</v>
      </c>
      <c r="K742" s="15" t="s">
        <v>10</v>
      </c>
      <c r="L742" s="15" t="s">
        <v>10</v>
      </c>
      <c r="M742" s="15" t="s">
        <v>10</v>
      </c>
      <c r="N742" s="15" t="s">
        <v>10</v>
      </c>
      <c r="O742" s="15">
        <v>0.26199717924408772</v>
      </c>
      <c r="P742" s="15">
        <v>0.26199717924408772</v>
      </c>
      <c r="Q742" s="8"/>
      <c r="R742" s="9" t="s">
        <v>744</v>
      </c>
    </row>
    <row r="743" spans="1:18" x14ac:dyDescent="0.25">
      <c r="A743" s="6" t="str">
        <f>HYPERLINK("proteomic_fractions_linear_files/Yang_linear_img/294345409.jpg", "294345409")</f>
        <v>294345409</v>
      </c>
      <c r="B743" s="7"/>
      <c r="C743" s="6" t="str">
        <f>HYPERLINK("http://www.ncbi.nlm.nih.gov/protein/294345409","Azi1")</f>
        <v>Azi1</v>
      </c>
      <c r="D743" s="8"/>
      <c r="E743" s="8">
        <v>120099</v>
      </c>
      <c r="F743" s="8"/>
      <c r="G743" s="15" t="s">
        <v>10</v>
      </c>
      <c r="H743" s="15" t="s">
        <v>10</v>
      </c>
      <c r="I743" s="15" t="s">
        <v>10</v>
      </c>
      <c r="J743" s="15" t="s">
        <v>10</v>
      </c>
      <c r="K743" s="15">
        <v>0.48977672987994875</v>
      </c>
      <c r="L743" s="15">
        <v>0.48977672987994875</v>
      </c>
      <c r="M743" s="15" t="s">
        <v>10</v>
      </c>
      <c r="N743" s="15" t="s">
        <v>10</v>
      </c>
      <c r="O743" s="15" t="s">
        <v>10</v>
      </c>
      <c r="P743" s="15" t="s">
        <v>10</v>
      </c>
      <c r="Q743" s="8"/>
      <c r="R743" s="9" t="s">
        <v>745</v>
      </c>
    </row>
    <row r="744" spans="1:18" x14ac:dyDescent="0.25">
      <c r="A744" s="6" t="str">
        <f>HYPERLINK("proteomic_fractions_linear_files/Yang_linear_img/31981890.jpg", "31981890")</f>
        <v>31981890</v>
      </c>
      <c r="B744" s="7"/>
      <c r="C744" s="6" t="str">
        <f>HYPERLINK("http://www.ncbi.nlm.nih.gov/protein/31981890","B2m")</f>
        <v>B2m</v>
      </c>
      <c r="D744" s="8"/>
      <c r="E744" s="8">
        <v>11643</v>
      </c>
      <c r="F744" s="8"/>
      <c r="G744" s="15" t="s">
        <v>10</v>
      </c>
      <c r="H744" s="15" t="s">
        <v>10</v>
      </c>
      <c r="I744" s="15" t="s">
        <v>10</v>
      </c>
      <c r="J744" s="15" t="s">
        <v>10</v>
      </c>
      <c r="K744" s="15">
        <v>1.1571542083280542</v>
      </c>
      <c r="L744" s="15">
        <v>1.1571542083280542</v>
      </c>
      <c r="M744" s="15" t="s">
        <v>10</v>
      </c>
      <c r="N744" s="15" t="s">
        <v>10</v>
      </c>
      <c r="O744" s="15" t="s">
        <v>10</v>
      </c>
      <c r="P744" s="15" t="s">
        <v>10</v>
      </c>
      <c r="Q744" s="8"/>
      <c r="R744" s="9" t="s">
        <v>746</v>
      </c>
    </row>
    <row r="745" spans="1:18" x14ac:dyDescent="0.25">
      <c r="A745" s="6" t="str">
        <f>HYPERLINK("proteomic_fractions_linear_files/Yang_linear_img/17978260.jpg", "17978260")</f>
        <v>17978260</v>
      </c>
      <c r="B745" s="7"/>
      <c r="C745" s="6" t="str">
        <f>HYPERLINK("http://www.ncbi.nlm.nih.gov/protein/17978260","B3galt6")</f>
        <v>B3galt6</v>
      </c>
      <c r="D745" s="8"/>
      <c r="E745" s="8">
        <v>36890</v>
      </c>
      <c r="F745" s="8"/>
      <c r="G745" s="15" t="s">
        <v>10</v>
      </c>
      <c r="H745" s="15" t="s">
        <v>10</v>
      </c>
      <c r="I745" s="15">
        <v>0.93387504136419419</v>
      </c>
      <c r="J745" s="15">
        <v>0.93387504136419419</v>
      </c>
      <c r="K745" s="15" t="s">
        <v>10</v>
      </c>
      <c r="L745" s="15" t="s">
        <v>10</v>
      </c>
      <c r="M745" s="15" t="s">
        <v>10</v>
      </c>
      <c r="N745" s="15" t="s">
        <v>10</v>
      </c>
      <c r="O745" s="15" t="s">
        <v>10</v>
      </c>
      <c r="P745" s="15" t="s">
        <v>10</v>
      </c>
      <c r="Q745" s="8"/>
      <c r="R745" s="9" t="s">
        <v>747</v>
      </c>
    </row>
    <row r="746" spans="1:18" x14ac:dyDescent="0.25">
      <c r="A746" s="6" t="str">
        <f>HYPERLINK("proteomic_fractions_linear_files/Yang_linear_img/13195672.jpg", "13195672")</f>
        <v>13195672</v>
      </c>
      <c r="B746" s="7"/>
      <c r="C746" s="6" t="str">
        <f>HYPERLINK("http://www.ncbi.nlm.nih.gov/protein/13195672","B3gat3")</f>
        <v>B3gat3</v>
      </c>
      <c r="D746" s="8"/>
      <c r="E746" s="8">
        <v>36936</v>
      </c>
      <c r="F746" s="8"/>
      <c r="G746" s="15" t="s">
        <v>10</v>
      </c>
      <c r="H746" s="15" t="s">
        <v>10</v>
      </c>
      <c r="I746" s="15" t="s">
        <v>10</v>
      </c>
      <c r="J746" s="15" t="s">
        <v>10</v>
      </c>
      <c r="K746" s="15">
        <v>1.0947923838708851</v>
      </c>
      <c r="L746" s="15">
        <v>1.0947923838708851</v>
      </c>
      <c r="M746" s="15" t="s">
        <v>10</v>
      </c>
      <c r="N746" s="15" t="s">
        <v>10</v>
      </c>
      <c r="O746" s="15" t="s">
        <v>10</v>
      </c>
      <c r="P746" s="15" t="s">
        <v>10</v>
      </c>
      <c r="Q746" s="8"/>
      <c r="R746" s="9" t="s">
        <v>748</v>
      </c>
    </row>
    <row r="747" spans="1:18" x14ac:dyDescent="0.25">
      <c r="A747" s="6" t="str">
        <f>HYPERLINK("proteomic_fractions_linear_files/Yang_linear_img/170784852.jpg", "170784852")</f>
        <v>170784852</v>
      </c>
      <c r="B747" s="7"/>
      <c r="C747" s="6" t="str">
        <f>HYPERLINK("http://www.ncbi.nlm.nih.gov/protein/170784852","B3gnt3")</f>
        <v>B3gnt3</v>
      </c>
      <c r="D747" s="8"/>
      <c r="E747" s="8">
        <v>39414</v>
      </c>
      <c r="F747" s="8"/>
      <c r="G747" s="15" t="s">
        <v>10</v>
      </c>
      <c r="H747" s="15" t="s">
        <v>10</v>
      </c>
      <c r="I747" s="15">
        <v>1.1314253653068069</v>
      </c>
      <c r="J747" s="15">
        <v>1.1314253653068069</v>
      </c>
      <c r="K747" s="15" t="s">
        <v>10</v>
      </c>
      <c r="L747" s="15" t="s">
        <v>10</v>
      </c>
      <c r="M747" s="15" t="s">
        <v>10</v>
      </c>
      <c r="N747" s="15" t="s">
        <v>10</v>
      </c>
      <c r="O747" s="15" t="s">
        <v>10</v>
      </c>
      <c r="P747" s="15" t="s">
        <v>10</v>
      </c>
      <c r="Q747" s="8"/>
      <c r="R747" s="9" t="s">
        <v>749</v>
      </c>
    </row>
    <row r="748" spans="1:18" x14ac:dyDescent="0.25">
      <c r="A748" s="6" t="str">
        <f>HYPERLINK("proteomic_fractions_linear_files/Yang_linear_img/347543755.jpg", "347543755")</f>
        <v>347543755</v>
      </c>
      <c r="B748" s="7"/>
      <c r="C748" s="6" t="str">
        <f>HYPERLINK("http://www.ncbi.nlm.nih.gov/protein/347543755","B4galnt1")</f>
        <v>B4galnt1</v>
      </c>
      <c r="D748" s="8"/>
      <c r="E748" s="8">
        <v>63290</v>
      </c>
      <c r="F748" s="8"/>
      <c r="G748" s="15" t="s">
        <v>10</v>
      </c>
      <c r="H748" s="15" t="s">
        <v>10</v>
      </c>
      <c r="I748" s="15">
        <v>1.1656533371695594</v>
      </c>
      <c r="J748" s="15">
        <v>1.1656533371695594</v>
      </c>
      <c r="K748" s="15">
        <v>1.3190263249705374</v>
      </c>
      <c r="L748" s="15">
        <v>1.3190263249705374</v>
      </c>
      <c r="M748" s="15" t="s">
        <v>10</v>
      </c>
      <c r="N748" s="15" t="s">
        <v>10</v>
      </c>
      <c r="O748" s="15" t="s">
        <v>10</v>
      </c>
      <c r="P748" s="15" t="s">
        <v>10</v>
      </c>
      <c r="Q748" s="8"/>
      <c r="R748" s="9" t="s">
        <v>750</v>
      </c>
    </row>
    <row r="749" spans="1:18" x14ac:dyDescent="0.25">
      <c r="A749" s="6" t="str">
        <f>HYPERLINK("proteomic_fractions_linear_files/Yang_linear_img/347543757.jpg", "347543757")</f>
        <v>347543757</v>
      </c>
      <c r="B749" s="7"/>
      <c r="C749" s="6" t="str">
        <f>HYPERLINK("http://www.ncbi.nlm.nih.gov/protein/347543757","B4galnt1")</f>
        <v>B4galnt1</v>
      </c>
      <c r="D749" s="8"/>
      <c r="E749" s="8">
        <v>26319</v>
      </c>
      <c r="F749" s="8"/>
      <c r="G749" s="15" t="s">
        <v>10</v>
      </c>
      <c r="H749" s="15" t="s">
        <v>10</v>
      </c>
      <c r="I749" s="15">
        <v>2.8244677016031634</v>
      </c>
      <c r="J749" s="15">
        <v>2.8244677016031634</v>
      </c>
      <c r="K749" s="15">
        <v>3.1961022489670716</v>
      </c>
      <c r="L749" s="15">
        <v>3.1961022489670716</v>
      </c>
      <c r="M749" s="15" t="s">
        <v>10</v>
      </c>
      <c r="N749" s="15" t="s">
        <v>10</v>
      </c>
      <c r="O749" s="15" t="s">
        <v>10</v>
      </c>
      <c r="P749" s="15" t="s">
        <v>10</v>
      </c>
      <c r="Q749" s="8"/>
      <c r="R749" s="9" t="s">
        <v>751</v>
      </c>
    </row>
    <row r="750" spans="1:18" x14ac:dyDescent="0.25">
      <c r="A750" s="6" t="str">
        <f>HYPERLINK("proteomic_fractions_linear_files/Yang_linear_img/347543759.jpg", "347543759")</f>
        <v>347543759</v>
      </c>
      <c r="B750" s="7"/>
      <c r="C750" s="6" t="str">
        <f>HYPERLINK("http://www.ncbi.nlm.nih.gov/protein/347543759","B4galnt1")</f>
        <v>B4galnt1</v>
      </c>
      <c r="D750" s="8"/>
      <c r="E750" s="8">
        <v>30528</v>
      </c>
      <c r="F750" s="8"/>
      <c r="G750" s="15" t="s">
        <v>10</v>
      </c>
      <c r="H750" s="15" t="s">
        <v>10</v>
      </c>
      <c r="I750" s="15">
        <v>2.3689083948929754</v>
      </c>
      <c r="J750" s="15">
        <v>2.3689083948929754</v>
      </c>
      <c r="K750" s="15">
        <v>2.680601886230447</v>
      </c>
      <c r="L750" s="15">
        <v>2.680601886230447</v>
      </c>
      <c r="M750" s="15" t="s">
        <v>10</v>
      </c>
      <c r="N750" s="15" t="s">
        <v>10</v>
      </c>
      <c r="O750" s="15" t="s">
        <v>10</v>
      </c>
      <c r="P750" s="15" t="s">
        <v>10</v>
      </c>
      <c r="Q750" s="8"/>
      <c r="R750" s="9" t="s">
        <v>752</v>
      </c>
    </row>
    <row r="751" spans="1:18" x14ac:dyDescent="0.25">
      <c r="A751" s="6" t="str">
        <f>HYPERLINK("proteomic_fractions_linear_files/Yang_linear_img/6679929.jpg", "6679929")</f>
        <v>6679929</v>
      </c>
      <c r="B751" s="7"/>
      <c r="C751" s="6" t="str">
        <f>HYPERLINK("http://www.ncbi.nlm.nih.gov/protein/6679929","B4galnt1")</f>
        <v>B4galnt1</v>
      </c>
      <c r="D751" s="8"/>
      <c r="E751" s="8">
        <v>59081</v>
      </c>
      <c r="F751" s="8"/>
      <c r="G751" s="15" t="s">
        <v>10</v>
      </c>
      <c r="H751" s="15" t="s">
        <v>10</v>
      </c>
      <c r="I751" s="15">
        <v>1.244680682062411</v>
      </c>
      <c r="J751" s="15">
        <v>1.244680682062411</v>
      </c>
      <c r="K751" s="15">
        <v>1.4084518385278619</v>
      </c>
      <c r="L751" s="15">
        <v>1.4084518385278619</v>
      </c>
      <c r="M751" s="15" t="s">
        <v>10</v>
      </c>
      <c r="N751" s="15" t="s">
        <v>10</v>
      </c>
      <c r="O751" s="15" t="s">
        <v>10</v>
      </c>
      <c r="P751" s="15" t="s">
        <v>10</v>
      </c>
      <c r="Q751" s="8"/>
      <c r="R751" s="9" t="s">
        <v>753</v>
      </c>
    </row>
    <row r="752" spans="1:18" x14ac:dyDescent="0.25">
      <c r="A752" s="6" t="str">
        <f>HYPERLINK("proteomic_fractions_linear_files/Yang_linear_img/6679931.jpg", "6679931")</f>
        <v>6679931</v>
      </c>
      <c r="B752" s="7"/>
      <c r="C752" s="6" t="str">
        <f>HYPERLINK("http://www.ncbi.nlm.nih.gov/protein/6679931","B4galnt2")</f>
        <v>B4galnt2</v>
      </c>
      <c r="D752" s="8"/>
      <c r="E752" s="8">
        <v>58186</v>
      </c>
      <c r="F752" s="8"/>
      <c r="G752" s="15" t="s">
        <v>10</v>
      </c>
      <c r="H752" s="15" t="s">
        <v>10</v>
      </c>
      <c r="I752" s="15" t="s">
        <v>10</v>
      </c>
      <c r="J752" s="15" t="s">
        <v>10</v>
      </c>
      <c r="K752" s="15" t="s">
        <v>10</v>
      </c>
      <c r="L752" s="15" t="s">
        <v>10</v>
      </c>
      <c r="M752" s="15" t="s">
        <v>10</v>
      </c>
      <c r="N752" s="15" t="s">
        <v>10</v>
      </c>
      <c r="O752" s="15">
        <v>0.45086651923146553</v>
      </c>
      <c r="P752" s="15">
        <v>0.45086651923146553</v>
      </c>
      <c r="Q752" s="8"/>
      <c r="R752" s="9" t="s">
        <v>754</v>
      </c>
    </row>
    <row r="753" spans="1:18" x14ac:dyDescent="0.25">
      <c r="A753" s="6" t="str">
        <f>HYPERLINK("proteomic_fractions_linear_files/Yang_linear_img/11602910.jpg", "11602910")</f>
        <v>11602910</v>
      </c>
      <c r="B753" s="7"/>
      <c r="C753" s="6" t="str">
        <f>HYPERLINK("http://www.ncbi.nlm.nih.gov/protein/11602910","B4galt1")</f>
        <v>B4galt1</v>
      </c>
      <c r="D753" s="8"/>
      <c r="E753" s="8">
        <v>44280</v>
      </c>
      <c r="F753" s="8"/>
      <c r="G753" s="15" t="s">
        <v>10</v>
      </c>
      <c r="H753" s="15" t="s">
        <v>10</v>
      </c>
      <c r="I753" s="15">
        <v>1.4875741666032802</v>
      </c>
      <c r="J753" s="15">
        <v>1.4875741666032802</v>
      </c>
      <c r="K753" s="15">
        <v>1.4875741666032802</v>
      </c>
      <c r="L753" s="15">
        <v>1.4875741666032802</v>
      </c>
      <c r="M753" s="15" t="s">
        <v>10</v>
      </c>
      <c r="N753" s="15" t="s">
        <v>10</v>
      </c>
      <c r="O753" s="15" t="s">
        <v>10</v>
      </c>
      <c r="P753" s="15" t="s">
        <v>10</v>
      </c>
      <c r="Q753" s="8"/>
      <c r="R753" s="9" t="s">
        <v>755</v>
      </c>
    </row>
    <row r="754" spans="1:18" x14ac:dyDescent="0.25">
      <c r="A754" s="6" t="str">
        <f>HYPERLINK("proteomic_fractions_linear_files/Yang_linear_img/188528672.jpg", "188528672")</f>
        <v>188528672</v>
      </c>
      <c r="B754" s="7"/>
      <c r="C754" s="6" t="str">
        <f>HYPERLINK("http://www.ncbi.nlm.nih.gov/protein/188528672","B4galt4")</f>
        <v>B4galt4</v>
      </c>
      <c r="D754" s="8"/>
      <c r="E754" s="8">
        <v>36367</v>
      </c>
      <c r="F754" s="8"/>
      <c r="G754" s="15" t="s">
        <v>10</v>
      </c>
      <c r="H754" s="15" t="s">
        <v>10</v>
      </c>
      <c r="I754" s="15">
        <v>1.2257108124157075</v>
      </c>
      <c r="J754" s="15">
        <v>1.2257108124157075</v>
      </c>
      <c r="K754" s="15" t="s">
        <v>10</v>
      </c>
      <c r="L754" s="15" t="s">
        <v>10</v>
      </c>
      <c r="M754" s="15" t="s">
        <v>10</v>
      </c>
      <c r="N754" s="15" t="s">
        <v>10</v>
      </c>
      <c r="O754" s="15" t="s">
        <v>10</v>
      </c>
      <c r="P754" s="15" t="s">
        <v>10</v>
      </c>
      <c r="Q754" s="8"/>
      <c r="R754" s="9" t="s">
        <v>756</v>
      </c>
    </row>
    <row r="755" spans="1:18" x14ac:dyDescent="0.25">
      <c r="A755" s="6" t="str">
        <f>HYPERLINK("proteomic_fractions_linear_files/Yang_linear_img/116089306.jpg", "116089306")</f>
        <v>116089306</v>
      </c>
      <c r="B755" s="7"/>
      <c r="C755" s="6" t="str">
        <f>HYPERLINK("http://www.ncbi.nlm.nih.gov/protein/116089306","B4galt5")</f>
        <v>B4galt5</v>
      </c>
      <c r="D755" s="8"/>
      <c r="E755" s="8">
        <v>44683</v>
      </c>
      <c r="F755" s="8"/>
      <c r="G755" s="15" t="s">
        <v>10</v>
      </c>
      <c r="H755" s="15" t="s">
        <v>10</v>
      </c>
      <c r="I755" s="15">
        <v>1.4545169629009851</v>
      </c>
      <c r="J755" s="15">
        <v>1.4545169629009851</v>
      </c>
      <c r="K755" s="15">
        <v>1.4545169629009851</v>
      </c>
      <c r="L755" s="15">
        <v>1.4545169629009851</v>
      </c>
      <c r="M755" s="15" t="s">
        <v>10</v>
      </c>
      <c r="N755" s="15" t="s">
        <v>10</v>
      </c>
      <c r="O755" s="15" t="s">
        <v>10</v>
      </c>
      <c r="P755" s="15" t="s">
        <v>10</v>
      </c>
      <c r="Q755" s="8"/>
      <c r="R755" s="9" t="s">
        <v>757</v>
      </c>
    </row>
    <row r="756" spans="1:18" x14ac:dyDescent="0.25">
      <c r="A756" s="6" t="str">
        <f>HYPERLINK("proteomic_fractions_linear_files/Yang_linear_img/268838948.jpg", "268838948")</f>
        <v>268838948</v>
      </c>
      <c r="B756" s="7"/>
      <c r="C756" s="6" t="str">
        <f>HYPERLINK("http://www.ncbi.nlm.nih.gov/protein/268838948","Babam1")</f>
        <v>Babam1</v>
      </c>
      <c r="D756" s="8"/>
      <c r="E756" s="8">
        <v>36662</v>
      </c>
      <c r="F756" s="8"/>
      <c r="G756" s="15" t="s">
        <v>10</v>
      </c>
      <c r="H756" s="15" t="s">
        <v>10</v>
      </c>
      <c r="I756" s="15" t="s">
        <v>10</v>
      </c>
      <c r="J756" s="15" t="s">
        <v>10</v>
      </c>
      <c r="K756" s="15">
        <v>1.0947923838708851</v>
      </c>
      <c r="L756" s="15">
        <v>1.0947923838708851</v>
      </c>
      <c r="M756" s="15" t="s">
        <v>10</v>
      </c>
      <c r="N756" s="15" t="s">
        <v>10</v>
      </c>
      <c r="O756" s="15" t="s">
        <v>10</v>
      </c>
      <c r="P756" s="15" t="s">
        <v>10</v>
      </c>
      <c r="Q756" s="8"/>
      <c r="R756" s="9" t="s">
        <v>758</v>
      </c>
    </row>
    <row r="757" spans="1:18" x14ac:dyDescent="0.25">
      <c r="A757" s="6" t="str">
        <f>HYPERLINK("proteomic_fractions_linear_files/Yang_linear_img/6671610.jpg", "6671610")</f>
        <v>6671610</v>
      </c>
      <c r="B757" s="7"/>
      <c r="C757" s="6" t="str">
        <f>HYPERLINK("http://www.ncbi.nlm.nih.gov/protein/6671610","Bad")</f>
        <v>Bad</v>
      </c>
      <c r="D757" s="8"/>
      <c r="E757" s="8">
        <v>21949</v>
      </c>
      <c r="F757" s="8"/>
      <c r="G757" s="15" t="s">
        <v>10</v>
      </c>
      <c r="H757" s="15" t="s">
        <v>10</v>
      </c>
      <c r="I757" s="15" t="s">
        <v>10</v>
      </c>
      <c r="J757" s="15" t="s">
        <v>10</v>
      </c>
      <c r="K757" s="15" t="s">
        <v>10</v>
      </c>
      <c r="L757" s="15" t="s">
        <v>10</v>
      </c>
      <c r="M757" s="15" t="s">
        <v>10</v>
      </c>
      <c r="N757" s="15" t="s">
        <v>10</v>
      </c>
      <c r="O757" s="15">
        <v>0.88641590127433068</v>
      </c>
      <c r="P757" s="15">
        <v>0.88641590127433068</v>
      </c>
      <c r="Q757" s="8"/>
      <c r="R757" s="9" t="s">
        <v>759</v>
      </c>
    </row>
    <row r="758" spans="1:18" x14ac:dyDescent="0.25">
      <c r="A758" s="6" t="str">
        <f>HYPERLINK("proteomic_fractions_linear_files/Yang_linear_img/157952206.jpg", "157952206")</f>
        <v>157952206</v>
      </c>
      <c r="B758" s="7"/>
      <c r="C758" s="6" t="str">
        <f>HYPERLINK("http://www.ncbi.nlm.nih.gov/protein/157952206","Bag1")</f>
        <v>Bag1</v>
      </c>
      <c r="D758" s="8"/>
      <c r="E758" s="8">
        <v>39583</v>
      </c>
      <c r="F758" s="8"/>
      <c r="G758" s="15" t="s">
        <v>10</v>
      </c>
      <c r="H758" s="15" t="s">
        <v>10</v>
      </c>
      <c r="I758" s="15" t="s">
        <v>10</v>
      </c>
      <c r="J758" s="15" t="s">
        <v>10</v>
      </c>
      <c r="K758" s="15">
        <v>0.65375645288562501</v>
      </c>
      <c r="L758" s="15">
        <v>0.65375645288562501</v>
      </c>
      <c r="M758" s="15">
        <v>0.65375645288562501</v>
      </c>
      <c r="N758" s="15">
        <v>0.65375645288562501</v>
      </c>
      <c r="O758" s="15">
        <v>0.57773933436793612</v>
      </c>
      <c r="P758" s="15">
        <v>0.57773933436793612</v>
      </c>
      <c r="Q758" s="8"/>
      <c r="R758" s="9" t="s">
        <v>760</v>
      </c>
    </row>
    <row r="759" spans="1:18" x14ac:dyDescent="0.25">
      <c r="A759" s="6" t="str">
        <f>HYPERLINK("proteomic_fractions_linear_files/Yang_linear_img/284507286.jpg", "284507286")</f>
        <v>284507286</v>
      </c>
      <c r="B759" s="7"/>
      <c r="C759" s="6" t="str">
        <f>HYPERLINK("http://www.ncbi.nlm.nih.gov/protein/284507286","Bag1")</f>
        <v>Bag1</v>
      </c>
      <c r="D759" s="8"/>
      <c r="E759" s="8">
        <v>24744</v>
      </c>
      <c r="F759" s="8"/>
      <c r="G759" s="15" t="s">
        <v>10</v>
      </c>
      <c r="H759" s="15" t="s">
        <v>10</v>
      </c>
      <c r="I759" s="15" t="s">
        <v>10</v>
      </c>
      <c r="J759" s="15" t="s">
        <v>10</v>
      </c>
      <c r="K759" s="15">
        <v>1.0460103246170001</v>
      </c>
      <c r="L759" s="15">
        <v>1.0460103246170001</v>
      </c>
      <c r="M759" s="15">
        <v>1.0460103246170001</v>
      </c>
      <c r="N759" s="15">
        <v>1.0460103246170001</v>
      </c>
      <c r="O759" s="15">
        <v>0.92438293498869784</v>
      </c>
      <c r="P759" s="15">
        <v>0.92438293498869784</v>
      </c>
      <c r="Q759" s="8"/>
      <c r="R759" s="9" t="s">
        <v>761</v>
      </c>
    </row>
    <row r="760" spans="1:18" x14ac:dyDescent="0.25">
      <c r="A760" s="6" t="str">
        <f>HYPERLINK("proteomic_fractions_linear_files/Yang_linear_img/21703784.jpg", "21703784")</f>
        <v>21703784</v>
      </c>
      <c r="B760" s="7"/>
      <c r="C760" s="6" t="str">
        <f>HYPERLINK("http://www.ncbi.nlm.nih.gov/protein/21703784","Bag2")</f>
        <v>Bag2</v>
      </c>
      <c r="D760" s="8"/>
      <c r="E760" s="8">
        <v>23343</v>
      </c>
      <c r="F760" s="8"/>
      <c r="G760" s="15">
        <v>1.3949596893797211</v>
      </c>
      <c r="H760" s="15">
        <v>1.3949596893797211</v>
      </c>
      <c r="I760" s="15">
        <v>1.0047640597703238</v>
      </c>
      <c r="J760" s="15">
        <v>1.0047640597703238</v>
      </c>
      <c r="K760" s="15">
        <v>1.0047640597703238</v>
      </c>
      <c r="L760" s="15">
        <v>1.0047640597703238</v>
      </c>
      <c r="M760" s="15">
        <v>1.0047640597703238</v>
      </c>
      <c r="N760" s="15">
        <v>1.0047640597703238</v>
      </c>
      <c r="O760" s="15">
        <v>0.89554092115896833</v>
      </c>
      <c r="P760" s="15">
        <v>0.89554092115896833</v>
      </c>
      <c r="Q760" s="8"/>
      <c r="R760" s="9" t="s">
        <v>762</v>
      </c>
    </row>
    <row r="761" spans="1:18" x14ac:dyDescent="0.25">
      <c r="A761" s="6" t="str">
        <f>HYPERLINK("proteomic_fractions_linear_files/Yang_linear_img/17975504.jpg", "17975504")</f>
        <v>17975504</v>
      </c>
      <c r="B761" s="7"/>
      <c r="C761" s="6" t="str">
        <f>HYPERLINK("http://www.ncbi.nlm.nih.gov/protein/17975504","Bag4")</f>
        <v>Bag4</v>
      </c>
      <c r="D761" s="8"/>
      <c r="E761" s="8">
        <v>48964</v>
      </c>
      <c r="F761" s="8"/>
      <c r="G761" s="15" t="s">
        <v>10</v>
      </c>
      <c r="H761" s="15" t="s">
        <v>10</v>
      </c>
      <c r="I761" s="15" t="s">
        <v>10</v>
      </c>
      <c r="J761" s="15" t="s">
        <v>10</v>
      </c>
      <c r="K761" s="15" t="s">
        <v>10</v>
      </c>
      <c r="L761" s="15" t="s">
        <v>10</v>
      </c>
      <c r="M761" s="15" t="s">
        <v>10</v>
      </c>
      <c r="N761" s="15" t="s">
        <v>10</v>
      </c>
      <c r="O761" s="15">
        <v>1.0840932577551241</v>
      </c>
      <c r="P761" s="15">
        <v>1.0840932577551241</v>
      </c>
      <c r="Q761" s="8"/>
      <c r="R761" s="9" t="s">
        <v>763</v>
      </c>
    </row>
    <row r="762" spans="1:18" x14ac:dyDescent="0.25">
      <c r="A762" s="6" t="str">
        <f>HYPERLINK("proteomic_fractions_linear_files/Yang_linear_img/58037205.jpg", "58037205")</f>
        <v>58037205</v>
      </c>
      <c r="B762" s="7"/>
      <c r="C762" s="6" t="str">
        <f>HYPERLINK("http://www.ncbi.nlm.nih.gov/protein/58037205","Bag5")</f>
        <v>Bag5</v>
      </c>
      <c r="D762" s="8"/>
      <c r="E762" s="8">
        <v>50812</v>
      </c>
      <c r="F762" s="8"/>
      <c r="G762" s="15" t="s">
        <v>10</v>
      </c>
      <c r="H762" s="15" t="s">
        <v>10</v>
      </c>
      <c r="I762" s="15">
        <v>0.94686226636108339</v>
      </c>
      <c r="J762" s="15">
        <v>0.94686226636108339</v>
      </c>
      <c r="K762" s="15">
        <v>0.94686226636108339</v>
      </c>
      <c r="L762" s="15">
        <v>0.94686226636108339</v>
      </c>
      <c r="M762" s="15">
        <v>0.94686226636108339</v>
      </c>
      <c r="N762" s="15">
        <v>0.94686226636108339</v>
      </c>
      <c r="O762" s="15">
        <v>0.86520763229344055</v>
      </c>
      <c r="P762" s="15">
        <v>0.86520763229344055</v>
      </c>
      <c r="Q762" s="8"/>
      <c r="R762" s="9" t="s">
        <v>764</v>
      </c>
    </row>
    <row r="763" spans="1:18" x14ac:dyDescent="0.25">
      <c r="A763" s="6" t="str">
        <f>HYPERLINK("proteomic_fractions_linear_files/Yang_linear_img/33147082.jpg", "33147082")</f>
        <v>33147082</v>
      </c>
      <c r="B763" s="7"/>
      <c r="C763" s="6" t="str">
        <f>HYPERLINK("http://www.ncbi.nlm.nih.gov/protein/33147082","Bag6")</f>
        <v>Bag6</v>
      </c>
      <c r="D763" s="8"/>
      <c r="E763" s="8">
        <v>120907</v>
      </c>
      <c r="F763" s="8"/>
      <c r="G763" s="15" t="s">
        <v>10</v>
      </c>
      <c r="H763" s="15" t="s">
        <v>10</v>
      </c>
      <c r="I763" s="15">
        <v>1.2682055465805111</v>
      </c>
      <c r="J763" s="15">
        <v>1.2682055465805111</v>
      </c>
      <c r="K763" s="15">
        <v>1.9286020465111493</v>
      </c>
      <c r="L763" s="15">
        <v>1.9286020465111493</v>
      </c>
      <c r="M763" s="15">
        <v>1.5435192697515732</v>
      </c>
      <c r="N763" s="15">
        <v>1.5435192697515732</v>
      </c>
      <c r="O763" s="15">
        <v>1.5435192697515732</v>
      </c>
      <c r="P763" s="15">
        <v>1.5435192697515732</v>
      </c>
      <c r="Q763" s="8"/>
      <c r="R763" s="9" t="s">
        <v>765</v>
      </c>
    </row>
    <row r="764" spans="1:18" x14ac:dyDescent="0.25">
      <c r="A764" s="6" t="str">
        <f>HYPERLINK("proteomic_fractions_linear_files/Yang_linear_img/357197137.jpg", "357197137")</f>
        <v>357197137</v>
      </c>
      <c r="B764" s="7"/>
      <c r="C764" s="6" t="str">
        <f>HYPERLINK("http://www.ncbi.nlm.nih.gov/protein/357197137","Bag6")</f>
        <v>Bag6</v>
      </c>
      <c r="D764" s="8"/>
      <c r="E764" s="8">
        <v>119014</v>
      </c>
      <c r="F764" s="8"/>
      <c r="G764" s="15" t="s">
        <v>10</v>
      </c>
      <c r="H764" s="15" t="s">
        <v>10</v>
      </c>
      <c r="I764" s="15">
        <v>1.2895199255146372</v>
      </c>
      <c r="J764" s="15">
        <v>1.2895199255146372</v>
      </c>
      <c r="K764" s="15">
        <v>1.961015526284446</v>
      </c>
      <c r="L764" s="15">
        <v>1.961015526284446</v>
      </c>
      <c r="M764" s="15">
        <v>1.5694607700835324</v>
      </c>
      <c r="N764" s="15">
        <v>1.5694607700835324</v>
      </c>
      <c r="O764" s="15">
        <v>1.5694607700835324</v>
      </c>
      <c r="P764" s="15">
        <v>1.5694607700835324</v>
      </c>
      <c r="Q764" s="8"/>
      <c r="R764" s="9" t="s">
        <v>766</v>
      </c>
    </row>
    <row r="765" spans="1:18" x14ac:dyDescent="0.25">
      <c r="A765" s="6" t="str">
        <f>HYPERLINK("proteomic_fractions_linear_files/Yang_linear_img/357197139.jpg", "357197139")</f>
        <v>357197139</v>
      </c>
      <c r="B765" s="7"/>
      <c r="C765" s="6" t="str">
        <f>HYPERLINK("http://www.ncbi.nlm.nih.gov/protein/357197139","Bag6")</f>
        <v>Bag6</v>
      </c>
      <c r="D765" s="8"/>
      <c r="E765" s="8">
        <v>117298</v>
      </c>
      <c r="F765" s="8"/>
      <c r="G765" s="15" t="s">
        <v>10</v>
      </c>
      <c r="H765" s="15" t="s">
        <v>10</v>
      </c>
      <c r="I765" s="15">
        <v>1.3115630011644601</v>
      </c>
      <c r="J765" s="15">
        <v>1.3115630011644601</v>
      </c>
      <c r="K765" s="15">
        <v>1.9945371592123853</v>
      </c>
      <c r="L765" s="15">
        <v>1.9945371592123853</v>
      </c>
      <c r="M765" s="15">
        <v>1.5962891593157296</v>
      </c>
      <c r="N765" s="15">
        <v>1.5962891593157296</v>
      </c>
      <c r="O765" s="15">
        <v>1.5962891593157296</v>
      </c>
      <c r="P765" s="15">
        <v>1.5962891593157296</v>
      </c>
      <c r="Q765" s="8"/>
      <c r="R765" s="9" t="s">
        <v>767</v>
      </c>
    </row>
    <row r="766" spans="1:18" x14ac:dyDescent="0.25">
      <c r="A766" s="6" t="str">
        <f>HYPERLINK("proteomic_fractions_linear_files/Yang_linear_img/262231776.jpg", "262231776")</f>
        <v>262231776</v>
      </c>
      <c r="B766" s="7"/>
      <c r="C766" s="6" t="str">
        <f>HYPERLINK("http://www.ncbi.nlm.nih.gov/protein/262231776","Baiap2")</f>
        <v>Baiap2</v>
      </c>
      <c r="D766" s="8"/>
      <c r="E766" s="8">
        <v>59106</v>
      </c>
      <c r="F766" s="8"/>
      <c r="G766" s="15">
        <v>0.90034863779662844</v>
      </c>
      <c r="H766" s="15">
        <v>0.90034863779662844</v>
      </c>
      <c r="I766" s="15">
        <v>0.99615606077277719</v>
      </c>
      <c r="J766" s="15">
        <v>0.99615606077277719</v>
      </c>
      <c r="K766" s="15">
        <v>0.99615606077277719</v>
      </c>
      <c r="L766" s="15">
        <v>0.99615606077277719</v>
      </c>
      <c r="M766" s="15" t="s">
        <v>10</v>
      </c>
      <c r="N766" s="15" t="s">
        <v>10</v>
      </c>
      <c r="O766" s="15">
        <v>0.90034863779662844</v>
      </c>
      <c r="P766" s="15">
        <v>0.90034863779662844</v>
      </c>
      <c r="Q766" s="8"/>
      <c r="R766" s="9" t="s">
        <v>768</v>
      </c>
    </row>
    <row r="767" spans="1:18" x14ac:dyDescent="0.25">
      <c r="A767" s="6" t="str">
        <f>HYPERLINK("proteomic_fractions_linear_files/Yang_linear_img/83642836.jpg", "83642836")</f>
        <v>83642836</v>
      </c>
      <c r="B767" s="7"/>
      <c r="C767" s="6" t="str">
        <f>HYPERLINK("http://www.ncbi.nlm.nih.gov/protein/83642836","Baiap2")</f>
        <v>Baiap2</v>
      </c>
      <c r="D767" s="8"/>
      <c r="E767" s="8">
        <v>57465</v>
      </c>
      <c r="F767" s="8"/>
      <c r="G767" s="15">
        <v>0.93193981807019433</v>
      </c>
      <c r="H767" s="15">
        <v>0.93193981807019433</v>
      </c>
      <c r="I767" s="15">
        <v>1.0311089050104185</v>
      </c>
      <c r="J767" s="15">
        <v>1.0311089050104185</v>
      </c>
      <c r="K767" s="15">
        <v>1.0311089050104185</v>
      </c>
      <c r="L767" s="15">
        <v>1.0311089050104185</v>
      </c>
      <c r="M767" s="15" t="s">
        <v>10</v>
      </c>
      <c r="N767" s="15" t="s">
        <v>10</v>
      </c>
      <c r="O767" s="15">
        <v>0.93193981807019433</v>
      </c>
      <c r="P767" s="15">
        <v>0.93193981807019433</v>
      </c>
      <c r="Q767" s="8"/>
      <c r="R767" s="9" t="s">
        <v>769</v>
      </c>
    </row>
    <row r="768" spans="1:18" x14ac:dyDescent="0.25">
      <c r="A768" s="6" t="str">
        <f>HYPERLINK("proteomic_fractions_linear_files/Yang_linear_img/83649713.jpg", "83649713")</f>
        <v>83649713</v>
      </c>
      <c r="B768" s="7"/>
      <c r="C768" s="6" t="str">
        <f>HYPERLINK("http://www.ncbi.nlm.nih.gov/protein/83649713","Baiap2")</f>
        <v>Baiap2</v>
      </c>
      <c r="D768" s="8"/>
      <c r="E768" s="8">
        <v>53143</v>
      </c>
      <c r="F768" s="8"/>
      <c r="G768" s="15">
        <v>1.0022748986792656</v>
      </c>
      <c r="H768" s="15">
        <v>1.0022748986792656</v>
      </c>
      <c r="I768" s="15">
        <v>1.1089284450112047</v>
      </c>
      <c r="J768" s="15">
        <v>1.1089284450112047</v>
      </c>
      <c r="K768" s="15">
        <v>1.1089284450112047</v>
      </c>
      <c r="L768" s="15">
        <v>1.1089284450112047</v>
      </c>
      <c r="M768" s="15" t="s">
        <v>10</v>
      </c>
      <c r="N768" s="15" t="s">
        <v>10</v>
      </c>
      <c r="O768" s="15">
        <v>1.0022748986792656</v>
      </c>
      <c r="P768" s="15">
        <v>1.0022748986792656</v>
      </c>
      <c r="Q768" s="8"/>
      <c r="R768" s="9" t="s">
        <v>770</v>
      </c>
    </row>
    <row r="769" spans="1:18" x14ac:dyDescent="0.25">
      <c r="A769" s="6" t="str">
        <f>HYPERLINK("proteomic_fractions_linear_files/Yang_linear_img/21313234.jpg", "21313234")</f>
        <v>21313234</v>
      </c>
      <c r="B769" s="7"/>
      <c r="C769" s="6" t="str">
        <f>HYPERLINK("http://www.ncbi.nlm.nih.gov/protein/21313234","Baiap2l1")</f>
        <v>Baiap2l1</v>
      </c>
      <c r="D769" s="8"/>
      <c r="E769" s="8">
        <v>57057</v>
      </c>
      <c r="F769" s="8"/>
      <c r="G769" s="15" t="s">
        <v>10</v>
      </c>
      <c r="H769" s="15" t="s">
        <v>10</v>
      </c>
      <c r="I769" s="15" t="s">
        <v>10</v>
      </c>
      <c r="J769" s="15" t="s">
        <v>10</v>
      </c>
      <c r="K769" s="15">
        <v>1.1483028654481462</v>
      </c>
      <c r="L769" s="15">
        <v>1.1483028654481462</v>
      </c>
      <c r="M769" s="15" t="s">
        <v>10</v>
      </c>
      <c r="N769" s="15" t="s">
        <v>10</v>
      </c>
      <c r="O769" s="15" t="s">
        <v>10</v>
      </c>
      <c r="P769" s="15" t="s">
        <v>10</v>
      </c>
      <c r="Q769" s="8"/>
      <c r="R769" s="9" t="s">
        <v>771</v>
      </c>
    </row>
    <row r="770" spans="1:18" x14ac:dyDescent="0.25">
      <c r="A770" s="6" t="str">
        <f>HYPERLINK("proteomic_fractions_linear_files/Yang_linear_img/111955302.jpg", "111955302")</f>
        <v>111955302</v>
      </c>
      <c r="B770" s="7"/>
      <c r="C770" s="6" t="str">
        <f>HYPERLINK("http://www.ncbi.nlm.nih.gov/protein/111955302","Bak1")</f>
        <v>Bak1</v>
      </c>
      <c r="D770" s="8"/>
      <c r="E770" s="8">
        <v>23163</v>
      </c>
      <c r="F770" s="8"/>
      <c r="G770" s="15">
        <v>1.3949596893797211</v>
      </c>
      <c r="H770" s="15">
        <v>1.3949596893797211</v>
      </c>
      <c r="I770" s="15">
        <v>1.0047640597703238</v>
      </c>
      <c r="J770" s="15">
        <v>1.0047640597703238</v>
      </c>
      <c r="K770" s="15">
        <v>1.0047640597703238</v>
      </c>
      <c r="L770" s="15">
        <v>1.0047640597703238</v>
      </c>
      <c r="M770" s="15">
        <v>1.0047640597703238</v>
      </c>
      <c r="N770" s="15">
        <v>1.0047640597703238</v>
      </c>
      <c r="O770" s="15" t="s">
        <v>10</v>
      </c>
      <c r="P770" s="15" t="s">
        <v>10</v>
      </c>
      <c r="Q770" s="8"/>
      <c r="R770" s="9" t="s">
        <v>772</v>
      </c>
    </row>
    <row r="771" spans="1:18" x14ac:dyDescent="0.25">
      <c r="A771" s="6" t="str">
        <f>HYPERLINK("proteomic_fractions_linear_files/Yang_linear_img/6753178;84042521.jpg", "6753178;84042521")</f>
        <v>6753178;84042521</v>
      </c>
      <c r="B771" s="8"/>
      <c r="C771" s="6" t="str">
        <f>HYPERLINK("http://www.ncbi.nlm.nih.gov/protein/6753178;84042521","Banf1")</f>
        <v>Banf1</v>
      </c>
      <c r="D771" s="8"/>
      <c r="E771" s="8">
        <v>9971</v>
      </c>
      <c r="F771" s="8"/>
      <c r="G771" s="15" t="s">
        <v>10</v>
      </c>
      <c r="H771" s="15" t="s">
        <v>10</v>
      </c>
      <c r="I771" s="15" t="s">
        <v>10</v>
      </c>
      <c r="J771" s="15" t="s">
        <v>10</v>
      </c>
      <c r="K771" s="15">
        <v>1.2232861292331356</v>
      </c>
      <c r="L771" s="15">
        <v>1.2232861292331356</v>
      </c>
      <c r="M771" s="15" t="s">
        <v>10</v>
      </c>
      <c r="N771" s="15" t="s">
        <v>10</v>
      </c>
      <c r="O771" s="15" t="s">
        <v>10</v>
      </c>
      <c r="P771" s="15" t="s">
        <v>10</v>
      </c>
      <c r="Q771" s="8"/>
      <c r="R771" s="9" t="s">
        <v>773</v>
      </c>
    </row>
    <row r="772" spans="1:18" x14ac:dyDescent="0.25">
      <c r="A772" s="6" t="str">
        <f>HYPERLINK("proteomic_fractions_linear_files/Yang_linear_img/84042521.jpg", "84042521")</f>
        <v>84042521</v>
      </c>
      <c r="B772" s="7"/>
      <c r="C772" s="6" t="str">
        <f>HYPERLINK("http://www.ncbi.nlm.nih.gov/protein/84042521","Banf1")</f>
        <v>Banf1</v>
      </c>
      <c r="D772" s="8"/>
      <c r="E772" s="8">
        <v>9971</v>
      </c>
      <c r="F772" s="8"/>
      <c r="G772" s="15">
        <v>1.8495299164564085</v>
      </c>
      <c r="H772" s="15">
        <v>1.8495299164564085</v>
      </c>
      <c r="I772" s="15" t="s">
        <v>10</v>
      </c>
      <c r="J772" s="15" t="s">
        <v>10</v>
      </c>
      <c r="K772" s="15" t="s">
        <v>10</v>
      </c>
      <c r="L772" s="15" t="s">
        <v>10</v>
      </c>
      <c r="M772" s="15">
        <v>1.2747219341937626</v>
      </c>
      <c r="N772" s="15">
        <v>1.2747219341937626</v>
      </c>
      <c r="O772" s="15" t="s">
        <v>10</v>
      </c>
      <c r="P772" s="15" t="s">
        <v>10</v>
      </c>
      <c r="Q772" s="8"/>
      <c r="R772" s="9" t="s">
        <v>773</v>
      </c>
    </row>
    <row r="773" spans="1:18" x14ac:dyDescent="0.25">
      <c r="A773" s="6" t="str">
        <f>HYPERLINK("proteomic_fractions_linear_files/Yang_linear_img/45598372.jpg", "45598372")</f>
        <v>45598372</v>
      </c>
      <c r="B773" s="7"/>
      <c r="C773" s="6" t="str">
        <f>HYPERLINK("http://www.ncbi.nlm.nih.gov/protein/45598372","Basp1")</f>
        <v>Basp1</v>
      </c>
      <c r="D773" s="8"/>
      <c r="E773" s="8">
        <v>21955</v>
      </c>
      <c r="F773" s="8"/>
      <c r="G773" s="15">
        <v>3.3380072837128294</v>
      </c>
      <c r="H773" s="15">
        <v>3.3380072837128294</v>
      </c>
      <c r="I773" s="15">
        <v>2.414571346818231</v>
      </c>
      <c r="J773" s="15">
        <v>2.414571346818231</v>
      </c>
      <c r="K773" s="15">
        <v>2.6715094357088116</v>
      </c>
      <c r="L773" s="15">
        <v>2.6715094357088116</v>
      </c>
      <c r="M773" s="15">
        <v>2.9751483332065605</v>
      </c>
      <c r="N773" s="15">
        <v>2.9751483332065605</v>
      </c>
      <c r="O773" s="15">
        <v>2.6715094357088116</v>
      </c>
      <c r="P773" s="15">
        <v>2.6715094357088116</v>
      </c>
      <c r="Q773" s="8"/>
      <c r="R773" s="9" t="s">
        <v>774</v>
      </c>
    </row>
    <row r="774" spans="1:18" x14ac:dyDescent="0.25">
      <c r="A774" s="6" t="str">
        <f>HYPERLINK("proteomic_fractions_linear_files/Yang_linear_img/6680770.jpg", "6680770")</f>
        <v>6680770</v>
      </c>
      <c r="B774" s="7"/>
      <c r="C774" s="6" t="str">
        <f>HYPERLINK("http://www.ncbi.nlm.nih.gov/protein/6680770","Bax")</f>
        <v>Bax</v>
      </c>
      <c r="D774" s="8"/>
      <c r="E774" s="8">
        <v>21264</v>
      </c>
      <c r="F774" s="8"/>
      <c r="G774" s="15">
        <v>0.88072853164590881</v>
      </c>
      <c r="H774" s="15">
        <v>0.88072853164590881</v>
      </c>
      <c r="I774" s="15">
        <v>0.92862618228739402</v>
      </c>
      <c r="J774" s="15">
        <v>0.92862618228739402</v>
      </c>
      <c r="K774" s="15">
        <v>0.92862618228739402</v>
      </c>
      <c r="L774" s="15">
        <v>0.92862618228739402</v>
      </c>
      <c r="M774" s="15">
        <v>0.92862618228739402</v>
      </c>
      <c r="N774" s="15">
        <v>0.92862618228739402</v>
      </c>
      <c r="O774" s="15">
        <v>0.92862618228739402</v>
      </c>
      <c r="P774" s="15">
        <v>0.92862618228739402</v>
      </c>
      <c r="Q774" s="8"/>
      <c r="R774" s="9" t="s">
        <v>775</v>
      </c>
    </row>
    <row r="775" spans="1:18" x14ac:dyDescent="0.25">
      <c r="A775" s="6" t="str">
        <f>HYPERLINK("proteomic_fractions_linear_files/Yang_linear_img/170295818.jpg", "170295818")</f>
        <v>170295818</v>
      </c>
      <c r="B775" s="7"/>
      <c r="C775" s="6" t="str">
        <f>HYPERLINK("http://www.ncbi.nlm.nih.gov/protein/170295818","Baz1b")</f>
        <v>Baz1b</v>
      </c>
      <c r="D775" s="8"/>
      <c r="E775" s="8">
        <v>170520</v>
      </c>
      <c r="F775" s="8"/>
      <c r="G775" s="15">
        <v>3.4707181618087963</v>
      </c>
      <c r="H775" s="15">
        <v>3.4707181618087963</v>
      </c>
      <c r="I775" s="15" t="s">
        <v>10</v>
      </c>
      <c r="J775" s="15" t="s">
        <v>10</v>
      </c>
      <c r="K775" s="15" t="s">
        <v>10</v>
      </c>
      <c r="L775" s="15" t="s">
        <v>10</v>
      </c>
      <c r="M775" s="15" t="s">
        <v>10</v>
      </c>
      <c r="N775" s="15" t="s">
        <v>10</v>
      </c>
      <c r="O775" s="15" t="s">
        <v>10</v>
      </c>
      <c r="P775" s="15" t="s">
        <v>10</v>
      </c>
      <c r="Q775" s="8"/>
      <c r="R775" s="9" t="s">
        <v>776</v>
      </c>
    </row>
    <row r="776" spans="1:18" x14ac:dyDescent="0.25">
      <c r="A776" s="6" t="str">
        <f>HYPERLINK("proteomic_fractions_linear_files/Yang_linear_img/294774603.jpg", "294774603")</f>
        <v>294774603</v>
      </c>
      <c r="B776" s="7"/>
      <c r="C776" s="6" t="str">
        <f>HYPERLINK("http://www.ncbi.nlm.nih.gov/protein/294774603","BB287469")</f>
        <v>BB287469</v>
      </c>
      <c r="D776" s="8"/>
      <c r="E776" s="8">
        <v>16514</v>
      </c>
      <c r="F776" s="8"/>
      <c r="G776" s="15" t="s">
        <v>10</v>
      </c>
      <c r="H776" s="15" t="s">
        <v>10</v>
      </c>
      <c r="I776" s="15">
        <v>1.0335258685505275</v>
      </c>
      <c r="J776" s="15">
        <v>1.0335258685505275</v>
      </c>
      <c r="K776" s="15" t="s">
        <v>10</v>
      </c>
      <c r="L776" s="15" t="s">
        <v>10</v>
      </c>
      <c r="M776" s="15">
        <v>1.0335258685505275</v>
      </c>
      <c r="N776" s="15">
        <v>1.0335258685505275</v>
      </c>
      <c r="O776" s="15">
        <v>1.0335258685505275</v>
      </c>
      <c r="P776" s="15">
        <v>1.0335258685505275</v>
      </c>
      <c r="Q776" s="8"/>
      <c r="R776" s="9" t="s">
        <v>777</v>
      </c>
    </row>
    <row r="777" spans="1:18" x14ac:dyDescent="0.25">
      <c r="A777" s="6" t="str">
        <f>HYPERLINK("proteomic_fractions_linear_files/Yang_linear_img/305855096.jpg", "305855096")</f>
        <v>305855096</v>
      </c>
      <c r="B777" s="7"/>
      <c r="C777" s="6" t="str">
        <f>HYPERLINK("http://www.ncbi.nlm.nih.gov/protein/305855096","Bbip1")</f>
        <v>Bbip1</v>
      </c>
      <c r="D777" s="8"/>
      <c r="E777" s="8">
        <v>7461</v>
      </c>
      <c r="F777" s="8"/>
      <c r="G777" s="15" t="s">
        <v>10</v>
      </c>
      <c r="H777" s="15" t="s">
        <v>10</v>
      </c>
      <c r="I777" s="15" t="s">
        <v>10</v>
      </c>
      <c r="J777" s="15" t="s">
        <v>10</v>
      </c>
      <c r="K777" s="15">
        <v>1.821031334562518</v>
      </c>
      <c r="L777" s="15">
        <v>1.821031334562518</v>
      </c>
      <c r="M777" s="15" t="s">
        <v>10</v>
      </c>
      <c r="N777" s="15" t="s">
        <v>10</v>
      </c>
      <c r="O777" s="15" t="s">
        <v>10</v>
      </c>
      <c r="P777" s="15" t="s">
        <v>10</v>
      </c>
      <c r="Q777" s="8"/>
      <c r="R777" s="9" t="s">
        <v>778</v>
      </c>
    </row>
    <row r="778" spans="1:18" x14ac:dyDescent="0.25">
      <c r="A778" s="6" t="str">
        <f>HYPERLINK("proteomic_fractions_linear_files/Yang_linear_img/84370025.jpg", "84370025")</f>
        <v>84370025</v>
      </c>
      <c r="B778" s="7"/>
      <c r="C778" s="6" t="str">
        <f>HYPERLINK("http://www.ncbi.nlm.nih.gov/protein/84370025","Bbs1")</f>
        <v>Bbs1</v>
      </c>
      <c r="D778" s="8"/>
      <c r="E778" s="8">
        <v>64964</v>
      </c>
      <c r="F778" s="8"/>
      <c r="G778" s="15" t="s">
        <v>10</v>
      </c>
      <c r="H778" s="15" t="s">
        <v>10</v>
      </c>
      <c r="I778" s="15" t="s">
        <v>10</v>
      </c>
      <c r="J778" s="15" t="s">
        <v>10</v>
      </c>
      <c r="K778" s="15">
        <v>1.0069732820083743</v>
      </c>
      <c r="L778" s="15">
        <v>1.0069732820083743</v>
      </c>
      <c r="M778" s="15">
        <v>1.0069732820083743</v>
      </c>
      <c r="N778" s="15">
        <v>1.0069732820083743</v>
      </c>
      <c r="O778" s="15" t="s">
        <v>10</v>
      </c>
      <c r="P778" s="15" t="s">
        <v>10</v>
      </c>
      <c r="Q778" s="8"/>
      <c r="R778" s="9" t="s">
        <v>779</v>
      </c>
    </row>
    <row r="779" spans="1:18" x14ac:dyDescent="0.25">
      <c r="A779" s="6" t="str">
        <f>HYPERLINK("proteomic_fractions_linear_files/Yang_linear_img/116805315.jpg", "116805315")</f>
        <v>116805315</v>
      </c>
      <c r="B779" s="7"/>
      <c r="C779" s="6" t="str">
        <f>HYPERLINK("http://www.ncbi.nlm.nih.gov/protein/116805315","BC003331")</f>
        <v>BC003331</v>
      </c>
      <c r="D779" s="8"/>
      <c r="E779" s="8">
        <v>49867</v>
      </c>
      <c r="F779" s="8"/>
      <c r="G779" s="15" t="s">
        <v>10</v>
      </c>
      <c r="H779" s="15" t="s">
        <v>10</v>
      </c>
      <c r="I779" s="15">
        <v>1.1754641517118771</v>
      </c>
      <c r="J779" s="15">
        <v>1.1754641517118771</v>
      </c>
      <c r="K779" s="15" t="s">
        <v>10</v>
      </c>
      <c r="L779" s="15" t="s">
        <v>10</v>
      </c>
      <c r="M779" s="15" t="s">
        <v>10</v>
      </c>
      <c r="N779" s="15" t="s">
        <v>10</v>
      </c>
      <c r="O779" s="15" t="s">
        <v>10</v>
      </c>
      <c r="P779" s="15" t="s">
        <v>10</v>
      </c>
      <c r="Q779" s="8"/>
      <c r="R779" s="9" t="s">
        <v>780</v>
      </c>
    </row>
    <row r="780" spans="1:18" x14ac:dyDescent="0.25">
      <c r="A780" s="6" t="str">
        <f>HYPERLINK("proteomic_fractions_linear_files/Yang_linear_img/116805317.jpg", "116805317")</f>
        <v>116805317</v>
      </c>
      <c r="B780" s="7"/>
      <c r="C780" s="6" t="str">
        <f>HYPERLINK("http://www.ncbi.nlm.nih.gov/protein/116805317","BC003331")</f>
        <v>BC003331</v>
      </c>
      <c r="D780" s="8"/>
      <c r="E780" s="8">
        <v>46365</v>
      </c>
      <c r="F780" s="8"/>
      <c r="G780" s="15" t="s">
        <v>10</v>
      </c>
      <c r="H780" s="15" t="s">
        <v>10</v>
      </c>
      <c r="I780" s="15">
        <v>1.2776784257737794</v>
      </c>
      <c r="J780" s="15">
        <v>1.2776784257737794</v>
      </c>
      <c r="K780" s="15" t="s">
        <v>10</v>
      </c>
      <c r="L780" s="15" t="s">
        <v>10</v>
      </c>
      <c r="M780" s="15" t="s">
        <v>10</v>
      </c>
      <c r="N780" s="15" t="s">
        <v>10</v>
      </c>
      <c r="O780" s="15" t="s">
        <v>10</v>
      </c>
      <c r="P780" s="15" t="s">
        <v>10</v>
      </c>
      <c r="Q780" s="8"/>
      <c r="R780" s="9" t="s">
        <v>781</v>
      </c>
    </row>
    <row r="781" spans="1:18" x14ac:dyDescent="0.25">
      <c r="A781" s="6" t="str">
        <f>HYPERLINK("proteomic_fractions_linear_files/Yang_linear_img/268607692.jpg", "268607692")</f>
        <v>268607692</v>
      </c>
      <c r="B781" s="7"/>
      <c r="C781" s="6" t="str">
        <f>HYPERLINK("http://www.ncbi.nlm.nih.gov/protein/268607692","BC003965")</f>
        <v>BC003965</v>
      </c>
      <c r="D781" s="8"/>
      <c r="E781" s="8">
        <v>13861</v>
      </c>
      <c r="F781" s="8"/>
      <c r="G781" s="15">
        <v>1.1940338943290729</v>
      </c>
      <c r="H781" s="15">
        <v>1.1940338943290729</v>
      </c>
      <c r="I781" s="15">
        <v>1.2549956975256404</v>
      </c>
      <c r="J781" s="15">
        <v>1.2549956975256404</v>
      </c>
      <c r="K781" s="15" t="s">
        <v>10</v>
      </c>
      <c r="L781" s="15" t="s">
        <v>10</v>
      </c>
      <c r="M781" s="15" t="s">
        <v>10</v>
      </c>
      <c r="N781" s="15" t="s">
        <v>10</v>
      </c>
      <c r="O781" s="15" t="s">
        <v>10</v>
      </c>
      <c r="P781" s="15" t="s">
        <v>10</v>
      </c>
      <c r="Q781" s="8"/>
      <c r="R781" s="9" t="s">
        <v>782</v>
      </c>
    </row>
    <row r="782" spans="1:18" x14ac:dyDescent="0.25">
      <c r="A782" s="6" t="str">
        <f>HYPERLINK("proteomic_fractions_linear_files/Yang_linear_img/262205179.jpg", "262205179")</f>
        <v>262205179</v>
      </c>
      <c r="B782" s="7"/>
      <c r="C782" s="6" t="str">
        <f>HYPERLINK("http://www.ncbi.nlm.nih.gov/protein/262205179","BC005561")</f>
        <v>BC005561</v>
      </c>
      <c r="D782" s="8"/>
      <c r="E782" s="8">
        <v>182541</v>
      </c>
      <c r="F782" s="8"/>
      <c r="G782" s="15">
        <v>3.243130085624613</v>
      </c>
      <c r="H782" s="15">
        <v>3.243130085624613</v>
      </c>
      <c r="I782" s="15" t="s">
        <v>10</v>
      </c>
      <c r="J782" s="15" t="s">
        <v>10</v>
      </c>
      <c r="K782" s="15">
        <v>0.83854027943301557</v>
      </c>
      <c r="L782" s="15">
        <v>0.83854027943301557</v>
      </c>
      <c r="M782" s="15" t="s">
        <v>10</v>
      </c>
      <c r="N782" s="15" t="s">
        <v>10</v>
      </c>
      <c r="O782" s="15" t="s">
        <v>10</v>
      </c>
      <c r="P782" s="15" t="s">
        <v>10</v>
      </c>
      <c r="Q782" s="8"/>
      <c r="R782" s="9" t="s">
        <v>783</v>
      </c>
    </row>
    <row r="783" spans="1:18" x14ac:dyDescent="0.25">
      <c r="A783" s="6" t="str">
        <f>HYPERLINK("proteomic_fractions_linear_files/Yang_linear_img/21450249.jpg", "21450249")</f>
        <v>21450249</v>
      </c>
      <c r="B783" s="7"/>
      <c r="C783" s="6" t="str">
        <f>HYPERLINK("http://www.ncbi.nlm.nih.gov/protein/21450249","BC005624")</f>
        <v>BC005624</v>
      </c>
      <c r="D783" s="8"/>
      <c r="E783" s="8">
        <v>33413</v>
      </c>
      <c r="F783" s="8"/>
      <c r="G783" s="15" t="s">
        <v>10</v>
      </c>
      <c r="H783" s="15" t="s">
        <v>10</v>
      </c>
      <c r="I783" s="15" t="s">
        <v>10</v>
      </c>
      <c r="J783" s="15" t="s">
        <v>10</v>
      </c>
      <c r="K783" s="15" t="s">
        <v>10</v>
      </c>
      <c r="L783" s="15" t="s">
        <v>10</v>
      </c>
      <c r="M783" s="15" t="s">
        <v>10</v>
      </c>
      <c r="N783" s="15" t="s">
        <v>10</v>
      </c>
      <c r="O783" s="15">
        <v>0.84600640296006246</v>
      </c>
      <c r="P783" s="15">
        <v>0.84600640296006246</v>
      </c>
      <c r="Q783" s="8"/>
      <c r="R783" s="9" t="s">
        <v>784</v>
      </c>
    </row>
    <row r="784" spans="1:18" x14ac:dyDescent="0.25">
      <c r="A784" s="6" t="str">
        <f>HYPERLINK("proteomic_fractions_linear_files/Yang_linear_img/357527359.jpg", "357527359")</f>
        <v>357527359</v>
      </c>
      <c r="B784" s="7"/>
      <c r="C784" s="6" t="str">
        <f>HYPERLINK("http://www.ncbi.nlm.nih.gov/protein/357527359","BC017643")</f>
        <v>BC017643</v>
      </c>
      <c r="D784" s="8"/>
      <c r="E784" s="8">
        <v>12993</v>
      </c>
      <c r="F784" s="8"/>
      <c r="G784" s="15" t="s">
        <v>10</v>
      </c>
      <c r="H784" s="15" t="s">
        <v>10</v>
      </c>
      <c r="I784" s="15" t="s">
        <v>10</v>
      </c>
      <c r="J784" s="15" t="s">
        <v>10</v>
      </c>
      <c r="K784" s="15">
        <v>1.5000884483104058</v>
      </c>
      <c r="L784" s="15">
        <v>1.5000884483104058</v>
      </c>
      <c r="M784" s="15" t="s">
        <v>10</v>
      </c>
      <c r="N784" s="15" t="s">
        <v>10</v>
      </c>
      <c r="O784" s="15" t="s">
        <v>10</v>
      </c>
      <c r="P784" s="15" t="s">
        <v>10</v>
      </c>
      <c r="Q784" s="8"/>
      <c r="R784" s="9" t="s">
        <v>785</v>
      </c>
    </row>
    <row r="785" spans="1:18" x14ac:dyDescent="0.25">
      <c r="A785" s="6" t="str">
        <f>HYPERLINK("proteomic_fractions_linear_files/Yang_linear_img/21450219.jpg", "21450219")</f>
        <v>21450219</v>
      </c>
      <c r="B785" s="7"/>
      <c r="C785" s="6" t="str">
        <f>HYPERLINK("http://www.ncbi.nlm.nih.gov/protein/21450219","BC017643")</f>
        <v>BC017643</v>
      </c>
      <c r="D785" s="8"/>
      <c r="E785" s="8">
        <v>20790</v>
      </c>
      <c r="F785" s="8"/>
      <c r="G785" s="15" t="s">
        <v>10</v>
      </c>
      <c r="H785" s="15" t="s">
        <v>10</v>
      </c>
      <c r="I785" s="15">
        <v>0.92862618228739402</v>
      </c>
      <c r="J785" s="15">
        <v>0.92862618228739402</v>
      </c>
      <c r="K785" s="15">
        <v>0.92862618228739402</v>
      </c>
      <c r="L785" s="15">
        <v>0.92862618228739402</v>
      </c>
      <c r="M785" s="15" t="s">
        <v>10</v>
      </c>
      <c r="N785" s="15" t="s">
        <v>10</v>
      </c>
      <c r="O785" s="15" t="s">
        <v>10</v>
      </c>
      <c r="P785" s="15" t="s">
        <v>10</v>
      </c>
      <c r="Q785" s="8"/>
      <c r="R785" s="9" t="s">
        <v>786</v>
      </c>
    </row>
    <row r="786" spans="1:18" x14ac:dyDescent="0.25">
      <c r="A786" s="6" t="str">
        <f>HYPERLINK("proteomic_fractions_linear_files/Yang_linear_img/361050365.jpg", "361050365")</f>
        <v>361050365</v>
      </c>
      <c r="B786" s="7"/>
      <c r="C786" s="6" t="str">
        <f>HYPERLINK("http://www.ncbi.nlm.nih.gov/protein/361050365","BC017643")</f>
        <v>BC017643</v>
      </c>
      <c r="D786" s="8"/>
      <c r="E786" s="8">
        <v>26054</v>
      </c>
      <c r="F786" s="8"/>
      <c r="G786" s="15" t="s">
        <v>10</v>
      </c>
      <c r="H786" s="15" t="s">
        <v>10</v>
      </c>
      <c r="I786" s="15">
        <v>0.75004422415520289</v>
      </c>
      <c r="J786" s="15">
        <v>0.75004422415520289</v>
      </c>
      <c r="K786" s="15">
        <v>0.75004422415520289</v>
      </c>
      <c r="L786" s="15">
        <v>0.75004422415520289</v>
      </c>
      <c r="M786" s="15" t="s">
        <v>10</v>
      </c>
      <c r="N786" s="15" t="s">
        <v>10</v>
      </c>
      <c r="O786" s="15" t="s">
        <v>10</v>
      </c>
      <c r="P786" s="15" t="s">
        <v>10</v>
      </c>
      <c r="Q786" s="8"/>
      <c r="R786" s="9" t="s">
        <v>787</v>
      </c>
    </row>
    <row r="787" spans="1:18" x14ac:dyDescent="0.25">
      <c r="A787" s="6" t="str">
        <f>HYPERLINK("proteomic_fractions_linear_files/Yang_linear_img/21450105.jpg", "21450105")</f>
        <v>21450105</v>
      </c>
      <c r="B787" s="7"/>
      <c r="C787" s="6" t="str">
        <f>HYPERLINK("http://www.ncbi.nlm.nih.gov/protein/21450105","BC021614")</f>
        <v>BC021614</v>
      </c>
      <c r="D787" s="8"/>
      <c r="E787" s="8">
        <v>24063</v>
      </c>
      <c r="F787" s="8"/>
      <c r="G787" s="15">
        <v>1.3368363689888996</v>
      </c>
      <c r="H787" s="15">
        <v>1.3368363689888996</v>
      </c>
      <c r="I787" s="15">
        <v>0.96289889061322687</v>
      </c>
      <c r="J787" s="15">
        <v>0.96289889061322687</v>
      </c>
      <c r="K787" s="15">
        <v>0.96289889061322687</v>
      </c>
      <c r="L787" s="15">
        <v>0.96289889061322687</v>
      </c>
      <c r="M787" s="15">
        <v>0.96289889061322687</v>
      </c>
      <c r="N787" s="15">
        <v>0.96289889061322687</v>
      </c>
      <c r="O787" s="15">
        <v>0.85822671611067802</v>
      </c>
      <c r="P787" s="15">
        <v>0.85822671611067802</v>
      </c>
      <c r="Q787" s="8"/>
      <c r="R787" s="9" t="s">
        <v>788</v>
      </c>
    </row>
    <row r="788" spans="1:18" x14ac:dyDescent="0.25">
      <c r="A788" s="6" t="str">
        <f>HYPERLINK("proteomic_fractions_linear_files/Yang_linear_img/119637821.jpg", "119637821")</f>
        <v>119637821</v>
      </c>
      <c r="B788" s="7"/>
      <c r="C788" s="6" t="str">
        <f>HYPERLINK("http://www.ncbi.nlm.nih.gov/protein/119637821","BC021891")</f>
        <v>BC021891</v>
      </c>
      <c r="D788" s="8"/>
      <c r="E788" s="8">
        <v>109981</v>
      </c>
      <c r="F788" s="8"/>
      <c r="G788" s="15" t="s">
        <v>10</v>
      </c>
      <c r="H788" s="15" t="s">
        <v>10</v>
      </c>
      <c r="I788" s="15" t="s">
        <v>10</v>
      </c>
      <c r="J788" s="15" t="s">
        <v>10</v>
      </c>
      <c r="K788" s="15">
        <v>2.1214622511622641</v>
      </c>
      <c r="L788" s="15">
        <v>2.1214622511622641</v>
      </c>
      <c r="M788" s="15" t="s">
        <v>10</v>
      </c>
      <c r="N788" s="15" t="s">
        <v>10</v>
      </c>
      <c r="O788" s="15" t="s">
        <v>10</v>
      </c>
      <c r="P788" s="15" t="s">
        <v>10</v>
      </c>
      <c r="Q788" s="8"/>
      <c r="R788" s="9" t="s">
        <v>789</v>
      </c>
    </row>
    <row r="789" spans="1:18" x14ac:dyDescent="0.25">
      <c r="A789" s="6" t="str">
        <f>HYPERLINK("proteomic_fractions_linear_files/Yang_linear_img/124487245.jpg", "124487245")</f>
        <v>124487245</v>
      </c>
      <c r="B789" s="7"/>
      <c r="C789" s="6" t="str">
        <f>HYPERLINK("http://www.ncbi.nlm.nih.gov/protein/124487245","BC026590")</f>
        <v>BC026590</v>
      </c>
      <c r="D789" s="8"/>
      <c r="E789" s="8">
        <v>21466</v>
      </c>
      <c r="F789" s="8"/>
      <c r="G789" s="15" t="s">
        <v>10</v>
      </c>
      <c r="H789" s="15" t="s">
        <v>10</v>
      </c>
      <c r="I789" s="15">
        <v>1.0378924890799406</v>
      </c>
      <c r="J789" s="15">
        <v>1.0378924890799406</v>
      </c>
      <c r="K789" s="15" t="s">
        <v>10</v>
      </c>
      <c r="L789" s="15" t="s">
        <v>10</v>
      </c>
      <c r="M789" s="15">
        <v>1.100455874986545</v>
      </c>
      <c r="N789" s="15">
        <v>1.100455874986545</v>
      </c>
      <c r="O789" s="15">
        <v>1.0378924890799406</v>
      </c>
      <c r="P789" s="15">
        <v>1.0378924890799406</v>
      </c>
      <c r="Q789" s="8"/>
      <c r="R789" s="9" t="s">
        <v>790</v>
      </c>
    </row>
    <row r="790" spans="1:18" x14ac:dyDescent="0.25">
      <c r="A790" s="6" t="str">
        <f>HYPERLINK("proteomic_fractions_linear_files/Yang_linear_img/22122411.jpg", "22122411")</f>
        <v>22122411</v>
      </c>
      <c r="B790" s="7"/>
      <c r="C790" s="6" t="str">
        <f>HYPERLINK("http://www.ncbi.nlm.nih.gov/protein/22122411","BC027231")</f>
        <v>BC027231</v>
      </c>
      <c r="D790" s="8"/>
      <c r="E790" s="8">
        <v>63263</v>
      </c>
      <c r="F790" s="8"/>
      <c r="G790" s="15" t="s">
        <v>10</v>
      </c>
      <c r="H790" s="15" t="s">
        <v>10</v>
      </c>
      <c r="I790" s="15" t="s">
        <v>10</v>
      </c>
      <c r="J790" s="15" t="s">
        <v>10</v>
      </c>
      <c r="K790" s="15" t="s">
        <v>10</v>
      </c>
      <c r="L790" s="15" t="s">
        <v>10</v>
      </c>
      <c r="M790" s="15">
        <v>1.1656533371695594</v>
      </c>
      <c r="N790" s="15">
        <v>1.1656533371695594</v>
      </c>
      <c r="O790" s="15" t="s">
        <v>10</v>
      </c>
      <c r="P790" s="15" t="s">
        <v>10</v>
      </c>
      <c r="Q790" s="8"/>
      <c r="R790" s="9" t="s">
        <v>791</v>
      </c>
    </row>
    <row r="791" spans="1:18" x14ac:dyDescent="0.25">
      <c r="A791" s="6" t="str">
        <f>HYPERLINK("proteomic_fractions_linear_files/Yang_linear_img/47564127.jpg", "47564127")</f>
        <v>47564127</v>
      </c>
      <c r="B791" s="7"/>
      <c r="C791" s="6" t="str">
        <f>HYPERLINK("http://www.ncbi.nlm.nih.gov/protein/47564127","BC048507")</f>
        <v>BC048507</v>
      </c>
      <c r="D791" s="8"/>
      <c r="E791" s="8">
        <v>10262</v>
      </c>
      <c r="F791" s="8"/>
      <c r="G791" s="15">
        <v>1.9501149828035274</v>
      </c>
      <c r="H791" s="15">
        <v>1.9501149828035274</v>
      </c>
      <c r="I791" s="15">
        <v>1.2747219341937626</v>
      </c>
      <c r="J791" s="15">
        <v>1.2747219341937626</v>
      </c>
      <c r="K791" s="15">
        <v>1.2232861292331356</v>
      </c>
      <c r="L791" s="15">
        <v>1.2232861292331356</v>
      </c>
      <c r="M791" s="15">
        <v>1.3297064023001535</v>
      </c>
      <c r="N791" s="15">
        <v>1.3297064023001535</v>
      </c>
      <c r="O791" s="15" t="s">
        <v>10</v>
      </c>
      <c r="P791" s="15" t="s">
        <v>10</v>
      </c>
      <c r="Q791" s="8"/>
      <c r="R791" s="9" t="s">
        <v>792</v>
      </c>
    </row>
    <row r="792" spans="1:18" x14ac:dyDescent="0.25">
      <c r="A792" s="6" t="str">
        <f>HYPERLINK("proteomic_fractions_linear_files/Yang_linear_img/255522839.jpg", "255522839")</f>
        <v>255522839</v>
      </c>
      <c r="B792" s="7"/>
      <c r="C792" s="6" t="str">
        <f>HYPERLINK("http://www.ncbi.nlm.nih.gov/protein/255522839","BC051142")</f>
        <v>BC051142</v>
      </c>
      <c r="D792" s="8"/>
      <c r="E792" s="8">
        <v>44024</v>
      </c>
      <c r="F792" s="8"/>
      <c r="G792" s="15" t="s">
        <v>10</v>
      </c>
      <c r="H792" s="15" t="s">
        <v>10</v>
      </c>
      <c r="I792" s="15" t="s">
        <v>10</v>
      </c>
      <c r="J792" s="15" t="s">
        <v>10</v>
      </c>
      <c r="K792" s="15" t="s">
        <v>10</v>
      </c>
      <c r="L792" s="15" t="s">
        <v>10</v>
      </c>
      <c r="M792" s="15" t="s">
        <v>10</v>
      </c>
      <c r="N792" s="15" t="s">
        <v>10</v>
      </c>
      <c r="O792" s="15">
        <v>2.1583632086951026</v>
      </c>
      <c r="P792" s="15">
        <v>2.1583632086951026</v>
      </c>
      <c r="Q792" s="8"/>
      <c r="R792" s="9" t="s">
        <v>793</v>
      </c>
    </row>
    <row r="793" spans="1:18" x14ac:dyDescent="0.25">
      <c r="A793" s="6" t="str">
        <f>HYPERLINK("proteomic_fractions_linear_files/Yang_linear_img/283046767.jpg", "283046767")</f>
        <v>283046767</v>
      </c>
      <c r="B793" s="7"/>
      <c r="C793" s="6" t="str">
        <f>HYPERLINK("http://www.ncbi.nlm.nih.gov/protein/283046767","BC068281")</f>
        <v>BC068281</v>
      </c>
      <c r="D793" s="8"/>
      <c r="E793" s="8">
        <v>72138</v>
      </c>
      <c r="F793" s="8"/>
      <c r="G793" s="15" t="s">
        <v>10</v>
      </c>
      <c r="H793" s="15" t="s">
        <v>10</v>
      </c>
      <c r="I793" s="15" t="s">
        <v>10</v>
      </c>
      <c r="J793" s="15" t="s">
        <v>10</v>
      </c>
      <c r="K793" s="15" t="s">
        <v>10</v>
      </c>
      <c r="L793" s="15" t="s">
        <v>10</v>
      </c>
      <c r="M793" s="15">
        <v>1.1541480343492203</v>
      </c>
      <c r="N793" s="15">
        <v>1.1541480343492203</v>
      </c>
      <c r="O793" s="15" t="s">
        <v>10</v>
      </c>
      <c r="P793" s="15" t="s">
        <v>10</v>
      </c>
      <c r="Q793" s="8"/>
      <c r="R793" s="9" t="s">
        <v>794</v>
      </c>
    </row>
    <row r="794" spans="1:18" x14ac:dyDescent="0.25">
      <c r="A794" s="6" t="str">
        <f>HYPERLINK("proteomic_fractions_linear_files/Yang_linear_img/283046769.jpg", "283046769")</f>
        <v>283046769</v>
      </c>
      <c r="B794" s="7"/>
      <c r="C794" s="6" t="str">
        <f>HYPERLINK("http://www.ncbi.nlm.nih.gov/protein/283046769","BC068281")</f>
        <v>BC068281</v>
      </c>
      <c r="D794" s="8"/>
      <c r="E794" s="8">
        <v>69113</v>
      </c>
      <c r="F794" s="8"/>
      <c r="G794" s="15" t="s">
        <v>10</v>
      </c>
      <c r="H794" s="15" t="s">
        <v>10</v>
      </c>
      <c r="I794" s="15" t="s">
        <v>10</v>
      </c>
      <c r="J794" s="15" t="s">
        <v>10</v>
      </c>
      <c r="K794" s="15" t="s">
        <v>10</v>
      </c>
      <c r="L794" s="15" t="s">
        <v>10</v>
      </c>
      <c r="M794" s="15">
        <v>1.2043283836687515</v>
      </c>
      <c r="N794" s="15">
        <v>1.2043283836687515</v>
      </c>
      <c r="O794" s="15" t="s">
        <v>10</v>
      </c>
      <c r="P794" s="15" t="s">
        <v>10</v>
      </c>
      <c r="Q794" s="8"/>
      <c r="R794" s="9" t="s">
        <v>795</v>
      </c>
    </row>
    <row r="795" spans="1:18" x14ac:dyDescent="0.25">
      <c r="A795" s="6" t="str">
        <f>HYPERLINK("proteomic_fractions_linear_files/Yang_linear_img/76781476.jpg", "76781476")</f>
        <v>76781476</v>
      </c>
      <c r="B795" s="7"/>
      <c r="C795" s="6" t="str">
        <f>HYPERLINK("http://www.ncbi.nlm.nih.gov/protein/76781476","BC089491")</f>
        <v>BC089491</v>
      </c>
      <c r="D795" s="8"/>
      <c r="E795" s="8">
        <v>34671</v>
      </c>
      <c r="F795" s="8"/>
      <c r="G795" s="15" t="s">
        <v>10</v>
      </c>
      <c r="H795" s="15" t="s">
        <v>10</v>
      </c>
      <c r="I795" s="15" t="s">
        <v>10</v>
      </c>
      <c r="J795" s="15" t="s">
        <v>10</v>
      </c>
      <c r="K795" s="15" t="s">
        <v>10</v>
      </c>
      <c r="L795" s="15" t="s">
        <v>10</v>
      </c>
      <c r="M795" s="15">
        <v>1.8700932380155524</v>
      </c>
      <c r="N795" s="15">
        <v>1.8700932380155524</v>
      </c>
      <c r="O795" s="15" t="s">
        <v>10</v>
      </c>
      <c r="P795" s="15" t="s">
        <v>10</v>
      </c>
      <c r="Q795" s="8"/>
      <c r="R795" s="9" t="s">
        <v>796</v>
      </c>
    </row>
    <row r="796" spans="1:18" x14ac:dyDescent="0.25">
      <c r="A796" s="6" t="str">
        <f>HYPERLINK("proteomic_fractions_linear_files/Yang_linear_img/10048460.jpg", "10048460")</f>
        <v>10048460</v>
      </c>
      <c r="B796" s="7"/>
      <c r="C796" s="6" t="str">
        <f>HYPERLINK("http://www.ncbi.nlm.nih.gov/protein/10048460","Bcam")</f>
        <v>Bcam</v>
      </c>
      <c r="D796" s="8"/>
      <c r="E796" s="8">
        <v>65023</v>
      </c>
      <c r="F796" s="8"/>
      <c r="G796" s="15">
        <v>1.461045864347454</v>
      </c>
      <c r="H796" s="15">
        <v>1.461045864347454</v>
      </c>
      <c r="I796" s="15">
        <v>1.1297870806412653</v>
      </c>
      <c r="J796" s="15">
        <v>1.1297870806412653</v>
      </c>
      <c r="K796" s="15">
        <v>1.461045864347454</v>
      </c>
      <c r="L796" s="15">
        <v>1.461045864347454</v>
      </c>
      <c r="M796" s="15">
        <v>1.2784408995868286</v>
      </c>
      <c r="N796" s="15">
        <v>1.2784408995868286</v>
      </c>
      <c r="O796" s="15">
        <v>1.1297870806412653</v>
      </c>
      <c r="P796" s="15">
        <v>1.1297870806412653</v>
      </c>
      <c r="Q796" s="8"/>
      <c r="R796" s="9" t="s">
        <v>797</v>
      </c>
    </row>
    <row r="797" spans="1:18" x14ac:dyDescent="0.25">
      <c r="A797" s="6" t="str">
        <f>HYPERLINK("proteomic_fractions_linear_files/Yang_linear_img/6671620.jpg", "6671620")</f>
        <v>6671620</v>
      </c>
      <c r="B797" s="7"/>
      <c r="C797" s="6" t="str">
        <f>HYPERLINK("http://www.ncbi.nlm.nih.gov/protein/6671620","Bcap29")</f>
        <v>Bcap29</v>
      </c>
      <c r="D797" s="8"/>
      <c r="E797" s="8">
        <v>27833</v>
      </c>
      <c r="F797" s="8"/>
      <c r="G797" s="15" t="s">
        <v>10</v>
      </c>
      <c r="H797" s="15" t="s">
        <v>10</v>
      </c>
      <c r="I797" s="15">
        <v>0.82534190623990877</v>
      </c>
      <c r="J797" s="15">
        <v>0.82534190623990877</v>
      </c>
      <c r="K797" s="15">
        <v>0.82534190623990877</v>
      </c>
      <c r="L797" s="15">
        <v>0.82534190623990877</v>
      </c>
      <c r="M797" s="15" t="s">
        <v>10</v>
      </c>
      <c r="N797" s="15" t="s">
        <v>10</v>
      </c>
      <c r="O797" s="15" t="s">
        <v>10</v>
      </c>
      <c r="P797" s="15" t="s">
        <v>10</v>
      </c>
      <c r="Q797" s="8"/>
      <c r="R797" s="9" t="s">
        <v>798</v>
      </c>
    </row>
    <row r="798" spans="1:18" x14ac:dyDescent="0.25">
      <c r="A798" s="6" t="str">
        <f>HYPERLINK("proteomic_fractions_linear_files/Yang_linear_img/31981310.jpg", "31981310")</f>
        <v>31981310</v>
      </c>
      <c r="B798" s="7"/>
      <c r="C798" s="6" t="str">
        <f>HYPERLINK("http://www.ncbi.nlm.nih.gov/protein/31981310","Bcap31")</f>
        <v>Bcap31</v>
      </c>
      <c r="D798" s="8"/>
      <c r="E798" s="8">
        <v>27825</v>
      </c>
      <c r="F798" s="8"/>
      <c r="G798" s="15">
        <v>1.2340491618026852</v>
      </c>
      <c r="H798" s="15">
        <v>1.2340491618026852</v>
      </c>
      <c r="I798" s="15">
        <v>0.93393778983660714</v>
      </c>
      <c r="J798" s="15">
        <v>0.93393778983660714</v>
      </c>
      <c r="K798" s="15">
        <v>0.93393778983660714</v>
      </c>
      <c r="L798" s="15">
        <v>0.93393778983660714</v>
      </c>
      <c r="M798" s="15">
        <v>0.93393778983660714</v>
      </c>
      <c r="N798" s="15">
        <v>0.93393778983660714</v>
      </c>
      <c r="O798" s="15" t="s">
        <v>10</v>
      </c>
      <c r="P798" s="15" t="s">
        <v>10</v>
      </c>
      <c r="Q798" s="8"/>
      <c r="R798" s="9" t="s">
        <v>799</v>
      </c>
    </row>
    <row r="799" spans="1:18" x14ac:dyDescent="0.25">
      <c r="A799" s="6" t="str">
        <f>HYPERLINK("proteomic_fractions_linear_files/Yang_linear_img/311771530.jpg", "311771530")</f>
        <v>311771530</v>
      </c>
      <c r="B799" s="7"/>
      <c r="C799" s="6" t="str">
        <f>HYPERLINK("http://www.ncbi.nlm.nih.gov/protein/311771530","Bcar1")</f>
        <v>Bcar1</v>
      </c>
      <c r="D799" s="8"/>
      <c r="E799" s="8">
        <v>94261</v>
      </c>
      <c r="F799" s="8"/>
      <c r="G799" s="15" t="s">
        <v>10</v>
      </c>
      <c r="H799" s="15" t="s">
        <v>10</v>
      </c>
      <c r="I799" s="15" t="s">
        <v>10</v>
      </c>
      <c r="J799" s="15" t="s">
        <v>10</v>
      </c>
      <c r="K799" s="15">
        <v>1.3693790228203933</v>
      </c>
      <c r="L799" s="15">
        <v>1.3693790228203933</v>
      </c>
      <c r="M799" s="15" t="s">
        <v>10</v>
      </c>
      <c r="N799" s="15" t="s">
        <v>10</v>
      </c>
      <c r="O799" s="15">
        <v>1.3693790228203933</v>
      </c>
      <c r="P799" s="15">
        <v>1.3693790228203933</v>
      </c>
      <c r="Q799" s="8"/>
      <c r="R799" s="9" t="s">
        <v>800</v>
      </c>
    </row>
    <row r="800" spans="1:18" x14ac:dyDescent="0.25">
      <c r="A800" s="6" t="str">
        <f>HYPERLINK("proteomic_fractions_linear_files/Yang_linear_img/40254593.jpg", "40254593")</f>
        <v>40254593</v>
      </c>
      <c r="B800" s="7"/>
      <c r="C800" s="6" t="str">
        <f>HYPERLINK("http://www.ncbi.nlm.nih.gov/protein/40254593","Bcar1")</f>
        <v>Bcar1</v>
      </c>
      <c r="D800" s="8"/>
      <c r="E800" s="8">
        <v>94154</v>
      </c>
      <c r="F800" s="8"/>
      <c r="G800" s="15" t="s">
        <v>10</v>
      </c>
      <c r="H800" s="15" t="s">
        <v>10</v>
      </c>
      <c r="I800" s="15" t="s">
        <v>10</v>
      </c>
      <c r="J800" s="15" t="s">
        <v>10</v>
      </c>
      <c r="K800" s="15">
        <v>1.3693790228203933</v>
      </c>
      <c r="L800" s="15">
        <v>1.3693790228203933</v>
      </c>
      <c r="M800" s="15" t="s">
        <v>10</v>
      </c>
      <c r="N800" s="15" t="s">
        <v>10</v>
      </c>
      <c r="O800" s="15">
        <v>1.3693790228203933</v>
      </c>
      <c r="P800" s="15">
        <v>1.3693790228203933</v>
      </c>
      <c r="Q800" s="8"/>
      <c r="R800" s="9" t="s">
        <v>801</v>
      </c>
    </row>
    <row r="801" spans="1:18" x14ac:dyDescent="0.25">
      <c r="A801" s="6" t="str">
        <f>HYPERLINK("proteomic_fractions_linear_files/Yang_linear_img/70906453.jpg", "70906453")</f>
        <v>70906453</v>
      </c>
      <c r="B801" s="7"/>
      <c r="C801" s="6" t="str">
        <f>HYPERLINK("http://www.ncbi.nlm.nih.gov/protein/70906453","Bcas2")</f>
        <v>Bcas2</v>
      </c>
      <c r="D801" s="8"/>
      <c r="E801" s="8">
        <v>26000</v>
      </c>
      <c r="F801" s="8"/>
      <c r="G801" s="15">
        <v>1.3289760204028918</v>
      </c>
      <c r="H801" s="15">
        <v>1.3289760204028918</v>
      </c>
      <c r="I801" s="15">
        <v>0.94441617743372752</v>
      </c>
      <c r="J801" s="15">
        <v>0.94441617743372752</v>
      </c>
      <c r="K801" s="15">
        <v>0.94441617743372752</v>
      </c>
      <c r="L801" s="15">
        <v>0.94441617743372752</v>
      </c>
      <c r="M801" s="15">
        <v>0.94441617743372752</v>
      </c>
      <c r="N801" s="15">
        <v>0.94441617743372752</v>
      </c>
      <c r="O801" s="15">
        <v>0.83829777964149044</v>
      </c>
      <c r="P801" s="15">
        <v>0.83829777964149044</v>
      </c>
      <c r="Q801" s="8"/>
      <c r="R801" s="9" t="s">
        <v>802</v>
      </c>
    </row>
    <row r="802" spans="1:18" x14ac:dyDescent="0.25">
      <c r="A802" s="6" t="str">
        <f>HYPERLINK("proteomic_fractions_linear_files/Yang_linear_img/161016828.jpg", "161016828")</f>
        <v>161016828</v>
      </c>
      <c r="B802" s="7"/>
      <c r="C802" s="6" t="str">
        <f>HYPERLINK("http://www.ncbi.nlm.nih.gov/protein/161016828","Bcat1")</f>
        <v>Bcat1</v>
      </c>
      <c r="D802" s="8"/>
      <c r="E802" s="8">
        <v>42660</v>
      </c>
      <c r="F802" s="8"/>
      <c r="G802" s="15" t="s">
        <v>10</v>
      </c>
      <c r="H802" s="15" t="s">
        <v>10</v>
      </c>
      <c r="I802" s="15" t="s">
        <v>10</v>
      </c>
      <c r="J802" s="15" t="s">
        <v>10</v>
      </c>
      <c r="K802" s="15">
        <v>0.942030655888901</v>
      </c>
      <c r="L802" s="15">
        <v>0.942030655888901</v>
      </c>
      <c r="M802" s="15">
        <v>0.86840294007266494</v>
      </c>
      <c r="N802" s="15">
        <v>0.86840294007266494</v>
      </c>
      <c r="O802" s="15">
        <v>0.80356689605756237</v>
      </c>
      <c r="P802" s="15">
        <v>0.80356689605756237</v>
      </c>
      <c r="Q802" s="8"/>
      <c r="R802" s="9" t="s">
        <v>803</v>
      </c>
    </row>
    <row r="803" spans="1:18" x14ac:dyDescent="0.25">
      <c r="A803" s="6" t="str">
        <f>HYPERLINK("proteomic_fractions_linear_files/Yang_linear_img/66792792.jpg", "66792792")</f>
        <v>66792792</v>
      </c>
      <c r="B803" s="7"/>
      <c r="C803" s="6" t="str">
        <f>HYPERLINK("http://www.ncbi.nlm.nih.gov/protein/66792792","Bcat1")</f>
        <v>Bcat1</v>
      </c>
      <c r="D803" s="8"/>
      <c r="E803" s="8">
        <v>49770</v>
      </c>
      <c r="F803" s="8"/>
      <c r="G803" s="15" t="s">
        <v>10</v>
      </c>
      <c r="H803" s="15" t="s">
        <v>10</v>
      </c>
      <c r="I803" s="15" t="s">
        <v>10</v>
      </c>
      <c r="J803" s="15" t="s">
        <v>10</v>
      </c>
      <c r="K803" s="15">
        <v>0.81014636406445495</v>
      </c>
      <c r="L803" s="15">
        <v>0.81014636406445495</v>
      </c>
      <c r="M803" s="15">
        <v>0.74682652846249187</v>
      </c>
      <c r="N803" s="15">
        <v>0.74682652846249187</v>
      </c>
      <c r="O803" s="15">
        <v>0.69106753060950366</v>
      </c>
      <c r="P803" s="15">
        <v>0.69106753060950366</v>
      </c>
      <c r="Q803" s="8"/>
      <c r="R803" s="9" t="s">
        <v>804</v>
      </c>
    </row>
    <row r="804" spans="1:18" x14ac:dyDescent="0.25">
      <c r="A804" s="6" t="str">
        <f>HYPERLINK("proteomic_fractions_linear_files/Yang_linear_img/33859514.jpg", "33859514")</f>
        <v>33859514</v>
      </c>
      <c r="B804" s="7"/>
      <c r="C804" s="6" t="str">
        <f>HYPERLINK("http://www.ncbi.nlm.nih.gov/protein/33859514","Bcat2")</f>
        <v>Bcat2</v>
      </c>
      <c r="D804" s="8"/>
      <c r="E804" s="8">
        <v>41176</v>
      </c>
      <c r="F804" s="8"/>
      <c r="G804" s="15" t="s">
        <v>10</v>
      </c>
      <c r="H804" s="15" t="s">
        <v>10</v>
      </c>
      <c r="I804" s="15">
        <v>0.84276528123110206</v>
      </c>
      <c r="J804" s="15">
        <v>0.84276528123110206</v>
      </c>
      <c r="K804" s="15" t="s">
        <v>10</v>
      </c>
      <c r="L804" s="15" t="s">
        <v>10</v>
      </c>
      <c r="M804" s="15" t="s">
        <v>10</v>
      </c>
      <c r="N804" s="15" t="s">
        <v>10</v>
      </c>
      <c r="O804" s="15" t="s">
        <v>10</v>
      </c>
      <c r="P804" s="15" t="s">
        <v>10</v>
      </c>
      <c r="Q804" s="8"/>
      <c r="R804" s="9" t="s">
        <v>805</v>
      </c>
    </row>
    <row r="805" spans="1:18" x14ac:dyDescent="0.25">
      <c r="A805" s="6" t="str">
        <f>HYPERLINK("proteomic_fractions_linear_files/Yang_linear_img/340007384.jpg", "340007384")</f>
        <v>340007384</v>
      </c>
      <c r="B805" s="7"/>
      <c r="C805" s="6" t="str">
        <f>HYPERLINK("http://www.ncbi.nlm.nih.gov/protein/340007384","Bcat2")</f>
        <v>Bcat2</v>
      </c>
      <c r="D805" s="8"/>
      <c r="E805" s="8">
        <v>39643</v>
      </c>
      <c r="F805" s="8"/>
      <c r="G805" s="15" t="s">
        <v>10</v>
      </c>
      <c r="H805" s="15" t="s">
        <v>10</v>
      </c>
      <c r="I805" s="15">
        <v>0.8638344132618796</v>
      </c>
      <c r="J805" s="15">
        <v>0.8638344132618796</v>
      </c>
      <c r="K805" s="15" t="s">
        <v>10</v>
      </c>
      <c r="L805" s="15" t="s">
        <v>10</v>
      </c>
      <c r="M805" s="15" t="s">
        <v>10</v>
      </c>
      <c r="N805" s="15" t="s">
        <v>10</v>
      </c>
      <c r="O805" s="15" t="s">
        <v>10</v>
      </c>
      <c r="P805" s="15" t="s">
        <v>10</v>
      </c>
      <c r="Q805" s="8"/>
      <c r="R805" s="9" t="s">
        <v>806</v>
      </c>
    </row>
    <row r="806" spans="1:18" x14ac:dyDescent="0.25">
      <c r="A806" s="6" t="str">
        <f>HYPERLINK("proteomic_fractions_linear_files/Yang_linear_img/134031957.jpg", "134031957")</f>
        <v>134031957</v>
      </c>
      <c r="B806" s="7"/>
      <c r="C806" s="6" t="str">
        <f>HYPERLINK("http://www.ncbi.nlm.nih.gov/protein/134031957","Bccip")</f>
        <v>Bccip</v>
      </c>
      <c r="D806" s="8"/>
      <c r="E806" s="8">
        <v>35811</v>
      </c>
      <c r="F806" s="8"/>
      <c r="G806" s="15" t="s">
        <v>10</v>
      </c>
      <c r="H806" s="15" t="s">
        <v>10</v>
      </c>
      <c r="I806" s="15" t="s">
        <v>10</v>
      </c>
      <c r="J806" s="15" t="s">
        <v>10</v>
      </c>
      <c r="K806" s="15">
        <v>1.3413882106782014</v>
      </c>
      <c r="L806" s="15">
        <v>1.3413882106782014</v>
      </c>
      <c r="M806" s="15" t="s">
        <v>10</v>
      </c>
      <c r="N806" s="15" t="s">
        <v>10</v>
      </c>
      <c r="O806" s="15">
        <v>1.125203283422854</v>
      </c>
      <c r="P806" s="15">
        <v>1.125203283422854</v>
      </c>
      <c r="Q806" s="8"/>
      <c r="R806" s="9" t="s">
        <v>807</v>
      </c>
    </row>
    <row r="807" spans="1:18" x14ac:dyDescent="0.25">
      <c r="A807" s="6" t="str">
        <f>HYPERLINK("proteomic_fractions_linear_files/Yang_linear_img/183396774.jpg", "183396774")</f>
        <v>183396774</v>
      </c>
      <c r="B807" s="7"/>
      <c r="C807" s="6" t="str">
        <f>HYPERLINK("http://www.ncbi.nlm.nih.gov/protein/183396774","Bckdha")</f>
        <v>Bckdha</v>
      </c>
      <c r="D807" s="8"/>
      <c r="E807" s="8">
        <v>50642</v>
      </c>
      <c r="F807" s="8"/>
      <c r="G807" s="15" t="s">
        <v>10</v>
      </c>
      <c r="H807" s="15" t="s">
        <v>10</v>
      </c>
      <c r="I807" s="15">
        <v>0.86520763229344055</v>
      </c>
      <c r="J807" s="15">
        <v>0.86520763229344055</v>
      </c>
      <c r="K807" s="15" t="s">
        <v>10</v>
      </c>
      <c r="L807" s="15" t="s">
        <v>10</v>
      </c>
      <c r="M807" s="15" t="s">
        <v>10</v>
      </c>
      <c r="N807" s="15" t="s">
        <v>10</v>
      </c>
      <c r="O807" s="15" t="s">
        <v>10</v>
      </c>
      <c r="P807" s="15" t="s">
        <v>10</v>
      </c>
      <c r="Q807" s="8"/>
      <c r="R807" s="9" t="s">
        <v>808</v>
      </c>
    </row>
    <row r="808" spans="1:18" x14ac:dyDescent="0.25">
      <c r="A808" s="6" t="str">
        <f>HYPERLINK("proteomic_fractions_linear_files/Yang_linear_img/40353220.jpg", "40353220")</f>
        <v>40353220</v>
      </c>
      <c r="B808" s="7"/>
      <c r="C808" s="6" t="str">
        <f>HYPERLINK("http://www.ncbi.nlm.nih.gov/protein/40353220","Bckdhb")</f>
        <v>Bckdhb</v>
      </c>
      <c r="D808" s="8"/>
      <c r="E808" s="8">
        <v>35374</v>
      </c>
      <c r="F808" s="8"/>
      <c r="G808" s="15" t="s">
        <v>10</v>
      </c>
      <c r="H808" s="15" t="s">
        <v>10</v>
      </c>
      <c r="I808" s="15">
        <v>0.98723932944214809</v>
      </c>
      <c r="J808" s="15">
        <v>0.98723932944214809</v>
      </c>
      <c r="K808" s="15" t="s">
        <v>10</v>
      </c>
      <c r="L808" s="15" t="s">
        <v>10</v>
      </c>
      <c r="M808" s="15" t="s">
        <v>10</v>
      </c>
      <c r="N808" s="15" t="s">
        <v>10</v>
      </c>
      <c r="O808" s="15" t="s">
        <v>10</v>
      </c>
      <c r="P808" s="15" t="s">
        <v>10</v>
      </c>
      <c r="Q808" s="8"/>
      <c r="R808" s="9" t="s">
        <v>809</v>
      </c>
    </row>
    <row r="809" spans="1:18" x14ac:dyDescent="0.25">
      <c r="A809" s="6" t="str">
        <f>HYPERLINK("proteomic_fractions_linear_files/Yang_linear_img/6753166.jpg", "6753166")</f>
        <v>6753166</v>
      </c>
      <c r="B809" s="7"/>
      <c r="C809" s="6" t="str">
        <f>HYPERLINK("http://www.ncbi.nlm.nih.gov/protein/6753166","Bcl10")</f>
        <v>Bcl10</v>
      </c>
      <c r="D809" s="8"/>
      <c r="E809" s="8">
        <v>25817</v>
      </c>
      <c r="F809" s="8"/>
      <c r="G809" s="15" t="s">
        <v>10</v>
      </c>
      <c r="H809" s="15" t="s">
        <v>10</v>
      </c>
      <c r="I809" s="15" t="s">
        <v>10</v>
      </c>
      <c r="J809" s="15" t="s">
        <v>10</v>
      </c>
      <c r="K809" s="15" t="s">
        <v>10</v>
      </c>
      <c r="L809" s="15" t="s">
        <v>10</v>
      </c>
      <c r="M809" s="15" t="s">
        <v>10</v>
      </c>
      <c r="N809" s="15" t="s">
        <v>10</v>
      </c>
      <c r="O809" s="15">
        <v>0.94441617743372752</v>
      </c>
      <c r="P809" s="15">
        <v>0.94441617743372752</v>
      </c>
      <c r="Q809" s="8"/>
      <c r="R809" s="9" t="s">
        <v>810</v>
      </c>
    </row>
    <row r="810" spans="1:18" x14ac:dyDescent="0.25">
      <c r="A810" s="6" t="str">
        <f>HYPERLINK("proteomic_fractions_linear_files/Yang_linear_img/58037550.jpg", "58037550")</f>
        <v>58037550</v>
      </c>
      <c r="B810" s="7"/>
      <c r="C810" s="6" t="str">
        <f>HYPERLINK("http://www.ncbi.nlm.nih.gov/protein/58037550","Bcl2l1")</f>
        <v>Bcl2l1</v>
      </c>
      <c r="D810" s="8"/>
      <c r="E810" s="8">
        <v>26001</v>
      </c>
      <c r="F810" s="8"/>
      <c r="G810" s="15" t="s">
        <v>10</v>
      </c>
      <c r="H810" s="15" t="s">
        <v>10</v>
      </c>
      <c r="I810" s="15" t="s">
        <v>10</v>
      </c>
      <c r="J810" s="15" t="s">
        <v>10</v>
      </c>
      <c r="K810" s="15">
        <v>1.0737773576031562</v>
      </c>
      <c r="L810" s="15">
        <v>1.0737773576031562</v>
      </c>
      <c r="M810" s="15" t="s">
        <v>10</v>
      </c>
      <c r="N810" s="15" t="s">
        <v>10</v>
      </c>
      <c r="O810" s="15" t="s">
        <v>10</v>
      </c>
      <c r="P810" s="15" t="s">
        <v>10</v>
      </c>
      <c r="Q810" s="8"/>
      <c r="R810" s="9" t="s">
        <v>811</v>
      </c>
    </row>
    <row r="811" spans="1:18" x14ac:dyDescent="0.25">
      <c r="A811" s="6" t="str">
        <f>HYPERLINK("proteomic_fractions_linear_files/Yang_linear_img/46592786.jpg", "46592786")</f>
        <v>46592786</v>
      </c>
      <c r="B811" s="7"/>
      <c r="C811" s="6" t="str">
        <f>HYPERLINK("http://www.ncbi.nlm.nih.gov/protein/46592786","Bcl2l11")</f>
        <v>Bcl2l11</v>
      </c>
      <c r="D811" s="8"/>
      <c r="E811" s="8">
        <v>21936</v>
      </c>
      <c r="F811" s="8"/>
      <c r="G811" s="15" t="s">
        <v>10</v>
      </c>
      <c r="H811" s="15" t="s">
        <v>10</v>
      </c>
      <c r="I811" s="15">
        <v>0.99071555775812503</v>
      </c>
      <c r="J811" s="15">
        <v>0.99071555775812503</v>
      </c>
      <c r="K811" s="15" t="s">
        <v>10</v>
      </c>
      <c r="L811" s="15" t="s">
        <v>10</v>
      </c>
      <c r="M811" s="15" t="s">
        <v>10</v>
      </c>
      <c r="N811" s="15" t="s">
        <v>10</v>
      </c>
      <c r="O811" s="15" t="s">
        <v>10</v>
      </c>
      <c r="P811" s="15" t="s">
        <v>10</v>
      </c>
      <c r="Q811" s="8"/>
      <c r="R811" s="9" t="s">
        <v>812</v>
      </c>
    </row>
    <row r="812" spans="1:18" x14ac:dyDescent="0.25">
      <c r="A812" s="6" t="str">
        <f>HYPERLINK("proteomic_fractions_linear_files/Yang_linear_img/23943828.jpg", "23943828")</f>
        <v>23943828</v>
      </c>
      <c r="B812" s="7"/>
      <c r="C812" s="6" t="str">
        <f>HYPERLINK("http://www.ncbi.nlm.nih.gov/protein/23943828","Bcl2l13")</f>
        <v>Bcl2l13</v>
      </c>
      <c r="D812" s="8"/>
      <c r="E812" s="8">
        <v>46588</v>
      </c>
      <c r="F812" s="8"/>
      <c r="G812" s="15">
        <v>1.76805656325838</v>
      </c>
      <c r="H812" s="15">
        <v>1.76805656325838</v>
      </c>
      <c r="I812" s="15">
        <v>1.5624714945038776</v>
      </c>
      <c r="J812" s="15">
        <v>1.5624714945038776</v>
      </c>
      <c r="K812" s="15">
        <v>1.76805656325838</v>
      </c>
      <c r="L812" s="15">
        <v>1.76805656325838</v>
      </c>
      <c r="M812" s="15" t="s">
        <v>10</v>
      </c>
      <c r="N812" s="15" t="s">
        <v>10</v>
      </c>
      <c r="O812" s="15" t="s">
        <v>10</v>
      </c>
      <c r="P812" s="15" t="s">
        <v>10</v>
      </c>
      <c r="Q812" s="8"/>
      <c r="R812" s="9" t="s">
        <v>813</v>
      </c>
    </row>
    <row r="813" spans="1:18" x14ac:dyDescent="0.25">
      <c r="A813" s="6" t="str">
        <f>HYPERLINK("proteomic_fractions_linear_files/Yang_linear_img/38194232.jpg", "38194232")</f>
        <v>38194232</v>
      </c>
      <c r="B813" s="7"/>
      <c r="C813" s="6" t="str">
        <f>HYPERLINK("http://www.ncbi.nlm.nih.gov/protein/38194232","Bcl2l14")</f>
        <v>Bcl2l14</v>
      </c>
      <c r="D813" s="8"/>
      <c r="E813" s="8">
        <v>36861</v>
      </c>
      <c r="F813" s="8"/>
      <c r="G813" s="15" t="s">
        <v>10</v>
      </c>
      <c r="H813" s="15" t="s">
        <v>10</v>
      </c>
      <c r="I813" s="15" t="s">
        <v>10</v>
      </c>
      <c r="J813" s="15" t="s">
        <v>10</v>
      </c>
      <c r="K813" s="15">
        <v>1.0092250384628267</v>
      </c>
      <c r="L813" s="15">
        <v>1.0092250384628267</v>
      </c>
      <c r="M813" s="15">
        <v>1.0092250384628267</v>
      </c>
      <c r="N813" s="15">
        <v>1.0092250384628267</v>
      </c>
      <c r="O813" s="15" t="s">
        <v>10</v>
      </c>
      <c r="P813" s="15" t="s">
        <v>10</v>
      </c>
      <c r="Q813" s="8"/>
      <c r="R813" s="9" t="s">
        <v>814</v>
      </c>
    </row>
    <row r="814" spans="1:18" x14ac:dyDescent="0.25">
      <c r="A814" s="6" t="str">
        <f>HYPERLINK("proteomic_fractions_linear_files/Yang_linear_img/22296593.jpg", "22296593")</f>
        <v>22296593</v>
      </c>
      <c r="B814" s="7"/>
      <c r="C814" s="6" t="str">
        <f>HYPERLINK("http://www.ncbi.nlm.nih.gov/protein/22296593","Bcl7a")</f>
        <v>Bcl7a</v>
      </c>
      <c r="D814" s="8"/>
      <c r="E814" s="8">
        <v>22650</v>
      </c>
      <c r="F814" s="8"/>
      <c r="G814" s="15" t="s">
        <v>10</v>
      </c>
      <c r="H814" s="15" t="s">
        <v>10</v>
      </c>
      <c r="I814" s="15" t="s">
        <v>10</v>
      </c>
      <c r="J814" s="15" t="s">
        <v>10</v>
      </c>
      <c r="K814" s="15" t="s">
        <v>10</v>
      </c>
      <c r="L814" s="15" t="s">
        <v>10</v>
      </c>
      <c r="M814" s="15">
        <v>1.7611877479662064</v>
      </c>
      <c r="N814" s="15">
        <v>1.7611877479662064</v>
      </c>
      <c r="O814" s="15">
        <v>1.6235359314401996</v>
      </c>
      <c r="P814" s="15">
        <v>1.6235359314401996</v>
      </c>
      <c r="Q814" s="8"/>
      <c r="R814" s="9" t="s">
        <v>815</v>
      </c>
    </row>
    <row r="815" spans="1:18" x14ac:dyDescent="0.25">
      <c r="A815" s="6" t="str">
        <f>HYPERLINK("proteomic_fractions_linear_files/Yang_linear_img/91206400.jpg", "91206400")</f>
        <v>91206400</v>
      </c>
      <c r="B815" s="7"/>
      <c r="C815" s="6" t="str">
        <f>HYPERLINK("http://www.ncbi.nlm.nih.gov/protein/91206400","Bcl9l")</f>
        <v>Bcl9l</v>
      </c>
      <c r="D815" s="8"/>
      <c r="E815" s="8">
        <v>156550</v>
      </c>
      <c r="F815" s="8"/>
      <c r="G815" s="15" t="s">
        <v>10</v>
      </c>
      <c r="H815" s="15" t="s">
        <v>10</v>
      </c>
      <c r="I815" s="15" t="s">
        <v>10</v>
      </c>
      <c r="J815" s="15" t="s">
        <v>10</v>
      </c>
      <c r="K815" s="15" t="s">
        <v>10</v>
      </c>
      <c r="L815" s="15" t="s">
        <v>10</v>
      </c>
      <c r="M815" s="15" t="s">
        <v>10</v>
      </c>
      <c r="N815" s="15" t="s">
        <v>10</v>
      </c>
      <c r="O815" s="15">
        <v>1.4863748256550897</v>
      </c>
      <c r="P815" s="15">
        <v>1.4863748256550897</v>
      </c>
      <c r="Q815" s="8"/>
      <c r="R815" s="9" t="s">
        <v>816</v>
      </c>
    </row>
    <row r="816" spans="1:18" x14ac:dyDescent="0.25">
      <c r="A816" s="6" t="str">
        <f>HYPERLINK("proteomic_fractions_linear_files/Yang_linear_img/24496776.jpg", "24496776")</f>
        <v>24496776</v>
      </c>
      <c r="B816" s="7"/>
      <c r="C816" s="6" t="str">
        <f>HYPERLINK("http://www.ncbi.nlm.nih.gov/protein/24496776","Bclaf1")</f>
        <v>Bclaf1</v>
      </c>
      <c r="D816" s="8"/>
      <c r="E816" s="8">
        <v>105697</v>
      </c>
      <c r="F816" s="8"/>
      <c r="G816" s="15" t="s">
        <v>10</v>
      </c>
      <c r="H816" s="15" t="s">
        <v>10</v>
      </c>
      <c r="I816" s="15">
        <v>56.538679245283021</v>
      </c>
      <c r="J816" s="15">
        <v>56.538679245283021</v>
      </c>
      <c r="K816" s="15">
        <v>56.538679245283021</v>
      </c>
      <c r="L816" s="15">
        <v>56.538679245283021</v>
      </c>
      <c r="M816" s="15">
        <v>56.538679245283021</v>
      </c>
      <c r="N816" s="15">
        <v>56.538679245283021</v>
      </c>
      <c r="O816" s="15" t="s">
        <v>10</v>
      </c>
      <c r="P816" s="15" t="s">
        <v>10</v>
      </c>
      <c r="Q816" s="8"/>
      <c r="R816" s="9" t="s">
        <v>817</v>
      </c>
    </row>
    <row r="817" spans="1:18" x14ac:dyDescent="0.25">
      <c r="A817" s="6" t="str">
        <f>HYPERLINK("proteomic_fractions_linear_files/Yang_linear_img/70906447.jpg", "70906447")</f>
        <v>70906447</v>
      </c>
      <c r="B817" s="7"/>
      <c r="C817" s="6" t="str">
        <f>HYPERLINK("http://www.ncbi.nlm.nih.gov/protein/70906447","Bclaf1")</f>
        <v>Bclaf1</v>
      </c>
      <c r="D817" s="8"/>
      <c r="E817" s="8">
        <v>105871</v>
      </c>
      <c r="F817" s="8"/>
      <c r="G817" s="15" t="s">
        <v>10</v>
      </c>
      <c r="H817" s="15" t="s">
        <v>10</v>
      </c>
      <c r="I817" s="15">
        <v>56.538679245283021</v>
      </c>
      <c r="J817" s="15">
        <v>56.538679245283021</v>
      </c>
      <c r="K817" s="15">
        <v>56.538679245283021</v>
      </c>
      <c r="L817" s="15">
        <v>56.538679245283021</v>
      </c>
      <c r="M817" s="15">
        <v>56.538679245283021</v>
      </c>
      <c r="N817" s="15">
        <v>56.538679245283021</v>
      </c>
      <c r="O817" s="15" t="s">
        <v>10</v>
      </c>
      <c r="P817" s="15" t="s">
        <v>10</v>
      </c>
      <c r="Q817" s="8"/>
      <c r="R817" s="9" t="s">
        <v>818</v>
      </c>
    </row>
    <row r="818" spans="1:18" x14ac:dyDescent="0.25">
      <c r="A818" s="6" t="str">
        <f>HYPERLINK("proteomic_fractions_linear_files/Yang_linear_img/70906449.jpg", "70906449")</f>
        <v>70906449</v>
      </c>
      <c r="B818" s="7"/>
      <c r="C818" s="6" t="str">
        <f>HYPERLINK("http://www.ncbi.nlm.nih.gov/protein/70906449","Bclaf1")</f>
        <v>Bclaf1</v>
      </c>
      <c r="D818" s="8"/>
      <c r="E818" s="8">
        <v>100155</v>
      </c>
      <c r="F818" s="8"/>
      <c r="G818" s="15" t="s">
        <v>10</v>
      </c>
      <c r="H818" s="15" t="s">
        <v>10</v>
      </c>
      <c r="I818" s="15">
        <v>59.931000000000004</v>
      </c>
      <c r="J818" s="15">
        <v>59.931000000000004</v>
      </c>
      <c r="K818" s="15">
        <v>59.931000000000004</v>
      </c>
      <c r="L818" s="15">
        <v>59.931000000000004</v>
      </c>
      <c r="M818" s="15">
        <v>59.931000000000004</v>
      </c>
      <c r="N818" s="15">
        <v>59.931000000000004</v>
      </c>
      <c r="O818" s="15" t="s">
        <v>10</v>
      </c>
      <c r="P818" s="15" t="s">
        <v>10</v>
      </c>
      <c r="Q818" s="8"/>
      <c r="R818" s="9" t="s">
        <v>819</v>
      </c>
    </row>
    <row r="819" spans="1:18" x14ac:dyDescent="0.25">
      <c r="A819" s="6" t="str">
        <f>HYPERLINK("proteomic_fractions_linear_files/Yang_linear_img/124487229.jpg", "124487229")</f>
        <v>124487229</v>
      </c>
      <c r="B819" s="7"/>
      <c r="C819" s="6" t="str">
        <f>HYPERLINK("http://www.ncbi.nlm.nih.gov/protein/124487229","Bcr")</f>
        <v>Bcr</v>
      </c>
      <c r="D819" s="8"/>
      <c r="E819" s="8">
        <v>142941</v>
      </c>
      <c r="F819" s="8"/>
      <c r="G819" s="15" t="s">
        <v>10</v>
      </c>
      <c r="H819" s="15" t="s">
        <v>10</v>
      </c>
      <c r="I819" s="15" t="s">
        <v>10</v>
      </c>
      <c r="J819" s="15" t="s">
        <v>10</v>
      </c>
      <c r="K819" s="15" t="s">
        <v>10</v>
      </c>
      <c r="L819" s="15" t="s">
        <v>10</v>
      </c>
      <c r="M819" s="15" t="s">
        <v>10</v>
      </c>
      <c r="N819" s="15" t="s">
        <v>10</v>
      </c>
      <c r="O819" s="15">
        <v>1.3060547667128697</v>
      </c>
      <c r="P819" s="15">
        <v>1.3060547667128697</v>
      </c>
      <c r="Q819" s="8"/>
      <c r="R819" s="9" t="s">
        <v>820</v>
      </c>
    </row>
    <row r="820" spans="1:18" x14ac:dyDescent="0.25">
      <c r="A820" s="6" t="str">
        <f>HYPERLINK("proteomic_fractions_linear_files/Yang_linear_img/21313544.jpg", "21313544")</f>
        <v>21313544</v>
      </c>
      <c r="B820" s="7"/>
      <c r="C820" s="6" t="str">
        <f>HYPERLINK("http://www.ncbi.nlm.nih.gov/protein/21313544","Bcs1l")</f>
        <v>Bcs1l</v>
      </c>
      <c r="D820" s="8"/>
      <c r="E820" s="8">
        <v>47275</v>
      </c>
      <c r="F820" s="8"/>
      <c r="G820" s="15" t="s">
        <v>10</v>
      </c>
      <c r="H820" s="15" t="s">
        <v>10</v>
      </c>
      <c r="I820" s="15">
        <v>0.86185783411112227</v>
      </c>
      <c r="J820" s="15">
        <v>0.86185783411112227</v>
      </c>
      <c r="K820" s="15" t="s">
        <v>10</v>
      </c>
      <c r="L820" s="15" t="s">
        <v>10</v>
      </c>
      <c r="M820" s="15" t="s">
        <v>10</v>
      </c>
      <c r="N820" s="15" t="s">
        <v>10</v>
      </c>
      <c r="O820" s="15" t="s">
        <v>10</v>
      </c>
      <c r="P820" s="15" t="s">
        <v>10</v>
      </c>
      <c r="Q820" s="8"/>
      <c r="R820" s="9" t="s">
        <v>821</v>
      </c>
    </row>
    <row r="821" spans="1:18" x14ac:dyDescent="0.25">
      <c r="A821" s="6" t="str">
        <f>HYPERLINK("proteomic_fractions_linear_files/Yang_linear_img/170014720.jpg", "170014720")</f>
        <v>170014720</v>
      </c>
      <c r="B821" s="7"/>
      <c r="C821" s="6" t="str">
        <f>HYPERLINK("http://www.ncbi.nlm.nih.gov/protein/170014720","Bdh1")</f>
        <v>Bdh1</v>
      </c>
      <c r="D821" s="8"/>
      <c r="E821" s="8">
        <v>33069</v>
      </c>
      <c r="F821" s="8"/>
      <c r="G821" s="15">
        <v>1.2274944910067498</v>
      </c>
      <c r="H821" s="15">
        <v>1.2274944910067498</v>
      </c>
      <c r="I821" s="15">
        <v>0.90561839065797367</v>
      </c>
      <c r="J821" s="15">
        <v>0.90561839065797367</v>
      </c>
      <c r="K821" s="15">
        <v>0.90561839065797367</v>
      </c>
      <c r="L821" s="15">
        <v>0.90561839065797367</v>
      </c>
      <c r="M821" s="15" t="s">
        <v>10</v>
      </c>
      <c r="N821" s="15" t="s">
        <v>10</v>
      </c>
      <c r="O821" s="15" t="s">
        <v>10</v>
      </c>
      <c r="P821" s="15" t="s">
        <v>10</v>
      </c>
      <c r="Q821" s="8"/>
      <c r="R821" s="9" t="s">
        <v>822</v>
      </c>
    </row>
    <row r="822" spans="1:18" x14ac:dyDescent="0.25">
      <c r="A822" s="6" t="str">
        <f>HYPERLINK("proteomic_fractions_linear_files/Yang_linear_img/27764875.jpg", "27764875")</f>
        <v>27764875</v>
      </c>
      <c r="B822" s="7"/>
      <c r="C822" s="6" t="str">
        <f>HYPERLINK("http://www.ncbi.nlm.nih.gov/protein/27764875","Becn1")</f>
        <v>Becn1</v>
      </c>
      <c r="D822" s="8"/>
      <c r="E822" s="8">
        <v>51458</v>
      </c>
      <c r="F822" s="8"/>
      <c r="G822" s="15" t="s">
        <v>10</v>
      </c>
      <c r="H822" s="15" t="s">
        <v>10</v>
      </c>
      <c r="I822" s="15">
        <v>1.1524158350116442</v>
      </c>
      <c r="J822" s="15">
        <v>1.1524158350116442</v>
      </c>
      <c r="K822" s="15">
        <v>1.2833973202067517</v>
      </c>
      <c r="L822" s="15">
        <v>1.2833973202067517</v>
      </c>
      <c r="M822" s="15" t="s">
        <v>10</v>
      </c>
      <c r="N822" s="15" t="s">
        <v>10</v>
      </c>
      <c r="O822" s="15">
        <v>1.0415797966666878</v>
      </c>
      <c r="P822" s="15">
        <v>1.0415797966666878</v>
      </c>
      <c r="Q822" s="8"/>
      <c r="R822" s="9" t="s">
        <v>823</v>
      </c>
    </row>
    <row r="823" spans="1:18" x14ac:dyDescent="0.25">
      <c r="A823" s="6" t="str">
        <f>HYPERLINK("proteomic_fractions_linear_files/Yang_linear_img/6753182.jpg", "6753182")</f>
        <v>6753182</v>
      </c>
      <c r="B823" s="7"/>
      <c r="C823" s="6" t="str">
        <f>HYPERLINK("http://www.ncbi.nlm.nih.gov/protein/6753182","Bet1")</f>
        <v>Bet1</v>
      </c>
      <c r="D823" s="8"/>
      <c r="E823" s="8">
        <v>13143</v>
      </c>
      <c r="F823" s="8"/>
      <c r="G823" s="15" t="s">
        <v>10</v>
      </c>
      <c r="H823" s="15" t="s">
        <v>10</v>
      </c>
      <c r="I823" s="15">
        <v>1.1167287478361805</v>
      </c>
      <c r="J823" s="15">
        <v>1.1167287478361805</v>
      </c>
      <c r="K823" s="15" t="s">
        <v>10</v>
      </c>
      <c r="L823" s="15" t="s">
        <v>10</v>
      </c>
      <c r="M823" s="15">
        <v>1.1167287478361805</v>
      </c>
      <c r="N823" s="15">
        <v>1.1167287478361805</v>
      </c>
      <c r="O823" s="15" t="s">
        <v>10</v>
      </c>
      <c r="P823" s="15" t="s">
        <v>10</v>
      </c>
      <c r="Q823" s="8"/>
      <c r="R823" s="9" t="s">
        <v>824</v>
      </c>
    </row>
    <row r="824" spans="1:18" x14ac:dyDescent="0.25">
      <c r="A824" s="6" t="str">
        <f>HYPERLINK("proteomic_fractions_linear_files/Yang_linear_img/170287745.jpg", "170287745")</f>
        <v>170287745</v>
      </c>
      <c r="B824" s="7"/>
      <c r="C824" s="6" t="str">
        <f>HYPERLINK("http://www.ncbi.nlm.nih.gov/protein/170287745","Bet1l")</f>
        <v>Bet1l</v>
      </c>
      <c r="D824" s="8"/>
      <c r="E824" s="8">
        <v>12297</v>
      </c>
      <c r="F824" s="8"/>
      <c r="G824" s="15" t="s">
        <v>10</v>
      </c>
      <c r="H824" s="15" t="s">
        <v>10</v>
      </c>
      <c r="I824" s="15">
        <v>1.1571542083280542</v>
      </c>
      <c r="J824" s="15">
        <v>1.1571542083280542</v>
      </c>
      <c r="K824" s="15" t="s">
        <v>10</v>
      </c>
      <c r="L824" s="15" t="s">
        <v>10</v>
      </c>
      <c r="M824" s="15" t="s">
        <v>10</v>
      </c>
      <c r="N824" s="15" t="s">
        <v>10</v>
      </c>
      <c r="O824" s="15" t="s">
        <v>10</v>
      </c>
      <c r="P824" s="15" t="s">
        <v>10</v>
      </c>
      <c r="Q824" s="8"/>
      <c r="R824" s="9" t="s">
        <v>825</v>
      </c>
    </row>
    <row r="825" spans="1:18" x14ac:dyDescent="0.25">
      <c r="A825" s="6" t="str">
        <f>HYPERLINK("proteomic_fractions_linear_files/Yang_linear_img/13994223.jpg", "13994223")</f>
        <v>13994223</v>
      </c>
      <c r="B825" s="7"/>
      <c r="C825" s="6" t="str">
        <f>HYPERLINK("http://www.ncbi.nlm.nih.gov/protein/13994223","Bicc1")</f>
        <v>Bicc1</v>
      </c>
      <c r="D825" s="8"/>
      <c r="E825" s="8">
        <v>104906</v>
      </c>
      <c r="F825" s="8"/>
      <c r="G825" s="15" t="s">
        <v>10</v>
      </c>
      <c r="H825" s="15" t="s">
        <v>10</v>
      </c>
      <c r="I825" s="15" t="s">
        <v>10</v>
      </c>
      <c r="J825" s="15" t="s">
        <v>10</v>
      </c>
      <c r="K825" s="15">
        <v>1.2259202680487331</v>
      </c>
      <c r="L825" s="15">
        <v>1.2259202680487331</v>
      </c>
      <c r="M825" s="15">
        <v>1.2259202680487331</v>
      </c>
      <c r="N825" s="15">
        <v>1.2259202680487331</v>
      </c>
      <c r="O825" s="15">
        <v>1.2259202680487331</v>
      </c>
      <c r="P825" s="15">
        <v>1.2259202680487331</v>
      </c>
      <c r="Q825" s="8"/>
      <c r="R825" s="9" t="s">
        <v>826</v>
      </c>
    </row>
    <row r="826" spans="1:18" x14ac:dyDescent="0.25">
      <c r="A826" s="6" t="str">
        <f>HYPERLINK("proteomic_fractions_linear_files/Yang_linear_img/163838764.jpg", "163838764")</f>
        <v>163838764</v>
      </c>
      <c r="B826" s="7"/>
      <c r="C826" s="6" t="str">
        <f>HYPERLINK("http://www.ncbi.nlm.nih.gov/protein/163838764","Bicd1")</f>
        <v>Bicd1</v>
      </c>
      <c r="D826" s="8"/>
      <c r="E826" s="8">
        <v>95765</v>
      </c>
      <c r="F826" s="8"/>
      <c r="G826" s="15" t="s">
        <v>10</v>
      </c>
      <c r="H826" s="15" t="s">
        <v>10</v>
      </c>
      <c r="I826" s="15">
        <v>1.1437662898034529</v>
      </c>
      <c r="J826" s="15">
        <v>1.1437662898034529</v>
      </c>
      <c r="K826" s="15">
        <v>1.3408502931783017</v>
      </c>
      <c r="L826" s="15">
        <v>1.3408502931783017</v>
      </c>
      <c r="M826" s="15" t="s">
        <v>10</v>
      </c>
      <c r="N826" s="15" t="s">
        <v>10</v>
      </c>
      <c r="O826" s="15">
        <v>1.1437662898034529</v>
      </c>
      <c r="P826" s="15">
        <v>1.1437662898034529</v>
      </c>
      <c r="Q826" s="8"/>
      <c r="R826" s="9" t="s">
        <v>827</v>
      </c>
    </row>
    <row r="827" spans="1:18" x14ac:dyDescent="0.25">
      <c r="A827" s="6" t="str">
        <f>HYPERLINK("proteomic_fractions_linear_files/Yang_linear_img/163838766.jpg", "163838766")</f>
        <v>163838766</v>
      </c>
      <c r="B827" s="7"/>
      <c r="C827" s="6" t="str">
        <f>HYPERLINK("http://www.ncbi.nlm.nih.gov/protein/163838766","Bicd1")</f>
        <v>Bicd1</v>
      </c>
      <c r="D827" s="8"/>
      <c r="E827" s="8">
        <v>94702</v>
      </c>
      <c r="F827" s="8"/>
      <c r="G827" s="15" t="s">
        <v>10</v>
      </c>
      <c r="H827" s="15" t="s">
        <v>10</v>
      </c>
      <c r="I827" s="15">
        <v>1.1558059349592786</v>
      </c>
      <c r="J827" s="15">
        <v>1.1558059349592786</v>
      </c>
      <c r="K827" s="15">
        <v>1.354964506790705</v>
      </c>
      <c r="L827" s="15">
        <v>1.354964506790705</v>
      </c>
      <c r="M827" s="15" t="s">
        <v>10</v>
      </c>
      <c r="N827" s="15" t="s">
        <v>10</v>
      </c>
      <c r="O827" s="15">
        <v>1.1558059349592786</v>
      </c>
      <c r="P827" s="15">
        <v>1.1558059349592786</v>
      </c>
      <c r="Q827" s="8"/>
      <c r="R827" s="9" t="s">
        <v>828</v>
      </c>
    </row>
    <row r="828" spans="1:18" x14ac:dyDescent="0.25">
      <c r="A828" s="6" t="str">
        <f>HYPERLINK("proteomic_fractions_linear_files/Yang_linear_img/18139547.jpg", "18139547")</f>
        <v>18139547</v>
      </c>
      <c r="B828" s="7"/>
      <c r="C828" s="6" t="str">
        <f>HYPERLINK("http://www.ncbi.nlm.nih.gov/protein/18139547","Bicd2")</f>
        <v>Bicd2</v>
      </c>
      <c r="D828" s="8"/>
      <c r="E828" s="8">
        <v>93260</v>
      </c>
      <c r="F828" s="8"/>
      <c r="G828" s="15" t="s">
        <v>10</v>
      </c>
      <c r="H828" s="15" t="s">
        <v>10</v>
      </c>
      <c r="I828" s="15" t="s">
        <v>10</v>
      </c>
      <c r="J828" s="15" t="s">
        <v>10</v>
      </c>
      <c r="K828" s="15">
        <v>1.3841035284421179</v>
      </c>
      <c r="L828" s="15">
        <v>1.3841035284421179</v>
      </c>
      <c r="M828" s="15" t="s">
        <v>10</v>
      </c>
      <c r="N828" s="15" t="s">
        <v>10</v>
      </c>
      <c r="O828" s="15">
        <v>1.180661976571306</v>
      </c>
      <c r="P828" s="15">
        <v>1.180661976571306</v>
      </c>
      <c r="Q828" s="8"/>
      <c r="R828" s="9" t="s">
        <v>829</v>
      </c>
    </row>
    <row r="829" spans="1:18" x14ac:dyDescent="0.25">
      <c r="A829" s="6" t="str">
        <f>HYPERLINK("proteomic_fractions_linear_files/Yang_linear_img/85702355.jpg", "85702355")</f>
        <v>85702355</v>
      </c>
      <c r="B829" s="7"/>
      <c r="C829" s="6" t="str">
        <f>HYPERLINK("http://www.ncbi.nlm.nih.gov/protein/85702355","Bicd2")</f>
        <v>Bicd2</v>
      </c>
      <c r="D829" s="8"/>
      <c r="E829" s="8">
        <v>96517</v>
      </c>
      <c r="F829" s="8"/>
      <c r="G829" s="15" t="s">
        <v>10</v>
      </c>
      <c r="H829" s="15" t="s">
        <v>10</v>
      </c>
      <c r="I829" s="15" t="s">
        <v>10</v>
      </c>
      <c r="J829" s="15" t="s">
        <v>10</v>
      </c>
      <c r="K829" s="15">
        <v>1.3270270942795563</v>
      </c>
      <c r="L829" s="15">
        <v>1.3270270942795563</v>
      </c>
      <c r="M829" s="15" t="s">
        <v>10</v>
      </c>
      <c r="N829" s="15" t="s">
        <v>10</v>
      </c>
      <c r="O829" s="15">
        <v>1.1319748847539326</v>
      </c>
      <c r="P829" s="15">
        <v>1.1319748847539326</v>
      </c>
      <c r="Q829" s="8"/>
      <c r="R829" s="9" t="s">
        <v>830</v>
      </c>
    </row>
    <row r="830" spans="1:18" x14ac:dyDescent="0.25">
      <c r="A830" s="6" t="str">
        <f>HYPERLINK("proteomic_fractions_linear_files/Yang_linear_img/85702359.jpg", "85702359")</f>
        <v>85702359</v>
      </c>
      <c r="B830" s="7"/>
      <c r="C830" s="6" t="str">
        <f>HYPERLINK("http://www.ncbi.nlm.nih.gov/protein/85702359","Bicd2")</f>
        <v>Bicd2</v>
      </c>
      <c r="D830" s="8"/>
      <c r="E830" s="8">
        <v>84572</v>
      </c>
      <c r="F830" s="8"/>
      <c r="G830" s="15" t="s">
        <v>10</v>
      </c>
      <c r="H830" s="15" t="s">
        <v>10</v>
      </c>
      <c r="I830" s="15" t="s">
        <v>10</v>
      </c>
      <c r="J830" s="15" t="s">
        <v>10</v>
      </c>
      <c r="K830" s="15">
        <v>1.5143720958249054</v>
      </c>
      <c r="L830" s="15">
        <v>1.5143720958249054</v>
      </c>
      <c r="M830" s="15" t="s">
        <v>10</v>
      </c>
      <c r="N830" s="15" t="s">
        <v>10</v>
      </c>
      <c r="O830" s="15">
        <v>1.2917831037780172</v>
      </c>
      <c r="P830" s="15">
        <v>1.2917831037780172</v>
      </c>
      <c r="Q830" s="8"/>
      <c r="R830" s="9" t="s">
        <v>831</v>
      </c>
    </row>
    <row r="831" spans="1:18" x14ac:dyDescent="0.25">
      <c r="A831" s="6" t="str">
        <f>HYPERLINK("proteomic_fractions_linear_files/Yang_linear_img/31542228.jpg", "31542228")</f>
        <v>31542228</v>
      </c>
      <c r="B831" s="7"/>
      <c r="C831" s="6" t="str">
        <f>HYPERLINK("http://www.ncbi.nlm.nih.gov/protein/31542228","Bid")</f>
        <v>Bid</v>
      </c>
      <c r="D831" s="8"/>
      <c r="E831" s="8">
        <v>21821</v>
      </c>
      <c r="F831" s="8"/>
      <c r="G831" s="15" t="s">
        <v>10</v>
      </c>
      <c r="H831" s="15" t="s">
        <v>10</v>
      </c>
      <c r="I831" s="15">
        <v>0.93624732666619426</v>
      </c>
      <c r="J831" s="15">
        <v>0.93624732666619426</v>
      </c>
      <c r="K831" s="15" t="s">
        <v>10</v>
      </c>
      <c r="L831" s="15" t="s">
        <v>10</v>
      </c>
      <c r="M831" s="15" t="s">
        <v>10</v>
      </c>
      <c r="N831" s="15" t="s">
        <v>10</v>
      </c>
      <c r="O831" s="15">
        <v>0.93624732666619426</v>
      </c>
      <c r="P831" s="15">
        <v>0.93624732666619426</v>
      </c>
      <c r="Q831" s="8"/>
      <c r="R831" s="9" t="s">
        <v>832</v>
      </c>
    </row>
    <row r="832" spans="1:18" x14ac:dyDescent="0.25">
      <c r="A832" s="6" t="str">
        <f>HYPERLINK("proteomic_fractions_linear_files/Yang_linear_img/134053947.jpg", "134053947")</f>
        <v>134053947</v>
      </c>
      <c r="B832" s="7"/>
      <c r="C832" s="6" t="str">
        <f>HYPERLINK("http://www.ncbi.nlm.nih.gov/protein/134053947","Bin1")</f>
        <v>Bin1</v>
      </c>
      <c r="D832" s="8"/>
      <c r="E832" s="8">
        <v>52633</v>
      </c>
      <c r="F832" s="8"/>
      <c r="G832" s="15" t="s">
        <v>10</v>
      </c>
      <c r="H832" s="15" t="s">
        <v>10</v>
      </c>
      <c r="I832" s="15" t="s">
        <v>10</v>
      </c>
      <c r="J832" s="15" t="s">
        <v>10</v>
      </c>
      <c r="K832" s="15" t="s">
        <v>10</v>
      </c>
      <c r="L832" s="15" t="s">
        <v>10</v>
      </c>
      <c r="M832" s="15">
        <v>1.1089284450112047</v>
      </c>
      <c r="N832" s="15">
        <v>1.1089284450112047</v>
      </c>
      <c r="O832" s="15" t="s">
        <v>10</v>
      </c>
      <c r="P832" s="15" t="s">
        <v>10</v>
      </c>
      <c r="Q832" s="8"/>
      <c r="R832" s="9" t="s">
        <v>833</v>
      </c>
    </row>
    <row r="833" spans="1:18" x14ac:dyDescent="0.25">
      <c r="A833" s="6" t="str">
        <f>HYPERLINK("proteomic_fractions_linear_files/Yang_linear_img/6753050.jpg", "6753050")</f>
        <v>6753050</v>
      </c>
      <c r="B833" s="7"/>
      <c r="C833" s="6" t="str">
        <f>HYPERLINK("http://www.ncbi.nlm.nih.gov/protein/6753050","Bin1")</f>
        <v>Bin1</v>
      </c>
      <c r="D833" s="8"/>
      <c r="E833" s="8">
        <v>64339</v>
      </c>
      <c r="F833" s="8"/>
      <c r="G833" s="15" t="s">
        <v>10</v>
      </c>
      <c r="H833" s="15" t="s">
        <v>10</v>
      </c>
      <c r="I833" s="15" t="s">
        <v>10</v>
      </c>
      <c r="J833" s="15" t="s">
        <v>10</v>
      </c>
      <c r="K833" s="15" t="s">
        <v>10</v>
      </c>
      <c r="L833" s="15" t="s">
        <v>10</v>
      </c>
      <c r="M833" s="15">
        <v>0.91833136852490393</v>
      </c>
      <c r="N833" s="15">
        <v>0.91833136852490393</v>
      </c>
      <c r="O833" s="15" t="s">
        <v>10</v>
      </c>
      <c r="P833" s="15" t="s">
        <v>10</v>
      </c>
      <c r="Q833" s="8"/>
      <c r="R833" s="9" t="s">
        <v>834</v>
      </c>
    </row>
    <row r="834" spans="1:18" x14ac:dyDescent="0.25">
      <c r="A834" s="6" t="str">
        <f>HYPERLINK("proteomic_fractions_linear_files/Yang_linear_img/10946638.jpg", "10946638")</f>
        <v>10946638</v>
      </c>
      <c r="B834" s="7"/>
      <c r="C834" s="6" t="str">
        <f>HYPERLINK("http://www.ncbi.nlm.nih.gov/protein/10946638","Bin3")</f>
        <v>Bin3</v>
      </c>
      <c r="D834" s="8"/>
      <c r="E834" s="8">
        <v>29520</v>
      </c>
      <c r="F834" s="8"/>
      <c r="G834" s="15" t="s">
        <v>10</v>
      </c>
      <c r="H834" s="15" t="s">
        <v>10</v>
      </c>
      <c r="I834" s="15">
        <v>0.87167527051416671</v>
      </c>
      <c r="J834" s="15">
        <v>0.87167527051416671</v>
      </c>
      <c r="K834" s="15">
        <v>0.93060704325606869</v>
      </c>
      <c r="L834" s="15">
        <v>0.93060704325606869</v>
      </c>
      <c r="M834" s="15">
        <v>0.87167527051416671</v>
      </c>
      <c r="N834" s="15">
        <v>0.87167527051416671</v>
      </c>
      <c r="O834" s="15">
        <v>0.77031911249058149</v>
      </c>
      <c r="P834" s="15">
        <v>0.77031911249058149</v>
      </c>
      <c r="Q834" s="8"/>
      <c r="R834" s="9" t="s">
        <v>835</v>
      </c>
    </row>
    <row r="835" spans="1:18" x14ac:dyDescent="0.25">
      <c r="A835" s="6" t="str">
        <f>HYPERLINK("proteomic_fractions_linear_files/Yang_linear_img/409971427.jpg", "409971427")</f>
        <v>409971427</v>
      </c>
      <c r="B835" s="7"/>
      <c r="C835" s="6" t="str">
        <f>HYPERLINK("http://www.ncbi.nlm.nih.gov/protein/409971427","Birc6")</f>
        <v>Birc6</v>
      </c>
      <c r="D835" s="8"/>
      <c r="E835" s="8">
        <v>530939</v>
      </c>
      <c r="F835" s="8"/>
      <c r="G835" s="15" t="s">
        <v>10</v>
      </c>
      <c r="H835" s="15" t="s">
        <v>10</v>
      </c>
      <c r="I835" s="15">
        <v>0.56833017822316156</v>
      </c>
      <c r="J835" s="15">
        <v>0.56833017822316156</v>
      </c>
      <c r="K835" s="15">
        <v>0.77032685073340823</v>
      </c>
      <c r="L835" s="15">
        <v>0.77032685073340823</v>
      </c>
      <c r="M835" s="15">
        <v>1.1176888995655445</v>
      </c>
      <c r="N835" s="15">
        <v>1.1176888995655445</v>
      </c>
      <c r="O835" s="15">
        <v>0.77032685073340823</v>
      </c>
      <c r="P835" s="15">
        <v>0.77032685073340823</v>
      </c>
      <c r="Q835" s="8"/>
      <c r="R835" s="9" t="s">
        <v>836</v>
      </c>
    </row>
    <row r="836" spans="1:18" x14ac:dyDescent="0.25">
      <c r="A836" s="6" t="str">
        <f>HYPERLINK("proteomic_fractions_linear_files/Yang_linear_img/31982490.jpg", "31982490")</f>
        <v>31982490</v>
      </c>
      <c r="B836" s="7"/>
      <c r="C836" s="6" t="str">
        <f>HYPERLINK("http://www.ncbi.nlm.nih.gov/protein/31982490","Blk")</f>
        <v>Blk</v>
      </c>
      <c r="D836" s="8"/>
      <c r="E836" s="8">
        <v>56543</v>
      </c>
      <c r="F836" s="8"/>
      <c r="G836" s="15" t="s">
        <v>10</v>
      </c>
      <c r="H836" s="15" t="s">
        <v>10</v>
      </c>
      <c r="I836" s="15">
        <v>0.48979318066108879</v>
      </c>
      <c r="J836" s="15">
        <v>0.48979318066108879</v>
      </c>
      <c r="K836" s="15">
        <v>0.52430538406514271</v>
      </c>
      <c r="L836" s="15">
        <v>0.52430538406514271</v>
      </c>
      <c r="M836" s="15">
        <v>0.65511098987937877</v>
      </c>
      <c r="N836" s="15">
        <v>0.65511098987937877</v>
      </c>
      <c r="O836" s="15">
        <v>0.4587764581653509</v>
      </c>
      <c r="P836" s="15">
        <v>0.4587764581653509</v>
      </c>
      <c r="Q836" s="8"/>
      <c r="R836" s="9" t="s">
        <v>837</v>
      </c>
    </row>
    <row r="837" spans="1:18" x14ac:dyDescent="0.25">
      <c r="A837" s="6" t="str">
        <f>HYPERLINK("proteomic_fractions_linear_files/Yang_linear_img/30519997.jpg", "30519997")</f>
        <v>30519997</v>
      </c>
      <c r="B837" s="7"/>
      <c r="C837" s="6" t="str">
        <f>HYPERLINK("http://www.ncbi.nlm.nih.gov/protein/30519997","Blmh")</f>
        <v>Blmh</v>
      </c>
      <c r="D837" s="8"/>
      <c r="E837" s="8">
        <v>52380</v>
      </c>
      <c r="F837" s="8"/>
      <c r="G837" s="15" t="s">
        <v>10</v>
      </c>
      <c r="H837" s="15" t="s">
        <v>10</v>
      </c>
      <c r="I837" s="15">
        <v>0.92865337662337022</v>
      </c>
      <c r="J837" s="15">
        <v>0.92865337662337022</v>
      </c>
      <c r="K837" s="15">
        <v>0.92865337662337022</v>
      </c>
      <c r="L837" s="15">
        <v>0.92865337662337022</v>
      </c>
      <c r="M837" s="15">
        <v>0.92865337662337022</v>
      </c>
      <c r="N837" s="15">
        <v>0.92865337662337022</v>
      </c>
      <c r="O837" s="15">
        <v>0.84856902398010514</v>
      </c>
      <c r="P837" s="15">
        <v>0.84856902398010514</v>
      </c>
      <c r="Q837" s="8"/>
      <c r="R837" s="9" t="s">
        <v>838</v>
      </c>
    </row>
    <row r="838" spans="1:18" x14ac:dyDescent="0.25">
      <c r="A838" s="6" t="str">
        <f>HYPERLINK("proteomic_fractions_linear_files/Yang_linear_img/31982209.jpg", "31982209")</f>
        <v>31982209</v>
      </c>
      <c r="B838" s="7"/>
      <c r="C838" s="6" t="str">
        <f>HYPERLINK("http://www.ncbi.nlm.nih.gov/protein/31982209","Blnk")</f>
        <v>Blnk</v>
      </c>
      <c r="D838" s="8"/>
      <c r="E838" s="8">
        <v>50540</v>
      </c>
      <c r="F838" s="8"/>
      <c r="G838" s="15" t="s">
        <v>10</v>
      </c>
      <c r="H838" s="15" t="s">
        <v>10</v>
      </c>
      <c r="I838" s="15" t="s">
        <v>10</v>
      </c>
      <c r="J838" s="15" t="s">
        <v>10</v>
      </c>
      <c r="K838" s="15">
        <v>1.4399247106212205</v>
      </c>
      <c r="L838" s="15">
        <v>1.4399247106212205</v>
      </c>
      <c r="M838" s="15" t="s">
        <v>10</v>
      </c>
      <c r="N838" s="15" t="s">
        <v>10</v>
      </c>
      <c r="O838" s="15" t="s">
        <v>10</v>
      </c>
      <c r="P838" s="15" t="s">
        <v>10</v>
      </c>
      <c r="Q838" s="8"/>
      <c r="R838" s="9" t="s">
        <v>839</v>
      </c>
    </row>
    <row r="839" spans="1:18" x14ac:dyDescent="0.25">
      <c r="A839" s="6" t="str">
        <f>HYPERLINK("proteomic_fractions_linear_files/Yang_linear_img/31980697.jpg", "31980697")</f>
        <v>31980697</v>
      </c>
      <c r="B839" s="7"/>
      <c r="C839" s="6" t="str">
        <f>HYPERLINK("http://www.ncbi.nlm.nih.gov/protein/31980697","Bloc1s1")</f>
        <v>Bloc1s1</v>
      </c>
      <c r="D839" s="8"/>
      <c r="E839" s="8">
        <v>14150</v>
      </c>
      <c r="F839" s="8"/>
      <c r="G839" s="15">
        <v>0.99184646428118928</v>
      </c>
      <c r="H839" s="15">
        <v>0.99184646428118928</v>
      </c>
      <c r="I839" s="15">
        <v>0.99184646428118928</v>
      </c>
      <c r="J839" s="15">
        <v>0.99184646428118928</v>
      </c>
      <c r="K839" s="15">
        <v>0.99184646428118928</v>
      </c>
      <c r="L839" s="15">
        <v>0.99184646428118928</v>
      </c>
      <c r="M839" s="15">
        <v>1.0369624087050249</v>
      </c>
      <c r="N839" s="15">
        <v>1.0369624087050249</v>
      </c>
      <c r="O839" s="15">
        <v>0.94979028735725246</v>
      </c>
      <c r="P839" s="15">
        <v>0.94979028735725246</v>
      </c>
      <c r="Q839" s="8"/>
      <c r="R839" s="9" t="s">
        <v>840</v>
      </c>
    </row>
    <row r="840" spans="1:18" x14ac:dyDescent="0.25">
      <c r="A840" s="6" t="str">
        <f>HYPERLINK("proteomic_fractions_linear_files/Yang_linear_img/19526908.jpg", "19526908")</f>
        <v>19526908</v>
      </c>
      <c r="B840" s="7"/>
      <c r="C840" s="6" t="str">
        <f>HYPERLINK("http://www.ncbi.nlm.nih.gov/protein/19526908","Bloc1s4")</f>
        <v>Bloc1s4</v>
      </c>
      <c r="D840" s="8"/>
      <c r="E840" s="8">
        <v>22981</v>
      </c>
      <c r="F840" s="8"/>
      <c r="G840" s="15" t="s">
        <v>10</v>
      </c>
      <c r="H840" s="15" t="s">
        <v>10</v>
      </c>
      <c r="I840" s="15" t="s">
        <v>10</v>
      </c>
      <c r="J840" s="15" t="s">
        <v>10</v>
      </c>
      <c r="K840" s="15" t="s">
        <v>10</v>
      </c>
      <c r="L840" s="15" t="s">
        <v>10</v>
      </c>
      <c r="M840" s="15">
        <v>1.136967744148913</v>
      </c>
      <c r="N840" s="15">
        <v>1.136967744148913</v>
      </c>
      <c r="O840" s="15" t="s">
        <v>10</v>
      </c>
      <c r="P840" s="15" t="s">
        <v>10</v>
      </c>
      <c r="Q840" s="8"/>
      <c r="R840" s="9" t="s">
        <v>841</v>
      </c>
    </row>
    <row r="841" spans="1:18" x14ac:dyDescent="0.25">
      <c r="A841" s="6" t="str">
        <f>HYPERLINK("proteomic_fractions_linear_files/Yang_linear_img/20532342.jpg", "20532342")</f>
        <v>20532342</v>
      </c>
      <c r="B841" s="7"/>
      <c r="C841" s="6" t="str">
        <f>HYPERLINK("http://www.ncbi.nlm.nih.gov/protein/20532342","Bloc1s5")</f>
        <v>Bloc1s5</v>
      </c>
      <c r="D841" s="8"/>
      <c r="E841" s="8">
        <v>21152</v>
      </c>
      <c r="F841" s="8"/>
      <c r="G841" s="15" t="s">
        <v>10</v>
      </c>
      <c r="H841" s="15" t="s">
        <v>10</v>
      </c>
      <c r="I841" s="15" t="s">
        <v>10</v>
      </c>
      <c r="J841" s="15" t="s">
        <v>10</v>
      </c>
      <c r="K841" s="15">
        <v>0.98083053269791776</v>
      </c>
      <c r="L841" s="15">
        <v>0.98083053269791776</v>
      </c>
      <c r="M841" s="15" t="s">
        <v>10</v>
      </c>
      <c r="N841" s="15" t="s">
        <v>10</v>
      </c>
      <c r="O841" s="15">
        <v>0.98083053269791776</v>
      </c>
      <c r="P841" s="15">
        <v>0.98083053269791776</v>
      </c>
      <c r="Q841" s="8"/>
      <c r="R841" s="9" t="s">
        <v>842</v>
      </c>
    </row>
    <row r="842" spans="1:18" x14ac:dyDescent="0.25">
      <c r="A842" s="6" t="str">
        <f>HYPERLINK("proteomic_fractions_linear_files/Yang_linear_img/124487331.jpg", "124487331")</f>
        <v>124487331</v>
      </c>
      <c r="B842" s="7"/>
      <c r="C842" s="6" t="str">
        <f>HYPERLINK("http://www.ncbi.nlm.nih.gov/protein/124487331","Blvra")</f>
        <v>Blvra</v>
      </c>
      <c r="D842" s="8"/>
      <c r="E842" s="8">
        <v>33393</v>
      </c>
      <c r="F842" s="8"/>
      <c r="G842" s="15">
        <v>0.90561839065797367</v>
      </c>
      <c r="H842" s="15">
        <v>0.90561839065797367</v>
      </c>
      <c r="I842" s="15">
        <v>0.9722446319919269</v>
      </c>
      <c r="J842" s="15">
        <v>0.9722446319919269</v>
      </c>
      <c r="K842" s="15">
        <v>0.9722446319919269</v>
      </c>
      <c r="L842" s="15">
        <v>0.9722446319919269</v>
      </c>
      <c r="M842" s="15">
        <v>0.9722446319919269</v>
      </c>
      <c r="N842" s="15">
        <v>0.9722446319919269</v>
      </c>
      <c r="O842" s="15">
        <v>0.90561839065797367</v>
      </c>
      <c r="P842" s="15">
        <v>0.90561839065797367</v>
      </c>
      <c r="Q842" s="8"/>
      <c r="R842" s="9" t="s">
        <v>843</v>
      </c>
    </row>
    <row r="843" spans="1:18" x14ac:dyDescent="0.25">
      <c r="A843" s="6" t="str">
        <f>HYPERLINK("proteomic_fractions_linear_files/Yang_linear_img/21450325.jpg", "21450325")</f>
        <v>21450325</v>
      </c>
      <c r="B843" s="7"/>
      <c r="C843" s="6" t="str">
        <f>HYPERLINK("http://www.ncbi.nlm.nih.gov/protein/21450325","Blvrb")</f>
        <v>Blvrb</v>
      </c>
      <c r="D843" s="8"/>
      <c r="E843" s="8">
        <v>22066</v>
      </c>
      <c r="F843" s="8"/>
      <c r="G843" s="15" t="s">
        <v>10</v>
      </c>
      <c r="H843" s="15" t="s">
        <v>10</v>
      </c>
      <c r="I843" s="15">
        <v>1.0504351533962475</v>
      </c>
      <c r="J843" s="15">
        <v>1.0504351533962475</v>
      </c>
      <c r="K843" s="15">
        <v>1.0504351533962475</v>
      </c>
      <c r="L843" s="15">
        <v>1.0504351533962475</v>
      </c>
      <c r="M843" s="15">
        <v>1.0504351533962475</v>
      </c>
      <c r="N843" s="15">
        <v>1.0504351533962475</v>
      </c>
      <c r="O843" s="15">
        <v>0.93624732666619426</v>
      </c>
      <c r="P843" s="15">
        <v>0.93624732666619426</v>
      </c>
      <c r="Q843" s="8"/>
      <c r="R843" s="9" t="s">
        <v>844</v>
      </c>
    </row>
    <row r="844" spans="1:18" x14ac:dyDescent="0.25">
      <c r="A844" s="6" t="str">
        <f>HYPERLINK("proteomic_fractions_linear_files/Yang_linear_img/31982487.jpg", "31982487")</f>
        <v>31982487</v>
      </c>
      <c r="B844" s="7"/>
      <c r="C844" s="6" t="str">
        <f>HYPERLINK("http://www.ncbi.nlm.nih.gov/protein/31982487","Bmp7")</f>
        <v>Bmp7</v>
      </c>
      <c r="D844" s="8"/>
      <c r="E844" s="8">
        <v>15610</v>
      </c>
      <c r="F844" s="8"/>
      <c r="G844" s="15" t="s">
        <v>10</v>
      </c>
      <c r="H844" s="15" t="s">
        <v>10</v>
      </c>
      <c r="I844" s="15" t="s">
        <v>10</v>
      </c>
      <c r="J844" s="15" t="s">
        <v>10</v>
      </c>
      <c r="K844" s="15">
        <v>0.94977114336339286</v>
      </c>
      <c r="L844" s="15">
        <v>0.94977114336339286</v>
      </c>
      <c r="M844" s="15" t="s">
        <v>10</v>
      </c>
      <c r="N844" s="15" t="s">
        <v>10</v>
      </c>
      <c r="O844" s="15" t="s">
        <v>10</v>
      </c>
      <c r="P844" s="15" t="s">
        <v>10</v>
      </c>
      <c r="Q844" s="8"/>
      <c r="R844" s="9" t="s">
        <v>845</v>
      </c>
    </row>
    <row r="845" spans="1:18" x14ac:dyDescent="0.25">
      <c r="A845" s="6" t="str">
        <f>HYPERLINK("proteomic_fractions_linear_files/Yang_linear_img/255003752.jpg", "255003752")</f>
        <v>255003752</v>
      </c>
      <c r="B845" s="7"/>
      <c r="C845" s="6" t="str">
        <f>HYPERLINK("http://www.ncbi.nlm.nih.gov/protein/255003752","Bnip1")</f>
        <v>Bnip1</v>
      </c>
      <c r="D845" s="8"/>
      <c r="E845" s="8">
        <v>26044</v>
      </c>
      <c r="F845" s="8"/>
      <c r="G845" s="15" t="s">
        <v>10</v>
      </c>
      <c r="H845" s="15" t="s">
        <v>10</v>
      </c>
      <c r="I845" s="15">
        <v>0.94441617743372752</v>
      </c>
      <c r="J845" s="15">
        <v>0.94441617743372752</v>
      </c>
      <c r="K845" s="15">
        <v>0.94441617743372752</v>
      </c>
      <c r="L845" s="15">
        <v>0.94441617743372752</v>
      </c>
      <c r="M845" s="15" t="s">
        <v>10</v>
      </c>
      <c r="N845" s="15" t="s">
        <v>10</v>
      </c>
      <c r="O845" s="15" t="s">
        <v>10</v>
      </c>
      <c r="P845" s="15" t="s">
        <v>10</v>
      </c>
      <c r="Q845" s="8"/>
      <c r="R845" s="9" t="s">
        <v>846</v>
      </c>
    </row>
    <row r="846" spans="1:18" x14ac:dyDescent="0.25">
      <c r="A846" s="6" t="str">
        <f>HYPERLINK("proteomic_fractions_linear_files/Yang_linear_img/67906187.jpg", "67906187")</f>
        <v>67906187</v>
      </c>
      <c r="B846" s="7"/>
      <c r="C846" s="6" t="str">
        <f>HYPERLINK("http://www.ncbi.nlm.nih.gov/protein/67906187","Bod1")</f>
        <v>Bod1</v>
      </c>
      <c r="D846" s="8"/>
      <c r="E846" s="8">
        <v>18232</v>
      </c>
      <c r="F846" s="8"/>
      <c r="G846" s="15" t="s">
        <v>10</v>
      </c>
      <c r="H846" s="15" t="s">
        <v>10</v>
      </c>
      <c r="I846" s="15" t="s">
        <v>10</v>
      </c>
      <c r="J846" s="15" t="s">
        <v>10</v>
      </c>
      <c r="K846" s="15" t="s">
        <v>10</v>
      </c>
      <c r="L846" s="15" t="s">
        <v>10</v>
      </c>
      <c r="M846" s="15" t="s">
        <v>10</v>
      </c>
      <c r="N846" s="15" t="s">
        <v>10</v>
      </c>
      <c r="O846" s="15">
        <v>1.1443022881475706</v>
      </c>
      <c r="P846" s="15">
        <v>1.1443022881475706</v>
      </c>
      <c r="Q846" s="8"/>
      <c r="R846" s="9" t="s">
        <v>847</v>
      </c>
    </row>
    <row r="847" spans="1:18" x14ac:dyDescent="0.25">
      <c r="A847" s="6" t="str">
        <f>HYPERLINK("proteomic_fractions_linear_files/Yang_linear_img/124487265.jpg", "124487265")</f>
        <v>124487265</v>
      </c>
      <c r="B847" s="7"/>
      <c r="C847" s="6" t="str">
        <f>HYPERLINK("http://www.ncbi.nlm.nih.gov/protein/124487265","Bod1l")</f>
        <v>Bod1l</v>
      </c>
      <c r="D847" s="8"/>
      <c r="E847" s="8">
        <v>327323</v>
      </c>
      <c r="F847" s="8"/>
      <c r="G847" s="15" t="s">
        <v>10</v>
      </c>
      <c r="H847" s="15" t="s">
        <v>10</v>
      </c>
      <c r="I847" s="15" t="s">
        <v>10</v>
      </c>
      <c r="J847" s="15" t="s">
        <v>10</v>
      </c>
      <c r="K847" s="15" t="s">
        <v>10</v>
      </c>
      <c r="L847" s="15" t="s">
        <v>10</v>
      </c>
      <c r="M847" s="15" t="s">
        <v>10</v>
      </c>
      <c r="N847" s="15" t="s">
        <v>10</v>
      </c>
      <c r="O847" s="15">
        <v>0.92288478482109715</v>
      </c>
      <c r="P847" s="15">
        <v>0.92288478482109715</v>
      </c>
      <c r="Q847" s="8"/>
      <c r="R847" s="9" t="s">
        <v>848</v>
      </c>
    </row>
    <row r="848" spans="1:18" x14ac:dyDescent="0.25">
      <c r="A848" s="6" t="str">
        <f>HYPERLINK("proteomic_fractions_linear_files/Yang_linear_img/7949082.jpg", "7949082")</f>
        <v>7949082</v>
      </c>
      <c r="B848" s="7"/>
      <c r="C848" s="6" t="str">
        <f>HYPERLINK("http://www.ncbi.nlm.nih.gov/protein/7949082","Bok")</f>
        <v>Bok</v>
      </c>
      <c r="D848" s="8"/>
      <c r="E848" s="8">
        <v>23325</v>
      </c>
      <c r="F848" s="8"/>
      <c r="G848" s="15" t="s">
        <v>10</v>
      </c>
      <c r="H848" s="15" t="s">
        <v>10</v>
      </c>
      <c r="I848" s="15">
        <v>0.94764096829038047</v>
      </c>
      <c r="J848" s="15">
        <v>0.94764096829038047</v>
      </c>
      <c r="K848" s="15">
        <v>0.94764096829038047</v>
      </c>
      <c r="L848" s="15">
        <v>0.94764096829038047</v>
      </c>
      <c r="M848" s="15" t="s">
        <v>10</v>
      </c>
      <c r="N848" s="15" t="s">
        <v>10</v>
      </c>
      <c r="O848" s="15" t="s">
        <v>10</v>
      </c>
      <c r="P848" s="15" t="s">
        <v>10</v>
      </c>
      <c r="Q848" s="8"/>
      <c r="R848" s="9" t="s">
        <v>849</v>
      </c>
    </row>
    <row r="849" spans="1:18" x14ac:dyDescent="0.25">
      <c r="A849" s="6" t="str">
        <f>HYPERLINK("proteomic_fractions_linear_files/Yang_linear_img/58037151.jpg", "58037151")</f>
        <v>58037151</v>
      </c>
      <c r="B849" s="7"/>
      <c r="C849" s="6" t="str">
        <f>HYPERLINK("http://www.ncbi.nlm.nih.gov/protein/58037151","Bola1")</f>
        <v>Bola1</v>
      </c>
      <c r="D849" s="8"/>
      <c r="E849" s="8">
        <v>14248</v>
      </c>
      <c r="F849" s="8"/>
      <c r="G849" s="15" t="s">
        <v>10</v>
      </c>
      <c r="H849" s="15" t="s">
        <v>10</v>
      </c>
      <c r="I849" s="15">
        <v>0.99184646428118928</v>
      </c>
      <c r="J849" s="15">
        <v>0.99184646428118928</v>
      </c>
      <c r="K849" s="15">
        <v>1.0369624087050249</v>
      </c>
      <c r="L849" s="15">
        <v>1.0369624087050249</v>
      </c>
      <c r="M849" s="15">
        <v>1.0369624087050249</v>
      </c>
      <c r="N849" s="15">
        <v>1.0369624087050249</v>
      </c>
      <c r="O849" s="15">
        <v>0.94979028735725246</v>
      </c>
      <c r="P849" s="15">
        <v>0.94979028735725246</v>
      </c>
      <c r="Q849" s="8"/>
      <c r="R849" s="9" t="s">
        <v>850</v>
      </c>
    </row>
    <row r="850" spans="1:18" x14ac:dyDescent="0.25">
      <c r="A850" s="6" t="str">
        <f>HYPERLINK("proteomic_fractions_linear_files/Yang_linear_img/29171318.jpg", "29171318")</f>
        <v>29171318</v>
      </c>
      <c r="B850" s="7"/>
      <c r="C850" s="6" t="str">
        <f>HYPERLINK("http://www.ncbi.nlm.nih.gov/protein/29171318","Bola2")</f>
        <v>Bola2</v>
      </c>
      <c r="D850" s="8"/>
      <c r="E850" s="8">
        <v>10083</v>
      </c>
      <c r="F850" s="8"/>
      <c r="G850" s="15" t="s">
        <v>10</v>
      </c>
      <c r="H850" s="15" t="s">
        <v>10</v>
      </c>
      <c r="I850" s="15">
        <v>1.2747219341937626</v>
      </c>
      <c r="J850" s="15">
        <v>1.2747219341937626</v>
      </c>
      <c r="K850" s="15" t="s">
        <v>10</v>
      </c>
      <c r="L850" s="15" t="s">
        <v>10</v>
      </c>
      <c r="M850" s="15" t="s">
        <v>10</v>
      </c>
      <c r="N850" s="15" t="s">
        <v>10</v>
      </c>
      <c r="O850" s="15">
        <v>1.2232861292331356</v>
      </c>
      <c r="P850" s="15">
        <v>1.2232861292331356</v>
      </c>
      <c r="Q850" s="8"/>
      <c r="R850" s="9" t="s">
        <v>851</v>
      </c>
    </row>
    <row r="851" spans="1:18" x14ac:dyDescent="0.25">
      <c r="A851" s="6" t="str">
        <f>HYPERLINK("proteomic_fractions_linear_files/Yang_linear_img/7304931.jpg", "7304931")</f>
        <v>7304931</v>
      </c>
      <c r="B851" s="7"/>
      <c r="C851" s="6" t="str">
        <f>HYPERLINK("http://www.ncbi.nlm.nih.gov/protein/7304931","Bop1")</f>
        <v>Bop1</v>
      </c>
      <c r="D851" s="8"/>
      <c r="E851" s="8">
        <v>82415</v>
      </c>
      <c r="F851" s="8"/>
      <c r="G851" s="15" t="s">
        <v>10</v>
      </c>
      <c r="H851" s="15" t="s">
        <v>10</v>
      </c>
      <c r="I851" s="15" t="s">
        <v>10</v>
      </c>
      <c r="J851" s="15" t="s">
        <v>10</v>
      </c>
      <c r="K851" s="15" t="s">
        <v>10</v>
      </c>
      <c r="L851" s="15" t="s">
        <v>10</v>
      </c>
      <c r="M851" s="15">
        <v>1.5697759529892312</v>
      </c>
      <c r="N851" s="15">
        <v>1.5697759529892312</v>
      </c>
      <c r="O851" s="15" t="s">
        <v>10</v>
      </c>
      <c r="P851" s="15" t="s">
        <v>10</v>
      </c>
      <c r="Q851" s="8"/>
      <c r="R851" s="9" t="s">
        <v>852</v>
      </c>
    </row>
    <row r="852" spans="1:18" x14ac:dyDescent="0.25">
      <c r="A852" s="6" t="str">
        <f>HYPERLINK("proteomic_fractions_linear_files/Yang_linear_img/6680806.jpg", "6680806")</f>
        <v>6680806</v>
      </c>
      <c r="B852" s="7"/>
      <c r="C852" s="6" t="str">
        <f>HYPERLINK("http://www.ncbi.nlm.nih.gov/protein/6680806","Bpgm")</f>
        <v>Bpgm</v>
      </c>
      <c r="D852" s="8"/>
      <c r="E852" s="8">
        <v>29847</v>
      </c>
      <c r="F852" s="8"/>
      <c r="G852" s="15">
        <v>1.7706856543333693</v>
      </c>
      <c r="H852" s="15">
        <v>1.7706856543333693</v>
      </c>
      <c r="I852" s="15" t="s">
        <v>10</v>
      </c>
      <c r="J852" s="15" t="s">
        <v>10</v>
      </c>
      <c r="K852" s="15">
        <v>1.3502439401074249</v>
      </c>
      <c r="L852" s="15">
        <v>1.3502439401074249</v>
      </c>
      <c r="M852" s="15">
        <v>1.2447108807708198</v>
      </c>
      <c r="N852" s="15">
        <v>1.2447108807708198</v>
      </c>
      <c r="O852" s="15" t="s">
        <v>10</v>
      </c>
      <c r="P852" s="15" t="s">
        <v>10</v>
      </c>
      <c r="Q852" s="8"/>
      <c r="R852" s="9" t="s">
        <v>853</v>
      </c>
    </row>
    <row r="853" spans="1:18" x14ac:dyDescent="0.25">
      <c r="A853" s="6" t="str">
        <f>HYPERLINK("proteomic_fractions_linear_files/Yang_linear_img/21624609.jpg", "21624609")</f>
        <v>21624609</v>
      </c>
      <c r="B853" s="7"/>
      <c r="C853" s="6" t="str">
        <f>HYPERLINK("http://www.ncbi.nlm.nih.gov/protein/21624609","Bphl")</f>
        <v>Bphl</v>
      </c>
      <c r="D853" s="8"/>
      <c r="E853" s="8">
        <v>28904</v>
      </c>
      <c r="F853" s="8"/>
      <c r="G853" s="15">
        <v>1.1914957424301789</v>
      </c>
      <c r="H853" s="15">
        <v>1.1914957424301789</v>
      </c>
      <c r="I853" s="15">
        <v>0.84671795218196266</v>
      </c>
      <c r="J853" s="15">
        <v>0.84671795218196266</v>
      </c>
      <c r="K853" s="15" t="s">
        <v>10</v>
      </c>
      <c r="L853" s="15" t="s">
        <v>10</v>
      </c>
      <c r="M853" s="15" t="s">
        <v>10</v>
      </c>
      <c r="N853" s="15" t="s">
        <v>10</v>
      </c>
      <c r="O853" s="15">
        <v>0.75157731967857766</v>
      </c>
      <c r="P853" s="15">
        <v>0.75157731967857766</v>
      </c>
      <c r="Q853" s="8"/>
      <c r="R853" s="9" t="s">
        <v>854</v>
      </c>
    </row>
    <row r="854" spans="1:18" x14ac:dyDescent="0.25">
      <c r="A854" s="6" t="str">
        <f>HYPERLINK("proteomic_fractions_linear_files/Yang_linear_img/39652626.jpg", "39652626")</f>
        <v>39652626</v>
      </c>
      <c r="B854" s="7"/>
      <c r="C854" s="6" t="str">
        <f>HYPERLINK("http://www.ncbi.nlm.nih.gov/protein/39652626","Bpnt1")</f>
        <v>Bpnt1</v>
      </c>
      <c r="D854" s="8"/>
      <c r="E854" s="8">
        <v>33065</v>
      </c>
      <c r="F854" s="8"/>
      <c r="G854" s="15" t="s">
        <v>10</v>
      </c>
      <c r="H854" s="15" t="s">
        <v>10</v>
      </c>
      <c r="I854" s="15">
        <v>1.1315553461552907</v>
      </c>
      <c r="J854" s="15">
        <v>1.1315553461552907</v>
      </c>
      <c r="K854" s="15">
        <v>1.2274944910067498</v>
      </c>
      <c r="L854" s="15">
        <v>1.2274944910067498</v>
      </c>
      <c r="M854" s="15">
        <v>1.1315553461552907</v>
      </c>
      <c r="N854" s="15">
        <v>1.1315553461552907</v>
      </c>
      <c r="O854" s="15">
        <v>1.0470720160750056</v>
      </c>
      <c r="P854" s="15">
        <v>1.0470720160750056</v>
      </c>
      <c r="Q854" s="8"/>
      <c r="R854" s="9" t="s">
        <v>855</v>
      </c>
    </row>
    <row r="855" spans="1:18" x14ac:dyDescent="0.25">
      <c r="A855" s="6" t="str">
        <f>HYPERLINK("proteomic_fractions_linear_files/Yang_linear_img/153791904.jpg", "153791904")</f>
        <v>153791904</v>
      </c>
      <c r="B855" s="7"/>
      <c r="C855" s="6" t="str">
        <f>HYPERLINK("http://www.ncbi.nlm.nih.gov/protein/153791904","Braf")</f>
        <v>Braf</v>
      </c>
      <c r="D855" s="8"/>
      <c r="E855" s="8">
        <v>88649</v>
      </c>
      <c r="F855" s="8"/>
      <c r="G855" s="15" t="s">
        <v>10</v>
      </c>
      <c r="H855" s="15" t="s">
        <v>10</v>
      </c>
      <c r="I855" s="15" t="s">
        <v>10</v>
      </c>
      <c r="J855" s="15" t="s">
        <v>10</v>
      </c>
      <c r="K855" s="15" t="s">
        <v>10</v>
      </c>
      <c r="L855" s="15" t="s">
        <v>10</v>
      </c>
      <c r="M855" s="15">
        <v>0.82512539597395784</v>
      </c>
      <c r="N855" s="15">
        <v>0.82512539597395784</v>
      </c>
      <c r="O855" s="15" t="s">
        <v>10</v>
      </c>
      <c r="P855" s="15" t="s">
        <v>10</v>
      </c>
      <c r="Q855" s="8"/>
      <c r="R855" s="9" t="s">
        <v>856</v>
      </c>
    </row>
    <row r="856" spans="1:18" x14ac:dyDescent="0.25">
      <c r="A856" s="6" t="str">
        <f>HYPERLINK("proteomic_fractions_linear_files/Yang_linear_img/70608139.jpg", "70608139")</f>
        <v>70608139</v>
      </c>
      <c r="B856" s="7"/>
      <c r="C856" s="6" t="str">
        <f>HYPERLINK("http://www.ncbi.nlm.nih.gov/protein/70608139","Brap")</f>
        <v>Brap</v>
      </c>
      <c r="D856" s="8"/>
      <c r="E856" s="8">
        <v>66860</v>
      </c>
      <c r="F856" s="8"/>
      <c r="G856" s="15" t="s">
        <v>10</v>
      </c>
      <c r="H856" s="15" t="s">
        <v>10</v>
      </c>
      <c r="I856" s="15" t="s">
        <v>10</v>
      </c>
      <c r="J856" s="15" t="s">
        <v>10</v>
      </c>
      <c r="K856" s="15">
        <v>1.2402784846737889</v>
      </c>
      <c r="L856" s="15">
        <v>1.2402784846737889</v>
      </c>
      <c r="M856" s="15" t="s">
        <v>10</v>
      </c>
      <c r="N856" s="15" t="s">
        <v>10</v>
      </c>
      <c r="O856" s="15">
        <v>1.0960620931594365</v>
      </c>
      <c r="P856" s="15">
        <v>1.0960620931594365</v>
      </c>
      <c r="Q856" s="8"/>
      <c r="R856" s="9" t="s">
        <v>857</v>
      </c>
    </row>
    <row r="857" spans="1:18" x14ac:dyDescent="0.25">
      <c r="A857" s="6" t="str">
        <f>HYPERLINK("proteomic_fractions_linear_files/Yang_linear_img/30841004.jpg", "30841004")</f>
        <v>30841004</v>
      </c>
      <c r="B857" s="7"/>
      <c r="C857" s="6" t="str">
        <f>HYPERLINK("http://www.ncbi.nlm.nih.gov/protein/30841004","Brat1")</f>
        <v>Brat1</v>
      </c>
      <c r="D857" s="8"/>
      <c r="E857" s="8">
        <v>88955</v>
      </c>
      <c r="F857" s="8"/>
      <c r="G857" s="15" t="s">
        <v>10</v>
      </c>
      <c r="H857" s="15" t="s">
        <v>10</v>
      </c>
      <c r="I857" s="15" t="s">
        <v>10</v>
      </c>
      <c r="J857" s="15" t="s">
        <v>10</v>
      </c>
      <c r="K857" s="15" t="s">
        <v>10</v>
      </c>
      <c r="L857" s="15" t="s">
        <v>10</v>
      </c>
      <c r="M857" s="15">
        <v>0.93369279183307707</v>
      </c>
      <c r="N857" s="15">
        <v>0.93369279183307707</v>
      </c>
      <c r="O857" s="15" t="s">
        <v>10</v>
      </c>
      <c r="P857" s="15" t="s">
        <v>10</v>
      </c>
      <c r="Q857" s="8"/>
      <c r="R857" s="9" t="s">
        <v>858</v>
      </c>
    </row>
    <row r="858" spans="1:18" x14ac:dyDescent="0.25">
      <c r="A858" s="6" t="str">
        <f>HYPERLINK("proteomic_fractions_linear_files/Yang_linear_img/443609479.jpg", "443609479")</f>
        <v>443609479</v>
      </c>
      <c r="B858" s="7"/>
      <c r="C858" s="6" t="str">
        <f>HYPERLINK("http://www.ncbi.nlm.nih.gov/protein/443609479","Brat1")</f>
        <v>Brat1</v>
      </c>
      <c r="D858" s="8"/>
      <c r="E858" s="8">
        <v>93724</v>
      </c>
      <c r="F858" s="8"/>
      <c r="G858" s="15" t="s">
        <v>10</v>
      </c>
      <c r="H858" s="15" t="s">
        <v>10</v>
      </c>
      <c r="I858" s="15" t="s">
        <v>10</v>
      </c>
      <c r="J858" s="15" t="s">
        <v>10</v>
      </c>
      <c r="K858" s="15" t="s">
        <v>10</v>
      </c>
      <c r="L858" s="15" t="s">
        <v>10</v>
      </c>
      <c r="M858" s="15">
        <v>0.88402828162919</v>
      </c>
      <c r="N858" s="15">
        <v>0.88402828162919</v>
      </c>
      <c r="O858" s="15" t="s">
        <v>10</v>
      </c>
      <c r="P858" s="15" t="s">
        <v>10</v>
      </c>
      <c r="Q858" s="8"/>
      <c r="R858" s="9" t="s">
        <v>859</v>
      </c>
    </row>
    <row r="859" spans="1:18" x14ac:dyDescent="0.25">
      <c r="A859" s="6" t="str">
        <f>HYPERLINK("proteomic_fractions_linear_files/Yang_linear_img/262050563.jpg", "262050563")</f>
        <v>262050563</v>
      </c>
      <c r="B859" s="7"/>
      <c r="C859" s="6" t="str">
        <f>HYPERLINK("http://www.ncbi.nlm.nih.gov/protein/262050563","Brcc3")</f>
        <v>Brcc3</v>
      </c>
      <c r="D859" s="8"/>
      <c r="E859" s="8">
        <v>33209</v>
      </c>
      <c r="F859" s="8"/>
      <c r="G859" s="15" t="s">
        <v>10</v>
      </c>
      <c r="H859" s="15" t="s">
        <v>10</v>
      </c>
      <c r="I859" s="15">
        <v>0.9722446319919269</v>
      </c>
      <c r="J859" s="15">
        <v>0.9722446319919269</v>
      </c>
      <c r="K859" s="15">
        <v>0.9722446319919269</v>
      </c>
      <c r="L859" s="15">
        <v>0.9722446319919269</v>
      </c>
      <c r="M859" s="15">
        <v>0.9722446319919269</v>
      </c>
      <c r="N859" s="15">
        <v>0.9722446319919269</v>
      </c>
      <c r="O859" s="15">
        <v>0.84600640296006246</v>
      </c>
      <c r="P859" s="15">
        <v>0.84600640296006246</v>
      </c>
      <c r="Q859" s="8"/>
      <c r="R859" s="9" t="s">
        <v>860</v>
      </c>
    </row>
    <row r="860" spans="1:18" x14ac:dyDescent="0.25">
      <c r="A860" s="6" t="str">
        <f>HYPERLINK("proteomic_fractions_linear_files/Yang_linear_img/71067345.jpg", "71067345")</f>
        <v>71067345</v>
      </c>
      <c r="B860" s="7"/>
      <c r="C860" s="6" t="str">
        <f>HYPERLINK("http://www.ncbi.nlm.nih.gov/protein/71067345","Brd2")</f>
        <v>Brd2</v>
      </c>
      <c r="D860" s="8"/>
      <c r="E860" s="8">
        <v>87936</v>
      </c>
      <c r="F860" s="8"/>
      <c r="G860" s="15" t="s">
        <v>10</v>
      </c>
      <c r="H860" s="15" t="s">
        <v>10</v>
      </c>
      <c r="I860" s="15">
        <v>68.103409090909096</v>
      </c>
      <c r="J860" s="15">
        <v>68.103409090909096</v>
      </c>
      <c r="K860" s="15" t="s">
        <v>10</v>
      </c>
      <c r="L860" s="15" t="s">
        <v>10</v>
      </c>
      <c r="M860" s="15" t="s">
        <v>10</v>
      </c>
      <c r="N860" s="15" t="s">
        <v>10</v>
      </c>
      <c r="O860" s="15" t="s">
        <v>10</v>
      </c>
      <c r="P860" s="15" t="s">
        <v>10</v>
      </c>
      <c r="Q860" s="8"/>
      <c r="R860" s="9" t="s">
        <v>861</v>
      </c>
    </row>
    <row r="861" spans="1:18" x14ac:dyDescent="0.25">
      <c r="A861" s="6" t="str">
        <f>HYPERLINK("proteomic_fractions_linear_files/Yang_linear_img/165972331.jpg", "165972331")</f>
        <v>165972331</v>
      </c>
      <c r="B861" s="7"/>
      <c r="C861" s="6" t="str">
        <f>HYPERLINK("http://www.ncbi.nlm.nih.gov/protein/165972331","Brd3")</f>
        <v>Brd3</v>
      </c>
      <c r="D861" s="8"/>
      <c r="E861" s="8">
        <v>79631</v>
      </c>
      <c r="F861" s="8"/>
      <c r="G861" s="15" t="s">
        <v>10</v>
      </c>
      <c r="H861" s="15" t="s">
        <v>10</v>
      </c>
      <c r="I861" s="15">
        <v>74.913750000000007</v>
      </c>
      <c r="J861" s="15">
        <v>74.913750000000007</v>
      </c>
      <c r="K861" s="15">
        <v>74.913750000000007</v>
      </c>
      <c r="L861" s="15">
        <v>74.913750000000007</v>
      </c>
      <c r="M861" s="15" t="s">
        <v>10</v>
      </c>
      <c r="N861" s="15" t="s">
        <v>10</v>
      </c>
      <c r="O861" s="15" t="s">
        <v>10</v>
      </c>
      <c r="P861" s="15" t="s">
        <v>10</v>
      </c>
      <c r="Q861" s="8"/>
      <c r="R861" s="9" t="s">
        <v>862</v>
      </c>
    </row>
    <row r="862" spans="1:18" x14ac:dyDescent="0.25">
      <c r="A862" s="6" t="str">
        <f>HYPERLINK("proteomic_fractions_linear_files/Yang_linear_img/165972335.jpg", "165972335")</f>
        <v>165972335</v>
      </c>
      <c r="B862" s="7"/>
      <c r="C862" s="6" t="str">
        <f>HYPERLINK("http://www.ncbi.nlm.nih.gov/protein/165972335","Brd3")</f>
        <v>Brd3</v>
      </c>
      <c r="D862" s="8"/>
      <c r="E862" s="8">
        <v>81380</v>
      </c>
      <c r="F862" s="8"/>
      <c r="G862" s="15" t="s">
        <v>10</v>
      </c>
      <c r="H862" s="15" t="s">
        <v>10</v>
      </c>
      <c r="I862" s="15">
        <v>73.988888888888894</v>
      </c>
      <c r="J862" s="15">
        <v>73.988888888888894</v>
      </c>
      <c r="K862" s="15">
        <v>73.988888888888894</v>
      </c>
      <c r="L862" s="15">
        <v>73.988888888888894</v>
      </c>
      <c r="M862" s="15" t="s">
        <v>10</v>
      </c>
      <c r="N862" s="15" t="s">
        <v>10</v>
      </c>
      <c r="O862" s="15" t="s">
        <v>10</v>
      </c>
      <c r="P862" s="15" t="s">
        <v>10</v>
      </c>
      <c r="Q862" s="8"/>
      <c r="R862" s="9" t="s">
        <v>863</v>
      </c>
    </row>
    <row r="863" spans="1:18" x14ac:dyDescent="0.25">
      <c r="A863" s="6" t="str">
        <f>HYPERLINK("proteomic_fractions_linear_files/Yang_linear_img/226246640.jpg", "226246640")</f>
        <v>226246640</v>
      </c>
      <c r="B863" s="7"/>
      <c r="C863" s="6" t="str">
        <f>HYPERLINK("http://www.ncbi.nlm.nih.gov/protein/226246640","Brd4")</f>
        <v>Brd4</v>
      </c>
      <c r="D863" s="8"/>
      <c r="E863" s="8">
        <v>80475</v>
      </c>
      <c r="F863" s="8"/>
      <c r="G863" s="15" t="s">
        <v>10</v>
      </c>
      <c r="H863" s="15" t="s">
        <v>10</v>
      </c>
      <c r="I863" s="15">
        <v>74.913750000000007</v>
      </c>
      <c r="J863" s="15">
        <v>74.913750000000007</v>
      </c>
      <c r="K863" s="15">
        <v>74.913750000000007</v>
      </c>
      <c r="L863" s="15">
        <v>74.913750000000007</v>
      </c>
      <c r="M863" s="15" t="s">
        <v>10</v>
      </c>
      <c r="N863" s="15" t="s">
        <v>10</v>
      </c>
      <c r="O863" s="15" t="s">
        <v>10</v>
      </c>
      <c r="P863" s="15" t="s">
        <v>10</v>
      </c>
      <c r="Q863" s="8"/>
      <c r="R863" s="9" t="s">
        <v>864</v>
      </c>
    </row>
    <row r="864" spans="1:18" x14ac:dyDescent="0.25">
      <c r="A864" s="6" t="str">
        <f>HYPERLINK("proteomic_fractions_linear_files/Yang_linear_img/226342873.jpg", "226342873")</f>
        <v>226342873</v>
      </c>
      <c r="B864" s="7"/>
      <c r="C864" s="6" t="str">
        <f>HYPERLINK("http://www.ncbi.nlm.nih.gov/protein/226342873","Brd4")</f>
        <v>Brd4</v>
      </c>
      <c r="D864" s="8"/>
      <c r="E864" s="8">
        <v>155765</v>
      </c>
      <c r="F864" s="8"/>
      <c r="G864" s="15" t="s">
        <v>10</v>
      </c>
      <c r="H864" s="15" t="s">
        <v>10</v>
      </c>
      <c r="I864" s="15">
        <v>38.417307692307695</v>
      </c>
      <c r="J864" s="15">
        <v>38.417307692307695</v>
      </c>
      <c r="K864" s="15">
        <v>38.417307692307695</v>
      </c>
      <c r="L864" s="15">
        <v>38.417307692307695</v>
      </c>
      <c r="M864" s="15" t="s">
        <v>10</v>
      </c>
      <c r="N864" s="15" t="s">
        <v>10</v>
      </c>
      <c r="O864" s="15" t="s">
        <v>10</v>
      </c>
      <c r="P864" s="15" t="s">
        <v>10</v>
      </c>
      <c r="Q864" s="8"/>
      <c r="R864" s="9" t="s">
        <v>865</v>
      </c>
    </row>
    <row r="865" spans="1:18" x14ac:dyDescent="0.25">
      <c r="A865" s="6" t="str">
        <f>HYPERLINK("proteomic_fractions_linear_files/Yang_linear_img/21617851.jpg", "21617851")</f>
        <v>21617851</v>
      </c>
      <c r="B865" s="7"/>
      <c r="C865" s="6" t="str">
        <f>HYPERLINK("http://www.ncbi.nlm.nih.gov/protein/21617851","Bre")</f>
        <v>Bre</v>
      </c>
      <c r="D865" s="8"/>
      <c r="E865" s="8">
        <v>43414</v>
      </c>
      <c r="F865" s="8"/>
      <c r="G865" s="15" t="s">
        <v>10</v>
      </c>
      <c r="H865" s="15" t="s">
        <v>10</v>
      </c>
      <c r="I865" s="15">
        <v>0.942030655888901</v>
      </c>
      <c r="J865" s="15">
        <v>0.942030655888901</v>
      </c>
      <c r="K865" s="15">
        <v>1.0261764941154761</v>
      </c>
      <c r="L865" s="15">
        <v>1.0261764941154761</v>
      </c>
      <c r="M865" s="15">
        <v>0.942030655888901</v>
      </c>
      <c r="N865" s="15">
        <v>0.942030655888901</v>
      </c>
      <c r="O865" s="15">
        <v>0.942030655888901</v>
      </c>
      <c r="P865" s="15">
        <v>0.942030655888901</v>
      </c>
      <c r="Q865" s="8"/>
      <c r="R865" s="9" t="s">
        <v>866</v>
      </c>
    </row>
    <row r="866" spans="1:18" x14ac:dyDescent="0.25">
      <c r="A866" s="6" t="str">
        <f>HYPERLINK("proteomic_fractions_linear_files/Yang_linear_img/41281924.jpg", "41281924")</f>
        <v>41281924</v>
      </c>
      <c r="B866" s="7"/>
      <c r="C866" s="6" t="str">
        <f>HYPERLINK("http://www.ncbi.nlm.nih.gov/protein/41281924","Bre")</f>
        <v>Bre</v>
      </c>
      <c r="D866" s="8"/>
      <c r="E866" s="8">
        <v>47958</v>
      </c>
      <c r="F866" s="8"/>
      <c r="G866" s="15" t="s">
        <v>10</v>
      </c>
      <c r="H866" s="15" t="s">
        <v>10</v>
      </c>
      <c r="I866" s="15">
        <v>0.84390246256714052</v>
      </c>
      <c r="J866" s="15">
        <v>0.84390246256714052</v>
      </c>
      <c r="K866" s="15">
        <v>0.91928310931178059</v>
      </c>
      <c r="L866" s="15">
        <v>0.91928310931178059</v>
      </c>
      <c r="M866" s="15">
        <v>0.84390246256714052</v>
      </c>
      <c r="N866" s="15">
        <v>0.84390246256714052</v>
      </c>
      <c r="O866" s="15">
        <v>0.84390246256714052</v>
      </c>
      <c r="P866" s="15">
        <v>0.84390246256714052</v>
      </c>
      <c r="Q866" s="8"/>
      <c r="R866" s="9" t="s">
        <v>867</v>
      </c>
    </row>
    <row r="867" spans="1:18" x14ac:dyDescent="0.25">
      <c r="A867" s="6" t="str">
        <f>HYPERLINK("proteomic_fractions_linear_files/Yang_linear_img/41281930.jpg", "41281930")</f>
        <v>41281930</v>
      </c>
      <c r="B867" s="7"/>
      <c r="C867" s="6" t="str">
        <f>HYPERLINK("http://www.ncbi.nlm.nih.gov/protein/41281930","Bre")</f>
        <v>Bre</v>
      </c>
      <c r="D867" s="8"/>
      <c r="E867" s="8">
        <v>36464</v>
      </c>
      <c r="F867" s="8"/>
      <c r="G867" s="15" t="s">
        <v>10</v>
      </c>
      <c r="H867" s="15" t="s">
        <v>10</v>
      </c>
      <c r="I867" s="15">
        <v>1.125203283422854</v>
      </c>
      <c r="J867" s="15">
        <v>1.125203283422854</v>
      </c>
      <c r="K867" s="15">
        <v>1.2257108124157075</v>
      </c>
      <c r="L867" s="15">
        <v>1.2257108124157075</v>
      </c>
      <c r="M867" s="15">
        <v>1.125203283422854</v>
      </c>
      <c r="N867" s="15">
        <v>1.125203283422854</v>
      </c>
      <c r="O867" s="15">
        <v>1.125203283422854</v>
      </c>
      <c r="P867" s="15">
        <v>1.125203283422854</v>
      </c>
      <c r="Q867" s="8"/>
      <c r="R867" s="9" t="s">
        <v>868</v>
      </c>
    </row>
    <row r="868" spans="1:18" x14ac:dyDescent="0.25">
      <c r="A868" s="6" t="str">
        <f>HYPERLINK("proteomic_fractions_linear_files/Yang_linear_img/41281940.jpg", "41281940")</f>
        <v>41281940</v>
      </c>
      <c r="B868" s="7"/>
      <c r="C868" s="6" t="str">
        <f>HYPERLINK("http://www.ncbi.nlm.nih.gov/protein/41281940","Bre")</f>
        <v>Bre</v>
      </c>
      <c r="D868" s="8"/>
      <c r="E868" s="8">
        <v>42863</v>
      </c>
      <c r="F868" s="8"/>
      <c r="G868" s="15" t="s">
        <v>10</v>
      </c>
      <c r="H868" s="15" t="s">
        <v>10</v>
      </c>
      <c r="I868" s="15">
        <v>0.942030655888901</v>
      </c>
      <c r="J868" s="15">
        <v>0.942030655888901</v>
      </c>
      <c r="K868" s="15">
        <v>1.0261764941154761</v>
      </c>
      <c r="L868" s="15">
        <v>1.0261764941154761</v>
      </c>
      <c r="M868" s="15">
        <v>0.942030655888901</v>
      </c>
      <c r="N868" s="15">
        <v>0.942030655888901</v>
      </c>
      <c r="O868" s="15">
        <v>0.942030655888901</v>
      </c>
      <c r="P868" s="15">
        <v>0.942030655888901</v>
      </c>
      <c r="Q868" s="8"/>
      <c r="R868" s="9" t="s">
        <v>869</v>
      </c>
    </row>
    <row r="869" spans="1:18" x14ac:dyDescent="0.25">
      <c r="A869" s="6" t="str">
        <f>HYPERLINK("proteomic_fractions_linear_files/Yang_linear_img/41281945.jpg", "41281945")</f>
        <v>41281945</v>
      </c>
      <c r="B869" s="7"/>
      <c r="C869" s="6" t="str">
        <f>HYPERLINK("http://www.ncbi.nlm.nih.gov/protein/41281945","Bre")</f>
        <v>Bre</v>
      </c>
      <c r="D869" s="8"/>
      <c r="E869" s="8">
        <v>27959</v>
      </c>
      <c r="F869" s="8"/>
      <c r="G869" s="15" t="s">
        <v>10</v>
      </c>
      <c r="H869" s="15" t="s">
        <v>10</v>
      </c>
      <c r="I869" s="15">
        <v>1.4466899358293837</v>
      </c>
      <c r="J869" s="15">
        <v>1.4466899358293837</v>
      </c>
      <c r="K869" s="15">
        <v>1.5759139016773382</v>
      </c>
      <c r="L869" s="15">
        <v>1.5759139016773382</v>
      </c>
      <c r="M869" s="15">
        <v>1.5759139016773382</v>
      </c>
      <c r="N869" s="15">
        <v>1.5759139016773382</v>
      </c>
      <c r="O869" s="15">
        <v>1.4466899358293837</v>
      </c>
      <c r="P869" s="15">
        <v>1.4466899358293837</v>
      </c>
      <c r="Q869" s="8"/>
      <c r="R869" s="9" t="s">
        <v>870</v>
      </c>
    </row>
    <row r="870" spans="1:18" x14ac:dyDescent="0.25">
      <c r="A870" s="6" t="str">
        <f>HYPERLINK("proteomic_fractions_linear_files/Yang_linear_img/255683449.jpg", "255683449")</f>
        <v>255683449</v>
      </c>
      <c r="B870" s="7"/>
      <c r="C870" s="6" t="str">
        <f>HYPERLINK("http://www.ncbi.nlm.nih.gov/protein/255683449","Bri3")</f>
        <v>Bri3</v>
      </c>
      <c r="D870" s="8"/>
      <c r="E870" s="8">
        <v>13512</v>
      </c>
      <c r="F870" s="8"/>
      <c r="G870" s="15" t="s">
        <v>10</v>
      </c>
      <c r="H870" s="15" t="s">
        <v>10</v>
      </c>
      <c r="I870" s="15">
        <v>1.085452735272449</v>
      </c>
      <c r="J870" s="15">
        <v>1.085452735272449</v>
      </c>
      <c r="K870" s="15" t="s">
        <v>10</v>
      </c>
      <c r="L870" s="15" t="s">
        <v>10</v>
      </c>
      <c r="M870" s="15">
        <v>1.1376744130844125</v>
      </c>
      <c r="N870" s="15">
        <v>1.1376744130844125</v>
      </c>
      <c r="O870" s="15" t="s">
        <v>10</v>
      </c>
      <c r="P870" s="15" t="s">
        <v>10</v>
      </c>
      <c r="Q870" s="8"/>
      <c r="R870" s="9" t="s">
        <v>871</v>
      </c>
    </row>
    <row r="871" spans="1:18" x14ac:dyDescent="0.25">
      <c r="A871" s="6" t="str">
        <f>HYPERLINK("proteomic_fractions_linear_files/Yang_linear_img/255683451.jpg", "255683451")</f>
        <v>255683451</v>
      </c>
      <c r="B871" s="7"/>
      <c r="C871" s="6" t="str">
        <f>HYPERLINK("http://www.ncbi.nlm.nih.gov/protein/255683451","Bri3")</f>
        <v>Bri3</v>
      </c>
      <c r="D871" s="8"/>
      <c r="E871" s="8">
        <v>12798</v>
      </c>
      <c r="F871" s="8"/>
      <c r="G871" s="15" t="s">
        <v>10</v>
      </c>
      <c r="H871" s="15" t="s">
        <v>10</v>
      </c>
      <c r="I871" s="15">
        <v>1.1689490995241758</v>
      </c>
      <c r="J871" s="15">
        <v>1.1689490995241758</v>
      </c>
      <c r="K871" s="15" t="s">
        <v>10</v>
      </c>
      <c r="L871" s="15" t="s">
        <v>10</v>
      </c>
      <c r="M871" s="15">
        <v>1.2251878294755212</v>
      </c>
      <c r="N871" s="15">
        <v>1.2251878294755212</v>
      </c>
      <c r="O871" s="15" t="s">
        <v>10</v>
      </c>
      <c r="P871" s="15" t="s">
        <v>10</v>
      </c>
      <c r="Q871" s="8"/>
      <c r="R871" s="9" t="s">
        <v>872</v>
      </c>
    </row>
    <row r="872" spans="1:18" x14ac:dyDescent="0.25">
      <c r="A872" s="6" t="str">
        <f>HYPERLINK("proteomic_fractions_linear_files/Yang_linear_img/58037467.jpg", "58037467")</f>
        <v>58037467</v>
      </c>
      <c r="B872" s="7"/>
      <c r="C872" s="6" t="str">
        <f>HYPERLINK("http://www.ncbi.nlm.nih.gov/protein/58037467","Bri3bp")</f>
        <v>Bri3bp</v>
      </c>
      <c r="D872" s="8"/>
      <c r="E872" s="8">
        <v>24119</v>
      </c>
      <c r="F872" s="8"/>
      <c r="G872" s="15">
        <v>0.73208082355662363</v>
      </c>
      <c r="H872" s="15">
        <v>0.73208082355662363</v>
      </c>
      <c r="I872" s="15">
        <v>0.77063746519017018</v>
      </c>
      <c r="J872" s="15">
        <v>0.77063746519017018</v>
      </c>
      <c r="K872" s="15">
        <v>0.81254790950146971</v>
      </c>
      <c r="L872" s="15">
        <v>0.81254790950146971</v>
      </c>
      <c r="M872" s="15">
        <v>0.77063746519017018</v>
      </c>
      <c r="N872" s="15">
        <v>0.77063746519017018</v>
      </c>
      <c r="O872" s="15" t="s">
        <v>10</v>
      </c>
      <c r="P872" s="15" t="s">
        <v>10</v>
      </c>
      <c r="Q872" s="8"/>
      <c r="R872" s="9" t="s">
        <v>873</v>
      </c>
    </row>
    <row r="873" spans="1:18" x14ac:dyDescent="0.25">
      <c r="A873" s="6" t="str">
        <f>HYPERLINK("proteomic_fractions_linear_files/Yang_linear_img/141802630.jpg", "141802630")</f>
        <v>141802630</v>
      </c>
      <c r="B873" s="7"/>
      <c r="C873" s="6" t="str">
        <f>HYPERLINK("http://www.ncbi.nlm.nih.gov/protein/141802630","Brix1")</f>
        <v>Brix1</v>
      </c>
      <c r="D873" s="8"/>
      <c r="E873" s="8">
        <v>41110</v>
      </c>
      <c r="F873" s="8"/>
      <c r="G873" s="15" t="s">
        <v>10</v>
      </c>
      <c r="H873" s="15" t="s">
        <v>10</v>
      </c>
      <c r="I873" s="15" t="s">
        <v>10</v>
      </c>
      <c r="J873" s="15" t="s">
        <v>10</v>
      </c>
      <c r="K873" s="15" t="s">
        <v>10</v>
      </c>
      <c r="L873" s="15" t="s">
        <v>10</v>
      </c>
      <c r="M873" s="15">
        <v>0.98798337081031085</v>
      </c>
      <c r="N873" s="15">
        <v>0.98798337081031085</v>
      </c>
      <c r="O873" s="15" t="s">
        <v>10</v>
      </c>
      <c r="P873" s="15" t="s">
        <v>10</v>
      </c>
      <c r="Q873" s="8"/>
      <c r="R873" s="9" t="s">
        <v>874</v>
      </c>
    </row>
    <row r="874" spans="1:18" x14ac:dyDescent="0.25">
      <c r="A874" s="6" t="str">
        <f>HYPERLINK("proteomic_fractions_linear_files/Yang_linear_img/19527154.jpg", "19527154")</f>
        <v>19527154</v>
      </c>
      <c r="B874" s="7"/>
      <c r="C874" s="6" t="str">
        <f>HYPERLINK("http://www.ncbi.nlm.nih.gov/protein/19527154","Brk1")</f>
        <v>Brk1</v>
      </c>
      <c r="D874" s="8"/>
      <c r="E874" s="8">
        <v>8630</v>
      </c>
      <c r="F874" s="8"/>
      <c r="G874" s="15">
        <v>1.3592068102590398</v>
      </c>
      <c r="H874" s="15">
        <v>1.3592068102590398</v>
      </c>
      <c r="I874" s="15">
        <v>1.4163577046597362</v>
      </c>
      <c r="J874" s="15">
        <v>1.4163577046597362</v>
      </c>
      <c r="K874" s="15">
        <v>1.4774515581112815</v>
      </c>
      <c r="L874" s="15">
        <v>1.4774515581112815</v>
      </c>
      <c r="M874" s="15">
        <v>1.4163577046597362</v>
      </c>
      <c r="N874" s="15">
        <v>1.4774515581112815</v>
      </c>
      <c r="O874" s="15">
        <v>1.3592068102590398</v>
      </c>
      <c r="P874" s="15">
        <v>1.3592068102590398</v>
      </c>
      <c r="Q874" s="8"/>
      <c r="R874" s="9" t="s">
        <v>875</v>
      </c>
    </row>
    <row r="875" spans="1:18" x14ac:dyDescent="0.25">
      <c r="A875" s="6" t="str">
        <f>HYPERLINK("proteomic_fractions_linear_files/Yang_linear_img/58037255.jpg", "58037255")</f>
        <v>58037255</v>
      </c>
      <c r="B875" s="7"/>
      <c r="C875" s="6" t="str">
        <f>HYPERLINK("http://www.ncbi.nlm.nih.gov/protein/58037255","Brox")</f>
        <v>Brox</v>
      </c>
      <c r="D875" s="8"/>
      <c r="E875" s="8">
        <v>46071</v>
      </c>
      <c r="F875" s="8"/>
      <c r="G875" s="15" t="s">
        <v>10</v>
      </c>
      <c r="H875" s="15" t="s">
        <v>10</v>
      </c>
      <c r="I875" s="15">
        <v>0.95925194015142323</v>
      </c>
      <c r="J875" s="15">
        <v>0.95925194015142323</v>
      </c>
      <c r="K875" s="15">
        <v>0.95925194015142323</v>
      </c>
      <c r="L875" s="15">
        <v>0.95925194015142323</v>
      </c>
      <c r="M875" s="15" t="s">
        <v>10</v>
      </c>
      <c r="N875" s="15" t="s">
        <v>10</v>
      </c>
      <c r="O875" s="15">
        <v>0.88059387398310318</v>
      </c>
      <c r="P875" s="15">
        <v>0.88059387398310318</v>
      </c>
      <c r="Q875" s="8"/>
      <c r="R875" s="9" t="s">
        <v>876</v>
      </c>
    </row>
    <row r="876" spans="1:18" x14ac:dyDescent="0.25">
      <c r="A876" s="6" t="str">
        <f>HYPERLINK("proteomic_fractions_linear_files/Yang_linear_img/31542236.jpg", "31542236")</f>
        <v>31542236</v>
      </c>
      <c r="B876" s="7"/>
      <c r="C876" s="6" t="str">
        <f>HYPERLINK("http://www.ncbi.nlm.nih.gov/protein/31542236","Brs3")</f>
        <v>Brs3</v>
      </c>
      <c r="D876" s="8"/>
      <c r="E876" s="8">
        <v>44098</v>
      </c>
      <c r="F876" s="8"/>
      <c r="G876" s="15" t="s">
        <v>10</v>
      </c>
      <c r="H876" s="15" t="s">
        <v>10</v>
      </c>
      <c r="I876" s="15" t="s">
        <v>10</v>
      </c>
      <c r="J876" s="15" t="s">
        <v>10</v>
      </c>
      <c r="K876" s="15" t="s">
        <v>10</v>
      </c>
      <c r="L876" s="15" t="s">
        <v>10</v>
      </c>
      <c r="M876" s="15">
        <v>13.48847285612055</v>
      </c>
      <c r="N876" s="15">
        <v>13.48847285612055</v>
      </c>
      <c r="O876" s="15" t="s">
        <v>10</v>
      </c>
      <c r="P876" s="15" t="s">
        <v>10</v>
      </c>
      <c r="Q876" s="8"/>
      <c r="R876" s="9" t="s">
        <v>877</v>
      </c>
    </row>
    <row r="877" spans="1:18" x14ac:dyDescent="0.25">
      <c r="A877" s="6" t="str">
        <f>HYPERLINK("proteomic_fractions_linear_files/Yang_linear_img/31981603.jpg", "31981603")</f>
        <v>31981603</v>
      </c>
      <c r="B877" s="7"/>
      <c r="C877" s="6" t="str">
        <f>HYPERLINK("http://www.ncbi.nlm.nih.gov/protein/31981603","Bsdc1")</f>
        <v>Bsdc1</v>
      </c>
      <c r="D877" s="8"/>
      <c r="E877" s="8">
        <v>46822</v>
      </c>
      <c r="F877" s="8"/>
      <c r="G877" s="15" t="s">
        <v>10</v>
      </c>
      <c r="H877" s="15" t="s">
        <v>10</v>
      </c>
      <c r="I877" s="15" t="s">
        <v>10</v>
      </c>
      <c r="J877" s="15" t="s">
        <v>10</v>
      </c>
      <c r="K877" s="15">
        <v>1.5624714945038776</v>
      </c>
      <c r="L877" s="15">
        <v>1.5624714945038776</v>
      </c>
      <c r="M877" s="15" t="s">
        <v>10</v>
      </c>
      <c r="N877" s="15" t="s">
        <v>10</v>
      </c>
      <c r="O877" s="15" t="s">
        <v>10</v>
      </c>
      <c r="P877" s="15" t="s">
        <v>10</v>
      </c>
      <c r="Q877" s="8"/>
      <c r="R877" s="9" t="s">
        <v>878</v>
      </c>
    </row>
    <row r="878" spans="1:18" x14ac:dyDescent="0.25">
      <c r="A878" s="6" t="str">
        <f>HYPERLINK("proteomic_fractions_linear_files/Yang_linear_img/116014342.jpg", "116014342")</f>
        <v>116014342</v>
      </c>
      <c r="B878" s="7"/>
      <c r="C878" s="6" t="str">
        <f>HYPERLINK("http://www.ncbi.nlm.nih.gov/protein/116014342","Bsg")</f>
        <v>Bsg</v>
      </c>
      <c r="D878" s="8"/>
      <c r="E878" s="8">
        <v>27615</v>
      </c>
      <c r="F878" s="8"/>
      <c r="G878" s="15">
        <v>2.967809231183709</v>
      </c>
      <c r="H878" s="15">
        <v>2.967809231183709</v>
      </c>
      <c r="I878" s="15">
        <v>1.8971632010714672</v>
      </c>
      <c r="J878" s="15">
        <v>1.8971632010714672</v>
      </c>
      <c r="K878" s="15">
        <v>1.8971632010714672</v>
      </c>
      <c r="L878" s="15">
        <v>2.0990431280569233</v>
      </c>
      <c r="M878" s="15">
        <v>2.0990431280569233</v>
      </c>
      <c r="N878" s="15">
        <v>2.3376165475194406</v>
      </c>
      <c r="O878" s="15" t="s">
        <v>10</v>
      </c>
      <c r="P878" s="15" t="s">
        <v>10</v>
      </c>
      <c r="Q878" s="8"/>
      <c r="R878" s="9" t="s">
        <v>879</v>
      </c>
    </row>
    <row r="879" spans="1:18" x14ac:dyDescent="0.25">
      <c r="A879" s="6" t="str">
        <f>HYPERLINK("proteomic_fractions_linear_files/Yang_linear_img/34915988.jpg", "34915988")</f>
        <v>34915988</v>
      </c>
      <c r="B879" s="7"/>
      <c r="C879" s="6" t="str">
        <f>HYPERLINK("http://www.ncbi.nlm.nih.gov/protein/34915988","Bsg")</f>
        <v>Bsg</v>
      </c>
      <c r="D879" s="8"/>
      <c r="E879" s="8">
        <v>40456</v>
      </c>
      <c r="F879" s="8"/>
      <c r="G879" s="15">
        <v>2.0774664618285965</v>
      </c>
      <c r="H879" s="15">
        <v>2.0774664618285965</v>
      </c>
      <c r="I879" s="15">
        <v>1.3280142407500271</v>
      </c>
      <c r="J879" s="15">
        <v>1.3280142407500271</v>
      </c>
      <c r="K879" s="15">
        <v>1.3280142407500271</v>
      </c>
      <c r="L879" s="15">
        <v>1.4693301896398463</v>
      </c>
      <c r="M879" s="15">
        <v>1.4693301896398463</v>
      </c>
      <c r="N879" s="15">
        <v>1.6363315832636083</v>
      </c>
      <c r="O879" s="15" t="s">
        <v>10</v>
      </c>
      <c r="P879" s="15" t="s">
        <v>10</v>
      </c>
      <c r="Q879" s="8"/>
      <c r="R879" s="9" t="s">
        <v>880</v>
      </c>
    </row>
    <row r="880" spans="1:18" x14ac:dyDescent="0.25">
      <c r="A880" s="6" t="str">
        <f>HYPERLINK("proteomic_fractions_linear_files/Yang_linear_img/91598894.jpg", "91598894")</f>
        <v>91598894</v>
      </c>
      <c r="B880" s="7"/>
      <c r="C880" s="6" t="str">
        <f>HYPERLINK("http://www.ncbi.nlm.nih.gov/protein/91598894","Bsnd")</f>
        <v>Bsnd</v>
      </c>
      <c r="D880" s="8"/>
      <c r="E880" s="8">
        <v>33682</v>
      </c>
      <c r="F880" s="8"/>
      <c r="G880" s="15" t="s">
        <v>10</v>
      </c>
      <c r="H880" s="15" t="s">
        <v>10</v>
      </c>
      <c r="I880" s="15" t="s">
        <v>10</v>
      </c>
      <c r="J880" s="15" t="s">
        <v>10</v>
      </c>
      <c r="K880" s="15">
        <v>1.1913917118594926</v>
      </c>
      <c r="L880" s="15">
        <v>1.1913917118594926</v>
      </c>
      <c r="M880" s="15" t="s">
        <v>10</v>
      </c>
      <c r="N880" s="15" t="s">
        <v>10</v>
      </c>
      <c r="O880" s="15" t="s">
        <v>10</v>
      </c>
      <c r="P880" s="15" t="s">
        <v>10</v>
      </c>
      <c r="Q880" s="8"/>
      <c r="R880" s="9" t="s">
        <v>881</v>
      </c>
    </row>
    <row r="881" spans="1:18" x14ac:dyDescent="0.25">
      <c r="A881" s="6" t="str">
        <f>HYPERLINK("proteomic_fractions_linear_files/Yang_linear_img/20149730.jpg", "20149730")</f>
        <v>20149730</v>
      </c>
      <c r="B881" s="7"/>
      <c r="C881" s="6" t="str">
        <f>HYPERLINK("http://www.ncbi.nlm.nih.gov/protein/20149730","Bspry")</f>
        <v>Bspry</v>
      </c>
      <c r="D881" s="8"/>
      <c r="E881" s="8">
        <v>54068</v>
      </c>
      <c r="F881" s="8"/>
      <c r="G881" s="15" t="s">
        <v>10</v>
      </c>
      <c r="H881" s="15" t="s">
        <v>10</v>
      </c>
      <c r="I881" s="15" t="s">
        <v>10</v>
      </c>
      <c r="J881" s="15" t="s">
        <v>10</v>
      </c>
      <c r="K881" s="15">
        <v>1.0883927330665528</v>
      </c>
      <c r="L881" s="15">
        <v>1.0883927330665528</v>
      </c>
      <c r="M881" s="15" t="s">
        <v>10</v>
      </c>
      <c r="N881" s="15" t="s">
        <v>10</v>
      </c>
      <c r="O881" s="15" t="s">
        <v>10</v>
      </c>
      <c r="P881" s="15" t="s">
        <v>10</v>
      </c>
      <c r="Q881" s="8"/>
      <c r="R881" s="9" t="s">
        <v>882</v>
      </c>
    </row>
    <row r="882" spans="1:18" x14ac:dyDescent="0.25">
      <c r="A882" s="6" t="str">
        <f>HYPERLINK("proteomic_fractions_linear_files/Yang_linear_img/134288869.jpg", "134288869")</f>
        <v>134288869</v>
      </c>
      <c r="B882" s="7"/>
      <c r="C882" s="6" t="str">
        <f>HYPERLINK("http://www.ncbi.nlm.nih.gov/protein/134288869","Bst1")</f>
        <v>Bst1</v>
      </c>
      <c r="D882" s="8"/>
      <c r="E882" s="8">
        <v>29505</v>
      </c>
      <c r="F882" s="8"/>
      <c r="G882" s="15" t="s">
        <v>10</v>
      </c>
      <c r="H882" s="15" t="s">
        <v>10</v>
      </c>
      <c r="I882" s="15" t="s">
        <v>10</v>
      </c>
      <c r="J882" s="15" t="s">
        <v>10</v>
      </c>
      <c r="K882" s="15">
        <v>1.3502439401074249</v>
      </c>
      <c r="L882" s="15">
        <v>1.3502439401074249</v>
      </c>
      <c r="M882" s="15" t="s">
        <v>10</v>
      </c>
      <c r="N882" s="15" t="s">
        <v>10</v>
      </c>
      <c r="O882" s="15" t="s">
        <v>10</v>
      </c>
      <c r="P882" s="15" t="s">
        <v>10</v>
      </c>
      <c r="Q882" s="8"/>
      <c r="R882" s="9" t="s">
        <v>883</v>
      </c>
    </row>
    <row r="883" spans="1:18" x14ac:dyDescent="0.25">
      <c r="A883" s="6" t="str">
        <f>HYPERLINK("proteomic_fractions_linear_files/Yang_linear_img/37674242.jpg", "37674242")</f>
        <v>37674242</v>
      </c>
      <c r="B883" s="7"/>
      <c r="C883" s="6" t="str">
        <f>HYPERLINK("http://www.ncbi.nlm.nih.gov/protein/37674242","Bst2")</f>
        <v>Bst2</v>
      </c>
      <c r="D883" s="8"/>
      <c r="E883" s="8">
        <v>19021</v>
      </c>
      <c r="F883" s="8"/>
      <c r="G883" s="15" t="s">
        <v>10</v>
      </c>
      <c r="H883" s="15" t="s">
        <v>10</v>
      </c>
      <c r="I883" s="15">
        <v>2.3223994340508143</v>
      </c>
      <c r="J883" s="15">
        <v>2.3223994340508143</v>
      </c>
      <c r="K883" s="15" t="s">
        <v>10</v>
      </c>
      <c r="L883" s="15" t="s">
        <v>10</v>
      </c>
      <c r="M883" s="15" t="s">
        <v>10</v>
      </c>
      <c r="N883" s="15" t="s">
        <v>10</v>
      </c>
      <c r="O883" s="15" t="s">
        <v>10</v>
      </c>
      <c r="P883" s="15" t="s">
        <v>10</v>
      </c>
      <c r="Q883" s="8"/>
      <c r="R883" s="9" t="s">
        <v>884</v>
      </c>
    </row>
    <row r="884" spans="1:18" x14ac:dyDescent="0.25">
      <c r="A884" s="6" t="str">
        <f>HYPERLINK("proteomic_fractions_linear_files/Yang_linear_img/123858774.jpg", "123858774")</f>
        <v>123858774</v>
      </c>
      <c r="B884" s="7"/>
      <c r="C884" s="6" t="str">
        <f>HYPERLINK("http://www.ncbi.nlm.nih.gov/protein/123858774","Btaf1")</f>
        <v>Btaf1</v>
      </c>
      <c r="D884" s="8"/>
      <c r="E884" s="8">
        <v>206922</v>
      </c>
      <c r="F884" s="8"/>
      <c r="G884" s="15" t="s">
        <v>10</v>
      </c>
      <c r="H884" s="15" t="s">
        <v>10</v>
      </c>
      <c r="I884" s="15" t="s">
        <v>10</v>
      </c>
      <c r="J884" s="15" t="s">
        <v>10</v>
      </c>
      <c r="K884" s="15">
        <v>1.127347089989609</v>
      </c>
      <c r="L884" s="15">
        <v>1.127347089989609</v>
      </c>
      <c r="M884" s="15">
        <v>1.127347089989609</v>
      </c>
      <c r="N884" s="15">
        <v>1.127347089989609</v>
      </c>
      <c r="O884" s="15">
        <v>1.127347089989609</v>
      </c>
      <c r="P884" s="15">
        <v>1.127347089989609</v>
      </c>
      <c r="Q884" s="8"/>
      <c r="R884" s="9" t="s">
        <v>885</v>
      </c>
    </row>
    <row r="885" spans="1:18" x14ac:dyDescent="0.25">
      <c r="A885" s="6" t="str">
        <f>HYPERLINK("proteomic_fractions_linear_files/Yang_linear_img/83649719.jpg", "83649719")</f>
        <v>83649719</v>
      </c>
      <c r="B885" s="7"/>
      <c r="C885" s="6" t="str">
        <f>HYPERLINK("http://www.ncbi.nlm.nih.gov/protein/83649719","Btbd1")</f>
        <v>Btbd1</v>
      </c>
      <c r="D885" s="8"/>
      <c r="E885" s="8">
        <v>53102</v>
      </c>
      <c r="F885" s="8"/>
      <c r="G885" s="15" t="s">
        <v>10</v>
      </c>
      <c r="H885" s="15" t="s">
        <v>10</v>
      </c>
      <c r="I885" s="15" t="s">
        <v>10</v>
      </c>
      <c r="J885" s="15" t="s">
        <v>10</v>
      </c>
      <c r="K885" s="15">
        <v>1.2349672326517798</v>
      </c>
      <c r="L885" s="15">
        <v>1.2349672326517798</v>
      </c>
      <c r="M885" s="15" t="s">
        <v>10</v>
      </c>
      <c r="N885" s="15" t="s">
        <v>10</v>
      </c>
      <c r="O885" s="15" t="s">
        <v>10</v>
      </c>
      <c r="P885" s="15" t="s">
        <v>10</v>
      </c>
      <c r="Q885" s="8"/>
      <c r="R885" s="9" t="s">
        <v>886</v>
      </c>
    </row>
    <row r="886" spans="1:18" x14ac:dyDescent="0.25">
      <c r="A886" s="6" t="str">
        <f>HYPERLINK("proteomic_fractions_linear_files/Yang_linear_img/163965446.jpg", "163965446")</f>
        <v>163965446</v>
      </c>
      <c r="B886" s="7"/>
      <c r="C886" s="6" t="str">
        <f>HYPERLINK("http://www.ncbi.nlm.nih.gov/protein/163965446","Btbd2")</f>
        <v>Btbd2</v>
      </c>
      <c r="D886" s="8"/>
      <c r="E886" s="8">
        <v>56351</v>
      </c>
      <c r="F886" s="8"/>
      <c r="G886" s="15" t="s">
        <v>10</v>
      </c>
      <c r="H886" s="15" t="s">
        <v>10</v>
      </c>
      <c r="I886" s="15" t="s">
        <v>10</v>
      </c>
      <c r="J886" s="15" t="s">
        <v>10</v>
      </c>
      <c r="K886" s="15">
        <v>1.1688082737597203</v>
      </c>
      <c r="L886" s="15">
        <v>1.1688082737597203</v>
      </c>
      <c r="M886" s="15">
        <v>1.1688082737597203</v>
      </c>
      <c r="N886" s="15">
        <v>1.1688082737597203</v>
      </c>
      <c r="O886" s="15" t="s">
        <v>10</v>
      </c>
      <c r="P886" s="15" t="s">
        <v>10</v>
      </c>
      <c r="Q886" s="8"/>
      <c r="R886" s="9" t="s">
        <v>887</v>
      </c>
    </row>
    <row r="887" spans="1:18" x14ac:dyDescent="0.25">
      <c r="A887" s="6" t="str">
        <f>HYPERLINK("proteomic_fractions_linear_files/Yang_linear_img/13384648.jpg", "13384648")</f>
        <v>13384648</v>
      </c>
      <c r="B887" s="7"/>
      <c r="C887" s="6" t="str">
        <f>HYPERLINK("http://www.ncbi.nlm.nih.gov/protein/13384648","Btd")</f>
        <v>Btd</v>
      </c>
      <c r="D887" s="8"/>
      <c r="E887" s="8">
        <v>55774</v>
      </c>
      <c r="F887" s="8"/>
      <c r="G887" s="15" t="s">
        <v>10</v>
      </c>
      <c r="H887" s="15" t="s">
        <v>10</v>
      </c>
      <c r="I887" s="15">
        <v>1.1688082737597203</v>
      </c>
      <c r="J887" s="15">
        <v>1.1688082737597203</v>
      </c>
      <c r="K887" s="15" t="s">
        <v>10</v>
      </c>
      <c r="L887" s="15" t="s">
        <v>10</v>
      </c>
      <c r="M887" s="15" t="s">
        <v>10</v>
      </c>
      <c r="N887" s="15" t="s">
        <v>10</v>
      </c>
      <c r="O887" s="15" t="s">
        <v>10</v>
      </c>
      <c r="P887" s="15" t="s">
        <v>10</v>
      </c>
      <c r="Q887" s="8"/>
      <c r="R887" s="9" t="s">
        <v>888</v>
      </c>
    </row>
    <row r="888" spans="1:18" x14ac:dyDescent="0.25">
      <c r="A888" s="6" t="str">
        <f>HYPERLINK("proteomic_fractions_linear_files/Yang_linear_img/281485611.jpg", "281485611")</f>
        <v>281485611</v>
      </c>
      <c r="B888" s="7"/>
      <c r="C888" s="6" t="str">
        <f>HYPERLINK("http://www.ncbi.nlm.nih.gov/protein/281485611","Btf3")</f>
        <v>Btf3</v>
      </c>
      <c r="D888" s="8"/>
      <c r="E888" s="8">
        <v>17568</v>
      </c>
      <c r="F888" s="8"/>
      <c r="G888" s="15" t="s">
        <v>10</v>
      </c>
      <c r="H888" s="15" t="s">
        <v>10</v>
      </c>
      <c r="I888" s="15">
        <v>1.0275166202535602</v>
      </c>
      <c r="J888" s="15">
        <v>1.0275166202535602</v>
      </c>
      <c r="K888" s="15">
        <v>1.0275166202535602</v>
      </c>
      <c r="L888" s="15">
        <v>1.0275166202535602</v>
      </c>
      <c r="M888" s="15">
        <v>1.0833972126686264</v>
      </c>
      <c r="N888" s="15">
        <v>1.0833972126686264</v>
      </c>
      <c r="O888" s="15">
        <v>1.0275166202535602</v>
      </c>
      <c r="P888" s="15">
        <v>1.0275166202535602</v>
      </c>
      <c r="Q888" s="8"/>
      <c r="R888" s="9" t="s">
        <v>889</v>
      </c>
    </row>
    <row r="889" spans="1:18" x14ac:dyDescent="0.25">
      <c r="A889" s="6" t="str">
        <f>HYPERLINK("proteomic_fractions_linear_files/Yang_linear_img/56605979.jpg", "56605979")</f>
        <v>56605979</v>
      </c>
      <c r="B889" s="7"/>
      <c r="C889" s="6" t="str">
        <f>HYPERLINK("http://www.ncbi.nlm.nih.gov/protein/56605979","Btf3")</f>
        <v>Btf3</v>
      </c>
      <c r="D889" s="8"/>
      <c r="E889" s="8">
        <v>21900</v>
      </c>
      <c r="F889" s="8"/>
      <c r="G889" s="15" t="s">
        <v>10</v>
      </c>
      <c r="H889" s="15" t="s">
        <v>10</v>
      </c>
      <c r="I889" s="15">
        <v>0.8406954165710947</v>
      </c>
      <c r="J889" s="15">
        <v>0.8406954165710947</v>
      </c>
      <c r="K889" s="15">
        <v>0.8406954165710947</v>
      </c>
      <c r="L889" s="15">
        <v>0.8406954165710947</v>
      </c>
      <c r="M889" s="15">
        <v>0.88641590127433068</v>
      </c>
      <c r="N889" s="15">
        <v>0.88641590127433068</v>
      </c>
      <c r="O889" s="15">
        <v>0.8406954165710947</v>
      </c>
      <c r="P889" s="15">
        <v>0.8406954165710947</v>
      </c>
      <c r="Q889" s="8"/>
      <c r="R889" s="9" t="s">
        <v>890</v>
      </c>
    </row>
    <row r="890" spans="1:18" x14ac:dyDescent="0.25">
      <c r="A890" s="6" t="str">
        <f>HYPERLINK("proteomic_fractions_linear_files/Yang_linear_img/29789195.jpg", "29789195")</f>
        <v>29789195</v>
      </c>
      <c r="B890" s="7"/>
      <c r="C890" s="6" t="str">
        <f>HYPERLINK("http://www.ncbi.nlm.nih.gov/protein/29789195","Btf3l4")</f>
        <v>Btf3l4</v>
      </c>
      <c r="D890" s="8"/>
      <c r="E890" s="8">
        <v>17139</v>
      </c>
      <c r="F890" s="8"/>
      <c r="G890" s="15">
        <v>1.0335258685505275</v>
      </c>
      <c r="H890" s="15">
        <v>1.0335258685505275</v>
      </c>
      <c r="I890" s="15">
        <v>1.0879587743861225</v>
      </c>
      <c r="J890" s="15">
        <v>1.0879587743861225</v>
      </c>
      <c r="K890" s="15">
        <v>1.0879587743861225</v>
      </c>
      <c r="L890" s="15">
        <v>1.0879587743861225</v>
      </c>
      <c r="M890" s="15">
        <v>1.0879587743861225</v>
      </c>
      <c r="N890" s="15">
        <v>1.0879587743861225</v>
      </c>
      <c r="O890" s="15">
        <v>1.0879587743861225</v>
      </c>
      <c r="P890" s="15">
        <v>1.0879587743861225</v>
      </c>
      <c r="Q890" s="8"/>
      <c r="R890" s="9" t="s">
        <v>891</v>
      </c>
    </row>
    <row r="891" spans="1:18" x14ac:dyDescent="0.25">
      <c r="A891" s="6" t="str">
        <f>HYPERLINK("proteomic_fractions_linear_files/Yang_linear_img/161086887.jpg", "161086887")</f>
        <v>161086887</v>
      </c>
      <c r="B891" s="7"/>
      <c r="C891" s="6" t="str">
        <f>HYPERLINK("http://www.ncbi.nlm.nih.gov/protein/161086887","Btrc")</f>
        <v>Btrc</v>
      </c>
      <c r="D891" s="8"/>
      <c r="E891" s="8">
        <v>68792</v>
      </c>
      <c r="F891" s="8"/>
      <c r="G891" s="15" t="s">
        <v>10</v>
      </c>
      <c r="H891" s="15" t="s">
        <v>10</v>
      </c>
      <c r="I891" s="15" t="s">
        <v>10</v>
      </c>
      <c r="J891" s="15" t="s">
        <v>10</v>
      </c>
      <c r="K891" s="15" t="s">
        <v>10</v>
      </c>
      <c r="L891" s="15" t="s">
        <v>10</v>
      </c>
      <c r="M891" s="15">
        <v>0.76986332797103008</v>
      </c>
      <c r="N891" s="15">
        <v>0.76986332797103008</v>
      </c>
      <c r="O891" s="15" t="s">
        <v>10</v>
      </c>
      <c r="P891" s="15" t="s">
        <v>10</v>
      </c>
      <c r="Q891" s="8"/>
      <c r="R891" s="9" t="s">
        <v>892</v>
      </c>
    </row>
    <row r="892" spans="1:18" x14ac:dyDescent="0.25">
      <c r="A892" s="6" t="str">
        <f>HYPERLINK("proteomic_fractions_linear_files/Yang_linear_img/6753210.jpg", "6753210")</f>
        <v>6753210</v>
      </c>
      <c r="B892" s="7"/>
      <c r="C892" s="6" t="str">
        <f>HYPERLINK("http://www.ncbi.nlm.nih.gov/protein/6753210","Btrc")</f>
        <v>Btrc</v>
      </c>
      <c r="D892" s="8"/>
      <c r="E892" s="8">
        <v>64975</v>
      </c>
      <c r="F892" s="8"/>
      <c r="G892" s="15" t="s">
        <v>10</v>
      </c>
      <c r="H892" s="15" t="s">
        <v>10</v>
      </c>
      <c r="I892" s="15" t="s">
        <v>10</v>
      </c>
      <c r="J892" s="15" t="s">
        <v>10</v>
      </c>
      <c r="K892" s="15" t="s">
        <v>10</v>
      </c>
      <c r="L892" s="15" t="s">
        <v>10</v>
      </c>
      <c r="M892" s="15">
        <v>0.81723953276924732</v>
      </c>
      <c r="N892" s="15">
        <v>0.81723953276924732</v>
      </c>
      <c r="O892" s="15" t="s">
        <v>10</v>
      </c>
      <c r="P892" s="15" t="s">
        <v>10</v>
      </c>
      <c r="Q892" s="8"/>
      <c r="R892" s="9" t="s">
        <v>893</v>
      </c>
    </row>
    <row r="893" spans="1:18" x14ac:dyDescent="0.25">
      <c r="A893" s="6" t="str">
        <f>HYPERLINK("proteomic_fractions_linear_files/Yang_linear_img/163937845.jpg", "163937845")</f>
        <v>163937845</v>
      </c>
      <c r="B893" s="7"/>
      <c r="C893" s="6" t="str">
        <f>HYPERLINK("http://www.ncbi.nlm.nih.gov/protein/163937845","Bub1")</f>
        <v>Bub1</v>
      </c>
      <c r="D893" s="8"/>
      <c r="E893" s="8">
        <v>119598</v>
      </c>
      <c r="F893" s="8"/>
      <c r="G893" s="15" t="s">
        <v>10</v>
      </c>
      <c r="H893" s="15" t="s">
        <v>10</v>
      </c>
      <c r="I893" s="15" t="s">
        <v>10</v>
      </c>
      <c r="J893" s="15" t="s">
        <v>10</v>
      </c>
      <c r="K893" s="15">
        <v>1.2787739261353486</v>
      </c>
      <c r="L893" s="15">
        <v>1.2787739261353486</v>
      </c>
      <c r="M893" s="15" t="s">
        <v>10</v>
      </c>
      <c r="N893" s="15" t="s">
        <v>10</v>
      </c>
      <c r="O893" s="15" t="s">
        <v>10</v>
      </c>
      <c r="P893" s="15" t="s">
        <v>10</v>
      </c>
      <c r="Q893" s="8"/>
      <c r="R893" s="9" t="s">
        <v>894</v>
      </c>
    </row>
    <row r="894" spans="1:18" x14ac:dyDescent="0.25">
      <c r="A894" s="6" t="str">
        <f>HYPERLINK("proteomic_fractions_linear_files/Yang_linear_img/163937847.jpg", "163937847")</f>
        <v>163937847</v>
      </c>
      <c r="B894" s="7"/>
      <c r="C894" s="6" t="str">
        <f>HYPERLINK("http://www.ncbi.nlm.nih.gov/protein/163937847","Bub1")</f>
        <v>Bub1</v>
      </c>
      <c r="D894" s="8"/>
      <c r="E894" s="8">
        <v>119460</v>
      </c>
      <c r="F894" s="8"/>
      <c r="G894" s="15" t="s">
        <v>10</v>
      </c>
      <c r="H894" s="15" t="s">
        <v>10</v>
      </c>
      <c r="I894" s="15" t="s">
        <v>10</v>
      </c>
      <c r="J894" s="15" t="s">
        <v>10</v>
      </c>
      <c r="K894" s="15">
        <v>1.2895199255146372</v>
      </c>
      <c r="L894" s="15">
        <v>1.2895199255146372</v>
      </c>
      <c r="M894" s="15" t="s">
        <v>10</v>
      </c>
      <c r="N894" s="15" t="s">
        <v>10</v>
      </c>
      <c r="O894" s="15" t="s">
        <v>10</v>
      </c>
      <c r="P894" s="15" t="s">
        <v>10</v>
      </c>
      <c r="Q894" s="8"/>
      <c r="R894" s="9" t="s">
        <v>895</v>
      </c>
    </row>
    <row r="895" spans="1:18" x14ac:dyDescent="0.25">
      <c r="A895" s="6" t="str">
        <f>HYPERLINK("proteomic_fractions_linear_files/Yang_linear_img/157951692.jpg", "157951692")</f>
        <v>157951692</v>
      </c>
      <c r="B895" s="7"/>
      <c r="C895" s="6" t="str">
        <f>HYPERLINK("http://www.ncbi.nlm.nih.gov/protein/157951692","Bub1b")</f>
        <v>Bub1b</v>
      </c>
      <c r="D895" s="8"/>
      <c r="E895" s="8">
        <v>118262</v>
      </c>
      <c r="F895" s="8"/>
      <c r="G895" s="15">
        <v>0.31645191884003893</v>
      </c>
      <c r="H895" s="15">
        <v>0.31645191884003893</v>
      </c>
      <c r="I895" s="15">
        <v>0.22161235691038136</v>
      </c>
      <c r="J895" s="15">
        <v>0.22161235691038136</v>
      </c>
      <c r="K895" s="15">
        <v>0.22161235691038136</v>
      </c>
      <c r="L895" s="15">
        <v>0.22161235691038136</v>
      </c>
      <c r="M895" s="15">
        <v>0.22161235691038136</v>
      </c>
      <c r="N895" s="15">
        <v>0.22161235691038136</v>
      </c>
      <c r="O895" s="15">
        <v>0.18470968025998941</v>
      </c>
      <c r="P895" s="15">
        <v>0.18470968025998941</v>
      </c>
      <c r="Q895" s="8"/>
      <c r="R895" s="9" t="s">
        <v>896</v>
      </c>
    </row>
    <row r="896" spans="1:18" x14ac:dyDescent="0.25">
      <c r="A896" s="6" t="str">
        <f>HYPERLINK("proteomic_fractions_linear_files/Yang_linear_img/31560618.jpg", "31560618")</f>
        <v>31560618</v>
      </c>
      <c r="B896" s="7"/>
      <c r="C896" s="6" t="str">
        <f>HYPERLINK("http://www.ncbi.nlm.nih.gov/protein/31560618","Bub3")</f>
        <v>Bub3</v>
      </c>
      <c r="D896" s="8"/>
      <c r="E896" s="8">
        <v>36824</v>
      </c>
      <c r="F896" s="8"/>
      <c r="G896" s="15">
        <v>1.4356910710811102</v>
      </c>
      <c r="H896" s="15">
        <v>1.4356910710811102</v>
      </c>
      <c r="I896" s="15">
        <v>1.0092250384628267</v>
      </c>
      <c r="J896" s="15">
        <v>1.0092250384628267</v>
      </c>
      <c r="K896" s="15">
        <v>1.0947923838708851</v>
      </c>
      <c r="L896" s="15">
        <v>1.0947923838708851</v>
      </c>
      <c r="M896" s="15">
        <v>1.0092250384628267</v>
      </c>
      <c r="N896" s="15">
        <v>1.0092250384628267</v>
      </c>
      <c r="O896" s="15">
        <v>0.93387504136419419</v>
      </c>
      <c r="P896" s="15">
        <v>0.93387504136419419</v>
      </c>
      <c r="Q896" s="8"/>
      <c r="R896" s="9" t="s">
        <v>897</v>
      </c>
    </row>
    <row r="897" spans="1:18" x14ac:dyDescent="0.25">
      <c r="A897" s="6" t="str">
        <f>HYPERLINK("proteomic_fractions_linear_files/Yang_linear_img/57222238.jpg", "57222238")</f>
        <v>57222238</v>
      </c>
      <c r="B897" s="7"/>
      <c r="C897" s="6" t="str">
        <f>HYPERLINK("http://www.ncbi.nlm.nih.gov/protein/57222238","Bud31")</f>
        <v>Bud31</v>
      </c>
      <c r="D897" s="8"/>
      <c r="E897" s="8">
        <v>11774</v>
      </c>
      <c r="F897" s="8"/>
      <c r="G897" s="15">
        <v>2.0462350511064096</v>
      </c>
      <c r="H897" s="15">
        <v>2.0462350511064096</v>
      </c>
      <c r="I897" s="15">
        <v>1.3930395433839184</v>
      </c>
      <c r="J897" s="15">
        <v>1.3930395433839184</v>
      </c>
      <c r="K897" s="15">
        <v>1.3930395433839184</v>
      </c>
      <c r="L897" s="15">
        <v>1.3930395433839184</v>
      </c>
      <c r="M897" s="15">
        <v>1.4641616471132473</v>
      </c>
      <c r="N897" s="15">
        <v>1.4641616471132473</v>
      </c>
      <c r="O897" s="15">
        <v>1.3930395433839184</v>
      </c>
      <c r="P897" s="15">
        <v>1.3930395433839184</v>
      </c>
      <c r="Q897" s="8"/>
      <c r="R897" s="9" t="s">
        <v>898</v>
      </c>
    </row>
    <row r="898" spans="1:18" x14ac:dyDescent="0.25">
      <c r="A898" s="6" t="str">
        <f>HYPERLINK("proteomic_fractions_linear_files/Yang_linear_img/164698440.jpg", "164698440")</f>
        <v>164698440</v>
      </c>
      <c r="B898" s="7"/>
      <c r="C898" s="6" t="str">
        <f>HYPERLINK("http://www.ncbi.nlm.nih.gov/protein/164698440","Bysl")</f>
        <v>Bysl</v>
      </c>
      <c r="D898" s="8"/>
      <c r="E898" s="8">
        <v>49653</v>
      </c>
      <c r="F898" s="8"/>
      <c r="G898" s="15" t="s">
        <v>10</v>
      </c>
      <c r="H898" s="15" t="s">
        <v>10</v>
      </c>
      <c r="I898" s="15" t="s">
        <v>10</v>
      </c>
      <c r="J898" s="15" t="s">
        <v>10</v>
      </c>
      <c r="K898" s="15">
        <v>1.0624113926000216</v>
      </c>
      <c r="L898" s="15">
        <v>1.0624113926000216</v>
      </c>
      <c r="M898" s="15">
        <v>0.96579951168830502</v>
      </c>
      <c r="N898" s="15">
        <v>0.96579951168830502</v>
      </c>
      <c r="O898" s="15" t="s">
        <v>10</v>
      </c>
      <c r="P898" s="15" t="s">
        <v>10</v>
      </c>
      <c r="Q898" s="8"/>
      <c r="R898" s="9" t="s">
        <v>899</v>
      </c>
    </row>
    <row r="899" spans="1:18" x14ac:dyDescent="0.25">
      <c r="A899" s="6" t="str">
        <f>HYPERLINK("proteomic_fractions_linear_files/Yang_linear_img/157909774.jpg", "157909774")</f>
        <v>157909774</v>
      </c>
      <c r="B899" s="7"/>
      <c r="C899" s="6" t="str">
        <f>HYPERLINK("http://www.ncbi.nlm.nih.gov/protein/157909774","Bzrap1")</f>
        <v>Bzrap1</v>
      </c>
      <c r="D899" s="8"/>
      <c r="E899" s="8">
        <v>199798</v>
      </c>
      <c r="F899" s="8"/>
      <c r="G899" s="15" t="s">
        <v>10</v>
      </c>
      <c r="H899" s="15" t="s">
        <v>10</v>
      </c>
      <c r="I899" s="15" t="s">
        <v>10</v>
      </c>
      <c r="J899" s="15" t="s">
        <v>10</v>
      </c>
      <c r="K899" s="15">
        <v>6.1164306461656784E-2</v>
      </c>
      <c r="L899" s="15">
        <v>6.1164306461656784E-2</v>
      </c>
      <c r="M899" s="15" t="s">
        <v>10</v>
      </c>
      <c r="N899" s="15" t="s">
        <v>10</v>
      </c>
      <c r="O899" s="15" t="s">
        <v>10</v>
      </c>
      <c r="P899" s="15" t="s">
        <v>10</v>
      </c>
      <c r="Q899" s="8"/>
      <c r="R899" s="9" t="s">
        <v>900</v>
      </c>
    </row>
    <row r="900" spans="1:18" x14ac:dyDescent="0.25">
      <c r="A900" s="6" t="str">
        <f>HYPERLINK("proteomic_fractions_linear_files/Yang_linear_img/13385296.jpg", "13385296")</f>
        <v>13385296</v>
      </c>
      <c r="B900" s="7"/>
      <c r="C900" s="6" t="str">
        <f>HYPERLINK("http://www.ncbi.nlm.nih.gov/protein/13385296","Bzw1")</f>
        <v>Bzw1</v>
      </c>
      <c r="D900" s="8"/>
      <c r="E900" s="8">
        <v>47912</v>
      </c>
      <c r="F900" s="8"/>
      <c r="G900" s="15">
        <v>1.1066785339583558</v>
      </c>
      <c r="H900" s="15">
        <v>1.1066785339583558</v>
      </c>
      <c r="I900" s="15">
        <v>0.91928310931178059</v>
      </c>
      <c r="J900" s="15">
        <v>0.91928310931178059</v>
      </c>
      <c r="K900" s="15">
        <v>0.91928310931178059</v>
      </c>
      <c r="L900" s="15">
        <v>0.91928310931178059</v>
      </c>
      <c r="M900" s="15">
        <v>0.84390246256714052</v>
      </c>
      <c r="N900" s="15">
        <v>0.84390246256714052</v>
      </c>
      <c r="O900" s="15">
        <v>0.77794430048176233</v>
      </c>
      <c r="P900" s="15">
        <v>0.77794430048176233</v>
      </c>
      <c r="Q900" s="8"/>
      <c r="R900" s="9" t="s">
        <v>901</v>
      </c>
    </row>
    <row r="901" spans="1:18" x14ac:dyDescent="0.25">
      <c r="A901" s="6" t="str">
        <f>HYPERLINK("proteomic_fractions_linear_files/Yang_linear_img/31981160.jpg", "31981160")</f>
        <v>31981160</v>
      </c>
      <c r="B901" s="7"/>
      <c r="C901" s="6" t="str">
        <f>HYPERLINK("http://www.ncbi.nlm.nih.gov/protein/31981160","Bzw2")</f>
        <v>Bzw2</v>
      </c>
      <c r="D901" s="8"/>
      <c r="E901" s="8">
        <v>47932</v>
      </c>
      <c r="F901" s="8"/>
      <c r="G901" s="15">
        <v>1.2244418246998718</v>
      </c>
      <c r="H901" s="15">
        <v>1.2244418246998718</v>
      </c>
      <c r="I901" s="15">
        <v>0.91928310931178059</v>
      </c>
      <c r="J901" s="15">
        <v>0.91928310931178059</v>
      </c>
      <c r="K901" s="15">
        <v>0.91928310931178059</v>
      </c>
      <c r="L901" s="15">
        <v>0.91928310931178059</v>
      </c>
      <c r="M901" s="15">
        <v>0.84390246256714052</v>
      </c>
      <c r="N901" s="15">
        <v>0.84390246256714052</v>
      </c>
      <c r="O901" s="15">
        <v>0.84390246256714052</v>
      </c>
      <c r="P901" s="15">
        <v>0.84390246256714052</v>
      </c>
      <c r="Q901" s="8"/>
      <c r="R901" s="9" t="s">
        <v>902</v>
      </c>
    </row>
    <row r="902" spans="1:18" x14ac:dyDescent="0.25">
      <c r="A902" s="6" t="str">
        <f>HYPERLINK("proteomic_fractions_linear_files/Yang_linear_img/210147428.jpg", "210147428")</f>
        <v>210147428</v>
      </c>
      <c r="B902" s="7"/>
      <c r="C902" s="6" t="str">
        <f>HYPERLINK("http://www.ncbi.nlm.nih.gov/protein/210147428","C030006K11Rik")</f>
        <v>C030006K11Rik</v>
      </c>
      <c r="D902" s="8"/>
      <c r="E902" s="8">
        <v>8434</v>
      </c>
      <c r="F902" s="8"/>
      <c r="G902" s="15">
        <v>2.3119123955705105</v>
      </c>
      <c r="H902" s="15">
        <v>2.3119123955705105</v>
      </c>
      <c r="I902" s="15" t="s">
        <v>10</v>
      </c>
      <c r="J902" s="15" t="s">
        <v>10</v>
      </c>
      <c r="K902" s="15" t="s">
        <v>10</v>
      </c>
      <c r="L902" s="15" t="s">
        <v>10</v>
      </c>
      <c r="M902" s="15" t="s">
        <v>10</v>
      </c>
      <c r="N902" s="15" t="s">
        <v>10</v>
      </c>
      <c r="O902" s="15">
        <v>2.4376437285044092</v>
      </c>
      <c r="P902" s="15">
        <v>2.4376437285044092</v>
      </c>
      <c r="Q902" s="8"/>
      <c r="R902" s="9" t="s">
        <v>903</v>
      </c>
    </row>
    <row r="903" spans="1:18" x14ac:dyDescent="0.25">
      <c r="A903" s="6" t="str">
        <f>HYPERLINK("proteomic_fractions_linear_files/Yang_linear_img/21735489.jpg", "21735489")</f>
        <v>21735489</v>
      </c>
      <c r="B903" s="7"/>
      <c r="C903" s="6" t="str">
        <f>HYPERLINK("http://www.ncbi.nlm.nih.gov/protein/21735489","C030006K11Rik")</f>
        <v>C030006K11Rik</v>
      </c>
      <c r="D903" s="8"/>
      <c r="E903" s="8">
        <v>24199</v>
      </c>
      <c r="F903" s="8"/>
      <c r="G903" s="15">
        <v>0.77063746519017018</v>
      </c>
      <c r="H903" s="15">
        <v>0.77063746519017018</v>
      </c>
      <c r="I903" s="15" t="s">
        <v>10</v>
      </c>
      <c r="J903" s="15" t="s">
        <v>10</v>
      </c>
      <c r="K903" s="15" t="s">
        <v>10</v>
      </c>
      <c r="L903" s="15" t="s">
        <v>10</v>
      </c>
      <c r="M903" s="15" t="s">
        <v>10</v>
      </c>
      <c r="N903" s="15" t="s">
        <v>10</v>
      </c>
      <c r="O903" s="15">
        <v>0.81254790950146971</v>
      </c>
      <c r="P903" s="15">
        <v>0.81254790950146971</v>
      </c>
      <c r="Q903" s="8"/>
      <c r="R903" s="9" t="s">
        <v>904</v>
      </c>
    </row>
    <row r="904" spans="1:18" x14ac:dyDescent="0.25">
      <c r="A904" s="6" t="str">
        <f>HYPERLINK("proteomic_fractions_linear_files/Yang_linear_img/112181167.jpg", "112181167")</f>
        <v>112181167</v>
      </c>
      <c r="B904" s="7"/>
      <c r="C904" s="6" t="str">
        <f>HYPERLINK("http://www.ncbi.nlm.nih.gov/protein/112181167","C1qbp")</f>
        <v>C1qbp</v>
      </c>
      <c r="D904" s="8"/>
      <c r="E904" s="8">
        <v>30894</v>
      </c>
      <c r="F904" s="8"/>
      <c r="G904" s="15">
        <v>1.3066876839749273</v>
      </c>
      <c r="H904" s="15">
        <v>1.3066876839749273</v>
      </c>
      <c r="I904" s="15">
        <v>0.84355671340080651</v>
      </c>
      <c r="J904" s="15">
        <v>0.84355671340080651</v>
      </c>
      <c r="K904" s="15" t="s">
        <v>10</v>
      </c>
      <c r="L904" s="15" t="s">
        <v>10</v>
      </c>
      <c r="M904" s="15">
        <v>0.90058746121555033</v>
      </c>
      <c r="N904" s="15">
        <v>0.90058746121555033</v>
      </c>
      <c r="O904" s="15" t="s">
        <v>10</v>
      </c>
      <c r="P904" s="15" t="s">
        <v>10</v>
      </c>
      <c r="Q904" s="8"/>
      <c r="R904" s="9" t="s">
        <v>905</v>
      </c>
    </row>
    <row r="905" spans="1:18" x14ac:dyDescent="0.25">
      <c r="A905" s="6" t="str">
        <f>HYPERLINK("proteomic_fractions_linear_files/Yang_linear_img/157838011.jpg", "157838011")</f>
        <v>157838011</v>
      </c>
      <c r="B905" s="7"/>
      <c r="C905" s="6" t="str">
        <f>HYPERLINK("http://www.ncbi.nlm.nih.gov/protein/157838011","C2cd5")</f>
        <v>C2cd5</v>
      </c>
      <c r="D905" s="8"/>
      <c r="E905" s="8">
        <v>111534</v>
      </c>
      <c r="F905" s="8"/>
      <c r="G905" s="15" t="s">
        <v>10</v>
      </c>
      <c r="H905" s="15" t="s">
        <v>10</v>
      </c>
      <c r="I905" s="15" t="s">
        <v>10</v>
      </c>
      <c r="J905" s="15" t="s">
        <v>10</v>
      </c>
      <c r="K905" s="15" t="s">
        <v>10</v>
      </c>
      <c r="L905" s="15" t="s">
        <v>10</v>
      </c>
      <c r="M905" s="15">
        <v>0.16513659968360789</v>
      </c>
      <c r="N905" s="15">
        <v>0.16513659968360789</v>
      </c>
      <c r="O905" s="15" t="s">
        <v>10</v>
      </c>
      <c r="P905" s="15" t="s">
        <v>10</v>
      </c>
      <c r="Q905" s="8"/>
      <c r="R905" s="9" t="s">
        <v>906</v>
      </c>
    </row>
    <row r="906" spans="1:18" x14ac:dyDescent="0.25">
      <c r="A906" s="6" t="str">
        <f>HYPERLINK("proteomic_fractions_linear_files/Yang_linear_img/157838013.jpg", "157838013")</f>
        <v>157838013</v>
      </c>
      <c r="B906" s="7"/>
      <c r="C906" s="6" t="str">
        <f>HYPERLINK("http://www.ncbi.nlm.nih.gov/protein/157838013","C2cd5")</f>
        <v>C2cd5</v>
      </c>
      <c r="D906" s="8"/>
      <c r="E906" s="8">
        <v>109771</v>
      </c>
      <c r="F906" s="8"/>
      <c r="G906" s="15" t="s">
        <v>10</v>
      </c>
      <c r="H906" s="15" t="s">
        <v>10</v>
      </c>
      <c r="I906" s="15" t="s">
        <v>10</v>
      </c>
      <c r="J906" s="15" t="s">
        <v>10</v>
      </c>
      <c r="K906" s="15" t="s">
        <v>10</v>
      </c>
      <c r="L906" s="15" t="s">
        <v>10</v>
      </c>
      <c r="M906" s="15">
        <v>0.16813908331421895</v>
      </c>
      <c r="N906" s="15">
        <v>0.16813908331421895</v>
      </c>
      <c r="O906" s="15" t="s">
        <v>10</v>
      </c>
      <c r="P906" s="15" t="s">
        <v>10</v>
      </c>
      <c r="Q906" s="8"/>
      <c r="R906" s="9" t="s">
        <v>907</v>
      </c>
    </row>
    <row r="907" spans="1:18" x14ac:dyDescent="0.25">
      <c r="A907" s="6" t="str">
        <f>HYPERLINK("proteomic_fractions_linear_files/Yang_linear_img/157838015.jpg", "157838015")</f>
        <v>157838015</v>
      </c>
      <c r="B907" s="7"/>
      <c r="C907" s="6" t="str">
        <f>HYPERLINK("http://www.ncbi.nlm.nih.gov/protein/157838015","C2cd5")</f>
        <v>C2cd5</v>
      </c>
      <c r="D907" s="8"/>
      <c r="E907" s="8">
        <v>108738</v>
      </c>
      <c r="F907" s="8"/>
      <c r="G907" s="15" t="s">
        <v>10</v>
      </c>
      <c r="H907" s="15" t="s">
        <v>10</v>
      </c>
      <c r="I907" s="15" t="s">
        <v>10</v>
      </c>
      <c r="J907" s="15" t="s">
        <v>10</v>
      </c>
      <c r="K907" s="15" t="s">
        <v>10</v>
      </c>
      <c r="L907" s="15" t="s">
        <v>10</v>
      </c>
      <c r="M907" s="15">
        <v>0.16968164371159711</v>
      </c>
      <c r="N907" s="15">
        <v>0.16968164371159711</v>
      </c>
      <c r="O907" s="15" t="s">
        <v>10</v>
      </c>
      <c r="P907" s="15" t="s">
        <v>10</v>
      </c>
      <c r="Q907" s="8"/>
      <c r="R907" s="9" t="s">
        <v>908</v>
      </c>
    </row>
    <row r="908" spans="1:18" x14ac:dyDescent="0.25">
      <c r="A908" s="6" t="str">
        <f>HYPERLINK("proteomic_fractions_linear_files/Yang_linear_img/166063959.jpg", "166063959")</f>
        <v>166063959</v>
      </c>
      <c r="B908" s="7"/>
      <c r="C908" s="6" t="str">
        <f>HYPERLINK("http://www.ncbi.nlm.nih.gov/protein/166063959","C330007P06Rik")</f>
        <v>C330007P06Rik</v>
      </c>
      <c r="D908" s="8"/>
      <c r="E908" s="8">
        <v>25463</v>
      </c>
      <c r="F908" s="8"/>
      <c r="G908" s="15" t="s">
        <v>10</v>
      </c>
      <c r="H908" s="15" t="s">
        <v>10</v>
      </c>
      <c r="I908" s="15">
        <v>1.1167284519072824</v>
      </c>
      <c r="J908" s="15">
        <v>1.1167284519072824</v>
      </c>
      <c r="K908" s="15">
        <v>1.1167284519072824</v>
      </c>
      <c r="L908" s="15">
        <v>1.1167284519072824</v>
      </c>
      <c r="M908" s="15">
        <v>1.1167284519072824</v>
      </c>
      <c r="N908" s="15">
        <v>1.1167284519072824</v>
      </c>
      <c r="O908" s="15">
        <v>0.9821928245310767</v>
      </c>
      <c r="P908" s="15">
        <v>0.9821928245310767</v>
      </c>
      <c r="Q908" s="8"/>
      <c r="R908" s="9" t="s">
        <v>909</v>
      </c>
    </row>
    <row r="909" spans="1:18" x14ac:dyDescent="0.25">
      <c r="A909" s="6" t="str">
        <f>HYPERLINK("proteomic_fractions_linear_files/Yang_linear_img/75677516.jpg", "75677516")</f>
        <v>75677516</v>
      </c>
      <c r="B909" s="7"/>
      <c r="C909" s="6" t="str">
        <f>HYPERLINK("http://www.ncbi.nlm.nih.gov/protein/75677516","C77080")</f>
        <v>C77080</v>
      </c>
      <c r="D909" s="8"/>
      <c r="E909" s="8">
        <v>110523</v>
      </c>
      <c r="F909" s="8"/>
      <c r="G909" s="15" t="s">
        <v>10</v>
      </c>
      <c r="H909" s="15" t="s">
        <v>10</v>
      </c>
      <c r="I909" s="15">
        <v>0.16662431679787462</v>
      </c>
      <c r="J909" s="15">
        <v>0.16662431679787462</v>
      </c>
      <c r="K909" s="15">
        <v>2.1023499786292708</v>
      </c>
      <c r="L909" s="15">
        <v>2.1023499786292708</v>
      </c>
      <c r="M909" s="15" t="s">
        <v>10</v>
      </c>
      <c r="N909" s="15" t="s">
        <v>10</v>
      </c>
      <c r="O909" s="15" t="s">
        <v>10</v>
      </c>
      <c r="P909" s="15" t="s">
        <v>10</v>
      </c>
      <c r="Q909" s="8"/>
      <c r="R909" s="9" t="s">
        <v>910</v>
      </c>
    </row>
    <row r="910" spans="1:18" x14ac:dyDescent="0.25">
      <c r="A910" s="6" t="str">
        <f>HYPERLINK("proteomic_fractions_linear_files/Yang_linear_img/401871063.jpg", "401871063")</f>
        <v>401871063</v>
      </c>
      <c r="B910" s="7"/>
      <c r="C910" s="6" t="str">
        <f>HYPERLINK("http://www.ncbi.nlm.nih.gov/protein/401871063","C920025E04Rik")</f>
        <v>C920025E04Rik</v>
      </c>
      <c r="D910" s="8"/>
      <c r="E910" s="8">
        <v>35886</v>
      </c>
      <c r="F910" s="8"/>
      <c r="G910" s="15" t="s">
        <v>10</v>
      </c>
      <c r="H910" s="15" t="s">
        <v>10</v>
      </c>
      <c r="I910" s="15" t="s">
        <v>10</v>
      </c>
      <c r="J910" s="15" t="s">
        <v>10</v>
      </c>
      <c r="K910" s="15">
        <v>1.3413882106782014</v>
      </c>
      <c r="L910" s="15">
        <v>1.3413882106782014</v>
      </c>
      <c r="M910" s="15" t="s">
        <v>10</v>
      </c>
      <c r="N910" s="15" t="s">
        <v>10</v>
      </c>
      <c r="O910" s="15" t="s">
        <v>10</v>
      </c>
      <c r="P910" s="15" t="s">
        <v>10</v>
      </c>
      <c r="Q910" s="8"/>
      <c r="R910" s="9" t="s">
        <v>911</v>
      </c>
    </row>
    <row r="911" spans="1:18" x14ac:dyDescent="0.25">
      <c r="A911" s="6" t="str">
        <f>HYPERLINK("proteomic_fractions_linear_files/Yang_linear_img/161086893.jpg", "161086893")</f>
        <v>161086893</v>
      </c>
      <c r="B911" s="7"/>
      <c r="C911" s="6" t="str">
        <f>HYPERLINK("http://www.ncbi.nlm.nih.gov/protein/161086893","Cab39")</f>
        <v>Cab39</v>
      </c>
      <c r="D911" s="8"/>
      <c r="E911" s="8">
        <v>39712</v>
      </c>
      <c r="F911" s="8"/>
      <c r="G911" s="15">
        <v>1.2072493896103813</v>
      </c>
      <c r="H911" s="15">
        <v>1.2072493896103813</v>
      </c>
      <c r="I911" s="15">
        <v>0.8638344132618796</v>
      </c>
      <c r="J911" s="15">
        <v>0.8638344132618796</v>
      </c>
      <c r="K911" s="15">
        <v>0.93353316057811475</v>
      </c>
      <c r="L911" s="15">
        <v>0.93353316057811475</v>
      </c>
      <c r="M911" s="15">
        <v>0.8638344132618796</v>
      </c>
      <c r="N911" s="15">
        <v>0.8638344132618796</v>
      </c>
      <c r="O911" s="15">
        <v>0.74713517229282833</v>
      </c>
      <c r="P911" s="15">
        <v>0.74713517229282833</v>
      </c>
      <c r="Q911" s="8"/>
      <c r="R911" s="9" t="s">
        <v>912</v>
      </c>
    </row>
    <row r="912" spans="1:18" x14ac:dyDescent="0.25">
      <c r="A912" s="6" t="str">
        <f>HYPERLINK("proteomic_fractions_linear_files/Yang_linear_img/31541826.jpg", "31541826")</f>
        <v>31541826</v>
      </c>
      <c r="B912" s="7"/>
      <c r="C912" s="6" t="str">
        <f>HYPERLINK("http://www.ncbi.nlm.nih.gov/protein/31541826","Cab39l")</f>
        <v>Cab39l</v>
      </c>
      <c r="D912" s="8"/>
      <c r="E912" s="8">
        <v>38975</v>
      </c>
      <c r="F912" s="8"/>
      <c r="G912" s="15" t="s">
        <v>10</v>
      </c>
      <c r="H912" s="15" t="s">
        <v>10</v>
      </c>
      <c r="I912" s="15">
        <v>0.8859840136019278</v>
      </c>
      <c r="J912" s="15">
        <v>0.8859840136019278</v>
      </c>
      <c r="K912" s="15">
        <v>0.8859840136019278</v>
      </c>
      <c r="L912" s="15">
        <v>0.8859840136019278</v>
      </c>
      <c r="M912" s="15">
        <v>0.8859840136019278</v>
      </c>
      <c r="N912" s="15">
        <v>0.8859840136019278</v>
      </c>
      <c r="O912" s="15">
        <v>0.76629248440290076</v>
      </c>
      <c r="P912" s="15">
        <v>0.76629248440290076</v>
      </c>
      <c r="Q912" s="8"/>
      <c r="R912" s="9" t="s">
        <v>913</v>
      </c>
    </row>
    <row r="913" spans="1:18" x14ac:dyDescent="0.25">
      <c r="A913" s="6" t="str">
        <f>HYPERLINK("proteomic_fractions_linear_files/Yang_linear_img/58037485.jpg", "58037485")</f>
        <v>58037485</v>
      </c>
      <c r="B913" s="7"/>
      <c r="C913" s="6" t="str">
        <f>HYPERLINK("http://www.ncbi.nlm.nih.gov/protein/58037485","Cacfd1")</f>
        <v>Cacfd1</v>
      </c>
      <c r="D913" s="8"/>
      <c r="E913" s="8">
        <v>18212</v>
      </c>
      <c r="F913" s="8"/>
      <c r="G913" s="15" t="s">
        <v>10</v>
      </c>
      <c r="H913" s="15" t="s">
        <v>10</v>
      </c>
      <c r="I913" s="15" t="s">
        <v>10</v>
      </c>
      <c r="J913" s="15" t="s">
        <v>10</v>
      </c>
      <c r="K913" s="15">
        <v>1.0275166202535602</v>
      </c>
      <c r="L913" s="15">
        <v>1.0275166202535602</v>
      </c>
      <c r="M913" s="15" t="s">
        <v>10</v>
      </c>
      <c r="N913" s="15" t="s">
        <v>10</v>
      </c>
      <c r="O913" s="15" t="s">
        <v>10</v>
      </c>
      <c r="P913" s="15" t="s">
        <v>10</v>
      </c>
      <c r="Q913" s="8"/>
      <c r="R913" s="9" t="s">
        <v>914</v>
      </c>
    </row>
    <row r="914" spans="1:18" x14ac:dyDescent="0.25">
      <c r="A914" s="6" t="str">
        <f>HYPERLINK("proteomic_fractions_linear_files/Yang_linear_img/121583673.jpg", "121583673")</f>
        <v>121583673</v>
      </c>
      <c r="B914" s="7"/>
      <c r="C914" s="6" t="str">
        <f>HYPERLINK("http://www.ncbi.nlm.nih.gov/protein/121583673","Cactin")</f>
        <v>Cactin</v>
      </c>
      <c r="D914" s="8"/>
      <c r="E914" s="8">
        <v>90531</v>
      </c>
      <c r="F914" s="8"/>
      <c r="G914" s="15" t="s">
        <v>10</v>
      </c>
      <c r="H914" s="15" t="s">
        <v>10</v>
      </c>
      <c r="I914" s="15">
        <v>65.858241758241761</v>
      </c>
      <c r="J914" s="15">
        <v>65.858241758241761</v>
      </c>
      <c r="K914" s="15">
        <v>65.858241758241761</v>
      </c>
      <c r="L914" s="15">
        <v>65.858241758241761</v>
      </c>
      <c r="M914" s="15" t="s">
        <v>10</v>
      </c>
      <c r="N914" s="15" t="s">
        <v>10</v>
      </c>
      <c r="O914" s="15" t="s">
        <v>10</v>
      </c>
      <c r="P914" s="15" t="s">
        <v>10</v>
      </c>
      <c r="Q914" s="8"/>
      <c r="R914" s="9" t="s">
        <v>915</v>
      </c>
    </row>
    <row r="915" spans="1:18" x14ac:dyDescent="0.25">
      <c r="A915" s="6" t="str">
        <f>HYPERLINK("proteomic_fractions_linear_files/Yang_linear_img/285402212.jpg", "285402212")</f>
        <v>285402212</v>
      </c>
      <c r="B915" s="7"/>
      <c r="C915" s="6" t="str">
        <f>HYPERLINK("http://www.ncbi.nlm.nih.gov/protein/285402212","Cacul1")</f>
        <v>Cacul1</v>
      </c>
      <c r="D915" s="8"/>
      <c r="E915" s="8">
        <v>38705</v>
      </c>
      <c r="F915" s="8"/>
      <c r="G915" s="15" t="s">
        <v>10</v>
      </c>
      <c r="H915" s="15" t="s">
        <v>10</v>
      </c>
      <c r="I915" s="15" t="s">
        <v>10</v>
      </c>
      <c r="J915" s="15" t="s">
        <v>10</v>
      </c>
      <c r="K915" s="15" t="s">
        <v>10</v>
      </c>
      <c r="L915" s="15" t="s">
        <v>10</v>
      </c>
      <c r="M915" s="15" t="s">
        <v>10</v>
      </c>
      <c r="N915" s="15" t="s">
        <v>10</v>
      </c>
      <c r="O915" s="15">
        <v>1.038649184698019</v>
      </c>
      <c r="P915" s="15">
        <v>1.038649184698019</v>
      </c>
      <c r="Q915" s="8"/>
      <c r="R915" s="9" t="s">
        <v>916</v>
      </c>
    </row>
    <row r="916" spans="1:18" x14ac:dyDescent="0.25">
      <c r="A916" s="6" t="str">
        <f>HYPERLINK("proteomic_fractions_linear_files/Yang_linear_img/285402250.jpg", "285402250")</f>
        <v>285402250</v>
      </c>
      <c r="B916" s="7"/>
      <c r="C916" s="6" t="str">
        <f>HYPERLINK("http://www.ncbi.nlm.nih.gov/protein/285402250","Cacul1")</f>
        <v>Cacul1</v>
      </c>
      <c r="D916" s="8"/>
      <c r="E916" s="8">
        <v>33733</v>
      </c>
      <c r="F916" s="8"/>
      <c r="G916" s="15" t="s">
        <v>10</v>
      </c>
      <c r="H916" s="15" t="s">
        <v>10</v>
      </c>
      <c r="I916" s="15" t="s">
        <v>10</v>
      </c>
      <c r="J916" s="15" t="s">
        <v>10</v>
      </c>
      <c r="K916" s="15" t="s">
        <v>10</v>
      </c>
      <c r="L916" s="15" t="s">
        <v>10</v>
      </c>
      <c r="M916" s="15" t="s">
        <v>10</v>
      </c>
      <c r="N916" s="15" t="s">
        <v>10</v>
      </c>
      <c r="O916" s="15">
        <v>1.1913917118594926</v>
      </c>
      <c r="P916" s="15">
        <v>1.1913917118594926</v>
      </c>
      <c r="Q916" s="8"/>
      <c r="R916" s="9" t="s">
        <v>917</v>
      </c>
    </row>
    <row r="917" spans="1:18" x14ac:dyDescent="0.25">
      <c r="A917" s="6" t="str">
        <f>HYPERLINK("proteomic_fractions_linear_files/Yang_linear_img/58037533.jpg", "58037533")</f>
        <v>58037533</v>
      </c>
      <c r="B917" s="7"/>
      <c r="C917" s="6" t="str">
        <f>HYPERLINK("http://www.ncbi.nlm.nih.gov/protein/58037533","Cacul1")</f>
        <v>Cacul1</v>
      </c>
      <c r="D917" s="8"/>
      <c r="E917" s="8">
        <v>41975</v>
      </c>
      <c r="F917" s="8"/>
      <c r="G917" s="15" t="s">
        <v>10</v>
      </c>
      <c r="H917" s="15" t="s">
        <v>10</v>
      </c>
      <c r="I917" s="15" t="s">
        <v>10</v>
      </c>
      <c r="J917" s="15" t="s">
        <v>10</v>
      </c>
      <c r="K917" s="15" t="s">
        <v>10</v>
      </c>
      <c r="L917" s="15" t="s">
        <v>10</v>
      </c>
      <c r="M917" s="15" t="s">
        <v>10</v>
      </c>
      <c r="N917" s="15" t="s">
        <v>10</v>
      </c>
      <c r="O917" s="15">
        <v>0.96445995721958921</v>
      </c>
      <c r="P917" s="15">
        <v>0.96445995721958921</v>
      </c>
      <c r="Q917" s="8"/>
      <c r="R917" s="9" t="s">
        <v>918</v>
      </c>
    </row>
    <row r="918" spans="1:18" x14ac:dyDescent="0.25">
      <c r="A918" s="6" t="str">
        <f>HYPERLINK("proteomic_fractions_linear_files/Yang_linear_img/33468885.jpg", "33468885")</f>
        <v>33468885</v>
      </c>
      <c r="B918" s="7"/>
      <c r="C918" s="6" t="str">
        <f>HYPERLINK("http://www.ncbi.nlm.nih.gov/protein/33468885","Cacybp")</f>
        <v>Cacybp</v>
      </c>
      <c r="D918" s="8"/>
      <c r="E918" s="8">
        <v>26379</v>
      </c>
      <c r="F918" s="8"/>
      <c r="G918" s="15" t="s">
        <v>10</v>
      </c>
      <c r="H918" s="15" t="s">
        <v>10</v>
      </c>
      <c r="I918" s="15">
        <v>1.0057791582855768</v>
      </c>
      <c r="J918" s="15">
        <v>1.0057791582855768</v>
      </c>
      <c r="K918" s="15">
        <v>1.0057791582855768</v>
      </c>
      <c r="L918" s="15">
        <v>1.0057791582855768</v>
      </c>
      <c r="M918" s="15">
        <v>1.0057791582855768</v>
      </c>
      <c r="N918" s="15">
        <v>1.0057791582855768</v>
      </c>
      <c r="O918" s="15">
        <v>0.8888297451814402</v>
      </c>
      <c r="P918" s="15">
        <v>0.8888297451814402</v>
      </c>
      <c r="Q918" s="8"/>
      <c r="R918" s="9" t="s">
        <v>919</v>
      </c>
    </row>
    <row r="919" spans="1:18" x14ac:dyDescent="0.25">
      <c r="A919" s="6" t="str">
        <f>HYPERLINK("proteomic_fractions_linear_files/Yang_linear_img/51093867.jpg", "51093867")</f>
        <v>51093867</v>
      </c>
      <c r="B919" s="7"/>
      <c r="C919" s="6" t="str">
        <f>HYPERLINK("http://www.ncbi.nlm.nih.gov/protein/51093867","Cad")</f>
        <v>Cad</v>
      </c>
      <c r="D919" s="8"/>
      <c r="E919" s="8">
        <v>243109</v>
      </c>
      <c r="F919" s="8"/>
      <c r="G919" s="15" t="s">
        <v>10</v>
      </c>
      <c r="H919" s="15" t="s">
        <v>10</v>
      </c>
      <c r="I919" s="15">
        <v>0.96033270628744472</v>
      </c>
      <c r="J919" s="15">
        <v>0.96033270628744472</v>
      </c>
      <c r="K919" s="15">
        <v>1.2419066857469085</v>
      </c>
      <c r="L919" s="15">
        <v>1.2419066857469085</v>
      </c>
      <c r="M919" s="15">
        <v>1.2419066857469085</v>
      </c>
      <c r="N919" s="15">
        <v>1.2419066857469085</v>
      </c>
      <c r="O919" s="15">
        <v>0.96033270628744472</v>
      </c>
      <c r="P919" s="15">
        <v>0.96033270628744472</v>
      </c>
      <c r="Q919" s="8"/>
      <c r="R919" s="9" t="s">
        <v>920</v>
      </c>
    </row>
    <row r="920" spans="1:18" x14ac:dyDescent="0.25">
      <c r="A920" s="6" t="str">
        <f>HYPERLINK("proteomic_fractions_linear_files/Yang_linear_img/46575940.jpg", "46575940")</f>
        <v>46575940</v>
      </c>
      <c r="B920" s="7"/>
      <c r="C920" s="6" t="str">
        <f>HYPERLINK("http://www.ncbi.nlm.nih.gov/protein/46575940","Cadm1")</f>
        <v>Cadm1</v>
      </c>
      <c r="D920" s="8"/>
      <c r="E920" s="8">
        <v>42538</v>
      </c>
      <c r="F920" s="8"/>
      <c r="G920" s="15" t="s">
        <v>10</v>
      </c>
      <c r="H920" s="15" t="s">
        <v>10</v>
      </c>
      <c r="I920" s="15">
        <v>0.38875522140946561</v>
      </c>
      <c r="J920" s="15">
        <v>0.38875522140946561</v>
      </c>
      <c r="K920" s="15">
        <v>2.9935262359329529</v>
      </c>
      <c r="L920" s="15">
        <v>2.9935262359329529</v>
      </c>
      <c r="M920" s="15" t="s">
        <v>10</v>
      </c>
      <c r="N920" s="15" t="s">
        <v>10</v>
      </c>
      <c r="O920" s="15" t="s">
        <v>10</v>
      </c>
      <c r="P920" s="15" t="s">
        <v>10</v>
      </c>
      <c r="Q920" s="8"/>
      <c r="R920" s="9" t="s">
        <v>921</v>
      </c>
    </row>
    <row r="921" spans="1:18" x14ac:dyDescent="0.25">
      <c r="A921" s="6" t="str">
        <f>HYPERLINK("proteomic_fractions_linear_files/Yang_linear_img/71040102.jpg", "71040102")</f>
        <v>71040102</v>
      </c>
      <c r="B921" s="7"/>
      <c r="C921" s="6" t="str">
        <f>HYPERLINK("http://www.ncbi.nlm.nih.gov/protein/71040102","Cadm1")</f>
        <v>Cadm1</v>
      </c>
      <c r="D921" s="8"/>
      <c r="E921" s="8">
        <v>45423</v>
      </c>
      <c r="F921" s="8"/>
      <c r="G921" s="15" t="s">
        <v>10</v>
      </c>
      <c r="H921" s="15" t="s">
        <v>10</v>
      </c>
      <c r="I921" s="15">
        <v>0.37147721156904495</v>
      </c>
      <c r="J921" s="15">
        <v>0.37147721156904495</v>
      </c>
      <c r="K921" s="15">
        <v>2.8604806254470438</v>
      </c>
      <c r="L921" s="15">
        <v>2.8604806254470438</v>
      </c>
      <c r="M921" s="15" t="s">
        <v>10</v>
      </c>
      <c r="N921" s="15" t="s">
        <v>10</v>
      </c>
      <c r="O921" s="15" t="s">
        <v>10</v>
      </c>
      <c r="P921" s="15" t="s">
        <v>10</v>
      </c>
      <c r="Q921" s="8"/>
      <c r="R921" s="9" t="s">
        <v>922</v>
      </c>
    </row>
    <row r="922" spans="1:18" x14ac:dyDescent="0.25">
      <c r="A922" s="6" t="str">
        <f>HYPERLINK("proteomic_fractions_linear_files/Yang_linear_img/71040104.jpg", "71040104")</f>
        <v>71040104</v>
      </c>
      <c r="B922" s="7"/>
      <c r="C922" s="6" t="str">
        <f>HYPERLINK("http://www.ncbi.nlm.nih.gov/protein/71040104","Cadm1")</f>
        <v>Cadm1</v>
      </c>
      <c r="D922" s="8"/>
      <c r="E922" s="8">
        <v>44299</v>
      </c>
      <c r="F922" s="8"/>
      <c r="G922" s="15" t="s">
        <v>10</v>
      </c>
      <c r="H922" s="15" t="s">
        <v>10</v>
      </c>
      <c r="I922" s="15">
        <v>0.37991987546834144</v>
      </c>
      <c r="J922" s="15">
        <v>0.37991987546834144</v>
      </c>
      <c r="K922" s="15">
        <v>2.9254915487526585</v>
      </c>
      <c r="L922" s="15">
        <v>2.9254915487526585</v>
      </c>
      <c r="M922" s="15" t="s">
        <v>10</v>
      </c>
      <c r="N922" s="15" t="s">
        <v>10</v>
      </c>
      <c r="O922" s="15" t="s">
        <v>10</v>
      </c>
      <c r="P922" s="15" t="s">
        <v>10</v>
      </c>
      <c r="Q922" s="8"/>
      <c r="R922" s="9" t="s">
        <v>923</v>
      </c>
    </row>
    <row r="923" spans="1:18" x14ac:dyDescent="0.25">
      <c r="A923" s="6" t="str">
        <f>HYPERLINK("proteomic_fractions_linear_files/Yang_linear_img/71040107.jpg", "71040107")</f>
        <v>71040107</v>
      </c>
      <c r="B923" s="7"/>
      <c r="C923" s="6" t="str">
        <f>HYPERLINK("http://www.ncbi.nlm.nih.gov/protein/71040107","Cadm1")</f>
        <v>Cadm1</v>
      </c>
      <c r="D923" s="8"/>
      <c r="E923" s="8">
        <v>41414</v>
      </c>
      <c r="F923" s="8"/>
      <c r="G923" s="15" t="s">
        <v>10</v>
      </c>
      <c r="H923" s="15" t="s">
        <v>10</v>
      </c>
      <c r="I923" s="15">
        <v>0.40771889074651274</v>
      </c>
      <c r="J923" s="15">
        <v>0.40771889074651274</v>
      </c>
      <c r="K923" s="15">
        <v>3.1395519059784625</v>
      </c>
      <c r="L923" s="15">
        <v>3.1395519059784625</v>
      </c>
      <c r="M923" s="15" t="s">
        <v>10</v>
      </c>
      <c r="N923" s="15" t="s">
        <v>10</v>
      </c>
      <c r="O923" s="15" t="s">
        <v>10</v>
      </c>
      <c r="P923" s="15" t="s">
        <v>10</v>
      </c>
      <c r="Q923" s="8"/>
      <c r="R923" s="9" t="s">
        <v>924</v>
      </c>
    </row>
    <row r="924" spans="1:18" x14ac:dyDescent="0.25">
      <c r="A924" s="6" t="str">
        <f>HYPERLINK("proteomic_fractions_linear_files/Yang_linear_img/23346547.jpg", "23346547")</f>
        <v>23346547</v>
      </c>
      <c r="B924" s="7"/>
      <c r="C924" s="6" t="str">
        <f>HYPERLINK("http://www.ncbi.nlm.nih.gov/protein/23346547","Cadm4")</f>
        <v>Cadm4</v>
      </c>
      <c r="D924" s="8"/>
      <c r="E924" s="8">
        <v>40457</v>
      </c>
      <c r="F924" s="8"/>
      <c r="G924" s="15" t="s">
        <v>10</v>
      </c>
      <c r="H924" s="15" t="s">
        <v>10</v>
      </c>
      <c r="I924" s="15">
        <v>0.36293684304675866</v>
      </c>
      <c r="J924" s="15">
        <v>0.36293684304675866</v>
      </c>
      <c r="K924" s="15" t="s">
        <v>10</v>
      </c>
      <c r="L924" s="15" t="s">
        <v>10</v>
      </c>
      <c r="M924" s="15" t="s">
        <v>10</v>
      </c>
      <c r="N924" s="15" t="s">
        <v>10</v>
      </c>
      <c r="O924" s="15" t="s">
        <v>10</v>
      </c>
      <c r="P924" s="15" t="s">
        <v>10</v>
      </c>
      <c r="Q924" s="8"/>
      <c r="R924" s="9" t="s">
        <v>925</v>
      </c>
    </row>
    <row r="925" spans="1:18" x14ac:dyDescent="0.25">
      <c r="A925" s="6" t="str">
        <f>HYPERLINK("proteomic_fractions_linear_files/Yang_linear_img/21312944.jpg", "21312944")</f>
        <v>21312944</v>
      </c>
      <c r="B925" s="7"/>
      <c r="C925" s="6" t="str">
        <f>HYPERLINK("http://www.ncbi.nlm.nih.gov/protein/21312944","Calcoco1")</f>
        <v>Calcoco1</v>
      </c>
      <c r="D925" s="8"/>
      <c r="E925" s="8">
        <v>77149</v>
      </c>
      <c r="F925" s="8"/>
      <c r="G925" s="15" t="s">
        <v>10</v>
      </c>
      <c r="H925" s="15" t="s">
        <v>10</v>
      </c>
      <c r="I925" s="15" t="s">
        <v>10</v>
      </c>
      <c r="J925" s="15" t="s">
        <v>10</v>
      </c>
      <c r="K925" s="15">
        <v>1.4259943353393696</v>
      </c>
      <c r="L925" s="15">
        <v>1.4259943353393696</v>
      </c>
      <c r="M925" s="15" t="s">
        <v>10</v>
      </c>
      <c r="N925" s="15" t="s">
        <v>10</v>
      </c>
      <c r="O925" s="15">
        <v>1.2333504049686299</v>
      </c>
      <c r="P925" s="15">
        <v>1.2333504049686299</v>
      </c>
      <c r="Q925" s="8"/>
      <c r="R925" s="9" t="s">
        <v>926</v>
      </c>
    </row>
    <row r="926" spans="1:18" x14ac:dyDescent="0.25">
      <c r="A926" s="6" t="str">
        <f>HYPERLINK("proteomic_fractions_linear_files/Yang_linear_img/21704156.jpg", "21704156")</f>
        <v>21704156</v>
      </c>
      <c r="B926" s="7"/>
      <c r="C926" s="6" t="str">
        <f>HYPERLINK("http://www.ncbi.nlm.nih.gov/protein/21704156","Cald1")</f>
        <v>Cald1</v>
      </c>
      <c r="D926" s="8"/>
      <c r="E926" s="8">
        <v>60322</v>
      </c>
      <c r="F926" s="8"/>
      <c r="G926" s="15" t="s">
        <v>10</v>
      </c>
      <c r="H926" s="15" t="s">
        <v>10</v>
      </c>
      <c r="I926" s="15">
        <v>0.67512197005371244</v>
      </c>
      <c r="J926" s="15">
        <v>0.67512197005371244</v>
      </c>
      <c r="K926" s="15">
        <v>1.3849776412190642</v>
      </c>
      <c r="L926" s="15">
        <v>1.3849776412190642</v>
      </c>
      <c r="M926" s="15">
        <v>1.0908877221757389</v>
      </c>
      <c r="N926" s="15">
        <v>1.0908877221757389</v>
      </c>
      <c r="O926" s="15">
        <v>2.1453604690852828</v>
      </c>
      <c r="P926" s="15">
        <v>2.1453604690852828</v>
      </c>
      <c r="Q926" s="8"/>
      <c r="R926" s="9" t="s">
        <v>927</v>
      </c>
    </row>
    <row r="927" spans="1:18" x14ac:dyDescent="0.25">
      <c r="A927" s="6" t="str">
        <f>HYPERLINK("proteomic_fractions_linear_files/Yang_linear_img/6680832;6680834.jpg", "6680832;6680834")</f>
        <v>6680832;6680834</v>
      </c>
      <c r="B927" s="8"/>
      <c r="C927" s="6" t="str">
        <f>HYPERLINK("http://www.ncbi.nlm.nih.gov/protein/6680832;6680834","Calm2")</f>
        <v>Calm2</v>
      </c>
      <c r="D927" s="8"/>
      <c r="E927" s="8">
        <v>16706</v>
      </c>
      <c r="F927" s="8"/>
      <c r="G927" s="15">
        <v>1.4444012125457011</v>
      </c>
      <c r="H927" s="15">
        <v>1.4444012125457011</v>
      </c>
      <c r="I927" s="15" t="s">
        <v>10</v>
      </c>
      <c r="J927" s="15" t="s">
        <v>10</v>
      </c>
      <c r="K927" s="15">
        <v>0.98332203062394252</v>
      </c>
      <c r="L927" s="15">
        <v>0.98332203062394252</v>
      </c>
      <c r="M927" s="15" t="s">
        <v>10</v>
      </c>
      <c r="N927" s="15" t="s">
        <v>10</v>
      </c>
      <c r="O927" s="15" t="s">
        <v>10</v>
      </c>
      <c r="P927" s="15" t="s">
        <v>10</v>
      </c>
      <c r="Q927" s="8"/>
      <c r="R927" s="9" t="s">
        <v>928</v>
      </c>
    </row>
    <row r="928" spans="1:18" x14ac:dyDescent="0.25">
      <c r="A928" s="6" t="str">
        <f>HYPERLINK("proteomic_fractions_linear_files/Yang_linear_img/6680834.jpg", "6680834")</f>
        <v>6680834</v>
      </c>
      <c r="B928" s="7"/>
      <c r="C928" s="6" t="str">
        <f>HYPERLINK("http://www.ncbi.nlm.nih.gov/protein/6680834","Calm3")</f>
        <v>Calm3</v>
      </c>
      <c r="D928" s="8"/>
      <c r="E928" s="8">
        <v>16706</v>
      </c>
      <c r="F928" s="8"/>
      <c r="G928" s="15" t="s">
        <v>10</v>
      </c>
      <c r="H928" s="15" t="s">
        <v>10</v>
      </c>
      <c r="I928" s="15">
        <v>0.98332203062394252</v>
      </c>
      <c r="J928" s="15">
        <v>0.98332203062394252</v>
      </c>
      <c r="K928" s="15" t="s">
        <v>10</v>
      </c>
      <c r="L928" s="15" t="s">
        <v>10</v>
      </c>
      <c r="M928" s="15">
        <v>1.0335258685505275</v>
      </c>
      <c r="N928" s="15">
        <v>1.0335258685505275</v>
      </c>
      <c r="O928" s="15">
        <v>0.98332203062394252</v>
      </c>
      <c r="P928" s="15">
        <v>0.98332203062394252</v>
      </c>
      <c r="Q928" s="8"/>
      <c r="R928" s="9" t="s">
        <v>928</v>
      </c>
    </row>
    <row r="929" spans="1:18" x14ac:dyDescent="0.25">
      <c r="A929" s="6" t="str">
        <f>HYPERLINK("proteomic_fractions_linear_files/Yang_linear_img/13386230.jpg", "13386230")</f>
        <v>13386230</v>
      </c>
      <c r="B929" s="7"/>
      <c r="C929" s="6" t="str">
        <f>HYPERLINK("http://www.ncbi.nlm.nih.gov/protein/13386230","Calml3")</f>
        <v>Calml3</v>
      </c>
      <c r="D929" s="8"/>
      <c r="E929" s="8">
        <v>16570</v>
      </c>
      <c r="F929" s="8"/>
      <c r="G929" s="15">
        <v>1.4444012125457011</v>
      </c>
      <c r="H929" s="15">
        <v>1.4444012125457011</v>
      </c>
      <c r="I929" s="15">
        <v>1.0335258685505275</v>
      </c>
      <c r="J929" s="15">
        <v>1.0335258685505275</v>
      </c>
      <c r="K929" s="15">
        <v>0.98332203062394252</v>
      </c>
      <c r="L929" s="15">
        <v>0.98332203062394252</v>
      </c>
      <c r="M929" s="15">
        <v>1.0335258685505275</v>
      </c>
      <c r="N929" s="15">
        <v>1.0335258685505275</v>
      </c>
      <c r="O929" s="15">
        <v>1.0335258685505275</v>
      </c>
      <c r="P929" s="15">
        <v>0.98332203062394252</v>
      </c>
      <c r="Q929" s="8"/>
      <c r="R929" s="9" t="s">
        <v>929</v>
      </c>
    </row>
    <row r="930" spans="1:18" x14ac:dyDescent="0.25">
      <c r="A930" s="6" t="str">
        <f>HYPERLINK("proteomic_fractions_linear_files/Yang_linear_img/6680836.jpg", "6680836")</f>
        <v>6680836</v>
      </c>
      <c r="B930" s="7"/>
      <c r="C930" s="6" t="str">
        <f>HYPERLINK("http://www.ncbi.nlm.nih.gov/protein/6680836","Calr")</f>
        <v>Calr</v>
      </c>
      <c r="D930" s="8"/>
      <c r="E930" s="8">
        <v>46348</v>
      </c>
      <c r="F930" s="8"/>
      <c r="G930" s="15">
        <v>1.4228970289248768</v>
      </c>
      <c r="H930" s="15">
        <v>1.4228970289248768</v>
      </c>
      <c r="I930" s="15">
        <v>1.1547949919565452</v>
      </c>
      <c r="J930" s="15">
        <v>1.1547949919565452</v>
      </c>
      <c r="K930" s="15">
        <v>1.2776784257737794</v>
      </c>
      <c r="L930" s="15">
        <v>1.2776784257737794</v>
      </c>
      <c r="M930" s="15" t="s">
        <v>10</v>
      </c>
      <c r="N930" s="15" t="s">
        <v>10</v>
      </c>
      <c r="O930" s="15">
        <v>1.0497820779220708</v>
      </c>
      <c r="P930" s="15">
        <v>1.0497820779220708</v>
      </c>
      <c r="Q930" s="8"/>
      <c r="R930" s="9" t="s">
        <v>930</v>
      </c>
    </row>
    <row r="931" spans="1:18" x14ac:dyDescent="0.25">
      <c r="A931" s="6" t="str">
        <f>HYPERLINK("proteomic_fractions_linear_files/Yang_linear_img/549806750.jpg", "549806750")</f>
        <v>549806750</v>
      </c>
      <c r="B931" s="7"/>
      <c r="C931" s="6" t="str">
        <f>HYPERLINK("http://www.ncbi.nlm.nih.gov/protein/549806750","Calu")</f>
        <v>Calu</v>
      </c>
      <c r="D931" s="8"/>
      <c r="E931" s="8">
        <v>19294</v>
      </c>
      <c r="F931" s="8"/>
      <c r="G931" s="15">
        <v>2.7958194542105832</v>
      </c>
      <c r="H931" s="15">
        <v>2.7958194542105832</v>
      </c>
      <c r="I931" s="15" t="s">
        <v>10</v>
      </c>
      <c r="J931" s="15" t="s">
        <v>10</v>
      </c>
      <c r="K931" s="15" t="s">
        <v>10</v>
      </c>
      <c r="L931" s="15" t="s">
        <v>10</v>
      </c>
      <c r="M931" s="15" t="s">
        <v>10</v>
      </c>
      <c r="N931" s="15" t="s">
        <v>10</v>
      </c>
      <c r="O931" s="15" t="s">
        <v>10</v>
      </c>
      <c r="P931" s="15" t="s">
        <v>10</v>
      </c>
      <c r="Q931" s="8"/>
      <c r="R931" s="9" t="s">
        <v>931</v>
      </c>
    </row>
    <row r="932" spans="1:18" x14ac:dyDescent="0.25">
      <c r="A932" s="6" t="str">
        <f>HYPERLINK("proteomic_fractions_linear_files/Yang_linear_img/41282022.jpg", "41282022")</f>
        <v>41282022</v>
      </c>
      <c r="B932" s="7"/>
      <c r="C932" s="6" t="str">
        <f>HYPERLINK("http://www.ncbi.nlm.nih.gov/protein/41282022","Calu")</f>
        <v>Calu</v>
      </c>
      <c r="D932" s="8"/>
      <c r="E932" s="8">
        <v>34972</v>
      </c>
      <c r="F932" s="8"/>
      <c r="G932" s="15">
        <v>1.5177305608571736</v>
      </c>
      <c r="H932" s="15">
        <v>1.5177305608571736</v>
      </c>
      <c r="I932" s="15">
        <v>1.1573519486635071</v>
      </c>
      <c r="J932" s="15">
        <v>1.1573519486635071</v>
      </c>
      <c r="K932" s="15">
        <v>1.2607311213418706</v>
      </c>
      <c r="L932" s="15">
        <v>1.2607311213418706</v>
      </c>
      <c r="M932" s="15" t="s">
        <v>10</v>
      </c>
      <c r="N932" s="15" t="s">
        <v>10</v>
      </c>
      <c r="O932" s="15">
        <v>1.0668950406607027</v>
      </c>
      <c r="P932" s="15">
        <v>1.0668950406607027</v>
      </c>
      <c r="Q932" s="8"/>
      <c r="R932" s="9" t="s">
        <v>932</v>
      </c>
    </row>
    <row r="933" spans="1:18" x14ac:dyDescent="0.25">
      <c r="A933" s="6" t="str">
        <f>HYPERLINK("proteomic_fractions_linear_files/Yang_linear_img/6680840.jpg", "6680840")</f>
        <v>6680840</v>
      </c>
      <c r="B933" s="7"/>
      <c r="C933" s="6" t="str">
        <f>HYPERLINK("http://www.ncbi.nlm.nih.gov/protein/6680840","Calu")</f>
        <v>Calu</v>
      </c>
      <c r="D933" s="8"/>
      <c r="E933" s="8">
        <v>34918</v>
      </c>
      <c r="F933" s="8"/>
      <c r="G933" s="15">
        <v>1.5177305608571736</v>
      </c>
      <c r="H933" s="15">
        <v>1.5177305608571736</v>
      </c>
      <c r="I933" s="15">
        <v>1.1573519486635071</v>
      </c>
      <c r="J933" s="15">
        <v>1.1573519486635071</v>
      </c>
      <c r="K933" s="15">
        <v>1.2607311213418706</v>
      </c>
      <c r="L933" s="15">
        <v>1.2607311213418706</v>
      </c>
      <c r="M933" s="15" t="s">
        <v>10</v>
      </c>
      <c r="N933" s="15" t="s">
        <v>10</v>
      </c>
      <c r="O933" s="15">
        <v>1.0668950406607027</v>
      </c>
      <c r="P933" s="15">
        <v>1.0668950406607027</v>
      </c>
      <c r="Q933" s="8"/>
      <c r="R933" s="9" t="s">
        <v>933</v>
      </c>
    </row>
    <row r="934" spans="1:18" x14ac:dyDescent="0.25">
      <c r="A934" s="6" t="str">
        <f>HYPERLINK("proteomic_fractions_linear_files/Yang_linear_img/19527140.jpg", "19527140")</f>
        <v>19527140</v>
      </c>
      <c r="B934" s="7"/>
      <c r="C934" s="6" t="str">
        <f>HYPERLINK("http://www.ncbi.nlm.nih.gov/protein/19527140","Camk1")</f>
        <v>Camk1</v>
      </c>
      <c r="D934" s="8"/>
      <c r="E934" s="8">
        <v>41493</v>
      </c>
      <c r="F934" s="8"/>
      <c r="G934" s="15" t="s">
        <v>10</v>
      </c>
      <c r="H934" s="15" t="s">
        <v>10</v>
      </c>
      <c r="I934" s="15" t="s">
        <v>10</v>
      </c>
      <c r="J934" s="15" t="s">
        <v>10</v>
      </c>
      <c r="K934" s="15">
        <v>0.98798337081031085</v>
      </c>
      <c r="L934" s="15">
        <v>0.98798337081031085</v>
      </c>
      <c r="M934" s="15" t="s">
        <v>10</v>
      </c>
      <c r="N934" s="15" t="s">
        <v>10</v>
      </c>
      <c r="O934" s="15" t="s">
        <v>10</v>
      </c>
      <c r="P934" s="15" t="s">
        <v>10</v>
      </c>
      <c r="Q934" s="8"/>
      <c r="R934" s="9" t="s">
        <v>934</v>
      </c>
    </row>
    <row r="935" spans="1:18" x14ac:dyDescent="0.25">
      <c r="A935" s="6" t="str">
        <f>HYPERLINK("proteomic_fractions_linear_files/Yang_linear_img/28916677.jpg", "28916677")</f>
        <v>28916677</v>
      </c>
      <c r="B935" s="7"/>
      <c r="C935" s="6" t="str">
        <f>HYPERLINK("http://www.ncbi.nlm.nih.gov/protein/28916677","Camk2a")</f>
        <v>Camk2a</v>
      </c>
      <c r="D935" s="8"/>
      <c r="E935" s="8">
        <v>53984</v>
      </c>
      <c r="F935" s="8"/>
      <c r="G935" s="15">
        <v>1.2120974690841544</v>
      </c>
      <c r="H935" s="15">
        <v>1.2120974690841544</v>
      </c>
      <c r="I935" s="15">
        <v>0.98371425240742738</v>
      </c>
      <c r="J935" s="15">
        <v>0.98371425240742738</v>
      </c>
      <c r="K935" s="15">
        <v>0.98371425240742738</v>
      </c>
      <c r="L935" s="15">
        <v>0.98371425240742738</v>
      </c>
      <c r="M935" s="15">
        <v>0.98371425240742738</v>
      </c>
      <c r="N935" s="15">
        <v>0.98371425240742738</v>
      </c>
      <c r="O935" s="15">
        <v>0.89425880711880101</v>
      </c>
      <c r="P935" s="15">
        <v>0.89425880711880101</v>
      </c>
      <c r="Q935" s="8"/>
      <c r="R935" s="9" t="s">
        <v>935</v>
      </c>
    </row>
    <row r="936" spans="1:18" x14ac:dyDescent="0.25">
      <c r="A936" s="6" t="str">
        <f>HYPERLINK("proteomic_fractions_linear_files/Yang_linear_img/226693349.jpg", "226693349")</f>
        <v>226693349</v>
      </c>
      <c r="B936" s="7"/>
      <c r="C936" s="6" t="str">
        <f>HYPERLINK("http://www.ncbi.nlm.nih.gov/protein/226693349","Camk2b")</f>
        <v>Camk2b</v>
      </c>
      <c r="D936" s="8"/>
      <c r="E936" s="8">
        <v>60330</v>
      </c>
      <c r="F936" s="8"/>
      <c r="G936" s="15">
        <v>1.0908877221757389</v>
      </c>
      <c r="H936" s="15">
        <v>1.0908877221757389</v>
      </c>
      <c r="I936" s="15">
        <v>0.88534282716668466</v>
      </c>
      <c r="J936" s="15">
        <v>0.88534282716668466</v>
      </c>
      <c r="K936" s="15">
        <v>0.88534282716668466</v>
      </c>
      <c r="L936" s="15">
        <v>0.88534282716668466</v>
      </c>
      <c r="M936" s="15">
        <v>0.88534282716668466</v>
      </c>
      <c r="N936" s="15">
        <v>0.88534282716668466</v>
      </c>
      <c r="O936" s="15">
        <v>0.80483292640692083</v>
      </c>
      <c r="P936" s="15">
        <v>0.80483292640692083</v>
      </c>
      <c r="Q936" s="8"/>
      <c r="R936" s="9" t="s">
        <v>936</v>
      </c>
    </row>
    <row r="937" spans="1:18" x14ac:dyDescent="0.25">
      <c r="A937" s="6" t="str">
        <f>HYPERLINK("proteomic_fractions_linear_files/Yang_linear_img/291291008.jpg", "291291008")</f>
        <v>291291008</v>
      </c>
      <c r="B937" s="7"/>
      <c r="C937" s="6" t="str">
        <f>HYPERLINK("http://www.ncbi.nlm.nih.gov/protein/291291008","Camk2b")</f>
        <v>Camk2b</v>
      </c>
      <c r="D937" s="8"/>
      <c r="E937" s="8">
        <v>60545</v>
      </c>
      <c r="F937" s="8"/>
      <c r="G937" s="15">
        <v>1.0730043168941694</v>
      </c>
      <c r="H937" s="15">
        <v>1.0730043168941694</v>
      </c>
      <c r="I937" s="15">
        <v>0.87082901032788651</v>
      </c>
      <c r="J937" s="15">
        <v>0.87082901032788651</v>
      </c>
      <c r="K937" s="15">
        <v>0.87082901032788651</v>
      </c>
      <c r="L937" s="15">
        <v>0.87082901032788651</v>
      </c>
      <c r="M937" s="15">
        <v>0.87082901032788651</v>
      </c>
      <c r="N937" s="15">
        <v>0.87082901032788651</v>
      </c>
      <c r="O937" s="15">
        <v>0.79163894400680745</v>
      </c>
      <c r="P937" s="15">
        <v>0.79163894400680745</v>
      </c>
      <c r="Q937" s="8"/>
      <c r="R937" s="9" t="s">
        <v>937</v>
      </c>
    </row>
    <row r="938" spans="1:18" x14ac:dyDescent="0.25">
      <c r="A938" s="6" t="str">
        <f>HYPERLINK("proteomic_fractions_linear_files/Yang_linear_img/291291010.jpg", "291291010")</f>
        <v>291291010</v>
      </c>
      <c r="B938" s="7"/>
      <c r="C938" s="6" t="str">
        <f>HYPERLINK("http://www.ncbi.nlm.nih.gov/protein/291291010","Camk2b")</f>
        <v>Camk2b</v>
      </c>
      <c r="D938" s="8"/>
      <c r="E938" s="8">
        <v>59161</v>
      </c>
      <c r="F938" s="8"/>
      <c r="G938" s="15">
        <v>1.1093773445854971</v>
      </c>
      <c r="H938" s="15">
        <v>1.1093773445854971</v>
      </c>
      <c r="I938" s="15">
        <v>0.90034863779662844</v>
      </c>
      <c r="J938" s="15">
        <v>0.90034863779662844</v>
      </c>
      <c r="K938" s="15">
        <v>0.90034863779662844</v>
      </c>
      <c r="L938" s="15">
        <v>0.90034863779662844</v>
      </c>
      <c r="M938" s="15">
        <v>0.90034863779662844</v>
      </c>
      <c r="N938" s="15">
        <v>0.90034863779662844</v>
      </c>
      <c r="O938" s="15">
        <v>0.81847416244771609</v>
      </c>
      <c r="P938" s="15">
        <v>0.81847416244771609</v>
      </c>
      <c r="Q938" s="8"/>
      <c r="R938" s="9" t="s">
        <v>938</v>
      </c>
    </row>
    <row r="939" spans="1:18" x14ac:dyDescent="0.25">
      <c r="A939" s="6" t="str">
        <f>HYPERLINK("proteomic_fractions_linear_files/Yang_linear_img/18158420.jpg", "18158420")</f>
        <v>18158420</v>
      </c>
      <c r="B939" s="7"/>
      <c r="C939" s="6" t="str">
        <f>HYPERLINK("http://www.ncbi.nlm.nih.gov/protein/18158420","Camk2d")</f>
        <v>Camk2d</v>
      </c>
      <c r="D939" s="8"/>
      <c r="E939" s="8">
        <v>53983</v>
      </c>
      <c r="F939" s="8"/>
      <c r="G939" s="15">
        <v>1.2120974690841544</v>
      </c>
      <c r="H939" s="15">
        <v>1.2120974690841544</v>
      </c>
      <c r="I939" s="15">
        <v>0.98371425240742738</v>
      </c>
      <c r="J939" s="15">
        <v>0.98371425240742738</v>
      </c>
      <c r="K939" s="15">
        <v>0.98371425240742738</v>
      </c>
      <c r="L939" s="15">
        <v>0.98371425240742738</v>
      </c>
      <c r="M939" s="15">
        <v>0.98371425240742738</v>
      </c>
      <c r="N939" s="15">
        <v>0.98371425240742738</v>
      </c>
      <c r="O939" s="15">
        <v>0.89425880711880101</v>
      </c>
      <c r="P939" s="15">
        <v>0.89425880711880101</v>
      </c>
      <c r="Q939" s="8"/>
      <c r="R939" s="9" t="s">
        <v>939</v>
      </c>
    </row>
    <row r="940" spans="1:18" x14ac:dyDescent="0.25">
      <c r="A940" s="6" t="str">
        <f>HYPERLINK("proteomic_fractions_linear_files/Yang_linear_img/70906477.jpg", "70906477")</f>
        <v>70906477</v>
      </c>
      <c r="B940" s="7"/>
      <c r="C940" s="6" t="str">
        <f>HYPERLINK("http://www.ncbi.nlm.nih.gov/protein/70906477","Camk2d")</f>
        <v>Camk2d</v>
      </c>
      <c r="D940" s="8"/>
      <c r="E940" s="8">
        <v>56239</v>
      </c>
      <c r="F940" s="8"/>
      <c r="G940" s="15">
        <v>1.1688082737597203</v>
      </c>
      <c r="H940" s="15">
        <v>1.1688082737597203</v>
      </c>
      <c r="I940" s="15">
        <v>0.94858160053573359</v>
      </c>
      <c r="J940" s="15">
        <v>0.94858160053573359</v>
      </c>
      <c r="K940" s="15">
        <v>0.94858160053573359</v>
      </c>
      <c r="L940" s="15">
        <v>0.94858160053573359</v>
      </c>
      <c r="M940" s="15">
        <v>0.94858160053573359</v>
      </c>
      <c r="N940" s="15">
        <v>0.94858160053573359</v>
      </c>
      <c r="O940" s="15">
        <v>0.86232099257884376</v>
      </c>
      <c r="P940" s="15">
        <v>0.86232099257884376</v>
      </c>
      <c r="Q940" s="8"/>
      <c r="R940" s="9" t="s">
        <v>940</v>
      </c>
    </row>
    <row r="941" spans="1:18" x14ac:dyDescent="0.25">
      <c r="A941" s="6" t="str">
        <f>HYPERLINK("proteomic_fractions_linear_files/Yang_linear_img/70906479.jpg", "70906479")</f>
        <v>70906479</v>
      </c>
      <c r="B941" s="7"/>
      <c r="C941" s="6" t="str">
        <f>HYPERLINK("http://www.ncbi.nlm.nih.gov/protein/70906479","Camk2d")</f>
        <v>Camk2d</v>
      </c>
      <c r="D941" s="8"/>
      <c r="E941" s="8">
        <v>57618</v>
      </c>
      <c r="F941" s="8"/>
      <c r="G941" s="15">
        <v>1.1285045401817988</v>
      </c>
      <c r="H941" s="15">
        <v>1.1285045401817988</v>
      </c>
      <c r="I941" s="15">
        <v>0.91587189017243242</v>
      </c>
      <c r="J941" s="15">
        <v>0.91587189017243242</v>
      </c>
      <c r="K941" s="15">
        <v>0.91587189017243242</v>
      </c>
      <c r="L941" s="15">
        <v>0.91587189017243242</v>
      </c>
      <c r="M941" s="15">
        <v>0.91587189017243242</v>
      </c>
      <c r="N941" s="15">
        <v>0.91587189017243242</v>
      </c>
      <c r="O941" s="15">
        <v>0.83258578593819399</v>
      </c>
      <c r="P941" s="15">
        <v>0.83258578593819399</v>
      </c>
      <c r="Q941" s="8"/>
      <c r="R941" s="9" t="s">
        <v>941</v>
      </c>
    </row>
    <row r="942" spans="1:18" x14ac:dyDescent="0.25">
      <c r="A942" s="6" t="str">
        <f>HYPERLINK("proteomic_fractions_linear_files/Yang_linear_img/75991700.jpg", "75991700")</f>
        <v>75991700</v>
      </c>
      <c r="B942" s="7"/>
      <c r="C942" s="6" t="str">
        <f>HYPERLINK("http://www.ncbi.nlm.nih.gov/protein/75991700","Camk2g")</f>
        <v>Camk2g</v>
      </c>
      <c r="D942" s="8"/>
      <c r="E942" s="8">
        <v>59476</v>
      </c>
      <c r="F942" s="8"/>
      <c r="G942" s="15">
        <v>1.1093773445854971</v>
      </c>
      <c r="H942" s="15">
        <v>1.1093773445854971</v>
      </c>
      <c r="I942" s="15">
        <v>0.90034863779662844</v>
      </c>
      <c r="J942" s="15">
        <v>0.90034863779662844</v>
      </c>
      <c r="K942" s="15">
        <v>0.90034863779662844</v>
      </c>
      <c r="L942" s="15">
        <v>0.90034863779662844</v>
      </c>
      <c r="M942" s="15">
        <v>0.90034863779662844</v>
      </c>
      <c r="N942" s="15">
        <v>0.90034863779662844</v>
      </c>
      <c r="O942" s="15">
        <v>0.81847416244771609</v>
      </c>
      <c r="P942" s="15">
        <v>0.81847416244771609</v>
      </c>
      <c r="Q942" s="8"/>
      <c r="R942" s="9" t="s">
        <v>942</v>
      </c>
    </row>
    <row r="943" spans="1:18" x14ac:dyDescent="0.25">
      <c r="A943" s="6" t="str">
        <f>HYPERLINK("proteomic_fractions_linear_files/Yang_linear_img/85362729.jpg", "85362729")</f>
        <v>85362729</v>
      </c>
      <c r="B943" s="7"/>
      <c r="C943" s="6" t="str">
        <f>HYPERLINK("http://www.ncbi.nlm.nih.gov/protein/85362729","Camk2g")</f>
        <v>Camk2g</v>
      </c>
      <c r="D943" s="8"/>
      <c r="E943" s="8">
        <v>55830</v>
      </c>
      <c r="F943" s="8"/>
      <c r="G943" s="15">
        <v>1.1688082737597203</v>
      </c>
      <c r="H943" s="15">
        <v>1.1688082737597203</v>
      </c>
      <c r="I943" s="15">
        <v>0.94858160053573359</v>
      </c>
      <c r="J943" s="15">
        <v>0.94858160053573359</v>
      </c>
      <c r="K943" s="15">
        <v>0.94858160053573359</v>
      </c>
      <c r="L943" s="15">
        <v>0.94858160053573359</v>
      </c>
      <c r="M943" s="15">
        <v>0.94858160053573359</v>
      </c>
      <c r="N943" s="15">
        <v>0.94858160053573359</v>
      </c>
      <c r="O943" s="15">
        <v>0.86232099257884376</v>
      </c>
      <c r="P943" s="15">
        <v>0.86232099257884376</v>
      </c>
      <c r="Q943" s="8"/>
      <c r="R943" s="9" t="s">
        <v>943</v>
      </c>
    </row>
    <row r="944" spans="1:18" x14ac:dyDescent="0.25">
      <c r="A944" s="6" t="str">
        <f>HYPERLINK("proteomic_fractions_linear_files/Yang_linear_img/85362742.jpg", "85362742")</f>
        <v>85362742</v>
      </c>
      <c r="B944" s="7"/>
      <c r="C944" s="6" t="str">
        <f>HYPERLINK("http://www.ncbi.nlm.nih.gov/protein/85362742","Camk2g")</f>
        <v>Camk2g</v>
      </c>
      <c r="D944" s="8"/>
      <c r="E944" s="8">
        <v>58235</v>
      </c>
      <c r="F944" s="8"/>
      <c r="G944" s="15">
        <v>1.1285045401817988</v>
      </c>
      <c r="H944" s="15">
        <v>1.1285045401817988</v>
      </c>
      <c r="I944" s="15">
        <v>0.91587189017243242</v>
      </c>
      <c r="J944" s="15">
        <v>0.91587189017243242</v>
      </c>
      <c r="K944" s="15">
        <v>0.91587189017243242</v>
      </c>
      <c r="L944" s="15">
        <v>0.91587189017243242</v>
      </c>
      <c r="M944" s="15">
        <v>0.91587189017243242</v>
      </c>
      <c r="N944" s="15">
        <v>0.91587189017243242</v>
      </c>
      <c r="O944" s="15">
        <v>0.83258578593819399</v>
      </c>
      <c r="P944" s="15">
        <v>0.83258578593819399</v>
      </c>
      <c r="Q944" s="8"/>
      <c r="R944" s="9" t="s">
        <v>944</v>
      </c>
    </row>
    <row r="945" spans="1:18" x14ac:dyDescent="0.25">
      <c r="A945" s="6" t="str">
        <f>HYPERLINK("proteomic_fractions_linear_files/Yang_linear_img/21703722.jpg", "21703722")</f>
        <v>21703722</v>
      </c>
      <c r="B945" s="7"/>
      <c r="C945" s="6" t="str">
        <f>HYPERLINK("http://www.ncbi.nlm.nih.gov/protein/21703722","Camkk2")</f>
        <v>Camkk2</v>
      </c>
      <c r="D945" s="8"/>
      <c r="E945" s="8">
        <v>59486</v>
      </c>
      <c r="F945" s="8"/>
      <c r="G945" s="15" t="s">
        <v>10</v>
      </c>
      <c r="H945" s="15" t="s">
        <v>10</v>
      </c>
      <c r="I945" s="15" t="s">
        <v>10</v>
      </c>
      <c r="J945" s="15" t="s">
        <v>10</v>
      </c>
      <c r="K945" s="15" t="s">
        <v>10</v>
      </c>
      <c r="L945" s="15" t="s">
        <v>10</v>
      </c>
      <c r="M945" s="15" t="s">
        <v>10</v>
      </c>
      <c r="N945" s="15" t="s">
        <v>10</v>
      </c>
      <c r="O945" s="15">
        <v>1.244680682062411</v>
      </c>
      <c r="P945" s="15">
        <v>1.244680682062411</v>
      </c>
      <c r="Q945" s="8"/>
      <c r="R945" s="9" t="s">
        <v>945</v>
      </c>
    </row>
    <row r="946" spans="1:18" x14ac:dyDescent="0.25">
      <c r="A946" s="6" t="str">
        <f>HYPERLINK("proteomic_fractions_linear_files/Yang_linear_img/314122344.jpg", "314122344")</f>
        <v>314122344</v>
      </c>
      <c r="B946" s="7"/>
      <c r="C946" s="6" t="str">
        <f>HYPERLINK("http://www.ncbi.nlm.nih.gov/protein/314122344","Camkk2")</f>
        <v>Camkk2</v>
      </c>
      <c r="D946" s="8"/>
      <c r="E946" s="8">
        <v>64487</v>
      </c>
      <c r="F946" s="8"/>
      <c r="G946" s="15" t="s">
        <v>10</v>
      </c>
      <c r="H946" s="15" t="s">
        <v>10</v>
      </c>
      <c r="I946" s="15" t="s">
        <v>10</v>
      </c>
      <c r="J946" s="15" t="s">
        <v>10</v>
      </c>
      <c r="K946" s="15" t="s">
        <v>10</v>
      </c>
      <c r="L946" s="15" t="s">
        <v>10</v>
      </c>
      <c r="M946" s="15" t="s">
        <v>10</v>
      </c>
      <c r="N946" s="15" t="s">
        <v>10</v>
      </c>
      <c r="O946" s="15">
        <v>1.1474400037762851</v>
      </c>
      <c r="P946" s="15">
        <v>1.1474400037762851</v>
      </c>
      <c r="Q946" s="8"/>
      <c r="R946" s="9" t="s">
        <v>946</v>
      </c>
    </row>
    <row r="947" spans="1:18" x14ac:dyDescent="0.25">
      <c r="A947" s="6" t="str">
        <f>HYPERLINK("proteomic_fractions_linear_files/Yang_linear_img/124249226.jpg", "124249226")</f>
        <v>124249226</v>
      </c>
      <c r="B947" s="7"/>
      <c r="C947" s="6" t="str">
        <f>HYPERLINK("http://www.ncbi.nlm.nih.gov/protein/124249226","Camkmt")</f>
        <v>Camkmt</v>
      </c>
      <c r="D947" s="8"/>
      <c r="E947" s="8">
        <v>35756</v>
      </c>
      <c r="F947" s="8"/>
      <c r="G947" s="15" t="s">
        <v>10</v>
      </c>
      <c r="H947" s="15" t="s">
        <v>10</v>
      </c>
      <c r="I947" s="15" t="s">
        <v>10</v>
      </c>
      <c r="J947" s="15" t="s">
        <v>10</v>
      </c>
      <c r="K947" s="15" t="s">
        <v>10</v>
      </c>
      <c r="L947" s="15" t="s">
        <v>10</v>
      </c>
      <c r="M947" s="15" t="s">
        <v>10</v>
      </c>
      <c r="N947" s="15" t="s">
        <v>10</v>
      </c>
      <c r="O947" s="15">
        <v>0.89122424599259964</v>
      </c>
      <c r="P947" s="15">
        <v>0.89122424599259964</v>
      </c>
      <c r="Q947" s="8"/>
      <c r="R947" s="9" t="s">
        <v>947</v>
      </c>
    </row>
    <row r="948" spans="1:18" x14ac:dyDescent="0.25">
      <c r="A948" s="6" t="str">
        <f>HYPERLINK("proteomic_fractions_linear_files/Yang_linear_img/226423895.jpg", "226423895")</f>
        <v>226423895</v>
      </c>
      <c r="B948" s="7"/>
      <c r="C948" s="6" t="str">
        <f>HYPERLINK("http://www.ncbi.nlm.nih.gov/protein/226423895","Camp")</f>
        <v>Camp</v>
      </c>
      <c r="D948" s="8"/>
      <c r="E948" s="8">
        <v>16295</v>
      </c>
      <c r="F948" s="8"/>
      <c r="G948" s="15" t="s">
        <v>10</v>
      </c>
      <c r="H948" s="15" t="s">
        <v>10</v>
      </c>
      <c r="I948" s="15">
        <v>1.7448882061051287</v>
      </c>
      <c r="J948" s="15">
        <v>1.7448882061051287</v>
      </c>
      <c r="K948" s="15" t="s">
        <v>10</v>
      </c>
      <c r="L948" s="15" t="s">
        <v>10</v>
      </c>
      <c r="M948" s="15" t="s">
        <v>10</v>
      </c>
      <c r="N948" s="15" t="s">
        <v>10</v>
      </c>
      <c r="O948" s="15" t="s">
        <v>10</v>
      </c>
      <c r="P948" s="15" t="s">
        <v>10</v>
      </c>
      <c r="Q948" s="8"/>
      <c r="R948" s="9" t="s">
        <v>948</v>
      </c>
    </row>
    <row r="949" spans="1:18" x14ac:dyDescent="0.25">
      <c r="A949" s="6" t="str">
        <f>HYPERLINK("proteomic_fractions_linear_files/Yang_linear_img/255069774.jpg", "255069774")</f>
        <v>255069774</v>
      </c>
      <c r="B949" s="7"/>
      <c r="C949" s="6" t="str">
        <f>HYPERLINK("http://www.ncbi.nlm.nih.gov/protein/255069774","Camsap3")</f>
        <v>Camsap3</v>
      </c>
      <c r="D949" s="8"/>
      <c r="E949" s="8">
        <v>135144</v>
      </c>
      <c r="F949" s="8"/>
      <c r="G949" s="15" t="s">
        <v>10</v>
      </c>
      <c r="H949" s="15" t="s">
        <v>10</v>
      </c>
      <c r="I949" s="15">
        <v>0.12382573718968165</v>
      </c>
      <c r="J949" s="15">
        <v>0.12382573718968165</v>
      </c>
      <c r="K949" s="15">
        <v>1.383450604740299</v>
      </c>
      <c r="L949" s="15">
        <v>1.383450604740299</v>
      </c>
      <c r="M949" s="15" t="s">
        <v>10</v>
      </c>
      <c r="N949" s="15" t="s">
        <v>10</v>
      </c>
      <c r="O949" s="15" t="s">
        <v>10</v>
      </c>
      <c r="P949" s="15" t="s">
        <v>10</v>
      </c>
      <c r="Q949" s="8"/>
      <c r="R949" s="9" t="s">
        <v>949</v>
      </c>
    </row>
    <row r="950" spans="1:18" x14ac:dyDescent="0.25">
      <c r="A950" s="6" t="str">
        <f>HYPERLINK("proteomic_fractions_linear_files/Yang_linear_img/255069776.jpg", "255069776")</f>
        <v>255069776</v>
      </c>
      <c r="B950" s="7"/>
      <c r="C950" s="6" t="str">
        <f>HYPERLINK("http://www.ncbi.nlm.nih.gov/protein/255069776","Camsap3")</f>
        <v>Camsap3</v>
      </c>
      <c r="D950" s="8"/>
      <c r="E950" s="8">
        <v>135045</v>
      </c>
      <c r="F950" s="8"/>
      <c r="G950" s="15" t="s">
        <v>10</v>
      </c>
      <c r="H950" s="15" t="s">
        <v>10</v>
      </c>
      <c r="I950" s="15">
        <v>0.12382573718968165</v>
      </c>
      <c r="J950" s="15">
        <v>0.12382573718968165</v>
      </c>
      <c r="K950" s="15">
        <v>1.383450604740299</v>
      </c>
      <c r="L950" s="15">
        <v>1.383450604740299</v>
      </c>
      <c r="M950" s="15" t="s">
        <v>10</v>
      </c>
      <c r="N950" s="15" t="s">
        <v>10</v>
      </c>
      <c r="O950" s="15" t="s">
        <v>10</v>
      </c>
      <c r="P950" s="15" t="s">
        <v>10</v>
      </c>
      <c r="Q950" s="8"/>
      <c r="R950" s="9" t="s">
        <v>950</v>
      </c>
    </row>
    <row r="951" spans="1:18" x14ac:dyDescent="0.25">
      <c r="A951" s="6" t="str">
        <f>HYPERLINK("proteomic_fractions_linear_files/Yang_linear_img/189409138.jpg", "189409138")</f>
        <v>189409138</v>
      </c>
      <c r="B951" s="7"/>
      <c r="C951" s="6" t="str">
        <f>HYPERLINK("http://www.ncbi.nlm.nih.gov/protein/189409138","Cand1")</f>
        <v>Cand1</v>
      </c>
      <c r="D951" s="8"/>
      <c r="E951" s="8">
        <v>136201</v>
      </c>
      <c r="F951" s="8"/>
      <c r="G951" s="15">
        <v>1.1283299348253077</v>
      </c>
      <c r="H951" s="15">
        <v>1.1283299348253077</v>
      </c>
      <c r="I951" s="15">
        <v>1.1283299348253077</v>
      </c>
      <c r="J951" s="15">
        <v>1.1283299348253077</v>
      </c>
      <c r="K951" s="15">
        <v>1.1283299348253077</v>
      </c>
      <c r="L951" s="15">
        <v>1.1283299348253077</v>
      </c>
      <c r="M951" s="15">
        <v>1.1283299348253077</v>
      </c>
      <c r="N951" s="15">
        <v>1.1283299348253077</v>
      </c>
      <c r="O951" s="15">
        <v>1.1283299348253077</v>
      </c>
      <c r="P951" s="15">
        <v>1.1283299348253077</v>
      </c>
      <c r="Q951" s="8"/>
      <c r="R951" s="9" t="s">
        <v>951</v>
      </c>
    </row>
    <row r="952" spans="1:18" x14ac:dyDescent="0.25">
      <c r="A952" s="6" t="str">
        <f>HYPERLINK("proteomic_fractions_linear_files/Yang_linear_img/254692880.jpg", "254692880")</f>
        <v>254692880</v>
      </c>
      <c r="B952" s="7"/>
      <c r="C952" s="6" t="str">
        <f>HYPERLINK("http://www.ncbi.nlm.nih.gov/protein/254692880","Cand2")</f>
        <v>Cand2</v>
      </c>
      <c r="D952" s="8"/>
      <c r="E952" s="8">
        <v>135502</v>
      </c>
      <c r="F952" s="8"/>
      <c r="G952" s="15" t="s">
        <v>10</v>
      </c>
      <c r="H952" s="15" t="s">
        <v>10</v>
      </c>
      <c r="I952" s="15">
        <v>1.1283299348253077</v>
      </c>
      <c r="J952" s="15">
        <v>1.1283299348253077</v>
      </c>
      <c r="K952" s="15">
        <v>1.1283299348253077</v>
      </c>
      <c r="L952" s="15">
        <v>1.1283299348253077</v>
      </c>
      <c r="M952" s="15">
        <v>1.1283299348253077</v>
      </c>
      <c r="N952" s="15">
        <v>1.1283299348253077</v>
      </c>
      <c r="O952" s="15">
        <v>1.1283299348253077</v>
      </c>
      <c r="P952" s="15">
        <v>1.1283299348253077</v>
      </c>
      <c r="Q952" s="8"/>
      <c r="R952" s="9" t="s">
        <v>952</v>
      </c>
    </row>
    <row r="953" spans="1:18" x14ac:dyDescent="0.25">
      <c r="A953" s="6" t="str">
        <f>HYPERLINK("proteomic_fractions_linear_files/Yang_linear_img/160333216;6671664.jpg", "160333216;6671664")</f>
        <v>160333216;6671664</v>
      </c>
      <c r="B953" s="8"/>
      <c r="C953" s="6" t="str">
        <f>HYPERLINK("http://www.ncbi.nlm.nih.gov/protein/160333216;6671664","Canx")</f>
        <v>Canx</v>
      </c>
      <c r="D953" s="8"/>
      <c r="E953" s="8">
        <v>65166</v>
      </c>
      <c r="F953" s="8"/>
      <c r="G953" s="15">
        <v>1.6892548280174071</v>
      </c>
      <c r="H953" s="15">
        <v>1.6892548280174071</v>
      </c>
      <c r="I953" s="15" t="s">
        <v>10</v>
      </c>
      <c r="J953" s="15" t="s">
        <v>10</v>
      </c>
      <c r="K953" s="15" t="s">
        <v>10</v>
      </c>
      <c r="L953" s="15" t="s">
        <v>10</v>
      </c>
      <c r="M953" s="15" t="s">
        <v>10</v>
      </c>
      <c r="N953" s="15" t="s">
        <v>10</v>
      </c>
      <c r="O953" s="15" t="s">
        <v>10</v>
      </c>
      <c r="P953" s="15" t="s">
        <v>10</v>
      </c>
      <c r="Q953" s="8"/>
      <c r="R953" s="9" t="s">
        <v>953</v>
      </c>
    </row>
    <row r="954" spans="1:18" x14ac:dyDescent="0.25">
      <c r="A954" s="6" t="str">
        <f>HYPERLINK("proteomic_fractions_linear_files/Yang_linear_img/6671664.jpg", "6671664")</f>
        <v>6671664</v>
      </c>
      <c r="B954" s="7"/>
      <c r="C954" s="6" t="str">
        <f>HYPERLINK("http://www.ncbi.nlm.nih.gov/protein/6671664","Canx")</f>
        <v>Canx</v>
      </c>
      <c r="D954" s="8"/>
      <c r="E954" s="8">
        <v>65166</v>
      </c>
      <c r="F954" s="8"/>
      <c r="G954" s="15" t="s">
        <v>10</v>
      </c>
      <c r="H954" s="15" t="s">
        <v>10</v>
      </c>
      <c r="I954" s="15">
        <v>1.2784408995868286</v>
      </c>
      <c r="J954" s="15">
        <v>1.2784408995868286</v>
      </c>
      <c r="K954" s="15">
        <v>1.6892548280174071</v>
      </c>
      <c r="L954" s="15">
        <v>1.6892548280174071</v>
      </c>
      <c r="M954" s="15">
        <v>1.461045864347454</v>
      </c>
      <c r="N954" s="15">
        <v>1.461045864347454</v>
      </c>
      <c r="O954" s="15" t="s">
        <v>10</v>
      </c>
      <c r="P954" s="15" t="s">
        <v>10</v>
      </c>
      <c r="Q954" s="8"/>
      <c r="R954" s="9" t="s">
        <v>953</v>
      </c>
    </row>
    <row r="955" spans="1:18" x14ac:dyDescent="0.25">
      <c r="A955" s="6" t="str">
        <f>HYPERLINK("proteomic_fractions_linear_files/Yang_linear_img/157951604.jpg", "157951604")</f>
        <v>157951604</v>
      </c>
      <c r="B955" s="7"/>
      <c r="C955" s="6" t="str">
        <f>HYPERLINK("http://www.ncbi.nlm.nih.gov/protein/157951604","Cap1")</f>
        <v>Cap1</v>
      </c>
      <c r="D955" s="8"/>
      <c r="E955" s="8">
        <v>51434</v>
      </c>
      <c r="F955" s="8"/>
      <c r="G955" s="15">
        <v>1.4399247106212205</v>
      </c>
      <c r="H955" s="15">
        <v>1.4399247106212205</v>
      </c>
      <c r="I955" s="15">
        <v>1.0415797966666878</v>
      </c>
      <c r="J955" s="15">
        <v>1.0415797966666878</v>
      </c>
      <c r="K955" s="15">
        <v>1.1524158350116442</v>
      </c>
      <c r="L955" s="15">
        <v>1.1524158350116442</v>
      </c>
      <c r="M955" s="15">
        <v>1.1524158350116442</v>
      </c>
      <c r="N955" s="15">
        <v>1.1524158350116442</v>
      </c>
      <c r="O955" s="15">
        <v>1.0415797966666878</v>
      </c>
      <c r="P955" s="15">
        <v>1.0415797966666878</v>
      </c>
      <c r="Q955" s="8"/>
      <c r="R955" s="9" t="s">
        <v>954</v>
      </c>
    </row>
    <row r="956" spans="1:18" x14ac:dyDescent="0.25">
      <c r="A956" s="6" t="str">
        <f>HYPERLINK("proteomic_fractions_linear_files/Yang_linear_img/110227379.jpg", "110227379")</f>
        <v>110227379</v>
      </c>
      <c r="B956" s="7"/>
      <c r="C956" s="6" t="str">
        <f>HYPERLINK("http://www.ncbi.nlm.nih.gov/protein/110227379","Capg")</f>
        <v>Capg</v>
      </c>
      <c r="D956" s="8"/>
      <c r="E956" s="8">
        <v>38638</v>
      </c>
      <c r="F956" s="8"/>
      <c r="G956" s="15">
        <v>1.3620658879487455</v>
      </c>
      <c r="H956" s="15">
        <v>1.3620658879487455</v>
      </c>
      <c r="I956" s="15">
        <v>1.038649184698019</v>
      </c>
      <c r="J956" s="15">
        <v>1.038649184698019</v>
      </c>
      <c r="K956" s="15">
        <v>1.038649184698019</v>
      </c>
      <c r="L956" s="15">
        <v>1.038649184698019</v>
      </c>
      <c r="M956" s="15">
        <v>1.038649184698019</v>
      </c>
      <c r="N956" s="15">
        <v>1.038649184698019</v>
      </c>
      <c r="O956" s="15">
        <v>0.95746990828524592</v>
      </c>
      <c r="P956" s="15">
        <v>0.95746990828524592</v>
      </c>
      <c r="Q956" s="8"/>
      <c r="R956" s="9" t="s">
        <v>955</v>
      </c>
    </row>
    <row r="957" spans="1:18" x14ac:dyDescent="0.25">
      <c r="A957" s="6" t="str">
        <f>HYPERLINK("proteomic_fractions_linear_files/Yang_linear_img/6671668.jpg", "6671668")</f>
        <v>6671668</v>
      </c>
      <c r="B957" s="7"/>
      <c r="C957" s="6" t="str">
        <f>HYPERLINK("http://www.ncbi.nlm.nih.gov/protein/6671668","Capn1")</f>
        <v>Capn1</v>
      </c>
      <c r="D957" s="8"/>
      <c r="E957" s="8">
        <v>81976</v>
      </c>
      <c r="F957" s="8"/>
      <c r="G957" s="15">
        <v>1.1581461119827379</v>
      </c>
      <c r="H957" s="15">
        <v>1.1581461119827379</v>
      </c>
      <c r="I957" s="15">
        <v>1.0133982740627299</v>
      </c>
      <c r="J957" s="15">
        <v>1.0133982740627299</v>
      </c>
      <c r="K957" s="15">
        <v>1.0133982740627299</v>
      </c>
      <c r="L957" s="15">
        <v>1.0133982740627299</v>
      </c>
      <c r="M957" s="15">
        <v>1.0133982740627299</v>
      </c>
      <c r="N957" s="15">
        <v>1.0133982740627299</v>
      </c>
      <c r="O957" s="15">
        <v>1.0133982740627299</v>
      </c>
      <c r="P957" s="15">
        <v>1.0133982740627299</v>
      </c>
      <c r="Q957" s="8"/>
      <c r="R957" s="9" t="s">
        <v>956</v>
      </c>
    </row>
    <row r="958" spans="1:18" x14ac:dyDescent="0.25">
      <c r="A958" s="6" t="str">
        <f>HYPERLINK("proteomic_fractions_linear_files/Yang_linear_img/7657601.jpg", "7657601")</f>
        <v>7657601</v>
      </c>
      <c r="B958" s="7"/>
      <c r="C958" s="6" t="str">
        <f>HYPERLINK("http://www.ncbi.nlm.nih.gov/protein/7657601","Capn15")</f>
        <v>Capn15</v>
      </c>
      <c r="D958" s="8"/>
      <c r="E958" s="8">
        <v>118588</v>
      </c>
      <c r="F958" s="8"/>
      <c r="G958" s="15" t="s">
        <v>10</v>
      </c>
      <c r="H958" s="15" t="s">
        <v>10</v>
      </c>
      <c r="I958" s="15" t="s">
        <v>10</v>
      </c>
      <c r="J958" s="15" t="s">
        <v>10</v>
      </c>
      <c r="K958" s="15" t="s">
        <v>10</v>
      </c>
      <c r="L958" s="15" t="s">
        <v>10</v>
      </c>
      <c r="M958" s="15" t="s">
        <v>10</v>
      </c>
      <c r="N958" s="15" t="s">
        <v>10</v>
      </c>
      <c r="O958" s="15">
        <v>1.2895199255146372</v>
      </c>
      <c r="P958" s="15">
        <v>1.2895199255146372</v>
      </c>
      <c r="Q958" s="8"/>
      <c r="R958" s="9" t="s">
        <v>957</v>
      </c>
    </row>
    <row r="959" spans="1:18" x14ac:dyDescent="0.25">
      <c r="A959" s="6" t="str">
        <f>HYPERLINK("proteomic_fractions_linear_files/Yang_linear_img/157951598.jpg", "157951598")</f>
        <v>157951598</v>
      </c>
      <c r="B959" s="7"/>
      <c r="C959" s="6" t="str">
        <f>HYPERLINK("http://www.ncbi.nlm.nih.gov/protein/157951598","Capn2")</f>
        <v>Capn2</v>
      </c>
      <c r="D959" s="8"/>
      <c r="E959" s="8">
        <v>79741</v>
      </c>
      <c r="F959" s="8"/>
      <c r="G959" s="15" t="s">
        <v>10</v>
      </c>
      <c r="H959" s="15" t="s">
        <v>10</v>
      </c>
      <c r="I959" s="15">
        <v>1.0387332309142983</v>
      </c>
      <c r="J959" s="15">
        <v>1.0387332309142983</v>
      </c>
      <c r="K959" s="15">
        <v>1.0387332309142983</v>
      </c>
      <c r="L959" s="15">
        <v>1.0387332309142983</v>
      </c>
      <c r="M959" s="15">
        <v>1.0387332309142983</v>
      </c>
      <c r="N959" s="15">
        <v>1.0387332309142983</v>
      </c>
      <c r="O959" s="15">
        <v>0.91795200302102808</v>
      </c>
      <c r="P959" s="15">
        <v>0.91795200302102808</v>
      </c>
      <c r="Q959" s="8"/>
      <c r="R959" s="9" t="s">
        <v>958</v>
      </c>
    </row>
    <row r="960" spans="1:18" x14ac:dyDescent="0.25">
      <c r="A960" s="6" t="str">
        <f>HYPERLINK("proteomic_fractions_linear_files/Yang_linear_img/6680846.jpg", "6680846")</f>
        <v>6680846</v>
      </c>
      <c r="B960" s="7"/>
      <c r="C960" s="6" t="str">
        <f>HYPERLINK("http://www.ncbi.nlm.nih.gov/protein/6680846","Capn5")</f>
        <v>Capn5</v>
      </c>
      <c r="D960" s="8"/>
      <c r="E960" s="8">
        <v>72824</v>
      </c>
      <c r="F960" s="8"/>
      <c r="G960" s="15">
        <v>1.3009312490765002</v>
      </c>
      <c r="H960" s="15">
        <v>1.3009312490765002</v>
      </c>
      <c r="I960" s="15">
        <v>1.0059747978312636</v>
      </c>
      <c r="J960" s="15">
        <v>1.0059747978312636</v>
      </c>
      <c r="K960" s="15">
        <v>1.0059747978312636</v>
      </c>
      <c r="L960" s="15">
        <v>1.0059747978312636</v>
      </c>
      <c r="M960" s="15">
        <v>1.0059747978312636</v>
      </c>
      <c r="N960" s="15">
        <v>1.0059747978312636</v>
      </c>
      <c r="O960" s="15" t="s">
        <v>10</v>
      </c>
      <c r="P960" s="15" t="s">
        <v>10</v>
      </c>
      <c r="Q960" s="8"/>
      <c r="R960" s="9" t="s">
        <v>959</v>
      </c>
    </row>
    <row r="961" spans="1:18" x14ac:dyDescent="0.25">
      <c r="A961" s="6" t="str">
        <f>HYPERLINK("proteomic_fractions_linear_files/Yang_linear_img/224809586.jpg", "224809586")</f>
        <v>224809586</v>
      </c>
      <c r="B961" s="7"/>
      <c r="C961" s="6" t="str">
        <f>HYPERLINK("http://www.ncbi.nlm.nih.gov/protein/224809586","Capn8")</f>
        <v>Capn8</v>
      </c>
      <c r="D961" s="8"/>
      <c r="E961" s="8">
        <v>79125</v>
      </c>
      <c r="F961" s="8"/>
      <c r="G961" s="15" t="s">
        <v>10</v>
      </c>
      <c r="H961" s="15" t="s">
        <v>10</v>
      </c>
      <c r="I961" s="15" t="s">
        <v>10</v>
      </c>
      <c r="J961" s="15" t="s">
        <v>10</v>
      </c>
      <c r="K961" s="15" t="s">
        <v>10</v>
      </c>
      <c r="L961" s="15" t="s">
        <v>10</v>
      </c>
      <c r="M961" s="15" t="s">
        <v>10</v>
      </c>
      <c r="N961" s="15" t="s">
        <v>10</v>
      </c>
      <c r="O961" s="15">
        <v>0.92957164862888919</v>
      </c>
      <c r="P961" s="15">
        <v>0.92957164862888919</v>
      </c>
      <c r="Q961" s="8"/>
      <c r="R961" s="9" t="s">
        <v>960</v>
      </c>
    </row>
    <row r="962" spans="1:18" x14ac:dyDescent="0.25">
      <c r="A962" s="6" t="str">
        <f>HYPERLINK("proteomic_fractions_linear_files/Yang_linear_img/110227381.jpg", "110227381")</f>
        <v>110227381</v>
      </c>
      <c r="B962" s="7"/>
      <c r="C962" s="6" t="str">
        <f>HYPERLINK("http://www.ncbi.nlm.nih.gov/protein/110227381","Capns1")</f>
        <v>Capns1</v>
      </c>
      <c r="D962" s="8"/>
      <c r="E962" s="8">
        <v>28275</v>
      </c>
      <c r="F962" s="8"/>
      <c r="G962" s="15">
        <v>0.82534190623990877</v>
      </c>
      <c r="H962" s="15">
        <v>0.82534190623990877</v>
      </c>
      <c r="I962" s="15">
        <v>0.87695787904560418</v>
      </c>
      <c r="J962" s="15">
        <v>0.87695787904560418</v>
      </c>
      <c r="K962" s="15">
        <v>0.87695787904560418</v>
      </c>
      <c r="L962" s="15">
        <v>0.87695787904560418</v>
      </c>
      <c r="M962" s="15">
        <v>0.87695787904560418</v>
      </c>
      <c r="N962" s="15">
        <v>0.87695787904560418</v>
      </c>
      <c r="O962" s="15">
        <v>0.77841936680995538</v>
      </c>
      <c r="P962" s="15">
        <v>0.77841936680995538</v>
      </c>
      <c r="Q962" s="8"/>
      <c r="R962" s="9" t="s">
        <v>961</v>
      </c>
    </row>
    <row r="963" spans="1:18" x14ac:dyDescent="0.25">
      <c r="A963" s="6" t="str">
        <f>HYPERLINK("proteomic_fractions_linear_files/Yang_linear_img/254675215.jpg", "254675215")</f>
        <v>254675215</v>
      </c>
      <c r="B963" s="7"/>
      <c r="C963" s="6" t="str">
        <f>HYPERLINK("http://www.ncbi.nlm.nih.gov/protein/254675215","Capns2")</f>
        <v>Capns2</v>
      </c>
      <c r="D963" s="8"/>
      <c r="E963" s="8">
        <v>27059</v>
      </c>
      <c r="F963" s="8"/>
      <c r="G963" s="15" t="s">
        <v>10</v>
      </c>
      <c r="H963" s="15" t="s">
        <v>10</v>
      </c>
      <c r="I963" s="15">
        <v>0.90943780049173761</v>
      </c>
      <c r="J963" s="15">
        <v>0.90943780049173761</v>
      </c>
      <c r="K963" s="15">
        <v>0.90943780049173761</v>
      </c>
      <c r="L963" s="15">
        <v>0.90943780049173761</v>
      </c>
      <c r="M963" s="15">
        <v>0.90943780049173761</v>
      </c>
      <c r="N963" s="15">
        <v>0.90943780049173761</v>
      </c>
      <c r="O963" s="15">
        <v>0.80724971372884269</v>
      </c>
      <c r="P963" s="15">
        <v>0.80724971372884269</v>
      </c>
      <c r="Q963" s="8"/>
      <c r="R963" s="9" t="s">
        <v>962</v>
      </c>
    </row>
    <row r="964" spans="1:18" x14ac:dyDescent="0.25">
      <c r="A964" s="6" t="str">
        <f>HYPERLINK("proteomic_fractions_linear_files/Yang_linear_img/162329564;42558248.jpg", "162329564;42558248")</f>
        <v>162329564;42558248</v>
      </c>
      <c r="B964" s="8"/>
      <c r="C964" s="6" t="str">
        <f>HYPERLINK("http://www.ncbi.nlm.nih.gov/protein/162329564;42558248","Caprin1")</f>
        <v>Caprin1</v>
      </c>
      <c r="D964" s="8"/>
      <c r="E964" s="8">
        <v>78038</v>
      </c>
      <c r="F964" s="8"/>
      <c r="G964" s="15">
        <v>1.4077123566811727</v>
      </c>
      <c r="H964" s="15">
        <v>1.6502772839117559</v>
      </c>
      <c r="I964" s="15" t="s">
        <v>10</v>
      </c>
      <c r="J964" s="15" t="s">
        <v>10</v>
      </c>
      <c r="K964" s="15">
        <v>1.6502772839117559</v>
      </c>
      <c r="L964" s="15">
        <v>1.6502772839117559</v>
      </c>
      <c r="M964" s="15" t="s">
        <v>10</v>
      </c>
      <c r="N964" s="15" t="s">
        <v>10</v>
      </c>
      <c r="O964" s="15" t="s">
        <v>10</v>
      </c>
      <c r="P964" s="15" t="s">
        <v>10</v>
      </c>
      <c r="Q964" s="8"/>
      <c r="R964" s="9" t="s">
        <v>963</v>
      </c>
    </row>
    <row r="965" spans="1:18" x14ac:dyDescent="0.25">
      <c r="A965" s="6" t="str">
        <f>HYPERLINK("proteomic_fractions_linear_files/Yang_linear_img/42558248.jpg", "42558248")</f>
        <v>42558248</v>
      </c>
      <c r="B965" s="7"/>
      <c r="C965" s="6" t="str">
        <f>HYPERLINK("http://www.ncbi.nlm.nih.gov/protein/42558248","Caprin1")</f>
        <v>Caprin1</v>
      </c>
      <c r="D965" s="8"/>
      <c r="E965" s="8">
        <v>78038</v>
      </c>
      <c r="F965" s="8"/>
      <c r="G965" s="15" t="s">
        <v>10</v>
      </c>
      <c r="H965" s="15" t="s">
        <v>10</v>
      </c>
      <c r="I965" s="15">
        <v>0.9414892338677211</v>
      </c>
      <c r="J965" s="15">
        <v>1.4077123566811727</v>
      </c>
      <c r="K965" s="15" t="s">
        <v>10</v>
      </c>
      <c r="L965" s="15" t="s">
        <v>10</v>
      </c>
      <c r="M965" s="15">
        <v>1.0653674163223572</v>
      </c>
      <c r="N965" s="15">
        <v>1.2175382202895451</v>
      </c>
      <c r="O965" s="15">
        <v>1.0653674163223572</v>
      </c>
      <c r="P965" s="15">
        <v>0.75350266135376731</v>
      </c>
      <c r="Q965" s="8"/>
      <c r="R965" s="9" t="s">
        <v>963</v>
      </c>
    </row>
    <row r="966" spans="1:18" x14ac:dyDescent="0.25">
      <c r="A966" s="6" t="str">
        <f>HYPERLINK("proteomic_fractions_linear_files/Yang_linear_img/162329566.jpg", "162329566")</f>
        <v>162329566</v>
      </c>
      <c r="B966" s="7"/>
      <c r="C966" s="6" t="str">
        <f>HYPERLINK("http://www.ncbi.nlm.nih.gov/protein/162329566","Caprin1")</f>
        <v>Caprin1</v>
      </c>
      <c r="D966" s="8"/>
      <c r="E966" s="8">
        <v>76958</v>
      </c>
      <c r="F966" s="8"/>
      <c r="G966" s="15">
        <v>1.4259943353393696</v>
      </c>
      <c r="H966" s="15">
        <v>1.6717094564300905</v>
      </c>
      <c r="I966" s="15">
        <v>0.95371636677509408</v>
      </c>
      <c r="J966" s="15">
        <v>1.4259943353393696</v>
      </c>
      <c r="K966" s="15">
        <v>1.6717094564300905</v>
      </c>
      <c r="L966" s="15">
        <v>1.6717094564300905</v>
      </c>
      <c r="M966" s="15">
        <v>1.079203356794076</v>
      </c>
      <c r="N966" s="15">
        <v>1.2333504049686299</v>
      </c>
      <c r="O966" s="15">
        <v>1.079203356794076</v>
      </c>
      <c r="P966" s="15">
        <v>0.76328841020251759</v>
      </c>
      <c r="Q966" s="8"/>
      <c r="R966" s="9" t="s">
        <v>964</v>
      </c>
    </row>
    <row r="967" spans="1:18" x14ac:dyDescent="0.25">
      <c r="A967" s="6" t="str">
        <f>HYPERLINK("proteomic_fractions_linear_files/Yang_linear_img/162329568.jpg", "162329568")</f>
        <v>162329568</v>
      </c>
      <c r="B967" s="7"/>
      <c r="C967" s="6" t="str">
        <f>HYPERLINK("http://www.ncbi.nlm.nih.gov/protein/162329568","Caprin1")</f>
        <v>Caprin1</v>
      </c>
      <c r="D967" s="8"/>
      <c r="E967" s="8">
        <v>76533</v>
      </c>
      <c r="F967" s="8"/>
      <c r="G967" s="15">
        <v>1.4259943353393696</v>
      </c>
      <c r="H967" s="15">
        <v>1.6717094564300905</v>
      </c>
      <c r="I967" s="15">
        <v>0.95371636677509408</v>
      </c>
      <c r="J967" s="15">
        <v>1.4259943353393696</v>
      </c>
      <c r="K967" s="15">
        <v>1.6717094564300905</v>
      </c>
      <c r="L967" s="15">
        <v>1.6717094564300905</v>
      </c>
      <c r="M967" s="15">
        <v>1.079203356794076</v>
      </c>
      <c r="N967" s="15">
        <v>1.2333504049686299</v>
      </c>
      <c r="O967" s="15">
        <v>1.079203356794076</v>
      </c>
      <c r="P967" s="15">
        <v>0.76328841020251759</v>
      </c>
      <c r="Q967" s="8"/>
      <c r="R967" s="9" t="s">
        <v>965</v>
      </c>
    </row>
    <row r="968" spans="1:18" x14ac:dyDescent="0.25">
      <c r="A968" s="6" t="str">
        <f>HYPERLINK("proteomic_fractions_linear_files/Yang_linear_img/161086971.jpg", "161086971")</f>
        <v>161086971</v>
      </c>
      <c r="B968" s="7"/>
      <c r="C968" s="6" t="str">
        <f>HYPERLINK("http://www.ncbi.nlm.nih.gov/protein/161086971","Capza1")</f>
        <v>Capza1</v>
      </c>
      <c r="D968" s="8"/>
      <c r="E968" s="8">
        <v>32823</v>
      </c>
      <c r="F968" s="8"/>
      <c r="G968" s="15">
        <v>1.3371390680898627</v>
      </c>
      <c r="H968" s="15">
        <v>1.3371390680898627</v>
      </c>
      <c r="I968" s="15">
        <v>1.0470720160750056</v>
      </c>
      <c r="J968" s="15">
        <v>1.0470720160750056</v>
      </c>
      <c r="K968" s="15">
        <v>1.0470720160750056</v>
      </c>
      <c r="L968" s="15">
        <v>1.0470720160750056</v>
      </c>
      <c r="M968" s="15">
        <v>1.0470720160750056</v>
      </c>
      <c r="N968" s="15">
        <v>1.0470720160750056</v>
      </c>
      <c r="O968" s="15">
        <v>0.9722446319919269</v>
      </c>
      <c r="P968" s="15">
        <v>0.9722446319919269</v>
      </c>
      <c r="Q968" s="8"/>
      <c r="R968" s="9" t="s">
        <v>966</v>
      </c>
    </row>
    <row r="969" spans="1:18" x14ac:dyDescent="0.25">
      <c r="A969" s="6" t="str">
        <f>HYPERLINK("proteomic_fractions_linear_files/Yang_linear_img/6671672.jpg", "6671672")</f>
        <v>6671672</v>
      </c>
      <c r="B969" s="7"/>
      <c r="C969" s="6" t="str">
        <f>HYPERLINK("http://www.ncbi.nlm.nih.gov/protein/6671672","Capza2")</f>
        <v>Capza2</v>
      </c>
      <c r="D969" s="8"/>
      <c r="E969" s="8">
        <v>32836</v>
      </c>
      <c r="F969" s="8"/>
      <c r="G969" s="15">
        <v>1.3371390680898627</v>
      </c>
      <c r="H969" s="15">
        <v>1.2274944910067498</v>
      </c>
      <c r="I969" s="15">
        <v>0.9722446319919269</v>
      </c>
      <c r="J969" s="15">
        <v>0.9722446319919269</v>
      </c>
      <c r="K969" s="15">
        <v>1.0470720160750056</v>
      </c>
      <c r="L969" s="15">
        <v>1.0470720160750056</v>
      </c>
      <c r="M969" s="15">
        <v>0.9722446319919269</v>
      </c>
      <c r="N969" s="15">
        <v>0.9722446319919269</v>
      </c>
      <c r="O969" s="15">
        <v>0.90561839065797367</v>
      </c>
      <c r="P969" s="15">
        <v>0.90561839065797367</v>
      </c>
      <c r="Q969" s="8"/>
      <c r="R969" s="9" t="s">
        <v>967</v>
      </c>
    </row>
    <row r="970" spans="1:18" x14ac:dyDescent="0.25">
      <c r="A970" s="6" t="str">
        <f>HYPERLINK("proteomic_fractions_linear_files/Yang_linear_img/157951670.jpg", "157951670")</f>
        <v>157951670</v>
      </c>
      <c r="B970" s="7"/>
      <c r="C970" s="6" t="str">
        <f>HYPERLINK("http://www.ncbi.nlm.nih.gov/protein/157951670","Capza3")</f>
        <v>Capza3</v>
      </c>
      <c r="D970" s="8"/>
      <c r="E970" s="8">
        <v>34821</v>
      </c>
      <c r="F970" s="8"/>
      <c r="G970" s="15" t="s">
        <v>10</v>
      </c>
      <c r="H970" s="15" t="s">
        <v>10</v>
      </c>
      <c r="I970" s="15" t="s">
        <v>10</v>
      </c>
      <c r="J970" s="15" t="s">
        <v>10</v>
      </c>
      <c r="K970" s="15">
        <v>3.6777608041461991</v>
      </c>
      <c r="L970" s="15">
        <v>3.6777608041461991</v>
      </c>
      <c r="M970" s="15" t="s">
        <v>10</v>
      </c>
      <c r="N970" s="15" t="s">
        <v>10</v>
      </c>
      <c r="O970" s="15" t="s">
        <v>10</v>
      </c>
      <c r="P970" s="15" t="s">
        <v>10</v>
      </c>
      <c r="Q970" s="8"/>
      <c r="R970" s="9" t="s">
        <v>968</v>
      </c>
    </row>
    <row r="971" spans="1:18" x14ac:dyDescent="0.25">
      <c r="A971" s="6" t="str">
        <f>HYPERLINK("proteomic_fractions_linear_files/Yang_linear_img/407027854.jpg", "407027854")</f>
        <v>407027854</v>
      </c>
      <c r="B971" s="7"/>
      <c r="C971" s="6" t="str">
        <f>HYPERLINK("http://www.ncbi.nlm.nih.gov/protein/407027854","Capzb")</f>
        <v>Capzb</v>
      </c>
      <c r="D971" s="8"/>
      <c r="E971" s="8">
        <v>29164</v>
      </c>
      <c r="F971" s="8"/>
      <c r="G971" s="15">
        <v>1.2876319456249858</v>
      </c>
      <c r="H971" s="15">
        <v>1.2876319456249858</v>
      </c>
      <c r="I971" s="15">
        <v>1.0305312721280391</v>
      </c>
      <c r="J971" s="15">
        <v>1.0305312721280391</v>
      </c>
      <c r="K971" s="15">
        <v>1.0305312721280391</v>
      </c>
      <c r="L971" s="15">
        <v>1.0305312721280391</v>
      </c>
      <c r="M971" s="15">
        <v>1.0305312721280391</v>
      </c>
      <c r="N971" s="15">
        <v>1.0305312721280391</v>
      </c>
      <c r="O971" s="15">
        <v>0.90173303846293107</v>
      </c>
      <c r="P971" s="15">
        <v>0.90173303846293107</v>
      </c>
      <c r="Q971" s="8"/>
      <c r="R971" s="9" t="s">
        <v>969</v>
      </c>
    </row>
    <row r="972" spans="1:18" x14ac:dyDescent="0.25">
      <c r="A972" s="6" t="str">
        <f>HYPERLINK("proteomic_fractions_linear_files/Yang_linear_img/407027856.jpg", "407027856")</f>
        <v>407027856</v>
      </c>
      <c r="B972" s="7"/>
      <c r="C972" s="6" t="str">
        <f>HYPERLINK("http://www.ncbi.nlm.nih.gov/protein/407027856","Capzb")</f>
        <v>Capzb</v>
      </c>
      <c r="D972" s="8"/>
      <c r="E972" s="8">
        <v>33636</v>
      </c>
      <c r="F972" s="8"/>
      <c r="G972" s="15">
        <v>1.098274306562488</v>
      </c>
      <c r="H972" s="15">
        <v>1.098274306562488</v>
      </c>
      <c r="I972" s="15">
        <v>0.87898255563862149</v>
      </c>
      <c r="J972" s="15">
        <v>0.87898255563862149</v>
      </c>
      <c r="K972" s="15">
        <v>0.87898255563862149</v>
      </c>
      <c r="L972" s="15">
        <v>0.87898255563862149</v>
      </c>
      <c r="M972" s="15">
        <v>0.87898255563862149</v>
      </c>
      <c r="N972" s="15">
        <v>0.87898255563862149</v>
      </c>
      <c r="O972" s="15">
        <v>0.76912523868897065</v>
      </c>
      <c r="P972" s="15">
        <v>0.76912523868897065</v>
      </c>
      <c r="Q972" s="8"/>
      <c r="R972" s="9" t="s">
        <v>970</v>
      </c>
    </row>
    <row r="973" spans="1:18" x14ac:dyDescent="0.25">
      <c r="A973" s="6" t="str">
        <f>HYPERLINK("proteomic_fractions_linear_files/Yang_linear_img/6753262.jpg", "6753262")</f>
        <v>6753262</v>
      </c>
      <c r="B973" s="7"/>
      <c r="C973" s="6" t="str">
        <f>HYPERLINK("http://www.ncbi.nlm.nih.gov/protein/6753262","Capzb")</f>
        <v>Capzb</v>
      </c>
      <c r="D973" s="8"/>
      <c r="E973" s="8">
        <v>30498</v>
      </c>
      <c r="F973" s="8"/>
      <c r="G973" s="15">
        <v>1.2447108807708198</v>
      </c>
      <c r="H973" s="15">
        <v>1.2447108807708198</v>
      </c>
      <c r="I973" s="15">
        <v>0.99618022972377107</v>
      </c>
      <c r="J973" s="15">
        <v>0.99618022972377107</v>
      </c>
      <c r="K973" s="15">
        <v>0.99618022972377107</v>
      </c>
      <c r="L973" s="15">
        <v>0.99618022972377107</v>
      </c>
      <c r="M973" s="15">
        <v>0.99618022972377107</v>
      </c>
      <c r="N973" s="15">
        <v>0.99618022972377107</v>
      </c>
      <c r="O973" s="15">
        <v>0.87167527051416671</v>
      </c>
      <c r="P973" s="15">
        <v>0.87167527051416671</v>
      </c>
      <c r="Q973" s="8"/>
      <c r="R973" s="9" t="s">
        <v>971</v>
      </c>
    </row>
    <row r="974" spans="1:18" x14ac:dyDescent="0.25">
      <c r="A974" s="6" t="str">
        <f>HYPERLINK("proteomic_fractions_linear_files/Yang_linear_img/83649737.jpg", "83649737")</f>
        <v>83649737</v>
      </c>
      <c r="B974" s="7"/>
      <c r="C974" s="6" t="str">
        <f>HYPERLINK("http://www.ncbi.nlm.nih.gov/protein/83649737","Capzb")</f>
        <v>Capzb</v>
      </c>
      <c r="D974" s="8"/>
      <c r="E974" s="8">
        <v>31214</v>
      </c>
      <c r="F974" s="8"/>
      <c r="G974" s="15">
        <v>1.2045589168749868</v>
      </c>
      <c r="H974" s="15">
        <v>1.2045589168749868</v>
      </c>
      <c r="I974" s="15">
        <v>0.96404538360364944</v>
      </c>
      <c r="J974" s="15">
        <v>0.96404538360364944</v>
      </c>
      <c r="K974" s="15">
        <v>0.96404538360364944</v>
      </c>
      <c r="L974" s="15">
        <v>0.96404538360364944</v>
      </c>
      <c r="M974" s="15">
        <v>0.96404538360364944</v>
      </c>
      <c r="N974" s="15">
        <v>0.96404538360364944</v>
      </c>
      <c r="O974" s="15">
        <v>0.84355671340080651</v>
      </c>
      <c r="P974" s="15">
        <v>0.84355671340080651</v>
      </c>
      <c r="Q974" s="8"/>
      <c r="R974" s="9" t="s">
        <v>972</v>
      </c>
    </row>
    <row r="975" spans="1:18" x14ac:dyDescent="0.25">
      <c r="A975" s="6" t="str">
        <f>HYPERLINK("proteomic_fractions_linear_files/Yang_linear_img/157951596.jpg", "157951596")</f>
        <v>157951596</v>
      </c>
      <c r="B975" s="7"/>
      <c r="C975" s="6" t="str">
        <f>HYPERLINK("http://www.ncbi.nlm.nih.gov/protein/157951596","Car2")</f>
        <v>Car2</v>
      </c>
      <c r="D975" s="8"/>
      <c r="E975" s="8">
        <v>28901</v>
      </c>
      <c r="F975" s="8"/>
      <c r="G975" s="15">
        <v>1.2876319456249858</v>
      </c>
      <c r="H975" s="15">
        <v>1.2876319456249858</v>
      </c>
      <c r="I975" s="15">
        <v>0.90173303846293107</v>
      </c>
      <c r="J975" s="15">
        <v>0.90173303846293107</v>
      </c>
      <c r="K975" s="15">
        <v>0.96269694129938133</v>
      </c>
      <c r="L975" s="15">
        <v>0.96269694129938133</v>
      </c>
      <c r="M975" s="15">
        <v>0.90173303846293107</v>
      </c>
      <c r="N975" s="15">
        <v>0.90173303846293107</v>
      </c>
      <c r="O975" s="15">
        <v>0.79688184050749811</v>
      </c>
      <c r="P975" s="15">
        <v>0.79688184050749811</v>
      </c>
      <c r="Q975" s="8"/>
      <c r="R975" s="9" t="s">
        <v>973</v>
      </c>
    </row>
    <row r="976" spans="1:18" x14ac:dyDescent="0.25">
      <c r="A976" s="6" t="str">
        <f>HYPERLINK("proteomic_fractions_linear_files/Yang_linear_img/211057396.jpg", "211057396")</f>
        <v>211057396</v>
      </c>
      <c r="B976" s="7"/>
      <c r="C976" s="6" t="str">
        <f>HYPERLINK("http://www.ncbi.nlm.nih.gov/protein/211057396","Car5b")</f>
        <v>Car5b</v>
      </c>
      <c r="D976" s="8"/>
      <c r="E976" s="8">
        <v>32695</v>
      </c>
      <c r="F976" s="8"/>
      <c r="G976" s="15">
        <v>7.0715408372075474</v>
      </c>
      <c r="H976" s="15">
        <v>7.0715408372075474</v>
      </c>
      <c r="I976" s="15">
        <v>0.84600640296006246</v>
      </c>
      <c r="J976" s="15">
        <v>0.84600640296006246</v>
      </c>
      <c r="K976" s="15" t="s">
        <v>10</v>
      </c>
      <c r="L976" s="15" t="s">
        <v>10</v>
      </c>
      <c r="M976" s="15" t="s">
        <v>10</v>
      </c>
      <c r="N976" s="15" t="s">
        <v>10</v>
      </c>
      <c r="O976" s="15" t="s">
        <v>10</v>
      </c>
      <c r="P976" s="15" t="s">
        <v>10</v>
      </c>
      <c r="Q976" s="8"/>
      <c r="R976" s="9" t="s">
        <v>974</v>
      </c>
    </row>
    <row r="977" spans="1:18" x14ac:dyDescent="0.25">
      <c r="A977" s="6" t="str">
        <f>HYPERLINK("proteomic_fractions_linear_files/Yang_linear_img/13385290.jpg", "13385290")</f>
        <v>13385290</v>
      </c>
      <c r="B977" s="7"/>
      <c r="C977" s="6" t="str">
        <f>HYPERLINK("http://www.ncbi.nlm.nih.gov/protein/13385290","Carhsp1")</f>
        <v>Carhsp1</v>
      </c>
      <c r="D977" s="8"/>
      <c r="E977" s="8">
        <v>15931</v>
      </c>
      <c r="F977" s="8"/>
      <c r="G977" s="15" t="s">
        <v>10</v>
      </c>
      <c r="H977" s="15" t="s">
        <v>10</v>
      </c>
      <c r="I977" s="15">
        <v>1.1559561977852553</v>
      </c>
      <c r="J977" s="15">
        <v>1.1559561977852553</v>
      </c>
      <c r="K977" s="15">
        <v>1.2188218642522046</v>
      </c>
      <c r="L977" s="15">
        <v>1.2188218642522046</v>
      </c>
      <c r="M977" s="15" t="s">
        <v>10</v>
      </c>
      <c r="N977" s="15" t="s">
        <v>10</v>
      </c>
      <c r="O977" s="15">
        <v>1.1559561977852553</v>
      </c>
      <c r="P977" s="15">
        <v>1.1559561977852553</v>
      </c>
      <c r="Q977" s="8"/>
      <c r="R977" s="9" t="s">
        <v>975</v>
      </c>
    </row>
    <row r="978" spans="1:18" x14ac:dyDescent="0.25">
      <c r="A978" s="6" t="str">
        <f>HYPERLINK("proteomic_fractions_linear_files/Yang_linear_img/298676450.jpg", "298676450")</f>
        <v>298676450</v>
      </c>
      <c r="B978" s="7"/>
      <c r="C978" s="6" t="str">
        <f>HYPERLINK("http://www.ncbi.nlm.nih.gov/protein/298676450","Carkd")</f>
        <v>Carkd</v>
      </c>
      <c r="D978" s="8"/>
      <c r="E978" s="8">
        <v>38781</v>
      </c>
      <c r="F978" s="8"/>
      <c r="G978" s="15" t="s">
        <v>10</v>
      </c>
      <c r="H978" s="15" t="s">
        <v>10</v>
      </c>
      <c r="I978" s="15">
        <v>0.82266853476239965</v>
      </c>
      <c r="J978" s="15">
        <v>0.82266853476239965</v>
      </c>
      <c r="K978" s="15">
        <v>0.82266853476239965</v>
      </c>
      <c r="L978" s="15">
        <v>0.82266853476239965</v>
      </c>
      <c r="M978" s="15">
        <v>0.82266853476239965</v>
      </c>
      <c r="N978" s="15">
        <v>0.82266853476239965</v>
      </c>
      <c r="O978" s="15">
        <v>0.71585157173543745</v>
      </c>
      <c r="P978" s="15">
        <v>0.71585157173543745</v>
      </c>
      <c r="Q978" s="8"/>
      <c r="R978" s="9" t="s">
        <v>976</v>
      </c>
    </row>
    <row r="979" spans="1:18" x14ac:dyDescent="0.25">
      <c r="A979" s="6" t="str">
        <f>HYPERLINK("proteomic_fractions_linear_files/Yang_linear_img/298676452.jpg", "298676452")</f>
        <v>298676452</v>
      </c>
      <c r="B979" s="7"/>
      <c r="C979" s="6" t="str">
        <f>HYPERLINK("http://www.ncbi.nlm.nih.gov/protein/298676452","Carkd")</f>
        <v>Carkd</v>
      </c>
      <c r="D979" s="8"/>
      <c r="E979" s="8">
        <v>35038</v>
      </c>
      <c r="F979" s="8"/>
      <c r="G979" s="15" t="s">
        <v>10</v>
      </c>
      <c r="H979" s="15" t="s">
        <v>10</v>
      </c>
      <c r="I979" s="15">
        <v>0.91668779587810256</v>
      </c>
      <c r="J979" s="15">
        <v>0.91668779587810256</v>
      </c>
      <c r="K979" s="15">
        <v>0.91668779587810256</v>
      </c>
      <c r="L979" s="15">
        <v>0.91668779587810256</v>
      </c>
      <c r="M979" s="15">
        <v>0.91668779587810256</v>
      </c>
      <c r="N979" s="15">
        <v>0.91668779587810256</v>
      </c>
      <c r="O979" s="15">
        <v>0.79766317993377311</v>
      </c>
      <c r="P979" s="15">
        <v>0.79766317993377311</v>
      </c>
      <c r="Q979" s="8"/>
      <c r="R979" s="9" t="s">
        <v>977</v>
      </c>
    </row>
    <row r="980" spans="1:18" x14ac:dyDescent="0.25">
      <c r="A980" s="6" t="str">
        <f>HYPERLINK("proteomic_fractions_linear_files/Yang_linear_img/189409145.jpg", "189409145")</f>
        <v>189409145</v>
      </c>
      <c r="B980" s="7"/>
      <c r="C980" s="6" t="str">
        <f>HYPERLINK("http://www.ncbi.nlm.nih.gov/protein/189409145","Carm1")</f>
        <v>Carm1</v>
      </c>
      <c r="D980" s="8"/>
      <c r="E980" s="8">
        <v>63329</v>
      </c>
      <c r="F980" s="8"/>
      <c r="G980" s="15" t="s">
        <v>10</v>
      </c>
      <c r="H980" s="15" t="s">
        <v>10</v>
      </c>
      <c r="I980" s="15" t="s">
        <v>10</v>
      </c>
      <c r="J980" s="15" t="s">
        <v>10</v>
      </c>
      <c r="K980" s="15" t="s">
        <v>10</v>
      </c>
      <c r="L980" s="15" t="s">
        <v>10</v>
      </c>
      <c r="M980" s="15">
        <v>1.038940687786418</v>
      </c>
      <c r="N980" s="15">
        <v>1.038940687786418</v>
      </c>
      <c r="O980" s="15">
        <v>1.038940687786418</v>
      </c>
      <c r="P980" s="15">
        <v>1.038940687786418</v>
      </c>
      <c r="Q980" s="8"/>
      <c r="R980" s="9" t="s">
        <v>978</v>
      </c>
    </row>
    <row r="981" spans="1:18" x14ac:dyDescent="0.25">
      <c r="A981" s="6" t="str">
        <f>HYPERLINK("proteomic_fractions_linear_files/Yang_linear_img/50511310.jpg", "50511310")</f>
        <v>50511310</v>
      </c>
      <c r="B981" s="7"/>
      <c r="C981" s="6" t="str">
        <f>HYPERLINK("http://www.ncbi.nlm.nih.gov/protein/50511310","Carm1")</f>
        <v>Carm1</v>
      </c>
      <c r="D981" s="8"/>
      <c r="E981" s="8">
        <v>65723</v>
      </c>
      <c r="F981" s="8"/>
      <c r="G981" s="15" t="s">
        <v>10</v>
      </c>
      <c r="H981" s="15" t="s">
        <v>10</v>
      </c>
      <c r="I981" s="15" t="s">
        <v>10</v>
      </c>
      <c r="J981" s="15" t="s">
        <v>10</v>
      </c>
      <c r="K981" s="15" t="s">
        <v>10</v>
      </c>
      <c r="L981" s="15" t="s">
        <v>10</v>
      </c>
      <c r="M981" s="15">
        <v>0.99171611106885349</v>
      </c>
      <c r="N981" s="15">
        <v>0.99171611106885349</v>
      </c>
      <c r="O981" s="15">
        <v>0.99171611106885349</v>
      </c>
      <c r="P981" s="15">
        <v>0.99171611106885349</v>
      </c>
      <c r="Q981" s="8"/>
      <c r="R981" s="9" t="s">
        <v>979</v>
      </c>
    </row>
    <row r="982" spans="1:18" x14ac:dyDescent="0.25">
      <c r="A982" s="6" t="str">
        <f>HYPERLINK("proteomic_fractions_linear_files/Yang_linear_img/148747198.jpg", "148747198")</f>
        <v>148747198</v>
      </c>
      <c r="B982" s="7"/>
      <c r="C982" s="6" t="str">
        <f>HYPERLINK("http://www.ncbi.nlm.nih.gov/protein/148747198","Cars")</f>
        <v>Cars</v>
      </c>
      <c r="D982" s="8"/>
      <c r="E982" s="8">
        <v>94729</v>
      </c>
      <c r="F982" s="8"/>
      <c r="G982" s="15" t="s">
        <v>10</v>
      </c>
      <c r="H982" s="15" t="s">
        <v>10</v>
      </c>
      <c r="I982" s="15">
        <v>0.87472272076993529</v>
      </c>
      <c r="J982" s="15">
        <v>0.87472272076993529</v>
      </c>
      <c r="K982" s="15">
        <v>0.99966295981667908</v>
      </c>
      <c r="L982" s="15">
        <v>0.99966295981667908</v>
      </c>
      <c r="M982" s="15">
        <v>0.99966295981667908</v>
      </c>
      <c r="N982" s="15">
        <v>0.99966295981667908</v>
      </c>
      <c r="O982" s="15">
        <v>0.87472272076993529</v>
      </c>
      <c r="P982" s="15">
        <v>0.87472272076993529</v>
      </c>
      <c r="Q982" s="8"/>
      <c r="R982" s="9" t="s">
        <v>980</v>
      </c>
    </row>
    <row r="983" spans="1:18" x14ac:dyDescent="0.25">
      <c r="A983" s="6" t="str">
        <f>HYPERLINK("proteomic_fractions_linear_files/Yang_linear_img/357588502.jpg", "357588502")</f>
        <v>357588502</v>
      </c>
      <c r="B983" s="7"/>
      <c r="C983" s="6" t="str">
        <f>HYPERLINK("http://www.ncbi.nlm.nih.gov/protein/357588502","Cars")</f>
        <v>Cars</v>
      </c>
      <c r="D983" s="8"/>
      <c r="E983" s="8">
        <v>85421</v>
      </c>
      <c r="F983" s="8"/>
      <c r="G983" s="15" t="s">
        <v>10</v>
      </c>
      <c r="H983" s="15" t="s">
        <v>10</v>
      </c>
      <c r="I983" s="15">
        <v>0.97763127615463363</v>
      </c>
      <c r="J983" s="15">
        <v>0.97763127615463363</v>
      </c>
      <c r="K983" s="15">
        <v>1.1172703668539354</v>
      </c>
      <c r="L983" s="15">
        <v>1.1172703668539354</v>
      </c>
      <c r="M983" s="15">
        <v>1.1172703668539354</v>
      </c>
      <c r="N983" s="15">
        <v>1.1172703668539354</v>
      </c>
      <c r="O983" s="15">
        <v>0.97763127615463363</v>
      </c>
      <c r="P983" s="15">
        <v>0.97763127615463363</v>
      </c>
      <c r="Q983" s="8"/>
      <c r="R983" s="9" t="s">
        <v>981</v>
      </c>
    </row>
    <row r="984" spans="1:18" x14ac:dyDescent="0.25">
      <c r="A984" s="6" t="str">
        <f>HYPERLINK("proteomic_fractions_linear_files/Yang_linear_img/282721112.jpg", "282721112")</f>
        <v>282721112</v>
      </c>
      <c r="B984" s="7"/>
      <c r="C984" s="6" t="str">
        <f>HYPERLINK("http://www.ncbi.nlm.nih.gov/protein/282721112","Casc1")</f>
        <v>Casc1</v>
      </c>
      <c r="D984" s="8"/>
      <c r="E984" s="8">
        <v>84809</v>
      </c>
      <c r="F984" s="8"/>
      <c r="G984" s="15" t="s">
        <v>10</v>
      </c>
      <c r="H984" s="15" t="s">
        <v>10</v>
      </c>
      <c r="I984" s="15" t="s">
        <v>10</v>
      </c>
      <c r="J984" s="15" t="s">
        <v>10</v>
      </c>
      <c r="K984" s="15">
        <v>0.56811735981665001</v>
      </c>
      <c r="L984" s="15">
        <v>0.56811735981665001</v>
      </c>
      <c r="M984" s="15">
        <v>0.56811735981665001</v>
      </c>
      <c r="N984" s="15">
        <v>0.56811735981665001</v>
      </c>
      <c r="O984" s="15" t="s">
        <v>10</v>
      </c>
      <c r="P984" s="15" t="s">
        <v>10</v>
      </c>
      <c r="Q984" s="8"/>
      <c r="R984" s="9" t="s">
        <v>982</v>
      </c>
    </row>
    <row r="985" spans="1:18" x14ac:dyDescent="0.25">
      <c r="A985" s="6" t="str">
        <f>HYPERLINK("proteomic_fractions_linear_files/Yang_linear_img/133504495.jpg", "133504495")</f>
        <v>133504495</v>
      </c>
      <c r="B985" s="7"/>
      <c r="C985" s="6" t="str">
        <f>HYPERLINK("http://www.ncbi.nlm.nih.gov/protein/133504495","Cask")</f>
        <v>Cask</v>
      </c>
      <c r="D985" s="8"/>
      <c r="E985" s="8">
        <v>101969</v>
      </c>
      <c r="F985" s="8"/>
      <c r="G985" s="15" t="s">
        <v>10</v>
      </c>
      <c r="H985" s="15" t="s">
        <v>10</v>
      </c>
      <c r="I985" s="15">
        <v>1.0764859198150143</v>
      </c>
      <c r="J985" s="15">
        <v>1.0764859198150143</v>
      </c>
      <c r="K985" s="15">
        <v>1.2619767465207545</v>
      </c>
      <c r="L985" s="15">
        <v>1.2619767465207545</v>
      </c>
      <c r="M985" s="15" t="s">
        <v>10</v>
      </c>
      <c r="N985" s="15" t="s">
        <v>10</v>
      </c>
      <c r="O985" s="15" t="s">
        <v>10</v>
      </c>
      <c r="P985" s="15" t="s">
        <v>10</v>
      </c>
      <c r="Q985" s="8"/>
      <c r="R985" s="9" t="s">
        <v>983</v>
      </c>
    </row>
    <row r="986" spans="1:18" x14ac:dyDescent="0.25">
      <c r="A986" s="6" t="str">
        <f>HYPERLINK("proteomic_fractions_linear_files/Yang_linear_img/31981530.jpg", "31981530")</f>
        <v>31981530</v>
      </c>
      <c r="B986" s="7"/>
      <c r="C986" s="6" t="str">
        <f>HYPERLINK("http://www.ncbi.nlm.nih.gov/protein/31981530","Caskin2")</f>
        <v>Caskin2</v>
      </c>
      <c r="D986" s="8"/>
      <c r="E986" s="8">
        <v>126648</v>
      </c>
      <c r="F986" s="8"/>
      <c r="G986" s="15" t="s">
        <v>10</v>
      </c>
      <c r="H986" s="15" t="s">
        <v>10</v>
      </c>
      <c r="I986" s="15" t="s">
        <v>10</v>
      </c>
      <c r="J986" s="15" t="s">
        <v>10</v>
      </c>
      <c r="K986" s="15">
        <v>0.34744558462177533</v>
      </c>
      <c r="L986" s="15">
        <v>0.34744558462177533</v>
      </c>
      <c r="M986" s="15" t="s">
        <v>10</v>
      </c>
      <c r="N986" s="15" t="s">
        <v>10</v>
      </c>
      <c r="O986" s="15" t="s">
        <v>10</v>
      </c>
      <c r="P986" s="15" t="s">
        <v>10</v>
      </c>
      <c r="Q986" s="8"/>
      <c r="R986" s="9" t="s">
        <v>984</v>
      </c>
    </row>
    <row r="987" spans="1:18" x14ac:dyDescent="0.25">
      <c r="A987" s="6" t="str">
        <f>HYPERLINK("proteomic_fractions_linear_files/Yang_linear_img/6753280.jpg", "6753280")</f>
        <v>6753280</v>
      </c>
      <c r="B987" s="7"/>
      <c r="C987" s="6" t="str">
        <f>HYPERLINK("http://www.ncbi.nlm.nih.gov/protein/6753280","Casp14")</f>
        <v>Casp14</v>
      </c>
      <c r="D987" s="8"/>
      <c r="E987" s="8">
        <v>29327</v>
      </c>
      <c r="F987" s="8"/>
      <c r="G987" s="15" t="s">
        <v>10</v>
      </c>
      <c r="H987" s="15" t="s">
        <v>10</v>
      </c>
      <c r="I987" s="15">
        <v>0.96269694129938133</v>
      </c>
      <c r="J987" s="15">
        <v>0.96269694129938133</v>
      </c>
      <c r="K987" s="15">
        <v>1.0305312721280391</v>
      </c>
      <c r="L987" s="15">
        <v>1.0305312721280391</v>
      </c>
      <c r="M987" s="15" t="s">
        <v>10</v>
      </c>
      <c r="N987" s="15" t="s">
        <v>10</v>
      </c>
      <c r="O987" s="15">
        <v>0.90173303846293107</v>
      </c>
      <c r="P987" s="15">
        <v>0.90173303846293107</v>
      </c>
      <c r="Q987" s="8"/>
      <c r="R987" s="9" t="s">
        <v>985</v>
      </c>
    </row>
    <row r="988" spans="1:18" x14ac:dyDescent="0.25">
      <c r="A988" s="6" t="str">
        <f>HYPERLINK("proteomic_fractions_linear_files/Yang_linear_img/6680848.jpg", "6680848")</f>
        <v>6680848</v>
      </c>
      <c r="B988" s="7"/>
      <c r="C988" s="6" t="str">
        <f>HYPERLINK("http://www.ncbi.nlm.nih.gov/protein/6680848","Casp2")</f>
        <v>Casp2</v>
      </c>
      <c r="D988" s="8"/>
      <c r="E988" s="8">
        <v>50530</v>
      </c>
      <c r="F988" s="8"/>
      <c r="G988" s="15" t="s">
        <v>10</v>
      </c>
      <c r="H988" s="15" t="s">
        <v>10</v>
      </c>
      <c r="I988" s="15" t="s">
        <v>10</v>
      </c>
      <c r="J988" s="15" t="s">
        <v>10</v>
      </c>
      <c r="K988" s="15">
        <v>0.94686226636108339</v>
      </c>
      <c r="L988" s="15">
        <v>0.94686226636108339</v>
      </c>
      <c r="M988" s="15" t="s">
        <v>10</v>
      </c>
      <c r="N988" s="15" t="s">
        <v>10</v>
      </c>
      <c r="O988" s="15">
        <v>0.86520763229344055</v>
      </c>
      <c r="P988" s="15">
        <v>0.86520763229344055</v>
      </c>
      <c r="Q988" s="8"/>
      <c r="R988" s="9" t="s">
        <v>986</v>
      </c>
    </row>
    <row r="989" spans="1:18" x14ac:dyDescent="0.25">
      <c r="A989" s="6" t="str">
        <f>HYPERLINK("proteomic_fractions_linear_files/Yang_linear_img/6753284.jpg", "6753284")</f>
        <v>6753284</v>
      </c>
      <c r="B989" s="7"/>
      <c r="C989" s="6" t="str">
        <f>HYPERLINK("http://www.ncbi.nlm.nih.gov/protein/6753284","Casp3")</f>
        <v>Casp3</v>
      </c>
      <c r="D989" s="8"/>
      <c r="E989" s="8">
        <v>31344</v>
      </c>
      <c r="F989" s="8"/>
      <c r="G989" s="15" t="s">
        <v>10</v>
      </c>
      <c r="H989" s="15" t="s">
        <v>10</v>
      </c>
      <c r="I989" s="15">
        <v>0.90058746121555033</v>
      </c>
      <c r="J989" s="15">
        <v>0.90058746121555033</v>
      </c>
      <c r="K989" s="15">
        <v>0.96404538360364944</v>
      </c>
      <c r="L989" s="15">
        <v>0.96404538360364944</v>
      </c>
      <c r="M989" s="15">
        <v>0.90058746121555033</v>
      </c>
      <c r="N989" s="15">
        <v>0.90058746121555033</v>
      </c>
      <c r="O989" s="15">
        <v>0.84355671340080651</v>
      </c>
      <c r="P989" s="15">
        <v>0.84355671340080651</v>
      </c>
      <c r="Q989" s="8"/>
      <c r="R989" s="9" t="s">
        <v>987</v>
      </c>
    </row>
    <row r="990" spans="1:18" x14ac:dyDescent="0.25">
      <c r="A990" s="6" t="str">
        <f>HYPERLINK("proteomic_fractions_linear_files/Yang_linear_img/157951736.jpg", "157951736")</f>
        <v>157951736</v>
      </c>
      <c r="B990" s="7"/>
      <c r="C990" s="6" t="str">
        <f>HYPERLINK("http://www.ncbi.nlm.nih.gov/protein/157951736","Casp6")</f>
        <v>Casp6</v>
      </c>
      <c r="D990" s="8"/>
      <c r="E990" s="8">
        <v>31464</v>
      </c>
      <c r="F990" s="8"/>
      <c r="G990" s="15">
        <v>0.90058746121555033</v>
      </c>
      <c r="H990" s="15">
        <v>0.90058746121555033</v>
      </c>
      <c r="I990" s="15">
        <v>0.90058746121555033</v>
      </c>
      <c r="J990" s="15">
        <v>0.90058746121555033</v>
      </c>
      <c r="K990" s="15">
        <v>0.96404538360364944</v>
      </c>
      <c r="L990" s="15">
        <v>0.96404538360364944</v>
      </c>
      <c r="M990" s="15">
        <v>0.90058746121555033</v>
      </c>
      <c r="N990" s="15">
        <v>0.90058746121555033</v>
      </c>
      <c r="O990" s="15">
        <v>0.84355671340080651</v>
      </c>
      <c r="P990" s="15">
        <v>0.84355671340080651</v>
      </c>
      <c r="Q990" s="8"/>
      <c r="R990" s="9" t="s">
        <v>988</v>
      </c>
    </row>
    <row r="991" spans="1:18" x14ac:dyDescent="0.25">
      <c r="A991" s="6" t="str">
        <f>HYPERLINK("proteomic_fractions_linear_files/Yang_linear_img/6680850.jpg", "6680850")</f>
        <v>6680850</v>
      </c>
      <c r="B991" s="7"/>
      <c r="C991" s="6" t="str">
        <f>HYPERLINK("http://www.ncbi.nlm.nih.gov/protein/6680850","Casp7")</f>
        <v>Casp7</v>
      </c>
      <c r="D991" s="8"/>
      <c r="E991" s="8">
        <v>33930</v>
      </c>
      <c r="F991" s="8"/>
      <c r="G991" s="15" t="s">
        <v>10</v>
      </c>
      <c r="H991" s="15" t="s">
        <v>10</v>
      </c>
      <c r="I991" s="15">
        <v>0.94364920163922317</v>
      </c>
      <c r="J991" s="15">
        <v>0.94364920163922317</v>
      </c>
      <c r="K991" s="15">
        <v>1.0162757803080937</v>
      </c>
      <c r="L991" s="15">
        <v>1.0162757803080937</v>
      </c>
      <c r="M991" s="15">
        <v>0.94364920163922317</v>
      </c>
      <c r="N991" s="15">
        <v>0.94364920163922317</v>
      </c>
      <c r="O991" s="15">
        <v>0.87898255563862149</v>
      </c>
      <c r="P991" s="15">
        <v>0.87898255563862149</v>
      </c>
      <c r="Q991" s="8"/>
      <c r="R991" s="9" t="s">
        <v>989</v>
      </c>
    </row>
    <row r="992" spans="1:18" x14ac:dyDescent="0.25">
      <c r="A992" s="6" t="str">
        <f>HYPERLINK("proteomic_fractions_linear_files/Yang_linear_img/33859520.jpg", "33859520")</f>
        <v>33859520</v>
      </c>
      <c r="B992" s="7"/>
      <c r="C992" s="6" t="str">
        <f>HYPERLINK("http://www.ncbi.nlm.nih.gov/protein/33859520","Casp8")</f>
        <v>Casp8</v>
      </c>
      <c r="D992" s="8"/>
      <c r="E992" s="8">
        <v>55226</v>
      </c>
      <c r="F992" s="8"/>
      <c r="G992" s="15" t="s">
        <v>10</v>
      </c>
      <c r="H992" s="15" t="s">
        <v>10</v>
      </c>
      <c r="I992" s="15">
        <v>1.0686037742835246</v>
      </c>
      <c r="J992" s="15">
        <v>1.0686037742835246</v>
      </c>
      <c r="K992" s="15">
        <v>0.5833467791951561</v>
      </c>
      <c r="L992" s="15">
        <v>0.5833467791951561</v>
      </c>
      <c r="M992" s="15" t="s">
        <v>10</v>
      </c>
      <c r="N992" s="15" t="s">
        <v>10</v>
      </c>
      <c r="O992" s="15">
        <v>0.96582853872729235</v>
      </c>
      <c r="P992" s="15">
        <v>0.96582853872729235</v>
      </c>
      <c r="Q992" s="8"/>
      <c r="R992" s="9" t="s">
        <v>990</v>
      </c>
    </row>
    <row r="993" spans="1:18" x14ac:dyDescent="0.25">
      <c r="A993" s="6" t="str">
        <f>HYPERLINK("proteomic_fractions_linear_files/Yang_linear_img/31560479.jpg", "31560479")</f>
        <v>31560479</v>
      </c>
      <c r="B993" s="7"/>
      <c r="C993" s="6" t="str">
        <f>HYPERLINK("http://www.ncbi.nlm.nih.gov/protein/31560479","Casp9")</f>
        <v>Casp9</v>
      </c>
      <c r="D993" s="8"/>
      <c r="E993" s="8">
        <v>49848</v>
      </c>
      <c r="F993" s="8"/>
      <c r="G993" s="15" t="s">
        <v>10</v>
      </c>
      <c r="H993" s="15" t="s">
        <v>10</v>
      </c>
      <c r="I993" s="15" t="s">
        <v>10</v>
      </c>
      <c r="J993" s="15" t="s">
        <v>10</v>
      </c>
      <c r="K993" s="15" t="s">
        <v>10</v>
      </c>
      <c r="L993" s="15" t="s">
        <v>10</v>
      </c>
      <c r="M993" s="15" t="s">
        <v>10</v>
      </c>
      <c r="N993" s="15" t="s">
        <v>10</v>
      </c>
      <c r="O993" s="15">
        <v>0.96579951168830502</v>
      </c>
      <c r="P993" s="15">
        <v>0.96579951168830502</v>
      </c>
      <c r="Q993" s="8"/>
      <c r="R993" s="9" t="s">
        <v>991</v>
      </c>
    </row>
    <row r="994" spans="1:18" x14ac:dyDescent="0.25">
      <c r="A994" s="6" t="str">
        <f>HYPERLINK("proteomic_fractions_linear_files/Yang_linear_img/33563246.jpg", "33563246")</f>
        <v>33563246</v>
      </c>
      <c r="B994" s="7"/>
      <c r="C994" s="6" t="str">
        <f>HYPERLINK("http://www.ncbi.nlm.nih.gov/protein/33563246","Cast")</f>
        <v>Cast</v>
      </c>
      <c r="D994" s="8"/>
      <c r="E994" s="8">
        <v>81310</v>
      </c>
      <c r="F994" s="8"/>
      <c r="G994" s="15" t="s">
        <v>10</v>
      </c>
      <c r="H994" s="15" t="s">
        <v>10</v>
      </c>
      <c r="I994" s="15" t="s">
        <v>10</v>
      </c>
      <c r="J994" s="15" t="s">
        <v>10</v>
      </c>
      <c r="K994" s="15">
        <v>1.5891559030261353</v>
      </c>
      <c r="L994" s="15">
        <v>1.5891559030261353</v>
      </c>
      <c r="M994" s="15">
        <v>1.5891559030261353</v>
      </c>
      <c r="N994" s="15">
        <v>1.5891559030261353</v>
      </c>
      <c r="O994" s="15">
        <v>1.5891559030261353</v>
      </c>
      <c r="P994" s="15">
        <v>1.3555748619892773</v>
      </c>
      <c r="Q994" s="8"/>
      <c r="R994" s="9" t="s">
        <v>992</v>
      </c>
    </row>
    <row r="995" spans="1:18" x14ac:dyDescent="0.25">
      <c r="A995" s="6" t="str">
        <f>HYPERLINK("proteomic_fractions_linear_files/Yang_linear_img/157951741.jpg", "157951741")</f>
        <v>157951741</v>
      </c>
      <c r="B995" s="7"/>
      <c r="C995" s="6" t="str">
        <f>HYPERLINK("http://www.ncbi.nlm.nih.gov/protein/157951741","Cat")</f>
        <v>Cat</v>
      </c>
      <c r="D995" s="8"/>
      <c r="E995" s="8">
        <v>59664</v>
      </c>
      <c r="F995" s="8"/>
      <c r="G995" s="15">
        <v>1.2239360040280374</v>
      </c>
      <c r="H995" s="15">
        <v>1.2239360040280374</v>
      </c>
      <c r="I995" s="15">
        <v>0.97955345975989749</v>
      </c>
      <c r="J995" s="15">
        <v>0.97955345975989749</v>
      </c>
      <c r="K995" s="15">
        <v>0.97955345975989749</v>
      </c>
      <c r="L995" s="15">
        <v>0.97955345975989749</v>
      </c>
      <c r="M995" s="15">
        <v>0.97955345975989749</v>
      </c>
      <c r="N995" s="15">
        <v>0.97955345975989749</v>
      </c>
      <c r="O995" s="15">
        <v>0.88534282716668466</v>
      </c>
      <c r="P995" s="15">
        <v>0.88534282716668466</v>
      </c>
      <c r="Q995" s="8"/>
      <c r="R995" s="9" t="s">
        <v>993</v>
      </c>
    </row>
    <row r="996" spans="1:18" x14ac:dyDescent="0.25">
      <c r="A996" s="6" t="str">
        <f>HYPERLINK("proteomic_fractions_linear_files/Yang_linear_img/340139110.jpg", "340139110")</f>
        <v>340139110</v>
      </c>
      <c r="B996" s="7"/>
      <c r="C996" s="6" t="str">
        <f>HYPERLINK("http://www.ncbi.nlm.nih.gov/protein/340139110","Cav1")</f>
        <v>Cav1</v>
      </c>
      <c r="D996" s="8"/>
      <c r="E996" s="8">
        <v>16959</v>
      </c>
      <c r="F996" s="8"/>
      <c r="G996" s="15" t="s">
        <v>10</v>
      </c>
      <c r="H996" s="15" t="s">
        <v>10</v>
      </c>
      <c r="I996" s="15" t="s">
        <v>10</v>
      </c>
      <c r="J996" s="15" t="s">
        <v>10</v>
      </c>
      <c r="K996" s="15">
        <v>1.0879587743861225</v>
      </c>
      <c r="L996" s="15">
        <v>1.0879587743861225</v>
      </c>
      <c r="M996" s="15" t="s">
        <v>10</v>
      </c>
      <c r="N996" s="15" t="s">
        <v>10</v>
      </c>
      <c r="O996" s="15" t="s">
        <v>10</v>
      </c>
      <c r="P996" s="15" t="s">
        <v>10</v>
      </c>
      <c r="Q996" s="8"/>
      <c r="R996" s="9" t="s">
        <v>994</v>
      </c>
    </row>
    <row r="997" spans="1:18" x14ac:dyDescent="0.25">
      <c r="A997" s="6" t="str">
        <f>HYPERLINK("proteomic_fractions_linear_files/Yang_linear_img/6680854.jpg", "6680854")</f>
        <v>6680854</v>
      </c>
      <c r="B997" s="7"/>
      <c r="C997" s="6" t="str">
        <f>HYPERLINK("http://www.ncbi.nlm.nih.gov/protein/6680854","Cav1")</f>
        <v>Cav1</v>
      </c>
      <c r="D997" s="8"/>
      <c r="E997" s="8">
        <v>20408</v>
      </c>
      <c r="F997" s="8"/>
      <c r="G997" s="15" t="s">
        <v>10</v>
      </c>
      <c r="H997" s="15" t="s">
        <v>10</v>
      </c>
      <c r="I997" s="15">
        <v>0.97505749140176368</v>
      </c>
      <c r="J997" s="15">
        <v>0.97505749140176368</v>
      </c>
      <c r="K997" s="15">
        <v>0.92476495822820426</v>
      </c>
      <c r="L997" s="15">
        <v>0.92476495822820426</v>
      </c>
      <c r="M997" s="15" t="s">
        <v>10</v>
      </c>
      <c r="N997" s="15" t="s">
        <v>10</v>
      </c>
      <c r="O997" s="15" t="s">
        <v>10</v>
      </c>
      <c r="P997" s="15" t="s">
        <v>10</v>
      </c>
      <c r="Q997" s="8"/>
      <c r="R997" s="9" t="s">
        <v>995</v>
      </c>
    </row>
    <row r="998" spans="1:18" x14ac:dyDescent="0.25">
      <c r="A998" s="6" t="str">
        <f>HYPERLINK("proteomic_fractions_linear_files/Yang_linear_img/18702317.jpg", "18702317")</f>
        <v>18702317</v>
      </c>
      <c r="B998" s="7"/>
      <c r="C998" s="6" t="str">
        <f>HYPERLINK("http://www.ncbi.nlm.nih.gov/protein/18702317","Cav2")</f>
        <v>Cav2</v>
      </c>
      <c r="D998" s="8"/>
      <c r="E998" s="8">
        <v>18096</v>
      </c>
      <c r="F998" s="8"/>
      <c r="G998" s="15" t="s">
        <v>10</v>
      </c>
      <c r="H998" s="15" t="s">
        <v>10</v>
      </c>
      <c r="I998" s="15">
        <v>1.1443022881475706</v>
      </c>
      <c r="J998" s="15">
        <v>1.1443022881475706</v>
      </c>
      <c r="K998" s="15" t="s">
        <v>10</v>
      </c>
      <c r="L998" s="15" t="s">
        <v>10</v>
      </c>
      <c r="M998" s="15" t="s">
        <v>10</v>
      </c>
      <c r="N998" s="15" t="s">
        <v>10</v>
      </c>
      <c r="O998" s="15" t="s">
        <v>10</v>
      </c>
      <c r="P998" s="15" t="s">
        <v>10</v>
      </c>
      <c r="Q998" s="8"/>
      <c r="R998" s="9" t="s">
        <v>996</v>
      </c>
    </row>
    <row r="999" spans="1:18" x14ac:dyDescent="0.25">
      <c r="A999" s="6" t="str">
        <f>HYPERLINK("proteomic_fractions_linear_files/Yang_linear_img/238814335.jpg", "238814335")</f>
        <v>238814335</v>
      </c>
      <c r="B999" s="7"/>
      <c r="C999" s="6" t="str">
        <f>HYPERLINK("http://www.ncbi.nlm.nih.gov/protein/238814335","Cbfb")</f>
        <v>Cbfb</v>
      </c>
      <c r="D999" s="8"/>
      <c r="E999" s="8">
        <v>17895</v>
      </c>
      <c r="F999" s="8"/>
      <c r="G999" s="15" t="s">
        <v>10</v>
      </c>
      <c r="H999" s="15" t="s">
        <v>10</v>
      </c>
      <c r="I999" s="15" t="s">
        <v>10</v>
      </c>
      <c r="J999" s="15" t="s">
        <v>10</v>
      </c>
      <c r="K999" s="15" t="s">
        <v>10</v>
      </c>
      <c r="L999" s="15" t="s">
        <v>10</v>
      </c>
      <c r="M999" s="15" t="s">
        <v>10</v>
      </c>
      <c r="N999" s="15" t="s">
        <v>10</v>
      </c>
      <c r="O999" s="15">
        <v>1.210874570593264</v>
      </c>
      <c r="P999" s="15">
        <v>1.210874570593264</v>
      </c>
      <c r="Q999" s="8"/>
      <c r="R999" s="9" t="s">
        <v>997</v>
      </c>
    </row>
    <row r="1000" spans="1:18" x14ac:dyDescent="0.25">
      <c r="A1000" s="6" t="str">
        <f>HYPERLINK("proteomic_fractions_linear_files/Yang_linear_img/238814331.jpg", "238814331")</f>
        <v>238814331</v>
      </c>
      <c r="B1000" s="7"/>
      <c r="C1000" s="6" t="str">
        <f>HYPERLINK("http://www.ncbi.nlm.nih.gov/protein/238814331","Cbfb")</f>
        <v>Cbfb</v>
      </c>
      <c r="D1000" s="8"/>
      <c r="E1000" s="8">
        <v>21899</v>
      </c>
      <c r="F1000" s="8"/>
      <c r="G1000" s="15" t="s">
        <v>10</v>
      </c>
      <c r="H1000" s="15" t="s">
        <v>10</v>
      </c>
      <c r="I1000" s="15">
        <v>0.93624732666619426</v>
      </c>
      <c r="J1000" s="15">
        <v>0.93624732666619426</v>
      </c>
      <c r="K1000" s="15">
        <v>0.93624732666619426</v>
      </c>
      <c r="L1000" s="15">
        <v>0.93624732666619426</v>
      </c>
      <c r="M1000" s="15" t="s">
        <v>10</v>
      </c>
      <c r="N1000" s="15" t="s">
        <v>10</v>
      </c>
      <c r="O1000" s="15">
        <v>0.99071555775812503</v>
      </c>
      <c r="P1000" s="15">
        <v>0.99071555775812503</v>
      </c>
      <c r="Q1000" s="8"/>
      <c r="R1000" s="9" t="s">
        <v>998</v>
      </c>
    </row>
    <row r="1001" spans="1:18" x14ac:dyDescent="0.25">
      <c r="A1001" s="6" t="str">
        <f>HYPERLINK("proteomic_fractions_linear_files/Yang_linear_img/238814333.jpg", "238814333")</f>
        <v>238814333</v>
      </c>
      <c r="B1001" s="7"/>
      <c r="C1001" s="6" t="str">
        <f>HYPERLINK("http://www.ncbi.nlm.nih.gov/protein/238814333","Cbfb")</f>
        <v>Cbfb</v>
      </c>
      <c r="D1001" s="8"/>
      <c r="E1001" s="8">
        <v>17502</v>
      </c>
      <c r="F1001" s="8"/>
      <c r="G1001" s="15" t="s">
        <v>10</v>
      </c>
      <c r="H1001" s="15" t="s">
        <v>10</v>
      </c>
      <c r="I1001" s="15">
        <v>1.1443022881475706</v>
      </c>
      <c r="J1001" s="15">
        <v>1.1443022881475706</v>
      </c>
      <c r="K1001" s="15">
        <v>1.1443022881475706</v>
      </c>
      <c r="L1001" s="15">
        <v>1.1443022881475706</v>
      </c>
      <c r="M1001" s="15" t="s">
        <v>10</v>
      </c>
      <c r="N1001" s="15" t="s">
        <v>10</v>
      </c>
      <c r="O1001" s="15">
        <v>1.210874570593264</v>
      </c>
      <c r="P1001" s="15">
        <v>1.210874570593264</v>
      </c>
      <c r="Q1001" s="8"/>
      <c r="R1001" s="9" t="s">
        <v>999</v>
      </c>
    </row>
    <row r="1002" spans="1:18" x14ac:dyDescent="0.25">
      <c r="A1002" s="6" t="str">
        <f>HYPERLINK("proteomic_fractions_linear_files/Yang_linear_img/238814337.jpg", "238814337")</f>
        <v>238814337</v>
      </c>
      <c r="B1002" s="7"/>
      <c r="C1002" s="6" t="str">
        <f>HYPERLINK("http://www.ncbi.nlm.nih.gov/protein/238814337","Cbfb")</f>
        <v>Cbfb</v>
      </c>
      <c r="D1002" s="8"/>
      <c r="E1002" s="8">
        <v>21386</v>
      </c>
      <c r="F1002" s="8"/>
      <c r="G1002" s="15" t="s">
        <v>10</v>
      </c>
      <c r="H1002" s="15" t="s">
        <v>10</v>
      </c>
      <c r="I1002" s="15">
        <v>0.98083053269791776</v>
      </c>
      <c r="J1002" s="15">
        <v>0.98083053269791776</v>
      </c>
      <c r="K1002" s="15">
        <v>0.98083053269791776</v>
      </c>
      <c r="L1002" s="15">
        <v>0.98083053269791776</v>
      </c>
      <c r="M1002" s="15" t="s">
        <v>10</v>
      </c>
      <c r="N1002" s="15" t="s">
        <v>10</v>
      </c>
      <c r="O1002" s="15">
        <v>1.0378924890799406</v>
      </c>
      <c r="P1002" s="15">
        <v>1.0378924890799406</v>
      </c>
      <c r="Q1002" s="8"/>
      <c r="R1002" s="9" t="s">
        <v>1000</v>
      </c>
    </row>
    <row r="1003" spans="1:18" x14ac:dyDescent="0.25">
      <c r="A1003" s="6" t="str">
        <f>HYPERLINK("proteomic_fractions_linear_files/Yang_linear_img/80978932.jpg", "80978932")</f>
        <v>80978932</v>
      </c>
      <c r="B1003" s="7"/>
      <c r="C1003" s="6" t="str">
        <f>HYPERLINK("http://www.ncbi.nlm.nih.gov/protein/80978932","Cbl")</f>
        <v>Cbl</v>
      </c>
      <c r="D1003" s="8"/>
      <c r="E1003" s="8">
        <v>100433</v>
      </c>
      <c r="F1003" s="8"/>
      <c r="G1003" s="15" t="s">
        <v>10</v>
      </c>
      <c r="H1003" s="15" t="s">
        <v>10</v>
      </c>
      <c r="I1003" s="15" t="s">
        <v>10</v>
      </c>
      <c r="J1003" s="15" t="s">
        <v>10</v>
      </c>
      <c r="K1003" s="15" t="s">
        <v>10</v>
      </c>
      <c r="L1003" s="15" t="s">
        <v>10</v>
      </c>
      <c r="M1003" s="15" t="s">
        <v>10</v>
      </c>
      <c r="N1003" s="15" t="s">
        <v>10</v>
      </c>
      <c r="O1003" s="15">
        <v>1.2872162814511696</v>
      </c>
      <c r="P1003" s="15">
        <v>1.2872162814511696</v>
      </c>
      <c r="Q1003" s="8"/>
      <c r="R1003" s="9" t="s">
        <v>1001</v>
      </c>
    </row>
    <row r="1004" spans="1:18" x14ac:dyDescent="0.25">
      <c r="A1004" s="6" t="str">
        <f>HYPERLINK("proteomic_fractions_linear_files/Yang_linear_img/113680352.jpg", "113680352")</f>
        <v>113680352</v>
      </c>
      <c r="B1004" s="7"/>
      <c r="C1004" s="6" t="str">
        <f>HYPERLINK("http://www.ncbi.nlm.nih.gov/protein/113680352","Cbr1")</f>
        <v>Cbr1</v>
      </c>
      <c r="D1004" s="8"/>
      <c r="E1004" s="8">
        <v>30510</v>
      </c>
      <c r="F1004" s="8"/>
      <c r="G1004" s="15" t="s">
        <v>10</v>
      </c>
      <c r="H1004" s="15" t="s">
        <v>10</v>
      </c>
      <c r="I1004" s="15">
        <v>0.90058746121555033</v>
      </c>
      <c r="J1004" s="15">
        <v>0.90058746121555033</v>
      </c>
      <c r="K1004" s="15">
        <v>0.96404538360364944</v>
      </c>
      <c r="L1004" s="15">
        <v>0.96404538360364944</v>
      </c>
      <c r="M1004" s="15">
        <v>0.90058746121555033</v>
      </c>
      <c r="N1004" s="15">
        <v>0.90058746121555033</v>
      </c>
      <c r="O1004" s="15">
        <v>0.84355671340080651</v>
      </c>
      <c r="P1004" s="15">
        <v>0.84355671340080651</v>
      </c>
      <c r="Q1004" s="8"/>
      <c r="R1004" s="9" t="s">
        <v>1002</v>
      </c>
    </row>
    <row r="1005" spans="1:18" x14ac:dyDescent="0.25">
      <c r="A1005" s="6" t="str">
        <f>HYPERLINK("proteomic_fractions_linear_files/Yang_linear_img/6671688.jpg", "6671688")</f>
        <v>6671688</v>
      </c>
      <c r="B1005" s="7"/>
      <c r="C1005" s="6" t="str">
        <f>HYPERLINK("http://www.ncbi.nlm.nih.gov/protein/6671688","Cbr2")</f>
        <v>Cbr2</v>
      </c>
      <c r="D1005" s="8"/>
      <c r="E1005" s="8">
        <v>25827</v>
      </c>
      <c r="F1005" s="8"/>
      <c r="G1005" s="15">
        <v>1.3289760204028918</v>
      </c>
      <c r="H1005" s="15">
        <v>1.3289760204028918</v>
      </c>
      <c r="I1005" s="15">
        <v>0.94441617743372752</v>
      </c>
      <c r="J1005" s="15">
        <v>0.94441617743372752</v>
      </c>
      <c r="K1005" s="15">
        <v>0.94441617743372752</v>
      </c>
      <c r="L1005" s="15">
        <v>0.94441617743372752</v>
      </c>
      <c r="M1005" s="15" t="s">
        <v>10</v>
      </c>
      <c r="N1005" s="15" t="s">
        <v>10</v>
      </c>
      <c r="O1005" s="15">
        <v>0.79220927640985661</v>
      </c>
      <c r="P1005" s="15">
        <v>0.79220927640985661</v>
      </c>
      <c r="Q1005" s="8"/>
      <c r="R1005" s="9" t="s">
        <v>1003</v>
      </c>
    </row>
    <row r="1006" spans="1:18" x14ac:dyDescent="0.25">
      <c r="A1006" s="6" t="str">
        <f>HYPERLINK("proteomic_fractions_linear_files/Yang_linear_img/27413160.jpg", "27413160")</f>
        <v>27413160</v>
      </c>
      <c r="B1006" s="7"/>
      <c r="C1006" s="6" t="str">
        <f>HYPERLINK("http://www.ncbi.nlm.nih.gov/protein/27413160","Cbr3")</f>
        <v>Cbr3</v>
      </c>
      <c r="D1006" s="8"/>
      <c r="E1006" s="8">
        <v>30822</v>
      </c>
      <c r="F1006" s="8"/>
      <c r="G1006" s="15" t="s">
        <v>10</v>
      </c>
      <c r="H1006" s="15" t="s">
        <v>10</v>
      </c>
      <c r="I1006" s="15">
        <v>0.90058746121555033</v>
      </c>
      <c r="J1006" s="15">
        <v>0.90058746121555033</v>
      </c>
      <c r="K1006" s="15">
        <v>0.90058746121555033</v>
      </c>
      <c r="L1006" s="15">
        <v>0.90058746121555033</v>
      </c>
      <c r="M1006" s="15" t="s">
        <v>10</v>
      </c>
      <c r="N1006" s="15" t="s">
        <v>10</v>
      </c>
      <c r="O1006" s="15">
        <v>0.7920909875250618</v>
      </c>
      <c r="P1006" s="15">
        <v>0.7920909875250618</v>
      </c>
      <c r="Q1006" s="8"/>
      <c r="R1006" s="9" t="s">
        <v>1004</v>
      </c>
    </row>
    <row r="1007" spans="1:18" x14ac:dyDescent="0.25">
      <c r="A1007" s="6" t="str">
        <f>HYPERLINK("proteomic_fractions_linear_files/Yang_linear_img/269784762.jpg", "269784762")</f>
        <v>269784762</v>
      </c>
      <c r="B1007" s="7"/>
      <c r="C1007" s="6" t="str">
        <f>HYPERLINK("http://www.ncbi.nlm.nih.gov/protein/269784762","Cbr4")</f>
        <v>Cbr4</v>
      </c>
      <c r="D1007" s="8"/>
      <c r="E1007" s="8">
        <v>25284</v>
      </c>
      <c r="F1007" s="8"/>
      <c r="G1007" s="15">
        <v>1.3821350612190073</v>
      </c>
      <c r="H1007" s="15">
        <v>1.2833629142293435</v>
      </c>
      <c r="I1007" s="15">
        <v>0.92438293498869784</v>
      </c>
      <c r="J1007" s="15">
        <v>0.92438293498869784</v>
      </c>
      <c r="K1007" s="15" t="s">
        <v>10</v>
      </c>
      <c r="L1007" s="15" t="s">
        <v>10</v>
      </c>
      <c r="M1007" s="15" t="s">
        <v>10</v>
      </c>
      <c r="N1007" s="15" t="s">
        <v>10</v>
      </c>
      <c r="O1007" s="15" t="s">
        <v>10</v>
      </c>
      <c r="P1007" s="15" t="s">
        <v>10</v>
      </c>
      <c r="Q1007" s="8"/>
      <c r="R1007" s="9" t="s">
        <v>1005</v>
      </c>
    </row>
    <row r="1008" spans="1:18" x14ac:dyDescent="0.25">
      <c r="A1008" s="6" t="str">
        <f>HYPERLINK("proteomic_fractions_linear_files/Yang_linear_img/22122605.jpg", "22122605")</f>
        <v>22122605</v>
      </c>
      <c r="B1008" s="7"/>
      <c r="C1008" s="6" t="str">
        <f>HYPERLINK("http://www.ncbi.nlm.nih.gov/protein/22122605","Cbwd1")</f>
        <v>Cbwd1</v>
      </c>
      <c r="D1008" s="8"/>
      <c r="E1008" s="8">
        <v>43641</v>
      </c>
      <c r="F1008" s="8"/>
      <c r="G1008" s="15" t="s">
        <v>10</v>
      </c>
      <c r="H1008" s="15" t="s">
        <v>10</v>
      </c>
      <c r="I1008" s="15">
        <v>1.0028543010673969</v>
      </c>
      <c r="J1008" s="15">
        <v>1.0028543010673969</v>
      </c>
      <c r="K1008" s="15">
        <v>1.0974994451003466</v>
      </c>
      <c r="L1008" s="15">
        <v>1.0974994451003466</v>
      </c>
      <c r="M1008" s="15" t="s">
        <v>10</v>
      </c>
      <c r="N1008" s="15" t="s">
        <v>10</v>
      </c>
      <c r="O1008" s="15">
        <v>0.9206208682550624</v>
      </c>
      <c r="P1008" s="15">
        <v>0.9206208682550624</v>
      </c>
      <c r="Q1008" s="8"/>
      <c r="R1008" s="9" t="s">
        <v>1006</v>
      </c>
    </row>
    <row r="1009" spans="1:18" x14ac:dyDescent="0.25">
      <c r="A1009" s="6" t="str">
        <f>HYPERLINK("proteomic_fractions_linear_files/Yang_linear_img/6671696.jpg", "6671696")</f>
        <v>6671696</v>
      </c>
      <c r="B1009" s="7"/>
      <c r="C1009" s="6" t="str">
        <f>HYPERLINK("http://www.ncbi.nlm.nih.gov/protein/6671696","Cbx1")</f>
        <v>Cbx1</v>
      </c>
      <c r="D1009" s="8"/>
      <c r="E1009" s="8">
        <v>21287</v>
      </c>
      <c r="F1009" s="8"/>
      <c r="G1009" s="15">
        <v>1.3294386332229553</v>
      </c>
      <c r="H1009" s="15">
        <v>1.5278129931301709</v>
      </c>
      <c r="I1009" s="15">
        <v>1.100455874986545</v>
      </c>
      <c r="J1009" s="15">
        <v>1.100455874986545</v>
      </c>
      <c r="K1009" s="15">
        <v>1.100455874986545</v>
      </c>
      <c r="L1009" s="15">
        <v>1.100455874986545</v>
      </c>
      <c r="M1009" s="15">
        <v>1.100455874986545</v>
      </c>
      <c r="N1009" s="15">
        <v>1.100455874986545</v>
      </c>
      <c r="O1009" s="15">
        <v>1.0378924890799406</v>
      </c>
      <c r="P1009" s="15">
        <v>1.0378924890799406</v>
      </c>
      <c r="Q1009" s="8"/>
      <c r="R1009" s="9" t="s">
        <v>1007</v>
      </c>
    </row>
    <row r="1010" spans="1:18" x14ac:dyDescent="0.25">
      <c r="A1010" s="6" t="str">
        <f>HYPERLINK("proteomic_fractions_linear_files/Yang_linear_img/108860695.jpg", "108860695")</f>
        <v>108860695</v>
      </c>
      <c r="B1010" s="7"/>
      <c r="C1010" s="6" t="str">
        <f>HYPERLINK("http://www.ncbi.nlm.nih.gov/protein/108860695","Cbx3")</f>
        <v>Cbx3</v>
      </c>
      <c r="D1010" s="8"/>
      <c r="E1010" s="8">
        <v>20680</v>
      </c>
      <c r="F1010" s="8"/>
      <c r="G1010" s="15">
        <v>1.3294386332229553</v>
      </c>
      <c r="H1010" s="15">
        <v>1.3294386332229553</v>
      </c>
      <c r="I1010" s="15">
        <v>0.92862618228739402</v>
      </c>
      <c r="J1010" s="15">
        <v>0.92862618228739402</v>
      </c>
      <c r="K1010" s="15">
        <v>0.98083053269791776</v>
      </c>
      <c r="L1010" s="15">
        <v>0.98083053269791776</v>
      </c>
      <c r="M1010" s="15">
        <v>0.98083053269791776</v>
      </c>
      <c r="N1010" s="15">
        <v>0.98083053269791776</v>
      </c>
      <c r="O1010" s="15">
        <v>0.98083053269791776</v>
      </c>
      <c r="P1010" s="15">
        <v>0.98083053269791776</v>
      </c>
      <c r="Q1010" s="8"/>
      <c r="R1010" s="9" t="s">
        <v>1008</v>
      </c>
    </row>
    <row r="1011" spans="1:18" x14ac:dyDescent="0.25">
      <c r="A1011" s="6" t="str">
        <f>HYPERLINK("proteomic_fractions_linear_files/Yang_linear_img/116008461.jpg", "116008461")</f>
        <v>116008461</v>
      </c>
      <c r="B1011" s="7"/>
      <c r="C1011" s="6" t="str">
        <f>HYPERLINK("http://www.ncbi.nlm.nih.gov/protein/116008461","Cbx5")</f>
        <v>Cbx5</v>
      </c>
      <c r="D1011" s="8"/>
      <c r="E1011" s="8">
        <v>22055</v>
      </c>
      <c r="F1011" s="8"/>
      <c r="G1011" s="15">
        <v>0.93624732666619426</v>
      </c>
      <c r="H1011" s="15">
        <v>1.4583669479878905</v>
      </c>
      <c r="I1011" s="15" t="s">
        <v>10</v>
      </c>
      <c r="J1011" s="15" t="s">
        <v>10</v>
      </c>
      <c r="K1011" s="15">
        <v>0.93624732666619426</v>
      </c>
      <c r="L1011" s="15">
        <v>0.93624732666619426</v>
      </c>
      <c r="M1011" s="15" t="s">
        <v>10</v>
      </c>
      <c r="N1011" s="15" t="s">
        <v>10</v>
      </c>
      <c r="O1011" s="15">
        <v>0.60441200104552428</v>
      </c>
      <c r="P1011" s="15">
        <v>0.60441200104552428</v>
      </c>
      <c r="Q1011" s="8"/>
      <c r="R1011" s="9" t="s">
        <v>1009</v>
      </c>
    </row>
    <row r="1012" spans="1:18" x14ac:dyDescent="0.25">
      <c r="A1012" s="6" t="str">
        <f>HYPERLINK("proteomic_fractions_linear_files/Yang_linear_img/61657984.jpg", "61657984")</f>
        <v>61657984</v>
      </c>
      <c r="B1012" s="7"/>
      <c r="C1012" s="6" t="str">
        <f>HYPERLINK("http://www.ncbi.nlm.nih.gov/protein/61657984","Cbx6")</f>
        <v>Cbx6</v>
      </c>
      <c r="D1012" s="8"/>
      <c r="E1012" s="8">
        <v>44329</v>
      </c>
      <c r="F1012" s="8"/>
      <c r="G1012" s="15" t="s">
        <v>10</v>
      </c>
      <c r="H1012" s="15" t="s">
        <v>10</v>
      </c>
      <c r="I1012" s="15" t="s">
        <v>10</v>
      </c>
      <c r="J1012" s="15" t="s">
        <v>10</v>
      </c>
      <c r="K1012" s="15" t="s">
        <v>10</v>
      </c>
      <c r="L1012" s="15" t="s">
        <v>10</v>
      </c>
      <c r="M1012" s="15">
        <v>1.0974994451003466</v>
      </c>
      <c r="N1012" s="15">
        <v>1.0974994451003466</v>
      </c>
      <c r="O1012" s="15">
        <v>1.0028543010673969</v>
      </c>
      <c r="P1012" s="15">
        <v>1.0028543010673969</v>
      </c>
      <c r="Q1012" s="8"/>
      <c r="R1012" s="9" t="s">
        <v>1010</v>
      </c>
    </row>
    <row r="1013" spans="1:18" x14ac:dyDescent="0.25">
      <c r="A1013" s="6" t="str">
        <f>HYPERLINK("proteomic_fractions_linear_files/Yang_linear_img/110835702.jpg", "110835702")</f>
        <v>110835702</v>
      </c>
      <c r="B1013" s="7"/>
      <c r="C1013" s="6" t="str">
        <f>HYPERLINK("http://www.ncbi.nlm.nih.gov/protein/110835702","Cc2d1a")</f>
        <v>Cc2d1a</v>
      </c>
      <c r="D1013" s="8"/>
      <c r="E1013" s="8">
        <v>103567</v>
      </c>
      <c r="F1013" s="8"/>
      <c r="G1013" s="15" t="s">
        <v>10</v>
      </c>
      <c r="H1013" s="15" t="s">
        <v>10</v>
      </c>
      <c r="I1013" s="15" t="s">
        <v>10</v>
      </c>
      <c r="J1013" s="15" t="s">
        <v>10</v>
      </c>
      <c r="K1013" s="15">
        <v>1.4755083763100176</v>
      </c>
      <c r="L1013" s="15">
        <v>1.4755083763100176</v>
      </c>
      <c r="M1013" s="15" t="s">
        <v>10</v>
      </c>
      <c r="N1013" s="15" t="s">
        <v>10</v>
      </c>
      <c r="O1013" s="15" t="s">
        <v>10</v>
      </c>
      <c r="P1013" s="15" t="s">
        <v>10</v>
      </c>
      <c r="Q1013" s="8"/>
      <c r="R1013" s="9" t="s">
        <v>1011</v>
      </c>
    </row>
    <row r="1014" spans="1:18" x14ac:dyDescent="0.25">
      <c r="A1014" s="6" t="str">
        <f>HYPERLINK("proteomic_fractions_linear_files/Yang_linear_img/28892935.jpg", "28892935")</f>
        <v>28892935</v>
      </c>
      <c r="B1014" s="7"/>
      <c r="C1014" s="6" t="str">
        <f>HYPERLINK("http://www.ncbi.nlm.nih.gov/protein/28892935","Cc2d1b")</f>
        <v>Cc2d1b</v>
      </c>
      <c r="D1014" s="8"/>
      <c r="E1014" s="8">
        <v>92961</v>
      </c>
      <c r="F1014" s="8"/>
      <c r="G1014" s="15" t="s">
        <v>10</v>
      </c>
      <c r="H1014" s="15" t="s">
        <v>10</v>
      </c>
      <c r="I1014" s="15" t="s">
        <v>10</v>
      </c>
      <c r="J1014" s="15" t="s">
        <v>10</v>
      </c>
      <c r="K1014" s="15">
        <v>1.650030872432708</v>
      </c>
      <c r="L1014" s="15">
        <v>1.650030872432708</v>
      </c>
      <c r="M1014" s="15" t="s">
        <v>10</v>
      </c>
      <c r="N1014" s="15" t="s">
        <v>10</v>
      </c>
      <c r="O1014" s="15">
        <v>1.3841035284421179</v>
      </c>
      <c r="P1014" s="15">
        <v>1.3841035284421179</v>
      </c>
      <c r="Q1014" s="8"/>
      <c r="R1014" s="9" t="s">
        <v>1012</v>
      </c>
    </row>
    <row r="1015" spans="1:18" x14ac:dyDescent="0.25">
      <c r="A1015" s="6" t="str">
        <f>HYPERLINK("proteomic_fractions_linear_files/Yang_linear_img/407262408.jpg", "407262408")</f>
        <v>407262408</v>
      </c>
      <c r="B1015" s="7"/>
      <c r="C1015" s="6" t="str">
        <f>HYPERLINK("http://www.ncbi.nlm.nih.gov/protein/407262408","Cc2d2b")</f>
        <v>Cc2d2b</v>
      </c>
      <c r="D1015" s="8"/>
      <c r="E1015" s="8">
        <v>132346</v>
      </c>
      <c r="F1015" s="8"/>
      <c r="G1015" s="15" t="s">
        <v>10</v>
      </c>
      <c r="H1015" s="15" t="s">
        <v>10</v>
      </c>
      <c r="I1015" s="15" t="s">
        <v>10</v>
      </c>
      <c r="J1015" s="15" t="s">
        <v>10</v>
      </c>
      <c r="K1015" s="15">
        <v>1.1625217510321351</v>
      </c>
      <c r="L1015" s="15">
        <v>1.1625217510321351</v>
      </c>
      <c r="M1015" s="15" t="s">
        <v>10</v>
      </c>
      <c r="N1015" s="15" t="s">
        <v>10</v>
      </c>
      <c r="O1015" s="15" t="s">
        <v>10</v>
      </c>
      <c r="P1015" s="15" t="s">
        <v>10</v>
      </c>
      <c r="Q1015" s="8"/>
      <c r="R1015" s="9" t="s">
        <v>8045</v>
      </c>
    </row>
    <row r="1016" spans="1:18" x14ac:dyDescent="0.25">
      <c r="A1016" s="6" t="str">
        <f>HYPERLINK("proteomic_fractions_linear_files/Yang_linear_img/407264268.jpg", "407264268")</f>
        <v>407264268</v>
      </c>
      <c r="B1016" s="7"/>
      <c r="C1016" s="6" t="str">
        <f>HYPERLINK("http://www.ncbi.nlm.nih.gov/protein/407264268","Cc2d2b")</f>
        <v>Cc2d2b</v>
      </c>
      <c r="D1016" s="8"/>
      <c r="E1016" s="8">
        <v>109945</v>
      </c>
      <c r="F1016" s="8"/>
      <c r="G1016" s="15" t="s">
        <v>10</v>
      </c>
      <c r="H1016" s="15" t="s">
        <v>10</v>
      </c>
      <c r="I1016" s="15" t="s">
        <v>10</v>
      </c>
      <c r="J1016" s="15" t="s">
        <v>10</v>
      </c>
      <c r="K1016" s="15">
        <v>1.3950261012385621</v>
      </c>
      <c r="L1016" s="15">
        <v>1.3950261012385621</v>
      </c>
      <c r="M1016" s="15" t="s">
        <v>10</v>
      </c>
      <c r="N1016" s="15" t="s">
        <v>10</v>
      </c>
      <c r="O1016" s="15" t="s">
        <v>10</v>
      </c>
      <c r="P1016" s="15" t="s">
        <v>10</v>
      </c>
      <c r="Q1016" s="8"/>
      <c r="R1016" s="9" t="s">
        <v>8045</v>
      </c>
    </row>
    <row r="1017" spans="1:18" x14ac:dyDescent="0.25">
      <c r="A1017" s="6" t="str">
        <f>HYPERLINK("proteomic_fractions_linear_files/Yang_linear_img/33563288.jpg", "33563288")</f>
        <v>33563288</v>
      </c>
      <c r="B1017" s="7"/>
      <c r="C1017" s="6" t="str">
        <f>HYPERLINK("http://www.ncbi.nlm.nih.gov/protein/33563288","Ccar1")</f>
        <v>Ccar1</v>
      </c>
      <c r="D1017" s="8"/>
      <c r="E1017" s="8">
        <v>131930</v>
      </c>
      <c r="F1017" s="8"/>
      <c r="G1017" s="15">
        <v>1.1625217510321351</v>
      </c>
      <c r="H1017" s="15">
        <v>1.4148926639389421</v>
      </c>
      <c r="I1017" s="15" t="s">
        <v>10</v>
      </c>
      <c r="J1017" s="15" t="s">
        <v>10</v>
      </c>
      <c r="K1017" s="15">
        <v>1.4148926639389421</v>
      </c>
      <c r="L1017" s="15">
        <v>1.4148926639389421</v>
      </c>
      <c r="M1017" s="15">
        <v>0.97516384958421942</v>
      </c>
      <c r="N1017" s="15">
        <v>0.97516384958421942</v>
      </c>
      <c r="O1017" s="15" t="s">
        <v>10</v>
      </c>
      <c r="P1017" s="15" t="s">
        <v>10</v>
      </c>
      <c r="Q1017" s="8"/>
      <c r="R1017" s="9" t="s">
        <v>1013</v>
      </c>
    </row>
    <row r="1018" spans="1:18" x14ac:dyDescent="0.25">
      <c r="A1018" s="6" t="str">
        <f>HYPERLINK("proteomic_fractions_linear_files/Yang_linear_img/226958577.jpg", "226958577")</f>
        <v>226958577</v>
      </c>
      <c r="B1018" s="7"/>
      <c r="C1018" s="6" t="str">
        <f>HYPERLINK("http://www.ncbi.nlm.nih.gov/protein/226958577","Ccar2")</f>
        <v>Ccar2</v>
      </c>
      <c r="D1018" s="8"/>
      <c r="E1018" s="8">
        <v>102872</v>
      </c>
      <c r="F1018" s="8"/>
      <c r="G1018" s="15">
        <v>1.4898337003518625</v>
      </c>
      <c r="H1018" s="15">
        <v>1.4898337003518625</v>
      </c>
      <c r="I1018" s="15">
        <v>1.4898337003518625</v>
      </c>
      <c r="J1018" s="15">
        <v>1.4898337003518625</v>
      </c>
      <c r="K1018" s="15">
        <v>1.4898337003518625</v>
      </c>
      <c r="L1018" s="15">
        <v>1.4898337003518625</v>
      </c>
      <c r="M1018" s="15">
        <v>1.4898337003518625</v>
      </c>
      <c r="N1018" s="15">
        <v>1.4898337003518625</v>
      </c>
      <c r="O1018" s="15">
        <v>1.4898337003518625</v>
      </c>
      <c r="P1018" s="15">
        <v>1.4898337003518625</v>
      </c>
      <c r="Q1018" s="8"/>
      <c r="R1018" s="9" t="s">
        <v>1014</v>
      </c>
    </row>
    <row r="1019" spans="1:18" x14ac:dyDescent="0.25">
      <c r="A1019" s="6" t="str">
        <f>HYPERLINK("proteomic_fractions_linear_files/Yang_linear_img/31982063.jpg", "31982063")</f>
        <v>31982063</v>
      </c>
      <c r="B1019" s="7"/>
      <c r="C1019" s="6" t="str">
        <f>HYPERLINK("http://www.ncbi.nlm.nih.gov/protein/31982063","Ccbl1")</f>
        <v>Ccbl1</v>
      </c>
      <c r="D1019" s="8"/>
      <c r="E1019" s="8">
        <v>47433</v>
      </c>
      <c r="F1019" s="8"/>
      <c r="G1019" s="15" t="s">
        <v>10</v>
      </c>
      <c r="H1019" s="15" t="s">
        <v>10</v>
      </c>
      <c r="I1019" s="15" t="s">
        <v>10</v>
      </c>
      <c r="J1019" s="15" t="s">
        <v>10</v>
      </c>
      <c r="K1019" s="15">
        <v>0.93884232440352056</v>
      </c>
      <c r="L1019" s="15">
        <v>0.93884232440352056</v>
      </c>
      <c r="M1019" s="15" t="s">
        <v>10</v>
      </c>
      <c r="N1019" s="15" t="s">
        <v>10</v>
      </c>
      <c r="O1019" s="15">
        <v>0.79449630687499129</v>
      </c>
      <c r="P1019" s="15">
        <v>0.79449630687499129</v>
      </c>
      <c r="Q1019" s="8"/>
      <c r="R1019" s="9" t="s">
        <v>1015</v>
      </c>
    </row>
    <row r="1020" spans="1:18" x14ac:dyDescent="0.25">
      <c r="A1020" s="6" t="str">
        <f>HYPERLINK("proteomic_fractions_linear_files/Yang_linear_img/30352008.jpg", "30352008")</f>
        <v>30352008</v>
      </c>
      <c r="B1020" s="7"/>
      <c r="C1020" s="6" t="str">
        <f>HYPERLINK("http://www.ncbi.nlm.nih.gov/protein/30352008","Ccdc104")</f>
        <v>Ccdc104</v>
      </c>
      <c r="D1020" s="8"/>
      <c r="E1020" s="8">
        <v>39469</v>
      </c>
      <c r="F1020" s="8"/>
      <c r="G1020" s="15" t="s">
        <v>10</v>
      </c>
      <c r="H1020" s="15" t="s">
        <v>10</v>
      </c>
      <c r="I1020" s="15" t="s">
        <v>10</v>
      </c>
      <c r="J1020" s="15" t="s">
        <v>10</v>
      </c>
      <c r="K1020" s="15" t="s">
        <v>10</v>
      </c>
      <c r="L1020" s="15" t="s">
        <v>10</v>
      </c>
      <c r="M1020" s="15" t="s">
        <v>10</v>
      </c>
      <c r="N1020" s="15" t="s">
        <v>10</v>
      </c>
      <c r="O1020" s="15">
        <v>0.95746990828524592</v>
      </c>
      <c r="P1020" s="15">
        <v>0.95746990828524592</v>
      </c>
      <c r="Q1020" s="8"/>
      <c r="R1020" s="9" t="s">
        <v>1016</v>
      </c>
    </row>
    <row r="1021" spans="1:18" x14ac:dyDescent="0.25">
      <c r="A1021" s="6" t="str">
        <f>HYPERLINK("proteomic_fractions_linear_files/Yang_linear_img/58037169.jpg", "58037169")</f>
        <v>58037169</v>
      </c>
      <c r="B1021" s="7"/>
      <c r="C1021" s="6" t="str">
        <f>HYPERLINK("http://www.ncbi.nlm.nih.gov/protein/58037169","Ccdc115")</f>
        <v>Ccdc115</v>
      </c>
      <c r="D1021" s="8"/>
      <c r="E1021" s="8">
        <v>19611</v>
      </c>
      <c r="F1021" s="8"/>
      <c r="G1021" s="15" t="s">
        <v>10</v>
      </c>
      <c r="H1021" s="15" t="s">
        <v>10</v>
      </c>
      <c r="I1021" s="15">
        <v>1.0897871135339376</v>
      </c>
      <c r="J1021" s="15">
        <v>1.0897871135339376</v>
      </c>
      <c r="K1021" s="15">
        <v>1.0897871135339376</v>
      </c>
      <c r="L1021" s="15">
        <v>1.0897871135339376</v>
      </c>
      <c r="M1021" s="15" t="s">
        <v>10</v>
      </c>
      <c r="N1021" s="15" t="s">
        <v>10</v>
      </c>
      <c r="O1021" s="15">
        <v>1.0897871135339376</v>
      </c>
      <c r="P1021" s="15">
        <v>1.0897871135339376</v>
      </c>
      <c r="Q1021" s="8"/>
      <c r="R1021" s="9" t="s">
        <v>1017</v>
      </c>
    </row>
    <row r="1022" spans="1:18" x14ac:dyDescent="0.25">
      <c r="A1022" s="6" t="str">
        <f>HYPERLINK("proteomic_fractions_linear_files/Yang_linear_img/164698436.jpg", "164698436")</f>
        <v>164698436</v>
      </c>
      <c r="B1022" s="7"/>
      <c r="C1022" s="6" t="str">
        <f>HYPERLINK("http://www.ncbi.nlm.nih.gov/protein/164698436","Ccdc117")</f>
        <v>Ccdc117</v>
      </c>
      <c r="D1022" s="8"/>
      <c r="E1022" s="8">
        <v>30296</v>
      </c>
      <c r="F1022" s="8"/>
      <c r="G1022" s="15" t="s">
        <v>10</v>
      </c>
      <c r="H1022" s="15" t="s">
        <v>10</v>
      </c>
      <c r="I1022" s="15" t="s">
        <v>10</v>
      </c>
      <c r="J1022" s="15" t="s">
        <v>10</v>
      </c>
      <c r="K1022" s="15" t="s">
        <v>10</v>
      </c>
      <c r="L1022" s="15" t="s">
        <v>10</v>
      </c>
      <c r="M1022" s="15" t="s">
        <v>10</v>
      </c>
      <c r="N1022" s="15" t="s">
        <v>10</v>
      </c>
      <c r="O1022" s="15">
        <v>0.99618022972377107</v>
      </c>
      <c r="P1022" s="15">
        <v>0.99618022972377107</v>
      </c>
      <c r="Q1022" s="8"/>
      <c r="R1022" s="9" t="s">
        <v>1018</v>
      </c>
    </row>
    <row r="1023" spans="1:18" x14ac:dyDescent="0.25">
      <c r="A1023" s="6" t="str">
        <f>HYPERLINK("proteomic_fractions_linear_files/Yang_linear_img/227496903.jpg", "227496903")</f>
        <v>227496903</v>
      </c>
      <c r="B1023" s="7"/>
      <c r="C1023" s="6" t="str">
        <f>HYPERLINK("http://www.ncbi.nlm.nih.gov/protein/227496903","Ccdc12")</f>
        <v>Ccdc12</v>
      </c>
      <c r="D1023" s="8"/>
      <c r="E1023" s="8">
        <v>18760</v>
      </c>
      <c r="F1023" s="8"/>
      <c r="G1023" s="15" t="s">
        <v>10</v>
      </c>
      <c r="H1023" s="15" t="s">
        <v>10</v>
      </c>
      <c r="I1023" s="15" t="s">
        <v>10</v>
      </c>
      <c r="J1023" s="15" t="s">
        <v>10</v>
      </c>
      <c r="K1023" s="15" t="s">
        <v>10</v>
      </c>
      <c r="L1023" s="15" t="s">
        <v>10</v>
      </c>
      <c r="M1023" s="15" t="s">
        <v>10</v>
      </c>
      <c r="N1023" s="15" t="s">
        <v>10</v>
      </c>
      <c r="O1023" s="15">
        <v>1.0263763067386986</v>
      </c>
      <c r="P1023" s="15">
        <v>1.0263763067386986</v>
      </c>
      <c r="Q1023" s="8"/>
      <c r="R1023" s="9" t="s">
        <v>1019</v>
      </c>
    </row>
    <row r="1024" spans="1:18" x14ac:dyDescent="0.25">
      <c r="A1024" s="6" t="str">
        <f>HYPERLINK("proteomic_fractions_linear_files/Yang_linear_img/47059143.jpg", "47059143")</f>
        <v>47059143</v>
      </c>
      <c r="B1024" s="7"/>
      <c r="C1024" s="6" t="str">
        <f>HYPERLINK("http://www.ncbi.nlm.nih.gov/protein/47059143","Ccdc124")</f>
        <v>Ccdc124</v>
      </c>
      <c r="D1024" s="8"/>
      <c r="E1024" s="8">
        <v>25215</v>
      </c>
      <c r="F1024" s="8"/>
      <c r="G1024" s="15" t="s">
        <v>10</v>
      </c>
      <c r="H1024" s="15" t="s">
        <v>10</v>
      </c>
      <c r="I1024" s="15" t="s">
        <v>10</v>
      </c>
      <c r="J1024" s="15" t="s">
        <v>10</v>
      </c>
      <c r="K1024" s="15">
        <v>1.1954162756685252</v>
      </c>
      <c r="L1024" s="15">
        <v>1.1954162756685252</v>
      </c>
      <c r="M1024" s="15">
        <v>1.1167284519072824</v>
      </c>
      <c r="N1024" s="15">
        <v>1.1167284519072824</v>
      </c>
      <c r="O1024" s="15" t="s">
        <v>10</v>
      </c>
      <c r="P1024" s="15" t="s">
        <v>10</v>
      </c>
      <c r="Q1024" s="8"/>
      <c r="R1024" s="9" t="s">
        <v>1020</v>
      </c>
    </row>
    <row r="1025" spans="1:18" x14ac:dyDescent="0.25">
      <c r="A1025" s="6" t="str">
        <f>HYPERLINK("proteomic_fractions_linear_files/Yang_linear_img/13195630.jpg", "13195630")</f>
        <v>13195630</v>
      </c>
      <c r="B1025" s="7"/>
      <c r="C1025" s="6" t="str">
        <f>HYPERLINK("http://www.ncbi.nlm.nih.gov/protein/13195630","Ccdc127")</f>
        <v>Ccdc127</v>
      </c>
      <c r="D1025" s="8"/>
      <c r="E1025" s="8">
        <v>30378</v>
      </c>
      <c r="F1025" s="8"/>
      <c r="G1025" s="15" t="s">
        <v>10</v>
      </c>
      <c r="H1025" s="15" t="s">
        <v>10</v>
      </c>
      <c r="I1025" s="15">
        <v>0.87167527051416671</v>
      </c>
      <c r="J1025" s="15">
        <v>0.87167527051416671</v>
      </c>
      <c r="K1025" s="15" t="s">
        <v>10</v>
      </c>
      <c r="L1025" s="15" t="s">
        <v>10</v>
      </c>
      <c r="M1025" s="15" t="s">
        <v>10</v>
      </c>
      <c r="N1025" s="15" t="s">
        <v>10</v>
      </c>
      <c r="O1025" s="15" t="s">
        <v>10</v>
      </c>
      <c r="P1025" s="15" t="s">
        <v>10</v>
      </c>
      <c r="Q1025" s="8"/>
      <c r="R1025" s="9" t="s">
        <v>1021</v>
      </c>
    </row>
    <row r="1026" spans="1:18" x14ac:dyDescent="0.25">
      <c r="A1026" s="6" t="str">
        <f>HYPERLINK("proteomic_fractions_linear_files/Yang_linear_img/281183266.jpg", "281183266")</f>
        <v>281183266</v>
      </c>
      <c r="B1026" s="7"/>
      <c r="C1026" s="6" t="str">
        <f>HYPERLINK("http://www.ncbi.nlm.nih.gov/protein/281183266","Ccdc127")</f>
        <v>Ccdc127</v>
      </c>
      <c r="D1026" s="8"/>
      <c r="E1026" s="8">
        <v>19021</v>
      </c>
      <c r="F1026" s="8"/>
      <c r="G1026" s="15" t="s">
        <v>10</v>
      </c>
      <c r="H1026" s="15" t="s">
        <v>10</v>
      </c>
      <c r="I1026" s="15">
        <v>1.3763293744960527</v>
      </c>
      <c r="J1026" s="15">
        <v>1.3763293744960527</v>
      </c>
      <c r="K1026" s="15" t="s">
        <v>10</v>
      </c>
      <c r="L1026" s="15" t="s">
        <v>10</v>
      </c>
      <c r="M1026" s="15" t="s">
        <v>10</v>
      </c>
      <c r="N1026" s="15" t="s">
        <v>10</v>
      </c>
      <c r="O1026" s="15" t="s">
        <v>10</v>
      </c>
      <c r="P1026" s="15" t="s">
        <v>10</v>
      </c>
      <c r="Q1026" s="8"/>
      <c r="R1026" s="9" t="s">
        <v>1022</v>
      </c>
    </row>
    <row r="1027" spans="1:18" x14ac:dyDescent="0.25">
      <c r="A1027" s="6" t="str">
        <f>HYPERLINK("proteomic_fractions_linear_files/Yang_linear_img/268370057.jpg", "268370057")</f>
        <v>268370057</v>
      </c>
      <c r="B1027" s="7"/>
      <c r="C1027" s="6" t="str">
        <f>HYPERLINK("http://www.ncbi.nlm.nih.gov/protein/268370057","Ccdc132")</f>
        <v>Ccdc132</v>
      </c>
      <c r="D1027" s="8"/>
      <c r="E1027" s="8">
        <v>111043</v>
      </c>
      <c r="F1027" s="8"/>
      <c r="G1027" s="15" t="s">
        <v>10</v>
      </c>
      <c r="H1027" s="15" t="s">
        <v>10</v>
      </c>
      <c r="I1027" s="15" t="s">
        <v>10</v>
      </c>
      <c r="J1027" s="15" t="s">
        <v>10</v>
      </c>
      <c r="K1027" s="15">
        <v>1.1596543076136663</v>
      </c>
      <c r="L1027" s="15">
        <v>1.1596543076136663</v>
      </c>
      <c r="M1027" s="15">
        <v>1.1596543076136663</v>
      </c>
      <c r="N1027" s="15">
        <v>1.1596543076136663</v>
      </c>
      <c r="O1027" s="15">
        <v>1.1596543076136663</v>
      </c>
      <c r="P1027" s="15">
        <v>1.1596543076136663</v>
      </c>
      <c r="Q1027" s="8"/>
      <c r="R1027" s="9" t="s">
        <v>1023</v>
      </c>
    </row>
    <row r="1028" spans="1:18" x14ac:dyDescent="0.25">
      <c r="A1028" s="6" t="str">
        <f>HYPERLINK("proteomic_fractions_linear_files/Yang_linear_img/268370059.jpg", "268370059")</f>
        <v>268370059</v>
      </c>
      <c r="B1028" s="7"/>
      <c r="C1028" s="6" t="str">
        <f>HYPERLINK("http://www.ncbi.nlm.nih.gov/protein/268370059","Ccdc132")</f>
        <v>Ccdc132</v>
      </c>
      <c r="D1028" s="8"/>
      <c r="E1028" s="8">
        <v>107043</v>
      </c>
      <c r="F1028" s="8"/>
      <c r="G1028" s="15" t="s">
        <v>10</v>
      </c>
      <c r="H1028" s="15" t="s">
        <v>10</v>
      </c>
      <c r="I1028" s="15" t="s">
        <v>10</v>
      </c>
      <c r="J1028" s="15" t="s">
        <v>10</v>
      </c>
      <c r="K1028" s="15">
        <v>1.2030058705151119</v>
      </c>
      <c r="L1028" s="15">
        <v>1.2030058705151119</v>
      </c>
      <c r="M1028" s="15">
        <v>1.2030058705151119</v>
      </c>
      <c r="N1028" s="15">
        <v>1.2030058705151119</v>
      </c>
      <c r="O1028" s="15">
        <v>1.2030058705151119</v>
      </c>
      <c r="P1028" s="15">
        <v>1.2030058705151119</v>
      </c>
      <c r="Q1028" s="8"/>
      <c r="R1028" s="9" t="s">
        <v>1024</v>
      </c>
    </row>
    <row r="1029" spans="1:18" x14ac:dyDescent="0.25">
      <c r="A1029" s="6" t="str">
        <f>HYPERLINK("proteomic_fractions_linear_files/Yang_linear_img/268370061.jpg", "268370061")</f>
        <v>268370061</v>
      </c>
      <c r="B1029" s="7"/>
      <c r="C1029" s="6" t="str">
        <f>HYPERLINK("http://www.ncbi.nlm.nih.gov/protein/268370061","Ccdc132")</f>
        <v>Ccdc132</v>
      </c>
      <c r="D1029" s="8"/>
      <c r="E1029" s="8">
        <v>107947</v>
      </c>
      <c r="F1029" s="8"/>
      <c r="G1029" s="15" t="s">
        <v>10</v>
      </c>
      <c r="H1029" s="15" t="s">
        <v>10</v>
      </c>
      <c r="I1029" s="15" t="s">
        <v>10</v>
      </c>
      <c r="J1029" s="15" t="s">
        <v>10</v>
      </c>
      <c r="K1029" s="15">
        <v>1.1918669272696016</v>
      </c>
      <c r="L1029" s="15">
        <v>1.1918669272696016</v>
      </c>
      <c r="M1029" s="15">
        <v>1.1918669272696016</v>
      </c>
      <c r="N1029" s="15">
        <v>1.1918669272696016</v>
      </c>
      <c r="O1029" s="15">
        <v>1.1918669272696016</v>
      </c>
      <c r="P1029" s="15">
        <v>1.1918669272696016</v>
      </c>
      <c r="Q1029" s="8"/>
      <c r="R1029" s="9" t="s">
        <v>1025</v>
      </c>
    </row>
    <row r="1030" spans="1:18" x14ac:dyDescent="0.25">
      <c r="A1030" s="6" t="str">
        <f>HYPERLINK("proteomic_fractions_linear_files/Yang_linear_img/116268089.jpg", "116268089")</f>
        <v>116268089</v>
      </c>
      <c r="B1030" s="7"/>
      <c r="C1030" s="6" t="str">
        <f>HYPERLINK("http://www.ncbi.nlm.nih.gov/protein/116268089","Ccdc134")</f>
        <v>Ccdc134</v>
      </c>
      <c r="D1030" s="8"/>
      <c r="E1030" s="8">
        <v>24104</v>
      </c>
      <c r="F1030" s="8"/>
      <c r="G1030" s="15" t="s">
        <v>10</v>
      </c>
      <c r="H1030" s="15" t="s">
        <v>10</v>
      </c>
      <c r="I1030" s="15">
        <v>1.0231175255532048</v>
      </c>
      <c r="J1030" s="15">
        <v>1.0231175255532048</v>
      </c>
      <c r="K1030" s="15" t="s">
        <v>10</v>
      </c>
      <c r="L1030" s="15" t="s">
        <v>10</v>
      </c>
      <c r="M1030" s="15" t="s">
        <v>10</v>
      </c>
      <c r="N1030" s="15" t="s">
        <v>10</v>
      </c>
      <c r="O1030" s="15" t="s">
        <v>10</v>
      </c>
      <c r="P1030" s="15" t="s">
        <v>10</v>
      </c>
      <c r="Q1030" s="8"/>
      <c r="R1030" s="9" t="s">
        <v>1026</v>
      </c>
    </row>
    <row r="1031" spans="1:18" x14ac:dyDescent="0.25">
      <c r="A1031" s="6" t="str">
        <f>HYPERLINK("proteomic_fractions_linear_files/Yang_linear_img/319655563.jpg", "319655563")</f>
        <v>319655563</v>
      </c>
      <c r="B1031" s="7"/>
      <c r="C1031" s="6" t="str">
        <f>HYPERLINK("http://www.ncbi.nlm.nih.gov/protein/319655563","Ccdc136")</f>
        <v>Ccdc136</v>
      </c>
      <c r="D1031" s="8"/>
      <c r="E1031" s="8">
        <v>105869</v>
      </c>
      <c r="F1031" s="8"/>
      <c r="G1031" s="15" t="s">
        <v>10</v>
      </c>
      <c r="H1031" s="15" t="s">
        <v>10</v>
      </c>
      <c r="I1031" s="15" t="s">
        <v>10</v>
      </c>
      <c r="J1031" s="15" t="s">
        <v>10</v>
      </c>
      <c r="K1031" s="15">
        <v>0.61748361632588988</v>
      </c>
      <c r="L1031" s="15">
        <v>0.61748361632588988</v>
      </c>
      <c r="M1031" s="15" t="s">
        <v>10</v>
      </c>
      <c r="N1031" s="15" t="s">
        <v>10</v>
      </c>
      <c r="O1031" s="15" t="s">
        <v>10</v>
      </c>
      <c r="P1031" s="15" t="s">
        <v>10</v>
      </c>
      <c r="Q1031" s="8"/>
      <c r="R1031" s="9" t="s">
        <v>1027</v>
      </c>
    </row>
    <row r="1032" spans="1:18" x14ac:dyDescent="0.25">
      <c r="A1032" s="6" t="str">
        <f>HYPERLINK("proteomic_fractions_linear_files/Yang_linear_img/319655703.jpg", "319655703")</f>
        <v>319655703</v>
      </c>
      <c r="B1032" s="7"/>
      <c r="C1032" s="6" t="str">
        <f>HYPERLINK("http://www.ncbi.nlm.nih.gov/protein/319655703","Ccdc136")</f>
        <v>Ccdc136</v>
      </c>
      <c r="D1032" s="8"/>
      <c r="E1032" s="8">
        <v>116675</v>
      </c>
      <c r="F1032" s="8"/>
      <c r="G1032" s="15" t="s">
        <v>10</v>
      </c>
      <c r="H1032" s="15" t="s">
        <v>10</v>
      </c>
      <c r="I1032" s="15" t="s">
        <v>10</v>
      </c>
      <c r="J1032" s="15" t="s">
        <v>10</v>
      </c>
      <c r="K1032" s="15">
        <v>0.55942960111576356</v>
      </c>
      <c r="L1032" s="15">
        <v>0.55942960111576356</v>
      </c>
      <c r="M1032" s="15" t="s">
        <v>10</v>
      </c>
      <c r="N1032" s="15" t="s">
        <v>10</v>
      </c>
      <c r="O1032" s="15" t="s">
        <v>10</v>
      </c>
      <c r="P1032" s="15" t="s">
        <v>10</v>
      </c>
      <c r="Q1032" s="8"/>
      <c r="R1032" s="9" t="s">
        <v>1028</v>
      </c>
    </row>
    <row r="1033" spans="1:18" x14ac:dyDescent="0.25">
      <c r="A1033" s="6" t="str">
        <f>HYPERLINK("proteomic_fractions_linear_files/Yang_linear_img/22779893.jpg", "22779893")</f>
        <v>22779893</v>
      </c>
      <c r="B1033" s="7"/>
      <c r="C1033" s="6" t="str">
        <f>HYPERLINK("http://www.ncbi.nlm.nih.gov/protein/22779893","Ccdc137")</f>
        <v>Ccdc137</v>
      </c>
      <c r="D1033" s="8"/>
      <c r="E1033" s="8">
        <v>32787</v>
      </c>
      <c r="F1033" s="8"/>
      <c r="G1033" s="15" t="s">
        <v>10</v>
      </c>
      <c r="H1033" s="15" t="s">
        <v>10</v>
      </c>
      <c r="I1033" s="15" t="s">
        <v>10</v>
      </c>
      <c r="J1033" s="15" t="s">
        <v>10</v>
      </c>
      <c r="K1033" s="15" t="s">
        <v>10</v>
      </c>
      <c r="L1033" s="15" t="s">
        <v>10</v>
      </c>
      <c r="M1033" s="15">
        <v>0.9722446319919269</v>
      </c>
      <c r="N1033" s="15">
        <v>0.9722446319919269</v>
      </c>
      <c r="O1033" s="15" t="s">
        <v>10</v>
      </c>
      <c r="P1033" s="15" t="s">
        <v>10</v>
      </c>
      <c r="Q1033" s="8"/>
      <c r="R1033" s="9" t="s">
        <v>1029</v>
      </c>
    </row>
    <row r="1034" spans="1:18" x14ac:dyDescent="0.25">
      <c r="A1034" s="6" t="str">
        <f>HYPERLINK("proteomic_fractions_linear_files/Yang_linear_img/169646270.jpg", "169646270")</f>
        <v>169646270</v>
      </c>
      <c r="B1034" s="7"/>
      <c r="C1034" s="6" t="str">
        <f>HYPERLINK("http://www.ncbi.nlm.nih.gov/protein/169646270","Ccdc14")</f>
        <v>Ccdc14</v>
      </c>
      <c r="D1034" s="8"/>
      <c r="E1034" s="8">
        <v>102500</v>
      </c>
      <c r="F1034" s="8"/>
      <c r="G1034" s="15" t="s">
        <v>10</v>
      </c>
      <c r="H1034" s="15" t="s">
        <v>10</v>
      </c>
      <c r="I1034" s="15" t="s">
        <v>10</v>
      </c>
      <c r="J1034" s="15" t="s">
        <v>10</v>
      </c>
      <c r="K1034" s="15">
        <v>1.2497245450982231</v>
      </c>
      <c r="L1034" s="15">
        <v>1.2497245450982231</v>
      </c>
      <c r="M1034" s="15" t="s">
        <v>10</v>
      </c>
      <c r="N1034" s="15" t="s">
        <v>10</v>
      </c>
      <c r="O1034" s="15" t="s">
        <v>10</v>
      </c>
      <c r="P1034" s="15" t="s">
        <v>10</v>
      </c>
      <c r="Q1034" s="8"/>
      <c r="R1034" s="9" t="s">
        <v>1030</v>
      </c>
    </row>
    <row r="1035" spans="1:18" x14ac:dyDescent="0.25">
      <c r="A1035" s="6" t="str">
        <f>HYPERLINK("proteomic_fractions_linear_files/Yang_linear_img/299829227.jpg", "299829227")</f>
        <v>299829227</v>
      </c>
      <c r="B1035" s="7"/>
      <c r="C1035" s="6" t="str">
        <f>HYPERLINK("http://www.ncbi.nlm.nih.gov/protein/299829227","Ccdc141")</f>
        <v>Ccdc141</v>
      </c>
      <c r="D1035" s="8"/>
      <c r="E1035" s="8">
        <v>173514</v>
      </c>
      <c r="F1035" s="8"/>
      <c r="G1035" s="15" t="s">
        <v>10</v>
      </c>
      <c r="H1035" s="15" t="s">
        <v>10</v>
      </c>
      <c r="I1035" s="15" t="s">
        <v>10</v>
      </c>
      <c r="J1035" s="15" t="s">
        <v>10</v>
      </c>
      <c r="K1035" s="15">
        <v>0.88191305250713703</v>
      </c>
      <c r="L1035" s="15">
        <v>0.88191305250713703</v>
      </c>
      <c r="M1035" s="15" t="s">
        <v>10</v>
      </c>
      <c r="N1035" s="15" t="s">
        <v>10</v>
      </c>
      <c r="O1035" s="15" t="s">
        <v>10</v>
      </c>
      <c r="P1035" s="15" t="s">
        <v>10</v>
      </c>
      <c r="Q1035" s="8"/>
      <c r="R1035" s="9" t="s">
        <v>1031</v>
      </c>
    </row>
    <row r="1036" spans="1:18" x14ac:dyDescent="0.25">
      <c r="A1036" s="6" t="str">
        <f>HYPERLINK("proteomic_fractions_linear_files/Yang_linear_img/254939555.jpg", "254939555")</f>
        <v>254939555</v>
      </c>
      <c r="B1036" s="7"/>
      <c r="C1036" s="6" t="str">
        <f>HYPERLINK("http://www.ncbi.nlm.nih.gov/protein/254939555","Ccdc167")</f>
        <v>Ccdc167</v>
      </c>
      <c r="D1036" s="8"/>
      <c r="E1036" s="8">
        <v>12195</v>
      </c>
      <c r="F1036" s="8"/>
      <c r="G1036" s="15">
        <v>1.1080886685834612</v>
      </c>
      <c r="H1036" s="15">
        <v>1.1080886685834612</v>
      </c>
      <c r="I1036" s="15">
        <v>1.1571542083280542</v>
      </c>
      <c r="J1036" s="15">
        <v>1.1571542083280542</v>
      </c>
      <c r="K1036" s="15">
        <v>1.209789476822529</v>
      </c>
      <c r="L1036" s="15">
        <v>1.209789476822529</v>
      </c>
      <c r="M1036" s="15" t="s">
        <v>10</v>
      </c>
      <c r="N1036" s="15" t="s">
        <v>10</v>
      </c>
      <c r="O1036" s="15" t="s">
        <v>10</v>
      </c>
      <c r="P1036" s="15" t="s">
        <v>10</v>
      </c>
      <c r="Q1036" s="8"/>
      <c r="R1036" s="9" t="s">
        <v>1032</v>
      </c>
    </row>
    <row r="1037" spans="1:18" x14ac:dyDescent="0.25">
      <c r="A1037" s="6" t="str">
        <f>HYPERLINK("proteomic_fractions_linear_files/Yang_linear_img/254939557.jpg", "254939557")</f>
        <v>254939557</v>
      </c>
      <c r="B1037" s="7"/>
      <c r="C1037" s="6" t="str">
        <f>HYPERLINK("http://www.ncbi.nlm.nih.gov/protein/254939557","Ccdc167")</f>
        <v>Ccdc167</v>
      </c>
      <c r="D1037" s="8"/>
      <c r="E1037" s="8">
        <v>11344</v>
      </c>
      <c r="F1037" s="8"/>
      <c r="G1037" s="15">
        <v>1.2088240020910486</v>
      </c>
      <c r="H1037" s="15">
        <v>1.2088240020910486</v>
      </c>
      <c r="I1037" s="15">
        <v>1.2623500454487864</v>
      </c>
      <c r="J1037" s="15">
        <v>1.2623500454487864</v>
      </c>
      <c r="K1037" s="15">
        <v>1.3197703383518498</v>
      </c>
      <c r="L1037" s="15">
        <v>1.3197703383518498</v>
      </c>
      <c r="M1037" s="15" t="s">
        <v>10</v>
      </c>
      <c r="N1037" s="15" t="s">
        <v>10</v>
      </c>
      <c r="O1037" s="15" t="s">
        <v>10</v>
      </c>
      <c r="P1037" s="15" t="s">
        <v>10</v>
      </c>
      <c r="Q1037" s="8"/>
      <c r="R1037" s="9" t="s">
        <v>1033</v>
      </c>
    </row>
    <row r="1038" spans="1:18" x14ac:dyDescent="0.25">
      <c r="A1038" s="6" t="str">
        <f>HYPERLINK("proteomic_fractions_linear_files/Yang_linear_img/133922578.jpg", "133922578")</f>
        <v>133922578</v>
      </c>
      <c r="B1038" s="7"/>
      <c r="C1038" s="6" t="str">
        <f>HYPERLINK("http://www.ncbi.nlm.nih.gov/protein/133922578","Ccdc22")</f>
        <v>Ccdc22</v>
      </c>
      <c r="D1038" s="8"/>
      <c r="E1038" s="8">
        <v>70713</v>
      </c>
      <c r="F1038" s="8"/>
      <c r="G1038" s="15" t="s">
        <v>10</v>
      </c>
      <c r="H1038" s="15" t="s">
        <v>10</v>
      </c>
      <c r="I1038" s="15">
        <v>1.1704036404668148</v>
      </c>
      <c r="J1038" s="15">
        <v>1.1704036404668148</v>
      </c>
      <c r="K1038" s="15">
        <v>1.1704036404668148</v>
      </c>
      <c r="L1038" s="15">
        <v>1.1704036404668148</v>
      </c>
      <c r="M1038" s="15">
        <v>1.1704036404668148</v>
      </c>
      <c r="N1038" s="15">
        <v>1.1704036404668148</v>
      </c>
      <c r="O1038" s="15">
        <v>1.0343121160800317</v>
      </c>
      <c r="P1038" s="15">
        <v>1.0343121160800317</v>
      </c>
      <c r="Q1038" s="8"/>
      <c r="R1038" s="9" t="s">
        <v>1034</v>
      </c>
    </row>
    <row r="1039" spans="1:18" x14ac:dyDescent="0.25">
      <c r="A1039" s="6" t="str">
        <f>HYPERLINK("proteomic_fractions_linear_files/Yang_linear_img/22164768.jpg", "22164768")</f>
        <v>22164768</v>
      </c>
      <c r="B1039" s="7"/>
      <c r="C1039" s="6" t="str">
        <f>HYPERLINK("http://www.ncbi.nlm.nih.gov/protein/22164768","Ccdc25")</f>
        <v>Ccdc25</v>
      </c>
      <c r="D1039" s="8"/>
      <c r="E1039" s="8">
        <v>24349</v>
      </c>
      <c r="F1039" s="8"/>
      <c r="G1039" s="15" t="s">
        <v>10</v>
      </c>
      <c r="H1039" s="15" t="s">
        <v>10</v>
      </c>
      <c r="I1039" s="15">
        <v>1.0231175255532048</v>
      </c>
      <c r="J1039" s="15">
        <v>1.0231175255532048</v>
      </c>
      <c r="K1039" s="15">
        <v>1.0895940881427084</v>
      </c>
      <c r="L1039" s="15">
        <v>1.0895940881427084</v>
      </c>
      <c r="M1039" s="15">
        <v>1.0231175255532048</v>
      </c>
      <c r="N1039" s="15">
        <v>1.0231175255532048</v>
      </c>
      <c r="O1039" s="15">
        <v>0.90815592794494793</v>
      </c>
      <c r="P1039" s="15">
        <v>0.90815592794494793</v>
      </c>
      <c r="Q1039" s="8"/>
      <c r="R1039" s="9" t="s">
        <v>1035</v>
      </c>
    </row>
    <row r="1040" spans="1:18" x14ac:dyDescent="0.25">
      <c r="A1040" s="6" t="str">
        <f>HYPERLINK("proteomic_fractions_linear_files/Yang_linear_img/13385406.jpg", "13385406")</f>
        <v>13385406</v>
      </c>
      <c r="B1040" s="7"/>
      <c r="C1040" s="6" t="str">
        <f>HYPERLINK("http://www.ncbi.nlm.nih.gov/protein/13385406","Ccdc43")</f>
        <v>Ccdc43</v>
      </c>
      <c r="D1040" s="8"/>
      <c r="E1040" s="8">
        <v>24918</v>
      </c>
      <c r="F1040" s="8"/>
      <c r="G1040" s="15" t="s">
        <v>10</v>
      </c>
      <c r="H1040" s="15" t="s">
        <v>10</v>
      </c>
      <c r="I1040" s="15">
        <v>1.0460103246170001</v>
      </c>
      <c r="J1040" s="15">
        <v>1.0460103246170001</v>
      </c>
      <c r="K1040" s="15" t="s">
        <v>10</v>
      </c>
      <c r="L1040" s="15" t="s">
        <v>10</v>
      </c>
      <c r="M1040" s="15">
        <v>1.0460103246170001</v>
      </c>
      <c r="N1040" s="15">
        <v>1.0460103246170001</v>
      </c>
      <c r="O1040" s="15">
        <v>0.92438293498869784</v>
      </c>
      <c r="P1040" s="15">
        <v>0.92438293498869784</v>
      </c>
      <c r="Q1040" s="8"/>
      <c r="R1040" s="9" t="s">
        <v>1036</v>
      </c>
    </row>
    <row r="1041" spans="1:18" x14ac:dyDescent="0.25">
      <c r="A1041" s="6" t="str">
        <f>HYPERLINK("proteomic_fractions_linear_files/Yang_linear_img/125628650.jpg", "125628650")</f>
        <v>125628650</v>
      </c>
      <c r="B1041" s="7"/>
      <c r="C1041" s="6" t="str">
        <f>HYPERLINK("http://www.ncbi.nlm.nih.gov/protein/125628650","Ccdc47")</f>
        <v>Ccdc47</v>
      </c>
      <c r="D1041" s="8"/>
      <c r="E1041" s="8">
        <v>53680</v>
      </c>
      <c r="F1041" s="8"/>
      <c r="G1041" s="15">
        <v>1.5388640457989604</v>
      </c>
      <c r="H1041" s="15">
        <v>1.5388640457989604</v>
      </c>
      <c r="I1041" s="15">
        <v>1.2120974690841544</v>
      </c>
      <c r="J1041" s="15">
        <v>1.2120974690841544</v>
      </c>
      <c r="K1041" s="15">
        <v>1.2120974690841544</v>
      </c>
      <c r="L1041" s="15">
        <v>1.2120974690841544</v>
      </c>
      <c r="M1041" s="15" t="s">
        <v>10</v>
      </c>
      <c r="N1041" s="15" t="s">
        <v>10</v>
      </c>
      <c r="O1041" s="15" t="s">
        <v>10</v>
      </c>
      <c r="P1041" s="15" t="s">
        <v>10</v>
      </c>
      <c r="Q1041" s="8"/>
      <c r="R1041" s="9" t="s">
        <v>1037</v>
      </c>
    </row>
    <row r="1042" spans="1:18" x14ac:dyDescent="0.25">
      <c r="A1042" s="6" t="str">
        <f>HYPERLINK("proteomic_fractions_linear_files/Yang_linear_img/258679490.jpg", "258679490")</f>
        <v>258679490</v>
      </c>
      <c r="B1042" s="7"/>
      <c r="C1042" s="6" t="str">
        <f>HYPERLINK("http://www.ncbi.nlm.nih.gov/protein/258679490","Ccdc51")</f>
        <v>Ccdc51</v>
      </c>
      <c r="D1042" s="8"/>
      <c r="E1042" s="8">
        <v>45002</v>
      </c>
      <c r="F1042" s="8"/>
      <c r="G1042" s="15" t="s">
        <v>10</v>
      </c>
      <c r="H1042" s="15" t="s">
        <v>10</v>
      </c>
      <c r="I1042" s="15">
        <v>0.8298072538472131</v>
      </c>
      <c r="J1042" s="15">
        <v>0.8298072538472131</v>
      </c>
      <c r="K1042" s="15" t="s">
        <v>10</v>
      </c>
      <c r="L1042" s="15" t="s">
        <v>10</v>
      </c>
      <c r="M1042" s="15" t="s">
        <v>10</v>
      </c>
      <c r="N1042" s="15" t="s">
        <v>10</v>
      </c>
      <c r="O1042" s="15" t="s">
        <v>10</v>
      </c>
      <c r="P1042" s="15" t="s">
        <v>10</v>
      </c>
      <c r="Q1042" s="8"/>
      <c r="R1042" s="9" t="s">
        <v>1038</v>
      </c>
    </row>
    <row r="1043" spans="1:18" x14ac:dyDescent="0.25">
      <c r="A1043" s="6" t="str">
        <f>HYPERLINK("proteomic_fractions_linear_files/Yang_linear_img/171906601.jpg", "171906601")</f>
        <v>171906601</v>
      </c>
      <c r="B1043" s="7"/>
      <c r="C1043" s="6" t="str">
        <f>HYPERLINK("http://www.ncbi.nlm.nih.gov/protein/171906601","Ccdc53")</f>
        <v>Ccdc53</v>
      </c>
      <c r="D1043" s="8"/>
      <c r="E1043" s="8">
        <v>19648</v>
      </c>
      <c r="F1043" s="8"/>
      <c r="G1043" s="15" t="s">
        <v>10</v>
      </c>
      <c r="H1043" s="15" t="s">
        <v>10</v>
      </c>
      <c r="I1043" s="15" t="s">
        <v>10</v>
      </c>
      <c r="J1043" s="15" t="s">
        <v>10</v>
      </c>
      <c r="K1043" s="15">
        <v>1.395910564884103</v>
      </c>
      <c r="L1043" s="15">
        <v>1.395910564884103</v>
      </c>
      <c r="M1043" s="15">
        <v>1.395910564884103</v>
      </c>
      <c r="N1043" s="15">
        <v>1.395910564884103</v>
      </c>
      <c r="O1043" s="15" t="s">
        <v>10</v>
      </c>
      <c r="P1043" s="15" t="s">
        <v>10</v>
      </c>
      <c r="Q1043" s="8"/>
      <c r="R1043" s="9" t="s">
        <v>1039</v>
      </c>
    </row>
    <row r="1044" spans="1:18" x14ac:dyDescent="0.25">
      <c r="A1044" s="6" t="str">
        <f>HYPERLINK("proteomic_fractions_linear_files/Yang_linear_img/171906604.jpg", "171906604")</f>
        <v>171906604</v>
      </c>
      <c r="B1044" s="7"/>
      <c r="C1044" s="6" t="str">
        <f>HYPERLINK("http://www.ncbi.nlm.nih.gov/protein/171906604","Ccdc53")</f>
        <v>Ccdc53</v>
      </c>
      <c r="D1044" s="8"/>
      <c r="E1044" s="8">
        <v>20833</v>
      </c>
      <c r="F1044" s="8"/>
      <c r="G1044" s="15" t="s">
        <v>10</v>
      </c>
      <c r="H1044" s="15" t="s">
        <v>10</v>
      </c>
      <c r="I1044" s="15" t="s">
        <v>10</v>
      </c>
      <c r="J1044" s="15" t="s">
        <v>10</v>
      </c>
      <c r="K1044" s="15">
        <v>1.3294386332229553</v>
      </c>
      <c r="L1044" s="15">
        <v>1.3294386332229553</v>
      </c>
      <c r="M1044" s="15">
        <v>1.3294386332229553</v>
      </c>
      <c r="N1044" s="15">
        <v>1.3294386332229553</v>
      </c>
      <c r="O1044" s="15" t="s">
        <v>10</v>
      </c>
      <c r="P1044" s="15" t="s">
        <v>10</v>
      </c>
      <c r="Q1044" s="8"/>
      <c r="R1044" s="9" t="s">
        <v>1040</v>
      </c>
    </row>
    <row r="1045" spans="1:18" x14ac:dyDescent="0.25">
      <c r="A1045" s="6" t="str">
        <f>HYPERLINK("proteomic_fractions_linear_files/Yang_linear_img/21313034.jpg", "21313034")</f>
        <v>21313034</v>
      </c>
      <c r="B1045" s="7"/>
      <c r="C1045" s="6" t="str">
        <f>HYPERLINK("http://www.ncbi.nlm.nih.gov/protein/21313034","Ccdc53")</f>
        <v>Ccdc53</v>
      </c>
      <c r="D1045" s="8"/>
      <c r="E1045" s="8">
        <v>20961</v>
      </c>
      <c r="F1045" s="8"/>
      <c r="G1045" s="15" t="s">
        <v>10</v>
      </c>
      <c r="H1045" s="15" t="s">
        <v>10</v>
      </c>
      <c r="I1045" s="15" t="s">
        <v>10</v>
      </c>
      <c r="J1045" s="15" t="s">
        <v>10</v>
      </c>
      <c r="K1045" s="15">
        <v>1.3294386332229553</v>
      </c>
      <c r="L1045" s="15">
        <v>1.3294386332229553</v>
      </c>
      <c r="M1045" s="15">
        <v>1.3294386332229553</v>
      </c>
      <c r="N1045" s="15">
        <v>1.3294386332229553</v>
      </c>
      <c r="O1045" s="15" t="s">
        <v>10</v>
      </c>
      <c r="P1045" s="15" t="s">
        <v>10</v>
      </c>
      <c r="Q1045" s="8"/>
      <c r="R1045" s="9" t="s">
        <v>1041</v>
      </c>
    </row>
    <row r="1046" spans="1:18" x14ac:dyDescent="0.25">
      <c r="A1046" s="6" t="str">
        <f>HYPERLINK("proteomic_fractions_linear_files/Yang_linear_img/21312272.jpg", "21312272")</f>
        <v>21312272</v>
      </c>
      <c r="B1046" s="7"/>
      <c r="C1046" s="6" t="str">
        <f>HYPERLINK("http://www.ncbi.nlm.nih.gov/protein/21312272","Ccdc54")</f>
        <v>Ccdc54</v>
      </c>
      <c r="D1046" s="8"/>
      <c r="E1046" s="8">
        <v>37387</v>
      </c>
      <c r="F1046" s="8"/>
      <c r="G1046" s="15">
        <v>0.3752932567550446</v>
      </c>
      <c r="H1046" s="15">
        <v>0.3752932567550446</v>
      </c>
      <c r="I1046" s="15" t="s">
        <v>10</v>
      </c>
      <c r="J1046" s="15" t="s">
        <v>10</v>
      </c>
      <c r="K1046" s="15" t="s">
        <v>10</v>
      </c>
      <c r="L1046" s="15" t="s">
        <v>10</v>
      </c>
      <c r="M1046" s="15" t="s">
        <v>10</v>
      </c>
      <c r="N1046" s="15" t="s">
        <v>10</v>
      </c>
      <c r="O1046" s="15" t="s">
        <v>10</v>
      </c>
      <c r="P1046" s="15" t="s">
        <v>10</v>
      </c>
      <c r="Q1046" s="8"/>
      <c r="R1046" s="9" t="s">
        <v>1042</v>
      </c>
    </row>
    <row r="1047" spans="1:18" x14ac:dyDescent="0.25">
      <c r="A1047" s="6" t="str">
        <f>HYPERLINK("proteomic_fractions_linear_files/Yang_linear_img/59858549.jpg", "59858549")</f>
        <v>59858549</v>
      </c>
      <c r="B1047" s="7"/>
      <c r="C1047" s="6" t="str">
        <f>HYPERLINK("http://www.ncbi.nlm.nih.gov/protein/59858549","Ccdc55")</f>
        <v>Ccdc55</v>
      </c>
      <c r="D1047" s="8"/>
      <c r="E1047" s="8">
        <v>63668</v>
      </c>
      <c r="F1047" s="8"/>
      <c r="G1047" s="15" t="s">
        <v>10</v>
      </c>
      <c r="H1047" s="15" t="s">
        <v>10</v>
      </c>
      <c r="I1047" s="15">
        <v>93.642187500000006</v>
      </c>
      <c r="J1047" s="15">
        <v>93.642187500000006</v>
      </c>
      <c r="K1047" s="15" t="s">
        <v>10</v>
      </c>
      <c r="L1047" s="15" t="s">
        <v>10</v>
      </c>
      <c r="M1047" s="15" t="s">
        <v>10</v>
      </c>
      <c r="N1047" s="15" t="s">
        <v>10</v>
      </c>
      <c r="O1047" s="15" t="s">
        <v>10</v>
      </c>
      <c r="P1047" s="15" t="s">
        <v>10</v>
      </c>
      <c r="Q1047" s="8"/>
      <c r="R1047" s="9" t="s">
        <v>1043</v>
      </c>
    </row>
    <row r="1048" spans="1:18" x14ac:dyDescent="0.25">
      <c r="A1048" s="6" t="str">
        <f>HYPERLINK("proteomic_fractions_linear_files/Yang_linear_img/226874938.jpg", "226874938")</f>
        <v>226874938</v>
      </c>
      <c r="B1048" s="7"/>
      <c r="C1048" s="6" t="str">
        <f>HYPERLINK("http://www.ncbi.nlm.nih.gov/protein/226874938","Ccdc58")</f>
        <v>Ccdc58</v>
      </c>
      <c r="D1048" s="8"/>
      <c r="E1048" s="8">
        <v>11829</v>
      </c>
      <c r="F1048" s="8"/>
      <c r="G1048" s="15">
        <v>1.9257977812264537</v>
      </c>
      <c r="H1048" s="15">
        <v>1.9257977812264537</v>
      </c>
      <c r="I1048" s="15">
        <v>1.2663615244845239</v>
      </c>
      <c r="J1048" s="15">
        <v>1.2663615244845239</v>
      </c>
      <c r="K1048" s="15">
        <v>1.327286815265148</v>
      </c>
      <c r="L1048" s="15">
        <v>1.327286815265148</v>
      </c>
      <c r="M1048" s="15" t="s">
        <v>10</v>
      </c>
      <c r="N1048" s="15" t="s">
        <v>10</v>
      </c>
      <c r="O1048" s="15">
        <v>1.2663615244845239</v>
      </c>
      <c r="P1048" s="15">
        <v>1.2663615244845239</v>
      </c>
      <c r="Q1048" s="8"/>
      <c r="R1048" s="9" t="s">
        <v>1044</v>
      </c>
    </row>
    <row r="1049" spans="1:18" x14ac:dyDescent="0.25">
      <c r="A1049" s="6" t="str">
        <f>HYPERLINK("proteomic_fractions_linear_files/Yang_linear_img/226874940.jpg", "226874940")</f>
        <v>226874940</v>
      </c>
      <c r="B1049" s="7"/>
      <c r="C1049" s="6" t="str">
        <f>HYPERLINK("http://www.ncbi.nlm.nih.gov/protein/226874940","Ccdc58")</f>
        <v>Ccdc58</v>
      </c>
      <c r="D1049" s="8"/>
      <c r="E1049" s="8">
        <v>15470</v>
      </c>
      <c r="F1049" s="8"/>
      <c r="G1049" s="15">
        <v>1.540638224981163</v>
      </c>
      <c r="H1049" s="15">
        <v>1.540638224981163</v>
      </c>
      <c r="I1049" s="15">
        <v>1.0618294522121183</v>
      </c>
      <c r="J1049" s="15">
        <v>1.0618294522121183</v>
      </c>
      <c r="K1049" s="15">
        <v>1.0618294522121183</v>
      </c>
      <c r="L1049" s="15">
        <v>1.0618294522121183</v>
      </c>
      <c r="M1049" s="15" t="s">
        <v>10</v>
      </c>
      <c r="N1049" s="15" t="s">
        <v>10</v>
      </c>
      <c r="O1049" s="15">
        <v>1.0130892195876191</v>
      </c>
      <c r="P1049" s="15">
        <v>1.0130892195876191</v>
      </c>
      <c r="Q1049" s="8"/>
      <c r="R1049" s="9" t="s">
        <v>1045</v>
      </c>
    </row>
    <row r="1050" spans="1:18" x14ac:dyDescent="0.25">
      <c r="A1050" s="6" t="str">
        <f>HYPERLINK("proteomic_fractions_linear_files/Yang_linear_img/38348528.jpg", "38348528")</f>
        <v>38348528</v>
      </c>
      <c r="B1050" s="7"/>
      <c r="C1050" s="6" t="str">
        <f>HYPERLINK("http://www.ncbi.nlm.nih.gov/protein/38348528","Ccdc58")</f>
        <v>Ccdc58</v>
      </c>
      <c r="D1050" s="8"/>
      <c r="E1050" s="8">
        <v>16534</v>
      </c>
      <c r="F1050" s="8"/>
      <c r="G1050" s="15">
        <v>1.3593866691010261</v>
      </c>
      <c r="H1050" s="15">
        <v>1.3593866691010261</v>
      </c>
      <c r="I1050" s="15">
        <v>0.93690834018716329</v>
      </c>
      <c r="J1050" s="15">
        <v>0.93690834018716329</v>
      </c>
      <c r="K1050" s="15">
        <v>0.93690834018716329</v>
      </c>
      <c r="L1050" s="15">
        <v>0.93690834018716329</v>
      </c>
      <c r="M1050" s="15" t="s">
        <v>10</v>
      </c>
      <c r="N1050" s="15" t="s">
        <v>10</v>
      </c>
      <c r="O1050" s="15">
        <v>0.89390225257731093</v>
      </c>
      <c r="P1050" s="15">
        <v>0.89390225257731093</v>
      </c>
      <c r="Q1050" s="8"/>
      <c r="R1050" s="9" t="s">
        <v>1046</v>
      </c>
    </row>
    <row r="1051" spans="1:18" x14ac:dyDescent="0.25">
      <c r="A1051" s="6" t="str">
        <f>HYPERLINK("proteomic_fractions_linear_files/Yang_linear_img/13385058.jpg", "13385058")</f>
        <v>13385058</v>
      </c>
      <c r="B1051" s="7"/>
      <c r="C1051" s="6" t="str">
        <f>HYPERLINK("http://www.ncbi.nlm.nih.gov/protein/13385058","Ccdc59")</f>
        <v>Ccdc59</v>
      </c>
      <c r="D1051" s="8"/>
      <c r="E1051" s="8">
        <v>27903</v>
      </c>
      <c r="F1051" s="8"/>
      <c r="G1051" s="15" t="s">
        <v>10</v>
      </c>
      <c r="H1051" s="15" t="s">
        <v>10</v>
      </c>
      <c r="I1051" s="15" t="s">
        <v>10</v>
      </c>
      <c r="J1051" s="15" t="s">
        <v>10</v>
      </c>
      <c r="K1051" s="15" t="s">
        <v>10</v>
      </c>
      <c r="L1051" s="15" t="s">
        <v>10</v>
      </c>
      <c r="M1051" s="15">
        <v>1.1458597448476282</v>
      </c>
      <c r="N1051" s="15">
        <v>1.1458597448476282</v>
      </c>
      <c r="O1051" s="15" t="s">
        <v>10</v>
      </c>
      <c r="P1051" s="15" t="s">
        <v>10</v>
      </c>
      <c r="Q1051" s="8"/>
      <c r="R1051" s="9" t="s">
        <v>1047</v>
      </c>
    </row>
    <row r="1052" spans="1:18" x14ac:dyDescent="0.25">
      <c r="A1052" s="6" t="str">
        <f>HYPERLINK("proteomic_fractions_linear_files/Yang_linear_img/162135971.jpg", "162135971")</f>
        <v>162135971</v>
      </c>
      <c r="B1052" s="7"/>
      <c r="C1052" s="6" t="str">
        <f>HYPERLINK("http://www.ncbi.nlm.nih.gov/protein/162135971","Ccdc6")</f>
        <v>Ccdc6</v>
      </c>
      <c r="D1052" s="8"/>
      <c r="E1052" s="8">
        <v>52808</v>
      </c>
      <c r="F1052" s="8"/>
      <c r="G1052" s="15" t="s">
        <v>10</v>
      </c>
      <c r="H1052" s="15" t="s">
        <v>10</v>
      </c>
      <c r="I1052" s="15">
        <v>1.2349672326517798</v>
      </c>
      <c r="J1052" s="15">
        <v>1.2349672326517798</v>
      </c>
      <c r="K1052" s="15">
        <v>1.2349672326517798</v>
      </c>
      <c r="L1052" s="15">
        <v>1.2349672326517798</v>
      </c>
      <c r="M1052" s="15" t="s">
        <v>10</v>
      </c>
      <c r="N1052" s="15" t="s">
        <v>10</v>
      </c>
      <c r="O1052" s="15">
        <v>1.1089284450112047</v>
      </c>
      <c r="P1052" s="15">
        <v>1.1089284450112047</v>
      </c>
      <c r="Q1052" s="8"/>
      <c r="R1052" s="9" t="s">
        <v>1048</v>
      </c>
    </row>
    <row r="1053" spans="1:18" x14ac:dyDescent="0.25">
      <c r="A1053" s="6" t="str">
        <f>HYPERLINK("proteomic_fractions_linear_files/Yang_linear_img/115270981.jpg", "115270981")</f>
        <v>115270981</v>
      </c>
      <c r="B1053" s="7"/>
      <c r="C1053" s="6" t="str">
        <f>HYPERLINK("http://www.ncbi.nlm.nih.gov/protein/115270981","Ccdc69")</f>
        <v>Ccdc69</v>
      </c>
      <c r="D1053" s="8"/>
      <c r="E1053" s="8">
        <v>23165</v>
      </c>
      <c r="F1053" s="8"/>
      <c r="G1053" s="15" t="s">
        <v>10</v>
      </c>
      <c r="H1053" s="15" t="s">
        <v>10</v>
      </c>
      <c r="I1053" s="15" t="s">
        <v>10</v>
      </c>
      <c r="J1053" s="15" t="s">
        <v>10</v>
      </c>
      <c r="K1053" s="15">
        <v>1.0047640597703238</v>
      </c>
      <c r="L1053" s="15">
        <v>1.0047640597703238</v>
      </c>
      <c r="M1053" s="15" t="s">
        <v>10</v>
      </c>
      <c r="N1053" s="15" t="s">
        <v>10</v>
      </c>
      <c r="O1053" s="15" t="s">
        <v>10</v>
      </c>
      <c r="P1053" s="15" t="s">
        <v>10</v>
      </c>
      <c r="Q1053" s="8"/>
      <c r="R1053" s="9" t="s">
        <v>1049</v>
      </c>
    </row>
    <row r="1054" spans="1:18" x14ac:dyDescent="0.25">
      <c r="A1054" s="6" t="str">
        <f>HYPERLINK("proteomic_fractions_linear_files/Yang_linear_img/47059089.jpg", "47059089")</f>
        <v>47059089</v>
      </c>
      <c r="B1054" s="7"/>
      <c r="C1054" s="6" t="str">
        <f>HYPERLINK("http://www.ncbi.nlm.nih.gov/protein/47059089","Ccdc88c")</f>
        <v>Ccdc88c</v>
      </c>
      <c r="D1054" s="8"/>
      <c r="E1054" s="8">
        <v>226405</v>
      </c>
      <c r="F1054" s="8"/>
      <c r="G1054" s="15" t="s">
        <v>10</v>
      </c>
      <c r="H1054" s="15" t="s">
        <v>10</v>
      </c>
      <c r="I1054" s="15" t="s">
        <v>10</v>
      </c>
      <c r="J1054" s="15" t="s">
        <v>10</v>
      </c>
      <c r="K1054" s="15">
        <v>0.14196492414041412</v>
      </c>
      <c r="L1054" s="15">
        <v>0.14196492414041412</v>
      </c>
      <c r="M1054" s="15" t="s">
        <v>10</v>
      </c>
      <c r="N1054" s="15" t="s">
        <v>10</v>
      </c>
      <c r="O1054" s="15">
        <v>1.0325701222471197</v>
      </c>
      <c r="P1054" s="15">
        <v>1.0325701222471197</v>
      </c>
      <c r="Q1054" s="8"/>
      <c r="R1054" s="9" t="s">
        <v>1050</v>
      </c>
    </row>
    <row r="1055" spans="1:18" x14ac:dyDescent="0.25">
      <c r="A1055" s="6" t="str">
        <f>HYPERLINK("proteomic_fractions_linear_files/Yang_linear_img/160333440.jpg", "160333440")</f>
        <v>160333440</v>
      </c>
      <c r="B1055" s="7"/>
      <c r="C1055" s="6" t="str">
        <f>HYPERLINK("http://www.ncbi.nlm.nih.gov/protein/160333440","Ccdc93")</f>
        <v>Ccdc93</v>
      </c>
      <c r="D1055" s="8"/>
      <c r="E1055" s="8">
        <v>72344</v>
      </c>
      <c r="F1055" s="8"/>
      <c r="G1055" s="15" t="s">
        <v>10</v>
      </c>
      <c r="H1055" s="15" t="s">
        <v>10</v>
      </c>
      <c r="I1055" s="15">
        <v>1.1541480343492203</v>
      </c>
      <c r="J1055" s="15">
        <v>1.1541480343492203</v>
      </c>
      <c r="K1055" s="15">
        <v>1.1541480343492203</v>
      </c>
      <c r="L1055" s="15">
        <v>1.1541480343492203</v>
      </c>
      <c r="M1055" s="15">
        <v>1.1541480343492203</v>
      </c>
      <c r="N1055" s="15">
        <v>1.1541480343492203</v>
      </c>
      <c r="O1055" s="15">
        <v>1.0199466700233646</v>
      </c>
      <c r="P1055" s="15">
        <v>1.0199466700233646</v>
      </c>
      <c r="Q1055" s="8"/>
      <c r="R1055" s="9" t="s">
        <v>1051</v>
      </c>
    </row>
    <row r="1056" spans="1:18" x14ac:dyDescent="0.25">
      <c r="A1056" s="6" t="str">
        <f>HYPERLINK("proteomic_fractions_linear_files/Yang_linear_img/68448542.jpg", "68448542")</f>
        <v>68448542</v>
      </c>
      <c r="B1056" s="7"/>
      <c r="C1056" s="6" t="str">
        <f>HYPERLINK("http://www.ncbi.nlm.nih.gov/protein/68448542","Ccdc93")</f>
        <v>Ccdc93</v>
      </c>
      <c r="D1056" s="8"/>
      <c r="E1056" s="8">
        <v>72472</v>
      </c>
      <c r="F1056" s="8"/>
      <c r="G1056" s="15" t="s">
        <v>10</v>
      </c>
      <c r="H1056" s="15" t="s">
        <v>10</v>
      </c>
      <c r="I1056" s="15">
        <v>1.1541480343492203</v>
      </c>
      <c r="J1056" s="15">
        <v>1.1541480343492203</v>
      </c>
      <c r="K1056" s="15">
        <v>1.1541480343492203</v>
      </c>
      <c r="L1056" s="15">
        <v>1.1541480343492203</v>
      </c>
      <c r="M1056" s="15">
        <v>1.1541480343492203</v>
      </c>
      <c r="N1056" s="15">
        <v>1.1541480343492203</v>
      </c>
      <c r="O1056" s="15">
        <v>1.0199466700233646</v>
      </c>
      <c r="P1056" s="15">
        <v>1.0199466700233646</v>
      </c>
      <c r="Q1056" s="8"/>
      <c r="R1056" s="9" t="s">
        <v>1052</v>
      </c>
    </row>
    <row r="1057" spans="1:18" x14ac:dyDescent="0.25">
      <c r="A1057" s="6" t="str">
        <f>HYPERLINK("proteomic_fractions_linear_files/Yang_linear_img/157738617.jpg", "157738617")</f>
        <v>157738617</v>
      </c>
      <c r="B1057" s="7"/>
      <c r="C1057" s="6" t="str">
        <f>HYPERLINK("http://www.ncbi.nlm.nih.gov/protein/157738617","Cchcr1")</f>
        <v>Cchcr1</v>
      </c>
      <c r="D1057" s="8"/>
      <c r="E1057" s="8">
        <v>86975</v>
      </c>
      <c r="F1057" s="8"/>
      <c r="G1057" s="15" t="s">
        <v>10</v>
      </c>
      <c r="H1057" s="15" t="s">
        <v>10</v>
      </c>
      <c r="I1057" s="15" t="s">
        <v>10</v>
      </c>
      <c r="J1057" s="15" t="s">
        <v>10</v>
      </c>
      <c r="K1057" s="15">
        <v>0.20195333063630996</v>
      </c>
      <c r="L1057" s="15">
        <v>0.20195333063630996</v>
      </c>
      <c r="M1057" s="15" t="s">
        <v>10</v>
      </c>
      <c r="N1057" s="15" t="s">
        <v>10</v>
      </c>
      <c r="O1057" s="15" t="s">
        <v>10</v>
      </c>
      <c r="P1057" s="15" t="s">
        <v>10</v>
      </c>
      <c r="Q1057" s="8"/>
      <c r="R1057" s="9" t="s">
        <v>1053</v>
      </c>
    </row>
    <row r="1058" spans="1:18" x14ac:dyDescent="0.25">
      <c r="A1058" s="6" t="str">
        <f>HYPERLINK("proteomic_fractions_linear_files/Yang_linear_img/12963599.jpg", "12963599")</f>
        <v>12963599</v>
      </c>
      <c r="B1058" s="7"/>
      <c r="C1058" s="6" t="str">
        <f>HYPERLINK("http://www.ncbi.nlm.nih.gov/protein/12963599","Ccnh")</f>
        <v>Ccnh</v>
      </c>
      <c r="D1058" s="8"/>
      <c r="E1058" s="8">
        <v>37375</v>
      </c>
      <c r="F1058" s="8"/>
      <c r="G1058" s="15" t="s">
        <v>10</v>
      </c>
      <c r="H1058" s="15" t="s">
        <v>10</v>
      </c>
      <c r="I1058" s="15">
        <v>0.86713710420901591</v>
      </c>
      <c r="J1058" s="15">
        <v>0.86713710420901591</v>
      </c>
      <c r="K1058" s="15" t="s">
        <v>10</v>
      </c>
      <c r="L1058" s="15" t="s">
        <v>10</v>
      </c>
      <c r="M1058" s="15" t="s">
        <v>10</v>
      </c>
      <c r="N1058" s="15" t="s">
        <v>10</v>
      </c>
      <c r="O1058" s="15" t="s">
        <v>10</v>
      </c>
      <c r="P1058" s="15" t="s">
        <v>10</v>
      </c>
      <c r="Q1058" s="8"/>
      <c r="R1058" s="9" t="s">
        <v>1054</v>
      </c>
    </row>
    <row r="1059" spans="1:18" x14ac:dyDescent="0.25">
      <c r="A1059" s="6" t="str">
        <f>HYPERLINK("proteomic_fractions_linear_files/Yang_linear_img/157841168.jpg", "157841168")</f>
        <v>157841168</v>
      </c>
      <c r="B1059" s="7"/>
      <c r="C1059" s="6" t="str">
        <f>HYPERLINK("http://www.ncbi.nlm.nih.gov/protein/157841168","Ccnk")</f>
        <v>Ccnk</v>
      </c>
      <c r="D1059" s="8"/>
      <c r="E1059" s="8">
        <v>64219</v>
      </c>
      <c r="F1059" s="8"/>
      <c r="G1059" s="15">
        <v>1.0227072395397552</v>
      </c>
      <c r="H1059" s="15">
        <v>1.483874705977883</v>
      </c>
      <c r="I1059" s="15" t="s">
        <v>10</v>
      </c>
      <c r="J1059" s="15" t="s">
        <v>10</v>
      </c>
      <c r="K1059" s="15">
        <v>1.2984165386428728</v>
      </c>
      <c r="L1059" s="15">
        <v>1.2984165386428728</v>
      </c>
      <c r="M1059" s="15" t="s">
        <v>10</v>
      </c>
      <c r="N1059" s="15" t="s">
        <v>10</v>
      </c>
      <c r="O1059" s="15" t="s">
        <v>10</v>
      </c>
      <c r="P1059" s="15" t="s">
        <v>10</v>
      </c>
      <c r="Q1059" s="8"/>
      <c r="R1059" s="9" t="s">
        <v>1055</v>
      </c>
    </row>
    <row r="1060" spans="1:18" x14ac:dyDescent="0.25">
      <c r="A1060" s="6" t="str">
        <f>HYPERLINK("proteomic_fractions_linear_files/Yang_linear_img/70906460.jpg", "70906460")</f>
        <v>70906460</v>
      </c>
      <c r="B1060" s="7"/>
      <c r="C1060" s="6" t="str">
        <f>HYPERLINK("http://www.ncbi.nlm.nih.gov/protein/70906460","Ccnl1")</f>
        <v>Ccnl1</v>
      </c>
      <c r="D1060" s="8"/>
      <c r="E1060" s="8">
        <v>60002</v>
      </c>
      <c r="F1060" s="8"/>
      <c r="G1060" s="15" t="s">
        <v>10</v>
      </c>
      <c r="H1060" s="15" t="s">
        <v>10</v>
      </c>
      <c r="I1060" s="15">
        <v>99.885000000000005</v>
      </c>
      <c r="J1060" s="15">
        <v>99.885000000000005</v>
      </c>
      <c r="K1060" s="15">
        <v>99.885000000000005</v>
      </c>
      <c r="L1060" s="15">
        <v>99.885000000000005</v>
      </c>
      <c r="M1060" s="15" t="s">
        <v>10</v>
      </c>
      <c r="N1060" s="15" t="s">
        <v>10</v>
      </c>
      <c r="O1060" s="15" t="s">
        <v>10</v>
      </c>
      <c r="P1060" s="15" t="s">
        <v>10</v>
      </c>
      <c r="Q1060" s="8"/>
      <c r="R1060" s="9" t="s">
        <v>1056</v>
      </c>
    </row>
    <row r="1061" spans="1:18" x14ac:dyDescent="0.25">
      <c r="A1061" s="6" t="str">
        <f>HYPERLINK("proteomic_fractions_linear_files/Yang_linear_img/6753316.jpg", "6753316")</f>
        <v>6753316</v>
      </c>
      <c r="B1061" s="7"/>
      <c r="C1061" s="6" t="str">
        <f>HYPERLINK("http://www.ncbi.nlm.nih.gov/protein/6753316","Ccnt1")</f>
        <v>Ccnt1</v>
      </c>
      <c r="D1061" s="8"/>
      <c r="E1061" s="8">
        <v>80467</v>
      </c>
      <c r="F1061" s="8"/>
      <c r="G1061" s="15" t="s">
        <v>10</v>
      </c>
      <c r="H1061" s="15" t="s">
        <v>10</v>
      </c>
      <c r="I1061" s="15" t="s">
        <v>10</v>
      </c>
      <c r="J1061" s="15" t="s">
        <v>10</v>
      </c>
      <c r="K1061" s="15">
        <v>1.1870997647823063</v>
      </c>
      <c r="L1061" s="15">
        <v>1.1870997647823063</v>
      </c>
      <c r="M1061" s="15" t="s">
        <v>10</v>
      </c>
      <c r="N1061" s="15" t="s">
        <v>10</v>
      </c>
      <c r="O1061" s="15" t="s">
        <v>10</v>
      </c>
      <c r="P1061" s="15" t="s">
        <v>10</v>
      </c>
      <c r="Q1061" s="8"/>
      <c r="R1061" s="9" t="s">
        <v>1057</v>
      </c>
    </row>
    <row r="1062" spans="1:18" x14ac:dyDescent="0.25">
      <c r="A1062" s="6" t="str">
        <f>HYPERLINK("proteomic_fractions_linear_files/Yang_linear_img/31542003.jpg", "31542003")</f>
        <v>31542003</v>
      </c>
      <c r="B1062" s="7"/>
      <c r="C1062" s="6" t="str">
        <f>HYPERLINK("http://www.ncbi.nlm.nih.gov/protein/31542003","Ccny")</f>
        <v>Ccny</v>
      </c>
      <c r="D1062" s="8"/>
      <c r="E1062" s="8">
        <v>39264</v>
      </c>
      <c r="F1062" s="8"/>
      <c r="G1062" s="15" t="s">
        <v>10</v>
      </c>
      <c r="H1062" s="15" t="s">
        <v>10</v>
      </c>
      <c r="I1062" s="15" t="s">
        <v>10</v>
      </c>
      <c r="J1062" s="15" t="s">
        <v>10</v>
      </c>
      <c r="K1062" s="15">
        <v>0.8859840136019278</v>
      </c>
      <c r="L1062" s="15">
        <v>0.8859840136019278</v>
      </c>
      <c r="M1062" s="15" t="s">
        <v>10</v>
      </c>
      <c r="N1062" s="15" t="s">
        <v>10</v>
      </c>
      <c r="O1062" s="15" t="s">
        <v>10</v>
      </c>
      <c r="P1062" s="15" t="s">
        <v>10</v>
      </c>
      <c r="Q1062" s="8"/>
      <c r="R1062" s="9" t="s">
        <v>1058</v>
      </c>
    </row>
    <row r="1063" spans="1:18" x14ac:dyDescent="0.25">
      <c r="A1063" s="6" t="str">
        <f>HYPERLINK("proteomic_fractions_linear_files/Yang_linear_img/148237243.jpg", "148237243")</f>
        <v>148237243</v>
      </c>
      <c r="B1063" s="7"/>
      <c r="C1063" s="6" t="str">
        <f>HYPERLINK("http://www.ncbi.nlm.nih.gov/protein/148237243","Ccnyl1")</f>
        <v>Ccnyl1</v>
      </c>
      <c r="D1063" s="8"/>
      <c r="E1063" s="8">
        <v>33578</v>
      </c>
      <c r="F1063" s="8"/>
      <c r="G1063" s="15" t="s">
        <v>10</v>
      </c>
      <c r="H1063" s="15" t="s">
        <v>10</v>
      </c>
      <c r="I1063" s="15" t="s">
        <v>10</v>
      </c>
      <c r="J1063" s="15" t="s">
        <v>10</v>
      </c>
      <c r="K1063" s="15">
        <v>1.0162757803080937</v>
      </c>
      <c r="L1063" s="15">
        <v>1.0162757803080937</v>
      </c>
      <c r="M1063" s="15" t="s">
        <v>10</v>
      </c>
      <c r="N1063" s="15" t="s">
        <v>10</v>
      </c>
      <c r="O1063" s="15" t="s">
        <v>10</v>
      </c>
      <c r="P1063" s="15" t="s">
        <v>10</v>
      </c>
      <c r="Q1063" s="8"/>
      <c r="R1063" s="9" t="s">
        <v>1059</v>
      </c>
    </row>
    <row r="1064" spans="1:18" x14ac:dyDescent="0.25">
      <c r="A1064" s="6" t="str">
        <f>HYPERLINK("proteomic_fractions_linear_files/Yang_linear_img/8393066.jpg", "8393066")</f>
        <v>8393066</v>
      </c>
      <c r="B1064" s="7"/>
      <c r="C1064" s="6" t="str">
        <f>HYPERLINK("http://www.ncbi.nlm.nih.gov/protein/8393066","Ccs")</f>
        <v>Ccs</v>
      </c>
      <c r="D1064" s="8"/>
      <c r="E1064" s="8">
        <v>28781</v>
      </c>
      <c r="F1064" s="8"/>
      <c r="G1064" s="15" t="s">
        <v>10</v>
      </c>
      <c r="H1064" s="15" t="s">
        <v>10</v>
      </c>
      <c r="I1064" s="15">
        <v>0.96269694129938133</v>
      </c>
      <c r="J1064" s="15">
        <v>0.96269694129938133</v>
      </c>
      <c r="K1064" s="15">
        <v>0.96269694129938133</v>
      </c>
      <c r="L1064" s="15">
        <v>0.96269694129938133</v>
      </c>
      <c r="M1064" s="15" t="s">
        <v>10</v>
      </c>
      <c r="N1064" s="15" t="s">
        <v>10</v>
      </c>
      <c r="O1064" s="15">
        <v>0.84671795218196266</v>
      </c>
      <c r="P1064" s="15">
        <v>0.84671795218196266</v>
      </c>
      <c r="Q1064" s="8"/>
      <c r="R1064" s="9" t="s">
        <v>1060</v>
      </c>
    </row>
    <row r="1065" spans="1:18" x14ac:dyDescent="0.25">
      <c r="A1065" s="6" t="str">
        <f>HYPERLINK("proteomic_fractions_linear_files/Yang_linear_img/126521835.jpg", "126521835")</f>
        <v>126521835</v>
      </c>
      <c r="B1065" s="7"/>
      <c r="C1065" s="6" t="str">
        <f>HYPERLINK("http://www.ncbi.nlm.nih.gov/protein/126521835","Cct2")</f>
        <v>Cct2</v>
      </c>
      <c r="D1065" s="8"/>
      <c r="E1065" s="8">
        <v>57346</v>
      </c>
      <c r="F1065" s="8"/>
      <c r="G1065" s="15">
        <v>1.1483028654481462</v>
      </c>
      <c r="H1065" s="15">
        <v>1.1483028654481462</v>
      </c>
      <c r="I1065" s="15">
        <v>0.93193981807019433</v>
      </c>
      <c r="J1065" s="15">
        <v>0.93193981807019433</v>
      </c>
      <c r="K1065" s="15">
        <v>1.0311089050104185</v>
      </c>
      <c r="L1065" s="15">
        <v>1.0311089050104185</v>
      </c>
      <c r="M1065" s="15">
        <v>0.93193981807019433</v>
      </c>
      <c r="N1065" s="15">
        <v>0.93193981807019433</v>
      </c>
      <c r="O1065" s="15">
        <v>0.84719255411254824</v>
      </c>
      <c r="P1065" s="15">
        <v>0.84719255411254824</v>
      </c>
      <c r="Q1065" s="8"/>
      <c r="R1065" s="9" t="s">
        <v>1061</v>
      </c>
    </row>
    <row r="1066" spans="1:18" x14ac:dyDescent="0.25">
      <c r="A1066" s="6" t="str">
        <f>HYPERLINK("proteomic_fractions_linear_files/Yang_linear_img/6753320.jpg", "6753320")</f>
        <v>6753320</v>
      </c>
      <c r="B1066" s="7"/>
      <c r="C1066" s="6" t="str">
        <f>HYPERLINK("http://www.ncbi.nlm.nih.gov/protein/6753320","Cct3")</f>
        <v>Cct3</v>
      </c>
      <c r="D1066" s="8"/>
      <c r="E1066" s="8">
        <v>60499</v>
      </c>
      <c r="F1066" s="8"/>
      <c r="G1066" s="15">
        <v>1.3849776412190642</v>
      </c>
      <c r="H1066" s="15">
        <v>1.3849776412190642</v>
      </c>
      <c r="I1066" s="15">
        <v>1.0908877221757389</v>
      </c>
      <c r="J1066" s="15">
        <v>1.0908877221757389</v>
      </c>
      <c r="K1066" s="15">
        <v>1.0908877221757389</v>
      </c>
      <c r="L1066" s="15">
        <v>1.0908877221757389</v>
      </c>
      <c r="M1066" s="15">
        <v>1.0908877221757389</v>
      </c>
      <c r="N1066" s="15">
        <v>1.0908877221757389</v>
      </c>
      <c r="O1066" s="15">
        <v>0.97955345975989749</v>
      </c>
      <c r="P1066" s="15">
        <v>0.97955345975989749</v>
      </c>
      <c r="Q1066" s="8"/>
      <c r="R1066" s="9" t="s">
        <v>1062</v>
      </c>
    </row>
    <row r="1067" spans="1:18" x14ac:dyDescent="0.25">
      <c r="A1067" s="6" t="str">
        <f>HYPERLINK("proteomic_fractions_linear_files/Yang_linear_img/6753322.jpg", "6753322")</f>
        <v>6753322</v>
      </c>
      <c r="B1067" s="7"/>
      <c r="C1067" s="6" t="str">
        <f>HYPERLINK("http://www.ncbi.nlm.nih.gov/protein/6753322","Cct4")</f>
        <v>Cct4</v>
      </c>
      <c r="D1067" s="8"/>
      <c r="E1067" s="8">
        <v>57935</v>
      </c>
      <c r="F1067" s="8"/>
      <c r="G1067" s="15">
        <v>1.2661406938221076</v>
      </c>
      <c r="H1067" s="15">
        <v>1.2661406938221076</v>
      </c>
      <c r="I1067" s="15">
        <v>1.0133311652688595</v>
      </c>
      <c r="J1067" s="15">
        <v>1.0133311652688595</v>
      </c>
      <c r="K1067" s="15">
        <v>1.0133311652688595</v>
      </c>
      <c r="L1067" s="15">
        <v>1.0133311652688595</v>
      </c>
      <c r="M1067" s="15">
        <v>1.0133311652688595</v>
      </c>
      <c r="N1067" s="15">
        <v>1.0133311652688595</v>
      </c>
      <c r="O1067" s="15">
        <v>0.91587189017243242</v>
      </c>
      <c r="P1067" s="15">
        <v>0.91587189017243242</v>
      </c>
      <c r="Q1067" s="8"/>
      <c r="R1067" s="9" t="s">
        <v>1063</v>
      </c>
    </row>
    <row r="1068" spans="1:18" x14ac:dyDescent="0.25">
      <c r="A1068" s="6" t="str">
        <f>HYPERLINK("proteomic_fractions_linear_files/Yang_linear_img/6671702.jpg", "6671702")</f>
        <v>6671702</v>
      </c>
      <c r="B1068" s="7"/>
      <c r="C1068" s="6" t="str">
        <f>HYPERLINK("http://www.ncbi.nlm.nih.gov/protein/6671702","Cct5")</f>
        <v>Cct5</v>
      </c>
      <c r="D1068" s="8"/>
      <c r="E1068" s="8">
        <v>59493</v>
      </c>
      <c r="F1068" s="8"/>
      <c r="G1068" s="15">
        <v>1.244680682062411</v>
      </c>
      <c r="H1068" s="15">
        <v>1.244680682062411</v>
      </c>
      <c r="I1068" s="15">
        <v>1.1093773445854971</v>
      </c>
      <c r="J1068" s="15">
        <v>1.1093773445854971</v>
      </c>
      <c r="K1068" s="15">
        <v>1.1093773445854971</v>
      </c>
      <c r="L1068" s="15">
        <v>1.1093773445854971</v>
      </c>
      <c r="M1068" s="15">
        <v>1.1093773445854971</v>
      </c>
      <c r="N1068" s="15">
        <v>1.1093773445854971</v>
      </c>
      <c r="O1068" s="15">
        <v>0.99615606077277719</v>
      </c>
      <c r="P1068" s="15">
        <v>0.99615606077277719</v>
      </c>
      <c r="Q1068" s="8"/>
      <c r="R1068" s="9" t="s">
        <v>1064</v>
      </c>
    </row>
    <row r="1069" spans="1:18" x14ac:dyDescent="0.25">
      <c r="A1069" s="6" t="str">
        <f>HYPERLINK("proteomic_fractions_linear_files/Yang_linear_img/6753324.jpg", "6753324")</f>
        <v>6753324</v>
      </c>
      <c r="B1069" s="7"/>
      <c r="C1069" s="6" t="str">
        <f>HYPERLINK("http://www.ncbi.nlm.nih.gov/protein/6753324","Cct6a")</f>
        <v>Cct6a</v>
      </c>
      <c r="D1069" s="8"/>
      <c r="E1069" s="8">
        <v>57873</v>
      </c>
      <c r="F1069" s="8"/>
      <c r="G1069" s="15">
        <v>1.4327354909162735</v>
      </c>
      <c r="H1069" s="15">
        <v>1.4327354909162735</v>
      </c>
      <c r="I1069" s="15">
        <v>1.1285045401817988</v>
      </c>
      <c r="J1069" s="15">
        <v>1.1285045401817988</v>
      </c>
      <c r="K1069" s="15">
        <v>1.1285045401817988</v>
      </c>
      <c r="L1069" s="15">
        <v>1.1285045401817988</v>
      </c>
      <c r="M1069" s="15">
        <v>1.1285045401817988</v>
      </c>
      <c r="N1069" s="15">
        <v>1.1285045401817988</v>
      </c>
      <c r="O1069" s="15">
        <v>1.0133311652688595</v>
      </c>
      <c r="P1069" s="15">
        <v>1.0133311652688595</v>
      </c>
      <c r="Q1069" s="8"/>
      <c r="R1069" s="9" t="s">
        <v>1065</v>
      </c>
    </row>
    <row r="1070" spans="1:18" x14ac:dyDescent="0.25">
      <c r="A1070" s="6" t="str">
        <f>HYPERLINK("proteomic_fractions_linear_files/Yang_linear_img/226693361.jpg", "226693361")</f>
        <v>226693361</v>
      </c>
      <c r="B1070" s="7"/>
      <c r="C1070" s="6" t="str">
        <f>HYPERLINK("http://www.ncbi.nlm.nih.gov/protein/226693361","Cct6b")</f>
        <v>Cct6b</v>
      </c>
      <c r="D1070" s="8"/>
      <c r="E1070" s="8">
        <v>58054</v>
      </c>
      <c r="F1070" s="8"/>
      <c r="G1070" s="15" t="s">
        <v>10</v>
      </c>
      <c r="H1070" s="15" t="s">
        <v>10</v>
      </c>
      <c r="I1070" s="15">
        <v>1.1285045401817988</v>
      </c>
      <c r="J1070" s="15">
        <v>1.1285045401817988</v>
      </c>
      <c r="K1070" s="15">
        <v>1.1285045401817988</v>
      </c>
      <c r="L1070" s="15">
        <v>1.1285045401817988</v>
      </c>
      <c r="M1070" s="15">
        <v>1.0133311652688595</v>
      </c>
      <c r="N1070" s="15">
        <v>1.0133311652688595</v>
      </c>
      <c r="O1070" s="15">
        <v>1.0133311652688595</v>
      </c>
      <c r="P1070" s="15">
        <v>1.0133311652688595</v>
      </c>
      <c r="Q1070" s="8"/>
      <c r="R1070" s="9" t="s">
        <v>1066</v>
      </c>
    </row>
    <row r="1071" spans="1:18" x14ac:dyDescent="0.25">
      <c r="A1071" s="6" t="str">
        <f>HYPERLINK("proteomic_fractions_linear_files/Yang_linear_img/238814391.jpg", "238814391")</f>
        <v>238814391</v>
      </c>
      <c r="B1071" s="7"/>
      <c r="C1071" s="6" t="str">
        <f>HYPERLINK("http://www.ncbi.nlm.nih.gov/protein/238814391","Cct7")</f>
        <v>Cct7</v>
      </c>
      <c r="D1071" s="8"/>
      <c r="E1071" s="8">
        <v>59521</v>
      </c>
      <c r="F1071" s="8"/>
      <c r="G1071" s="15">
        <v>1.2239360040280374</v>
      </c>
      <c r="H1071" s="15">
        <v>1.2239360040280374</v>
      </c>
      <c r="I1071" s="15">
        <v>0.97955345975989749</v>
      </c>
      <c r="J1071" s="15">
        <v>0.97955345975989749</v>
      </c>
      <c r="K1071" s="15">
        <v>0.97955345975989749</v>
      </c>
      <c r="L1071" s="15">
        <v>0.97955345975989749</v>
      </c>
      <c r="M1071" s="15">
        <v>0.97955345975989749</v>
      </c>
      <c r="N1071" s="15">
        <v>0.97955345975989749</v>
      </c>
      <c r="O1071" s="15">
        <v>0.88534282716668466</v>
      </c>
      <c r="P1071" s="15">
        <v>0.88534282716668466</v>
      </c>
      <c r="Q1071" s="8"/>
      <c r="R1071" s="9" t="s">
        <v>1067</v>
      </c>
    </row>
    <row r="1072" spans="1:18" x14ac:dyDescent="0.25">
      <c r="A1072" s="6" t="str">
        <f>HYPERLINK("proteomic_fractions_linear_files/Yang_linear_img/126723461.jpg", "126723461")</f>
        <v>126723461</v>
      </c>
      <c r="B1072" s="7"/>
      <c r="C1072" s="6" t="str">
        <f>HYPERLINK("http://www.ncbi.nlm.nih.gov/protein/126723461","Cct8")</f>
        <v>Cct8</v>
      </c>
      <c r="D1072" s="8"/>
      <c r="E1072" s="8">
        <v>59425</v>
      </c>
      <c r="F1072" s="8"/>
      <c r="G1072" s="15">
        <v>1.244680682062411</v>
      </c>
      <c r="H1072" s="15">
        <v>1.244680682062411</v>
      </c>
      <c r="I1072" s="15">
        <v>0.99615606077277719</v>
      </c>
      <c r="J1072" s="15">
        <v>0.99615606077277719</v>
      </c>
      <c r="K1072" s="15">
        <v>1.1093773445854971</v>
      </c>
      <c r="L1072" s="15">
        <v>1.1093773445854971</v>
      </c>
      <c r="M1072" s="15">
        <v>0.99615606077277719</v>
      </c>
      <c r="N1072" s="15">
        <v>0.99615606077277719</v>
      </c>
      <c r="O1072" s="15">
        <v>0.90034863779662844</v>
      </c>
      <c r="P1072" s="15">
        <v>0.90034863779662844</v>
      </c>
      <c r="Q1072" s="8"/>
      <c r="R1072" s="9" t="s">
        <v>1068</v>
      </c>
    </row>
    <row r="1073" spans="1:18" x14ac:dyDescent="0.25">
      <c r="A1073" s="6" t="str">
        <f>HYPERLINK("proteomic_fractions_linear_files/Yang_linear_img/29244114.jpg", "29244114")</f>
        <v>29244114</v>
      </c>
      <c r="B1073" s="7"/>
      <c r="C1073" s="6" t="str">
        <f>HYPERLINK("http://www.ncbi.nlm.nih.gov/protein/29244114","Ccz1")</f>
        <v>Ccz1</v>
      </c>
      <c r="D1073" s="8"/>
      <c r="E1073" s="8">
        <v>55374</v>
      </c>
      <c r="F1073" s="8"/>
      <c r="G1073" s="15" t="s">
        <v>10</v>
      </c>
      <c r="H1073" s="15" t="s">
        <v>10</v>
      </c>
      <c r="I1073" s="15">
        <v>0.96582853872729235</v>
      </c>
      <c r="J1073" s="15">
        <v>0.96582853872729235</v>
      </c>
      <c r="K1073" s="15">
        <v>0.96582853872729235</v>
      </c>
      <c r="L1073" s="15">
        <v>0.96582853872729235</v>
      </c>
      <c r="M1073" s="15" t="s">
        <v>10</v>
      </c>
      <c r="N1073" s="15" t="s">
        <v>10</v>
      </c>
      <c r="O1073" s="15" t="s">
        <v>10</v>
      </c>
      <c r="P1073" s="15" t="s">
        <v>10</v>
      </c>
      <c r="Q1073" s="8"/>
      <c r="R1073" s="9" t="s">
        <v>1069</v>
      </c>
    </row>
    <row r="1074" spans="1:18" x14ac:dyDescent="0.25">
      <c r="A1074" s="6" t="str">
        <f>HYPERLINK("proteomic_fractions_linear_files/Yang_linear_img/6753332.jpg", "6753332")</f>
        <v>6753332</v>
      </c>
      <c r="B1074" s="7"/>
      <c r="C1074" s="6" t="str">
        <f>HYPERLINK("http://www.ncbi.nlm.nih.gov/protein/6753332","Cd14")</f>
        <v>Cd14</v>
      </c>
      <c r="D1074" s="8"/>
      <c r="E1074" s="8">
        <v>34679</v>
      </c>
      <c r="F1074" s="8"/>
      <c r="G1074" s="15" t="s">
        <v>10</v>
      </c>
      <c r="H1074" s="15" t="s">
        <v>10</v>
      </c>
      <c r="I1074" s="15" t="s">
        <v>10</v>
      </c>
      <c r="J1074" s="15" t="s">
        <v>10</v>
      </c>
      <c r="K1074" s="15">
        <v>1.37971358812615</v>
      </c>
      <c r="L1074" s="15">
        <v>1.37971358812615</v>
      </c>
      <c r="M1074" s="15" t="s">
        <v>10</v>
      </c>
      <c r="N1074" s="15" t="s">
        <v>10</v>
      </c>
      <c r="O1074" s="15" t="s">
        <v>10</v>
      </c>
      <c r="P1074" s="15" t="s">
        <v>10</v>
      </c>
      <c r="Q1074" s="8"/>
      <c r="R1074" s="9" t="s">
        <v>1070</v>
      </c>
    </row>
    <row r="1075" spans="1:18" x14ac:dyDescent="0.25">
      <c r="A1075" s="6" t="str">
        <f>HYPERLINK("proteomic_fractions_linear_files/Yang_linear_img/161353452.jpg", "161353452")</f>
        <v>161353452</v>
      </c>
      <c r="B1075" s="7"/>
      <c r="C1075" s="6" t="str">
        <f>HYPERLINK("http://www.ncbi.nlm.nih.gov/protein/161353452","Cd151")</f>
        <v>Cd151</v>
      </c>
      <c r="D1075" s="8"/>
      <c r="E1075" s="8">
        <v>28115</v>
      </c>
      <c r="F1075" s="8"/>
      <c r="G1075" s="15">
        <v>4.5972010051827485</v>
      </c>
      <c r="H1075" s="15">
        <v>4.5972010051827485</v>
      </c>
      <c r="I1075" s="15">
        <v>0.93393778983660714</v>
      </c>
      <c r="J1075" s="15">
        <v>0.93393778983660714</v>
      </c>
      <c r="K1075" s="15">
        <v>0.99707897491721642</v>
      </c>
      <c r="L1075" s="15">
        <v>0.99707897491721642</v>
      </c>
      <c r="M1075" s="15">
        <v>0.93393778983660714</v>
      </c>
      <c r="N1075" s="15">
        <v>0.93393778983660714</v>
      </c>
      <c r="O1075" s="15" t="s">
        <v>10</v>
      </c>
      <c r="P1075" s="15" t="s">
        <v>10</v>
      </c>
      <c r="Q1075" s="8"/>
      <c r="R1075" s="9" t="s">
        <v>1071</v>
      </c>
    </row>
    <row r="1076" spans="1:18" x14ac:dyDescent="0.25">
      <c r="A1076" s="6" t="str">
        <f>HYPERLINK("proteomic_fractions_linear_files/Yang_linear_img/125987599.jpg", "125987599")</f>
        <v>125987599</v>
      </c>
      <c r="B1076" s="7"/>
      <c r="C1076" s="6" t="str">
        <f>HYPERLINK("http://www.ncbi.nlm.nih.gov/protein/125987599","Cd2ap")</f>
        <v>Cd2ap</v>
      </c>
      <c r="D1076" s="8"/>
      <c r="E1076" s="8">
        <v>70319</v>
      </c>
      <c r="F1076" s="8"/>
      <c r="G1076" s="15" t="s">
        <v>10</v>
      </c>
      <c r="H1076" s="15" t="s">
        <v>10</v>
      </c>
      <c r="I1076" s="15">
        <v>1.1871236924734836</v>
      </c>
      <c r="J1076" s="15">
        <v>1.1871236924734836</v>
      </c>
      <c r="K1076" s="15">
        <v>1.3566854454654931</v>
      </c>
      <c r="L1076" s="15">
        <v>1.3566854454654931</v>
      </c>
      <c r="M1076" s="15">
        <v>0.35078315161824164</v>
      </c>
      <c r="N1076" s="15">
        <v>0.35078315161824164</v>
      </c>
      <c r="O1076" s="15">
        <v>1.1871236924734836</v>
      </c>
      <c r="P1076" s="15">
        <v>1.1871236924734836</v>
      </c>
      <c r="Q1076" s="8"/>
      <c r="R1076" s="9" t="s">
        <v>1072</v>
      </c>
    </row>
    <row r="1077" spans="1:18" x14ac:dyDescent="0.25">
      <c r="A1077" s="6" t="str">
        <f>HYPERLINK("proteomic_fractions_linear_files/Yang_linear_img/17505208.jpg", "17505208")</f>
        <v>17505208</v>
      </c>
      <c r="B1077" s="7"/>
      <c r="C1077" s="6" t="str">
        <f>HYPERLINK("http://www.ncbi.nlm.nih.gov/protein/17505208","Cd2bp2")</f>
        <v>Cd2bp2</v>
      </c>
      <c r="D1077" s="8"/>
      <c r="E1077" s="8">
        <v>37563</v>
      </c>
      <c r="F1077" s="8"/>
      <c r="G1077" s="15" t="s">
        <v>10</v>
      </c>
      <c r="H1077" s="15" t="s">
        <v>10</v>
      </c>
      <c r="I1077" s="15" t="s">
        <v>10</v>
      </c>
      <c r="J1077" s="15" t="s">
        <v>10</v>
      </c>
      <c r="K1077" s="15">
        <v>1.5466633575156277</v>
      </c>
      <c r="L1077" s="15">
        <v>1.5466633575156277</v>
      </c>
      <c r="M1077" s="15">
        <v>0.54203792596463873</v>
      </c>
      <c r="N1077" s="15">
        <v>0.54203792596463873</v>
      </c>
      <c r="O1077" s="15" t="s">
        <v>10</v>
      </c>
      <c r="P1077" s="15" t="s">
        <v>10</v>
      </c>
      <c r="Q1077" s="8"/>
      <c r="R1077" s="9" t="s">
        <v>1073</v>
      </c>
    </row>
    <row r="1078" spans="1:18" x14ac:dyDescent="0.25">
      <c r="A1078" s="6" t="str">
        <f>HYPERLINK("proteomic_fractions_linear_files/Yang_linear_img/295293144.jpg", "295293144")</f>
        <v>295293144</v>
      </c>
      <c r="B1078" s="7"/>
      <c r="C1078" s="6" t="str">
        <f>HYPERLINK("http://www.ncbi.nlm.nih.gov/protein/295293144","Cd44")</f>
        <v>Cd44</v>
      </c>
      <c r="D1078" s="8"/>
      <c r="E1078" s="8">
        <v>69686</v>
      </c>
      <c r="F1078" s="8"/>
      <c r="G1078" s="15" t="s">
        <v>10</v>
      </c>
      <c r="H1078" s="15" t="s">
        <v>10</v>
      </c>
      <c r="I1078" s="15">
        <v>5.8434793962777114</v>
      </c>
      <c r="J1078" s="15">
        <v>5.8434793962777114</v>
      </c>
      <c r="K1078" s="15">
        <v>5.8434793962777114</v>
      </c>
      <c r="L1078" s="15">
        <v>5.8434793962777114</v>
      </c>
      <c r="M1078" s="15" t="s">
        <v>10</v>
      </c>
      <c r="N1078" s="15" t="s">
        <v>10</v>
      </c>
      <c r="O1078" s="15" t="s">
        <v>10</v>
      </c>
      <c r="P1078" s="15" t="s">
        <v>10</v>
      </c>
      <c r="Q1078" s="8"/>
      <c r="R1078" s="9" t="s">
        <v>1074</v>
      </c>
    </row>
    <row r="1079" spans="1:18" x14ac:dyDescent="0.25">
      <c r="A1079" s="6" t="str">
        <f>HYPERLINK("proteomic_fractions_linear_files/Yang_linear_img/295293146.jpg", "295293146")</f>
        <v>295293146</v>
      </c>
      <c r="B1079" s="7"/>
      <c r="C1079" s="6" t="str">
        <f>HYPERLINK("http://www.ncbi.nlm.nih.gov/protein/295293146","Cd44")</f>
        <v>Cd44</v>
      </c>
      <c r="D1079" s="8"/>
      <c r="E1079" s="8">
        <v>51860</v>
      </c>
      <c r="F1079" s="8"/>
      <c r="G1079" s="15" t="s">
        <v>10</v>
      </c>
      <c r="H1079" s="15" t="s">
        <v>10</v>
      </c>
      <c r="I1079" s="15">
        <v>7.8662222642199957</v>
      </c>
      <c r="J1079" s="15">
        <v>7.8662222642199957</v>
      </c>
      <c r="K1079" s="15">
        <v>7.8662222642199957</v>
      </c>
      <c r="L1079" s="15">
        <v>7.8662222642199957</v>
      </c>
      <c r="M1079" s="15" t="s">
        <v>10</v>
      </c>
      <c r="N1079" s="15" t="s">
        <v>10</v>
      </c>
      <c r="O1079" s="15" t="s">
        <v>10</v>
      </c>
      <c r="P1079" s="15" t="s">
        <v>10</v>
      </c>
      <c r="Q1079" s="8"/>
      <c r="R1079" s="9" t="s">
        <v>1075</v>
      </c>
    </row>
    <row r="1080" spans="1:18" x14ac:dyDescent="0.25">
      <c r="A1080" s="6" t="str">
        <f>HYPERLINK("proteomic_fractions_linear_files/Yang_linear_img/295293148.jpg", "295293148")</f>
        <v>295293148</v>
      </c>
      <c r="B1080" s="7"/>
      <c r="C1080" s="6" t="str">
        <f>HYPERLINK("http://www.ncbi.nlm.nih.gov/protein/295293148","Cd44")</f>
        <v>Cd44</v>
      </c>
      <c r="D1080" s="8"/>
      <c r="E1080" s="8">
        <v>48306</v>
      </c>
      <c r="F1080" s="8"/>
      <c r="G1080" s="15" t="s">
        <v>10</v>
      </c>
      <c r="H1080" s="15" t="s">
        <v>10</v>
      </c>
      <c r="I1080" s="15">
        <v>8.521740786238329</v>
      </c>
      <c r="J1080" s="15">
        <v>8.521740786238329</v>
      </c>
      <c r="K1080" s="15">
        <v>8.521740786238329</v>
      </c>
      <c r="L1080" s="15">
        <v>8.521740786238329</v>
      </c>
      <c r="M1080" s="15" t="s">
        <v>10</v>
      </c>
      <c r="N1080" s="15" t="s">
        <v>10</v>
      </c>
      <c r="O1080" s="15" t="s">
        <v>10</v>
      </c>
      <c r="P1080" s="15" t="s">
        <v>10</v>
      </c>
      <c r="Q1080" s="8"/>
      <c r="R1080" s="9" t="s">
        <v>1076</v>
      </c>
    </row>
    <row r="1081" spans="1:18" x14ac:dyDescent="0.25">
      <c r="A1081" s="6" t="str">
        <f>HYPERLINK("proteomic_fractions_linear_files/Yang_linear_img/85540466.jpg", "85540466")</f>
        <v>85540466</v>
      </c>
      <c r="B1081" s="7"/>
      <c r="C1081" s="6" t="str">
        <f>HYPERLINK("http://www.ncbi.nlm.nih.gov/protein/85540466","Cd44")</f>
        <v>Cd44</v>
      </c>
      <c r="D1081" s="8"/>
      <c r="E1081" s="8">
        <v>60863</v>
      </c>
      <c r="F1081" s="8"/>
      <c r="G1081" s="15" t="s">
        <v>10</v>
      </c>
      <c r="H1081" s="15" t="s">
        <v>10</v>
      </c>
      <c r="I1081" s="15">
        <v>6.7056320940891769</v>
      </c>
      <c r="J1081" s="15">
        <v>6.7056320940891769</v>
      </c>
      <c r="K1081" s="15">
        <v>6.7056320940891769</v>
      </c>
      <c r="L1081" s="15">
        <v>6.7056320940891769</v>
      </c>
      <c r="M1081" s="15" t="s">
        <v>10</v>
      </c>
      <c r="N1081" s="15" t="s">
        <v>10</v>
      </c>
      <c r="O1081" s="15" t="s">
        <v>10</v>
      </c>
      <c r="P1081" s="15" t="s">
        <v>10</v>
      </c>
      <c r="Q1081" s="8"/>
      <c r="R1081" s="9" t="s">
        <v>1077</v>
      </c>
    </row>
    <row r="1082" spans="1:18" x14ac:dyDescent="0.25">
      <c r="A1082" s="6" t="str">
        <f>HYPERLINK("proteomic_fractions_linear_files/Yang_linear_img/85540468.jpg", "85540468")</f>
        <v>85540468</v>
      </c>
      <c r="B1082" s="7"/>
      <c r="C1082" s="6" t="str">
        <f>HYPERLINK("http://www.ncbi.nlm.nih.gov/protein/85540468","Cd44")</f>
        <v>Cd44</v>
      </c>
      <c r="D1082" s="8"/>
      <c r="E1082" s="8">
        <v>37861</v>
      </c>
      <c r="F1082" s="8"/>
      <c r="G1082" s="15" t="s">
        <v>10</v>
      </c>
      <c r="H1082" s="15" t="s">
        <v>10</v>
      </c>
      <c r="I1082" s="15">
        <v>10.764304151037889</v>
      </c>
      <c r="J1082" s="15">
        <v>10.764304151037889</v>
      </c>
      <c r="K1082" s="15">
        <v>10.764304151037889</v>
      </c>
      <c r="L1082" s="15">
        <v>10.764304151037889</v>
      </c>
      <c r="M1082" s="15" t="s">
        <v>10</v>
      </c>
      <c r="N1082" s="15" t="s">
        <v>10</v>
      </c>
      <c r="O1082" s="15" t="s">
        <v>10</v>
      </c>
      <c r="P1082" s="15" t="s">
        <v>10</v>
      </c>
      <c r="Q1082" s="8"/>
      <c r="R1082" s="9" t="s">
        <v>1078</v>
      </c>
    </row>
    <row r="1083" spans="1:18" x14ac:dyDescent="0.25">
      <c r="A1083" s="6" t="str">
        <f>HYPERLINK("proteomic_fractions_linear_files/Yang_linear_img/85540471.jpg", "85540471")</f>
        <v>85540471</v>
      </c>
      <c r="B1083" s="7"/>
      <c r="C1083" s="6" t="str">
        <f>HYPERLINK("http://www.ncbi.nlm.nih.gov/protein/85540471","Cd44")</f>
        <v>Cd44</v>
      </c>
      <c r="D1083" s="8"/>
      <c r="E1083" s="8">
        <v>82937</v>
      </c>
      <c r="F1083" s="8"/>
      <c r="G1083" s="15" t="s">
        <v>10</v>
      </c>
      <c r="H1083" s="15" t="s">
        <v>10</v>
      </c>
      <c r="I1083" s="15">
        <v>4.9282356354149375</v>
      </c>
      <c r="J1083" s="15">
        <v>4.9282356354149375</v>
      </c>
      <c r="K1083" s="15">
        <v>4.9282356354149375</v>
      </c>
      <c r="L1083" s="15">
        <v>4.9282356354149375</v>
      </c>
      <c r="M1083" s="15" t="s">
        <v>10</v>
      </c>
      <c r="N1083" s="15" t="s">
        <v>10</v>
      </c>
      <c r="O1083" s="15" t="s">
        <v>10</v>
      </c>
      <c r="P1083" s="15" t="s">
        <v>10</v>
      </c>
      <c r="Q1083" s="8"/>
      <c r="R1083" s="9" t="s">
        <v>1079</v>
      </c>
    </row>
    <row r="1084" spans="1:18" x14ac:dyDescent="0.25">
      <c r="A1084" s="6" t="str">
        <f>HYPERLINK("proteomic_fractions_linear_files/Yang_linear_img/6754382.jpg", "6754382")</f>
        <v>6754382</v>
      </c>
      <c r="B1084" s="7"/>
      <c r="C1084" s="6" t="str">
        <f>HYPERLINK("http://www.ncbi.nlm.nih.gov/protein/6754382","Cd47")</f>
        <v>Cd47</v>
      </c>
      <c r="D1084" s="8"/>
      <c r="E1084" s="8">
        <v>33568</v>
      </c>
      <c r="F1084" s="8"/>
      <c r="G1084" s="15" t="s">
        <v>10</v>
      </c>
      <c r="H1084" s="15" t="s">
        <v>10</v>
      </c>
      <c r="I1084" s="15">
        <v>0.49166101531197126</v>
      </c>
      <c r="J1084" s="15">
        <v>1.2978114484401608</v>
      </c>
      <c r="K1084" s="15">
        <v>1.2978114484401608</v>
      </c>
      <c r="L1084" s="15">
        <v>1.1913917118594926</v>
      </c>
      <c r="M1084" s="15">
        <v>0.51676293427526376</v>
      </c>
      <c r="N1084" s="15">
        <v>0.51676293427526376</v>
      </c>
      <c r="O1084" s="15" t="s">
        <v>10</v>
      </c>
      <c r="P1084" s="15" t="s">
        <v>10</v>
      </c>
      <c r="Q1084" s="8"/>
      <c r="R1084" s="9" t="s">
        <v>1080</v>
      </c>
    </row>
    <row r="1085" spans="1:18" x14ac:dyDescent="0.25">
      <c r="A1085" s="6" t="str">
        <f>HYPERLINK("proteomic_fractions_linear_files/Yang_linear_img/6671714.jpg", "6671714")</f>
        <v>6671714</v>
      </c>
      <c r="B1085" s="7"/>
      <c r="C1085" s="6" t="str">
        <f>HYPERLINK("http://www.ncbi.nlm.nih.gov/protein/6671714","Cd59a")</f>
        <v>Cd59a</v>
      </c>
      <c r="D1085" s="8"/>
      <c r="E1085" s="8">
        <v>8413</v>
      </c>
      <c r="F1085" s="8"/>
      <c r="G1085" s="15" t="s">
        <v>10</v>
      </c>
      <c r="H1085" s="15" t="s">
        <v>10</v>
      </c>
      <c r="I1085" s="15">
        <v>2.4376437285044092</v>
      </c>
      <c r="J1085" s="15">
        <v>2.4376437285044092</v>
      </c>
      <c r="K1085" s="15" t="s">
        <v>10</v>
      </c>
      <c r="L1085" s="15" t="s">
        <v>10</v>
      </c>
      <c r="M1085" s="15" t="s">
        <v>10</v>
      </c>
      <c r="N1085" s="15" t="s">
        <v>10</v>
      </c>
      <c r="O1085" s="15" t="s">
        <v>10</v>
      </c>
      <c r="P1085" s="15" t="s">
        <v>10</v>
      </c>
      <c r="Q1085" s="8"/>
      <c r="R1085" s="9" t="s">
        <v>1081</v>
      </c>
    </row>
    <row r="1086" spans="1:18" x14ac:dyDescent="0.25">
      <c r="A1086" s="6" t="str">
        <f>HYPERLINK("proteomic_fractions_linear_files/Yang_linear_img/6680888.jpg", "6680888")</f>
        <v>6680888</v>
      </c>
      <c r="B1086" s="7"/>
      <c r="C1086" s="6" t="str">
        <f>HYPERLINK("http://www.ncbi.nlm.nih.gov/protein/6680888","Cd63")</f>
        <v>Cd63</v>
      </c>
      <c r="D1086" s="8"/>
      <c r="E1086" s="8">
        <v>25636</v>
      </c>
      <c r="F1086" s="8"/>
      <c r="G1086" s="15">
        <v>3.1961022489670716</v>
      </c>
      <c r="H1086" s="15">
        <v>3.1961022489670716</v>
      </c>
      <c r="I1086" s="15">
        <v>2.5174332050209358</v>
      </c>
      <c r="J1086" s="15">
        <v>2.5174332050209358</v>
      </c>
      <c r="K1086" s="15">
        <v>2.8244677016031634</v>
      </c>
      <c r="L1086" s="15">
        <v>2.8244677016031634</v>
      </c>
      <c r="M1086" s="15">
        <v>2.8244677016031634</v>
      </c>
      <c r="N1086" s="15">
        <v>2.8244677016031634</v>
      </c>
      <c r="O1086" s="15" t="s">
        <v>10</v>
      </c>
      <c r="P1086" s="15" t="s">
        <v>10</v>
      </c>
      <c r="Q1086" s="8"/>
      <c r="R1086" s="9" t="s">
        <v>1082</v>
      </c>
    </row>
    <row r="1087" spans="1:18" x14ac:dyDescent="0.25">
      <c r="A1087" s="6" t="str">
        <f>HYPERLINK("proteomic_fractions_linear_files/Yang_linear_img/19526794.jpg", "19526794")</f>
        <v>19526794</v>
      </c>
      <c r="B1087" s="7"/>
      <c r="C1087" s="6" t="str">
        <f>HYPERLINK("http://www.ncbi.nlm.nih.gov/protein/19526794","Cd81")</f>
        <v>Cd81</v>
      </c>
      <c r="D1087" s="8"/>
      <c r="E1087" s="8">
        <v>25684</v>
      </c>
      <c r="F1087" s="8"/>
      <c r="G1087" s="15" t="s">
        <v>10</v>
      </c>
      <c r="H1087" s="15" t="s">
        <v>10</v>
      </c>
      <c r="I1087" s="15">
        <v>0.7113576601755417</v>
      </c>
      <c r="J1087" s="15">
        <v>0.7113576601755417</v>
      </c>
      <c r="K1087" s="15">
        <v>0.79220927640985661</v>
      </c>
      <c r="L1087" s="15">
        <v>0.79220927640985661</v>
      </c>
      <c r="M1087" s="15">
        <v>0.75004422415520289</v>
      </c>
      <c r="N1087" s="15">
        <v>0.75004422415520289</v>
      </c>
      <c r="O1087" s="15" t="s">
        <v>10</v>
      </c>
      <c r="P1087" s="15" t="s">
        <v>10</v>
      </c>
      <c r="Q1087" s="8"/>
      <c r="R1087" s="9" t="s">
        <v>1083</v>
      </c>
    </row>
    <row r="1088" spans="1:18" x14ac:dyDescent="0.25">
      <c r="A1088" s="6" t="str">
        <f>HYPERLINK("proteomic_fractions_linear_files/Yang_linear_img/6671718.jpg", "6671718")</f>
        <v>6671718</v>
      </c>
      <c r="B1088" s="7"/>
      <c r="C1088" s="6" t="str">
        <f>HYPERLINK("http://www.ncbi.nlm.nih.gov/protein/6671718","Cd82")</f>
        <v>Cd82</v>
      </c>
      <c r="D1088" s="8"/>
      <c r="E1088" s="8">
        <v>29498</v>
      </c>
      <c r="F1088" s="8"/>
      <c r="G1088" s="15">
        <v>3.2747579718132589</v>
      </c>
      <c r="H1088" s="15">
        <v>3.2747579718132589</v>
      </c>
      <c r="I1088" s="15">
        <v>2.5322813876442152</v>
      </c>
      <c r="J1088" s="15">
        <v>2.5322813876442152</v>
      </c>
      <c r="K1088" s="15">
        <v>3.2747579718132589</v>
      </c>
      <c r="L1088" s="15">
        <v>3.2747579718132589</v>
      </c>
      <c r="M1088" s="15">
        <v>2.865470981832547</v>
      </c>
      <c r="N1088" s="15">
        <v>2.865470981832547</v>
      </c>
      <c r="O1088" s="15" t="s">
        <v>10</v>
      </c>
      <c r="P1088" s="15" t="s">
        <v>10</v>
      </c>
      <c r="Q1088" s="8"/>
      <c r="R1088" s="9" t="s">
        <v>1084</v>
      </c>
    </row>
    <row r="1089" spans="1:18" x14ac:dyDescent="0.25">
      <c r="A1089" s="6" t="str">
        <f>HYPERLINK("proteomic_fractions_linear_files/Yang_linear_img/6680894.jpg", "6680894")</f>
        <v>6680894</v>
      </c>
      <c r="B1089" s="7"/>
      <c r="C1089" s="6" t="str">
        <f>HYPERLINK("http://www.ncbi.nlm.nih.gov/protein/6680894","Cd9")</f>
        <v>Cd9</v>
      </c>
      <c r="D1089" s="8"/>
      <c r="E1089" s="8">
        <v>25127</v>
      </c>
      <c r="F1089" s="8"/>
      <c r="G1089" s="15" t="s">
        <v>10</v>
      </c>
      <c r="H1089" s="15" t="s">
        <v>10</v>
      </c>
      <c r="I1089" s="15" t="s">
        <v>10</v>
      </c>
      <c r="J1089" s="15" t="s">
        <v>10</v>
      </c>
      <c r="K1089" s="15">
        <v>0.82389764746625094</v>
      </c>
      <c r="L1089" s="15">
        <v>0.82389764746625094</v>
      </c>
      <c r="M1089" s="15">
        <v>0.82389764746625094</v>
      </c>
      <c r="N1089" s="15">
        <v>0.82389764746625094</v>
      </c>
      <c r="O1089" s="15" t="s">
        <v>10</v>
      </c>
      <c r="P1089" s="15" t="s">
        <v>10</v>
      </c>
      <c r="Q1089" s="8"/>
      <c r="R1089" s="9" t="s">
        <v>1085</v>
      </c>
    </row>
    <row r="1090" spans="1:18" x14ac:dyDescent="0.25">
      <c r="A1090" s="6" t="str">
        <f>HYPERLINK("proteomic_fractions_linear_files/Yang_linear_img/58037289.jpg", "58037289")</f>
        <v>58037289</v>
      </c>
      <c r="B1090" s="7"/>
      <c r="C1090" s="6" t="str">
        <f>HYPERLINK("http://www.ncbi.nlm.nih.gov/protein/58037289","Cda")</f>
        <v>Cda</v>
      </c>
      <c r="D1090" s="8"/>
      <c r="E1090" s="8">
        <v>16000</v>
      </c>
      <c r="F1090" s="8"/>
      <c r="G1090" s="15" t="s">
        <v>10</v>
      </c>
      <c r="H1090" s="15" t="s">
        <v>10</v>
      </c>
      <c r="I1090" s="15">
        <v>0.99546511144886096</v>
      </c>
      <c r="J1090" s="15">
        <v>0.99546511144886096</v>
      </c>
      <c r="K1090" s="15" t="s">
        <v>10</v>
      </c>
      <c r="L1090" s="15" t="s">
        <v>10</v>
      </c>
      <c r="M1090" s="15">
        <v>0.99546511144886096</v>
      </c>
      <c r="N1090" s="15">
        <v>0.99546511144886096</v>
      </c>
      <c r="O1090" s="15">
        <v>0.94977114336339286</v>
      </c>
      <c r="P1090" s="15">
        <v>0.94977114336339286</v>
      </c>
      <c r="Q1090" s="8"/>
      <c r="R1090" s="9" t="s">
        <v>1086</v>
      </c>
    </row>
    <row r="1091" spans="1:18" x14ac:dyDescent="0.25">
      <c r="A1091" s="6" t="str">
        <f>HYPERLINK("proteomic_fractions_linear_files/Yang_linear_img/19527052.jpg", "19527052")</f>
        <v>19527052</v>
      </c>
      <c r="B1091" s="7"/>
      <c r="C1091" s="6" t="str">
        <f>HYPERLINK("http://www.ncbi.nlm.nih.gov/protein/19527052","Cdc123")</f>
        <v>Cdc123</v>
      </c>
      <c r="D1091" s="8"/>
      <c r="E1091" s="8">
        <v>38685</v>
      </c>
      <c r="F1091" s="8"/>
      <c r="G1091" s="15" t="s">
        <v>10</v>
      </c>
      <c r="H1091" s="15" t="s">
        <v>10</v>
      </c>
      <c r="I1091" s="15" t="s">
        <v>10</v>
      </c>
      <c r="J1091" s="15" t="s">
        <v>10</v>
      </c>
      <c r="K1091" s="15" t="s">
        <v>10</v>
      </c>
      <c r="L1091" s="15" t="s">
        <v>10</v>
      </c>
      <c r="M1091" s="15" t="s">
        <v>10</v>
      </c>
      <c r="N1091" s="15" t="s">
        <v>10</v>
      </c>
      <c r="O1091" s="15">
        <v>1.1314253653068069</v>
      </c>
      <c r="P1091" s="15">
        <v>1.1314253653068069</v>
      </c>
      <c r="Q1091" s="8"/>
      <c r="R1091" s="9" t="s">
        <v>1087</v>
      </c>
    </row>
    <row r="1092" spans="1:18" x14ac:dyDescent="0.25">
      <c r="A1092" s="6" t="str">
        <f>HYPERLINK("proteomic_fractions_linear_files/Yang_linear_img/68448515.jpg", "68448515")</f>
        <v>68448515</v>
      </c>
      <c r="B1092" s="7"/>
      <c r="C1092" s="6" t="str">
        <f>HYPERLINK("http://www.ncbi.nlm.nih.gov/protein/68448515","Cdc16")</f>
        <v>Cdc16</v>
      </c>
      <c r="D1092" s="8"/>
      <c r="E1092" s="8">
        <v>71329</v>
      </c>
      <c r="F1092" s="8"/>
      <c r="G1092" s="15" t="s">
        <v>10</v>
      </c>
      <c r="H1092" s="15" t="s">
        <v>10</v>
      </c>
      <c r="I1092" s="15" t="s">
        <v>10</v>
      </c>
      <c r="J1092" s="15" t="s">
        <v>10</v>
      </c>
      <c r="K1092" s="15" t="s">
        <v>10</v>
      </c>
      <c r="L1092" s="15" t="s">
        <v>10</v>
      </c>
      <c r="M1092" s="15">
        <v>1.0343121160800317</v>
      </c>
      <c r="N1092" s="15">
        <v>1.0343121160800317</v>
      </c>
      <c r="O1092" s="15">
        <v>1.0343121160800317</v>
      </c>
      <c r="P1092" s="15">
        <v>1.0343121160800317</v>
      </c>
      <c r="Q1092" s="8"/>
      <c r="R1092" s="9" t="s">
        <v>1088</v>
      </c>
    </row>
    <row r="1093" spans="1:18" x14ac:dyDescent="0.25">
      <c r="A1093" s="6" t="str">
        <f>HYPERLINK("proteomic_fractions_linear_files/Yang_linear_img/30387632.jpg", "30387632")</f>
        <v>30387632</v>
      </c>
      <c r="B1093" s="7"/>
      <c r="C1093" s="6" t="str">
        <f>HYPERLINK("http://www.ncbi.nlm.nih.gov/protein/30387632","Cdc23")</f>
        <v>Cdc23</v>
      </c>
      <c r="D1093" s="8"/>
      <c r="E1093" s="8">
        <v>68434</v>
      </c>
      <c r="F1093" s="8"/>
      <c r="G1093" s="15" t="s">
        <v>10</v>
      </c>
      <c r="H1093" s="15" t="s">
        <v>10</v>
      </c>
      <c r="I1093" s="15" t="s">
        <v>10</v>
      </c>
      <c r="J1093" s="15" t="s">
        <v>10</v>
      </c>
      <c r="K1093" s="15">
        <v>0.96254799015506365</v>
      </c>
      <c r="L1093" s="15">
        <v>0.96254799015506365</v>
      </c>
      <c r="M1093" s="15">
        <v>0.96254799015506365</v>
      </c>
      <c r="N1093" s="15">
        <v>0.96254799015506365</v>
      </c>
      <c r="O1093" s="15" t="s">
        <v>10</v>
      </c>
      <c r="P1093" s="15" t="s">
        <v>10</v>
      </c>
      <c r="Q1093" s="8"/>
      <c r="R1093" s="9" t="s">
        <v>1089</v>
      </c>
    </row>
    <row r="1094" spans="1:18" x14ac:dyDescent="0.25">
      <c r="A1094" s="6" t="str">
        <f>HYPERLINK("proteomic_fractions_linear_files/Yang_linear_img/12963487.jpg", "12963487")</f>
        <v>12963487</v>
      </c>
      <c r="B1094" s="7"/>
      <c r="C1094" s="6" t="str">
        <f>HYPERLINK("http://www.ncbi.nlm.nih.gov/protein/12963487","Cdc25b")</f>
        <v>Cdc25b</v>
      </c>
      <c r="D1094" s="8"/>
      <c r="E1094" s="8">
        <v>65359</v>
      </c>
      <c r="F1094" s="8"/>
      <c r="G1094" s="15" t="s">
        <v>10</v>
      </c>
      <c r="H1094" s="15" t="s">
        <v>10</v>
      </c>
      <c r="I1094" s="15">
        <v>0.31688371056394266</v>
      </c>
      <c r="J1094" s="15">
        <v>0.31688371056394266</v>
      </c>
      <c r="K1094" s="15" t="s">
        <v>10</v>
      </c>
      <c r="L1094" s="15" t="s">
        <v>10</v>
      </c>
      <c r="M1094" s="15" t="s">
        <v>10</v>
      </c>
      <c r="N1094" s="15" t="s">
        <v>10</v>
      </c>
      <c r="O1094" s="15">
        <v>9.1306585487585252</v>
      </c>
      <c r="P1094" s="15">
        <v>9.1306585487585252</v>
      </c>
      <c r="Q1094" s="8"/>
      <c r="R1094" s="9" t="s">
        <v>1090</v>
      </c>
    </row>
    <row r="1095" spans="1:18" x14ac:dyDescent="0.25">
      <c r="A1095" s="6" t="str">
        <f>HYPERLINK("proteomic_fractions_linear_files/Yang_linear_img/161621261.jpg", "161621261")</f>
        <v>161621261</v>
      </c>
      <c r="B1095" s="7"/>
      <c r="C1095" s="6" t="str">
        <f>HYPERLINK("http://www.ncbi.nlm.nih.gov/protein/161621261","Cdc25b")</f>
        <v>Cdc25b</v>
      </c>
      <c r="D1095" s="8"/>
      <c r="E1095" s="8">
        <v>62796</v>
      </c>
      <c r="F1095" s="8"/>
      <c r="G1095" s="15" t="s">
        <v>10</v>
      </c>
      <c r="H1095" s="15" t="s">
        <v>10</v>
      </c>
      <c r="I1095" s="15">
        <v>0.3269435108993059</v>
      </c>
      <c r="J1095" s="15">
        <v>0.3269435108993059</v>
      </c>
      <c r="K1095" s="15" t="s">
        <v>10</v>
      </c>
      <c r="L1095" s="15" t="s">
        <v>10</v>
      </c>
      <c r="M1095" s="15" t="s">
        <v>10</v>
      </c>
      <c r="N1095" s="15" t="s">
        <v>10</v>
      </c>
      <c r="O1095" s="15">
        <v>9.4205207249095899</v>
      </c>
      <c r="P1095" s="15">
        <v>9.4205207249095899</v>
      </c>
      <c r="Q1095" s="8"/>
      <c r="R1095" s="9" t="s">
        <v>1091</v>
      </c>
    </row>
    <row r="1096" spans="1:18" x14ac:dyDescent="0.25">
      <c r="A1096" s="6" t="str">
        <f>HYPERLINK("proteomic_fractions_linear_files/Yang_linear_img/21314828.jpg", "21314828")</f>
        <v>21314828</v>
      </c>
      <c r="B1096" s="7"/>
      <c r="C1096" s="6" t="str">
        <f>HYPERLINK("http://www.ncbi.nlm.nih.gov/protein/21314828","Cdc26")</f>
        <v>Cdc26</v>
      </c>
      <c r="D1096" s="8"/>
      <c r="E1096" s="8">
        <v>9630</v>
      </c>
      <c r="F1096" s="8"/>
      <c r="G1096" s="15" t="s">
        <v>10</v>
      </c>
      <c r="H1096" s="15" t="s">
        <v>10</v>
      </c>
      <c r="I1096" s="15" t="s">
        <v>10</v>
      </c>
      <c r="J1096" s="15" t="s">
        <v>10</v>
      </c>
      <c r="K1096" s="15" t="s">
        <v>10</v>
      </c>
      <c r="L1096" s="15" t="s">
        <v>10</v>
      </c>
      <c r="M1096" s="15">
        <v>1.3297064023001535</v>
      </c>
      <c r="N1096" s="15">
        <v>1.3297064023001535</v>
      </c>
      <c r="O1096" s="15">
        <v>1.3297064023001535</v>
      </c>
      <c r="P1096" s="15">
        <v>1.3297064023001535</v>
      </c>
      <c r="Q1096" s="8"/>
      <c r="R1096" s="9" t="s">
        <v>1092</v>
      </c>
    </row>
    <row r="1097" spans="1:18" x14ac:dyDescent="0.25">
      <c r="A1097" s="6" t="str">
        <f>HYPERLINK("proteomic_fractions_linear_files/Yang_linear_img/29243988.jpg", "29243988")</f>
        <v>29243988</v>
      </c>
      <c r="B1097" s="7"/>
      <c r="C1097" s="6" t="str">
        <f>HYPERLINK("http://www.ncbi.nlm.nih.gov/protein/29243988","Cdc34")</f>
        <v>Cdc34</v>
      </c>
      <c r="D1097" s="8"/>
      <c r="E1097" s="8">
        <v>26491</v>
      </c>
      <c r="F1097" s="8"/>
      <c r="G1097" s="15" t="s">
        <v>10</v>
      </c>
      <c r="H1097" s="15" t="s">
        <v>10</v>
      </c>
      <c r="I1097" s="15" t="s">
        <v>10</v>
      </c>
      <c r="J1097" s="15" t="s">
        <v>10</v>
      </c>
      <c r="K1097" s="15" t="s">
        <v>10</v>
      </c>
      <c r="L1097" s="15" t="s">
        <v>10</v>
      </c>
      <c r="M1097" s="15" t="s">
        <v>10</v>
      </c>
      <c r="N1097" s="15" t="s">
        <v>10</v>
      </c>
      <c r="O1097" s="15">
        <v>1.0057791582855768</v>
      </c>
      <c r="P1097" s="15">
        <v>1.0057791582855768</v>
      </c>
      <c r="Q1097" s="8"/>
      <c r="R1097" s="9" t="s">
        <v>1093</v>
      </c>
    </row>
    <row r="1098" spans="1:18" x14ac:dyDescent="0.25">
      <c r="A1098" s="6" t="str">
        <f>HYPERLINK("proteomic_fractions_linear_files/Yang_linear_img/7949018.jpg", "7949018")</f>
        <v>7949018</v>
      </c>
      <c r="B1098" s="7"/>
      <c r="C1098" s="6" t="str">
        <f>HYPERLINK("http://www.ncbi.nlm.nih.gov/protein/7949018","Cdc37")</f>
        <v>Cdc37</v>
      </c>
      <c r="D1098" s="8"/>
      <c r="E1098" s="8">
        <v>44462</v>
      </c>
      <c r="F1098" s="8"/>
      <c r="G1098" s="15">
        <v>1.3357547178544058</v>
      </c>
      <c r="H1098" s="15">
        <v>1.3357547178544058</v>
      </c>
      <c r="I1098" s="15">
        <v>1.0974994451003466</v>
      </c>
      <c r="J1098" s="15">
        <v>1.0974994451003466</v>
      </c>
      <c r="K1098" s="15">
        <v>1.0974994451003466</v>
      </c>
      <c r="L1098" s="15">
        <v>1.0974994451003466</v>
      </c>
      <c r="M1098" s="15">
        <v>1.0974994451003466</v>
      </c>
      <c r="N1098" s="15">
        <v>1.0974994451003466</v>
      </c>
      <c r="O1098" s="15">
        <v>1.0028543010673969</v>
      </c>
      <c r="P1098" s="15">
        <v>1.0028543010673969</v>
      </c>
      <c r="Q1098" s="8"/>
      <c r="R1098" s="9" t="s">
        <v>1094</v>
      </c>
    </row>
    <row r="1099" spans="1:18" x14ac:dyDescent="0.25">
      <c r="A1099" s="6" t="str">
        <f>HYPERLINK("proteomic_fractions_linear_files/Yang_linear_img/198278501.jpg", "198278501")</f>
        <v>198278501</v>
      </c>
      <c r="B1099" s="7"/>
      <c r="C1099" s="6" t="str">
        <f>HYPERLINK("http://www.ncbi.nlm.nih.gov/protein/198278501","Cdc40")</f>
        <v>Cdc40</v>
      </c>
      <c r="D1099" s="8"/>
      <c r="E1099" s="8">
        <v>65330</v>
      </c>
      <c r="F1099" s="8"/>
      <c r="G1099" s="15" t="s">
        <v>10</v>
      </c>
      <c r="H1099" s="15" t="s">
        <v>10</v>
      </c>
      <c r="I1099" s="15" t="s">
        <v>10</v>
      </c>
      <c r="J1099" s="15" t="s">
        <v>10</v>
      </c>
      <c r="K1099" s="15">
        <v>1.2784408995868286</v>
      </c>
      <c r="L1099" s="15">
        <v>1.2784408995868286</v>
      </c>
      <c r="M1099" s="15" t="s">
        <v>10</v>
      </c>
      <c r="N1099" s="15" t="s">
        <v>10</v>
      </c>
      <c r="O1099" s="15" t="s">
        <v>10</v>
      </c>
      <c r="P1099" s="15" t="s">
        <v>10</v>
      </c>
      <c r="Q1099" s="8"/>
      <c r="R1099" s="9" t="s">
        <v>1095</v>
      </c>
    </row>
    <row r="1100" spans="1:18" x14ac:dyDescent="0.25">
      <c r="A1100" s="6" t="str">
        <f>HYPERLINK("proteomic_fractions_linear_files/Yang_linear_img/344313177.jpg", "344313177")</f>
        <v>344313177</v>
      </c>
      <c r="B1100" s="7"/>
      <c r="C1100" s="6" t="str">
        <f>HYPERLINK("http://www.ncbi.nlm.nih.gov/protein/344313177","Cdc42")</f>
        <v>Cdc42</v>
      </c>
      <c r="D1100" s="8"/>
      <c r="E1100" s="8">
        <v>21180</v>
      </c>
      <c r="F1100" s="8"/>
      <c r="G1100" s="15">
        <v>1.5278129931301709</v>
      </c>
      <c r="H1100" s="15">
        <v>1.5278129931301709</v>
      </c>
      <c r="I1100" s="15">
        <v>1.0378924890799406</v>
      </c>
      <c r="J1100" s="15">
        <v>1.0378924890799406</v>
      </c>
      <c r="K1100" s="15">
        <v>1.0378924890799406</v>
      </c>
      <c r="L1100" s="15">
        <v>1.0378924890799406</v>
      </c>
      <c r="M1100" s="15">
        <v>1.0378924890799406</v>
      </c>
      <c r="N1100" s="15">
        <v>1.0378924890799406</v>
      </c>
      <c r="O1100" s="15">
        <v>1.0378924890799406</v>
      </c>
      <c r="P1100" s="15">
        <v>1.0378924890799406</v>
      </c>
      <c r="Q1100" s="8"/>
      <c r="R1100" s="9" t="s">
        <v>1096</v>
      </c>
    </row>
    <row r="1101" spans="1:18" x14ac:dyDescent="0.25">
      <c r="A1101" s="6" t="str">
        <f>HYPERLINK("proteomic_fractions_linear_files/Yang_linear_img/6753364.jpg", "6753364")</f>
        <v>6753364</v>
      </c>
      <c r="B1101" s="7"/>
      <c r="C1101" s="6" t="str">
        <f>HYPERLINK("http://www.ncbi.nlm.nih.gov/protein/6753364","Cdc42")</f>
        <v>Cdc42</v>
      </c>
      <c r="D1101" s="8"/>
      <c r="E1101" s="8">
        <v>21128</v>
      </c>
      <c r="F1101" s="8"/>
      <c r="G1101" s="15">
        <v>1.4231146138911015</v>
      </c>
      <c r="H1101" s="15">
        <v>1.4231146138911015</v>
      </c>
      <c r="I1101" s="15">
        <v>1.0378924890799406</v>
      </c>
      <c r="J1101" s="15">
        <v>1.0378924890799406</v>
      </c>
      <c r="K1101" s="15">
        <v>0.98083053269791776</v>
      </c>
      <c r="L1101" s="15">
        <v>0.98083053269791776</v>
      </c>
      <c r="M1101" s="15">
        <v>1.0378924890799406</v>
      </c>
      <c r="N1101" s="15">
        <v>1.0378924890799406</v>
      </c>
      <c r="O1101" s="15">
        <v>1.0378924890799406</v>
      </c>
      <c r="P1101" s="15">
        <v>1.0378924890799406</v>
      </c>
      <c r="Q1101" s="8"/>
      <c r="R1101" s="9" t="s">
        <v>1097</v>
      </c>
    </row>
    <row r="1102" spans="1:18" x14ac:dyDescent="0.25">
      <c r="A1102" s="6" t="str">
        <f>HYPERLINK("proteomic_fractions_linear_files/Yang_linear_img/254692972.jpg", "254692972")</f>
        <v>254692972</v>
      </c>
      <c r="B1102" s="7"/>
      <c r="C1102" s="6" t="str">
        <f>HYPERLINK("http://www.ncbi.nlm.nih.gov/protein/254692972","Cdc42bpa")</f>
        <v>Cdc42bpa</v>
      </c>
      <c r="D1102" s="8"/>
      <c r="E1102" s="8">
        <v>196791</v>
      </c>
      <c r="F1102" s="8"/>
      <c r="G1102" s="15" t="s">
        <v>10</v>
      </c>
      <c r="H1102" s="15" t="s">
        <v>10</v>
      </c>
      <c r="I1102" s="15">
        <v>1.1845728305982186</v>
      </c>
      <c r="J1102" s="15">
        <v>1.1845728305982186</v>
      </c>
      <c r="K1102" s="15">
        <v>1.1845728305982186</v>
      </c>
      <c r="L1102" s="15">
        <v>1.1845728305982186</v>
      </c>
      <c r="M1102" s="15" t="s">
        <v>10</v>
      </c>
      <c r="N1102" s="15" t="s">
        <v>10</v>
      </c>
      <c r="O1102" s="15">
        <v>1.1845728305982186</v>
      </c>
      <c r="P1102" s="15">
        <v>1.1845728305982186</v>
      </c>
      <c r="Q1102" s="8"/>
      <c r="R1102" s="9" t="s">
        <v>1098</v>
      </c>
    </row>
    <row r="1103" spans="1:18" x14ac:dyDescent="0.25">
      <c r="A1103" s="6" t="str">
        <f>HYPERLINK("proteomic_fractions_linear_files/Yang_linear_img/283135190.jpg", "283135190")</f>
        <v>283135190</v>
      </c>
      <c r="B1103" s="7"/>
      <c r="C1103" s="6" t="str">
        <f>HYPERLINK("http://www.ncbi.nlm.nih.gov/protein/283135190","Cdc42bpb")</f>
        <v>Cdc42bpb</v>
      </c>
      <c r="D1103" s="8"/>
      <c r="E1103" s="8">
        <v>194622</v>
      </c>
      <c r="F1103" s="8"/>
      <c r="G1103" s="15">
        <v>0.9577734955894377</v>
      </c>
      <c r="H1103" s="15">
        <v>0.9577734955894377</v>
      </c>
      <c r="I1103" s="15">
        <v>1.196722295527431</v>
      </c>
      <c r="J1103" s="15">
        <v>1.196722295527431</v>
      </c>
      <c r="K1103" s="15">
        <v>1.196722295527431</v>
      </c>
      <c r="L1103" s="15">
        <v>1.196722295527431</v>
      </c>
      <c r="M1103" s="15">
        <v>1.196722295527431</v>
      </c>
      <c r="N1103" s="15">
        <v>1.196722295527431</v>
      </c>
      <c r="O1103" s="15">
        <v>1.196722295527431</v>
      </c>
      <c r="P1103" s="15">
        <v>1.196722295527431</v>
      </c>
      <c r="Q1103" s="8"/>
      <c r="R1103" s="9" t="s">
        <v>1099</v>
      </c>
    </row>
    <row r="1104" spans="1:18" x14ac:dyDescent="0.25">
      <c r="A1104" s="6" t="str">
        <f>HYPERLINK("proteomic_fractions_linear_files/Yang_linear_img/254675191.jpg", "254675191")</f>
        <v>254675191</v>
      </c>
      <c r="B1104" s="7"/>
      <c r="C1104" s="6" t="str">
        <f>HYPERLINK("http://www.ncbi.nlm.nih.gov/protein/254675191","Cdc42bpg")</f>
        <v>Cdc42bpg</v>
      </c>
      <c r="D1104" s="8"/>
      <c r="E1104" s="8">
        <v>172016</v>
      </c>
      <c r="F1104" s="8"/>
      <c r="G1104" s="15" t="s">
        <v>10</v>
      </c>
      <c r="H1104" s="15" t="s">
        <v>10</v>
      </c>
      <c r="I1104" s="15" t="s">
        <v>10</v>
      </c>
      <c r="J1104" s="15" t="s">
        <v>10</v>
      </c>
      <c r="K1104" s="15">
        <v>1.3567491141154016</v>
      </c>
      <c r="L1104" s="15">
        <v>1.3567491141154016</v>
      </c>
      <c r="M1104" s="15">
        <v>1.0858478583717464</v>
      </c>
      <c r="N1104" s="15">
        <v>1.0858478583717464</v>
      </c>
      <c r="O1104" s="15">
        <v>1.0858478583717464</v>
      </c>
      <c r="P1104" s="15">
        <v>1.0858478583717464</v>
      </c>
      <c r="Q1104" s="8"/>
      <c r="R1104" s="9" t="s">
        <v>1100</v>
      </c>
    </row>
    <row r="1105" spans="1:18" x14ac:dyDescent="0.25">
      <c r="A1105" s="6" t="str">
        <f>HYPERLINK("proteomic_fractions_linear_files/Yang_linear_img/9910142.jpg", "9910142")</f>
        <v>9910142</v>
      </c>
      <c r="B1105" s="7"/>
      <c r="C1105" s="6" t="str">
        <f>HYPERLINK("http://www.ncbi.nlm.nih.gov/protein/9910142","Cdc42ep4")</f>
        <v>Cdc42ep4</v>
      </c>
      <c r="D1105" s="8"/>
      <c r="E1105" s="8">
        <v>37738</v>
      </c>
      <c r="F1105" s="8"/>
      <c r="G1105" s="15" t="s">
        <v>10</v>
      </c>
      <c r="H1105" s="15" t="s">
        <v>10</v>
      </c>
      <c r="I1105" s="15">
        <v>1.0659820579795458</v>
      </c>
      <c r="J1105" s="15">
        <v>1.0659820579795458</v>
      </c>
      <c r="K1105" s="15">
        <v>1.0659820579795458</v>
      </c>
      <c r="L1105" s="15">
        <v>1.0659820579795458</v>
      </c>
      <c r="M1105" s="15">
        <v>1.0659820579795458</v>
      </c>
      <c r="N1105" s="15">
        <v>1.0659820579795458</v>
      </c>
      <c r="O1105" s="15" t="s">
        <v>10</v>
      </c>
      <c r="P1105" s="15" t="s">
        <v>10</v>
      </c>
      <c r="Q1105" s="8"/>
      <c r="R1105" s="9" t="s">
        <v>1101</v>
      </c>
    </row>
    <row r="1106" spans="1:18" x14ac:dyDescent="0.25">
      <c r="A1106" s="6" t="str">
        <f>HYPERLINK("proteomic_fractions_linear_files/Yang_linear_img/10946838.jpg", "10946838")</f>
        <v>10946838</v>
      </c>
      <c r="B1106" s="7"/>
      <c r="C1106" s="6" t="str">
        <f>HYPERLINK("http://www.ncbi.nlm.nih.gov/protein/10946838","Cdc42ep5")</f>
        <v>Cdc42ep5</v>
      </c>
      <c r="D1106" s="8"/>
      <c r="E1106" s="8">
        <v>15414</v>
      </c>
      <c r="F1106" s="8"/>
      <c r="G1106" s="15" t="s">
        <v>10</v>
      </c>
      <c r="H1106" s="15" t="s">
        <v>10</v>
      </c>
      <c r="I1106" s="15" t="s">
        <v>10</v>
      </c>
      <c r="J1106" s="15" t="s">
        <v>10</v>
      </c>
      <c r="K1106" s="15" t="s">
        <v>10</v>
      </c>
      <c r="L1106" s="15" t="s">
        <v>10</v>
      </c>
      <c r="M1106" s="15" t="s">
        <v>10</v>
      </c>
      <c r="N1106" s="15" t="s">
        <v>10</v>
      </c>
      <c r="O1106" s="15">
        <v>1.1713293176905979</v>
      </c>
      <c r="P1106" s="15">
        <v>1.1713293176905979</v>
      </c>
      <c r="Q1106" s="8"/>
      <c r="R1106" s="9" t="s">
        <v>1102</v>
      </c>
    </row>
    <row r="1107" spans="1:18" x14ac:dyDescent="0.25">
      <c r="A1107" s="6" t="str">
        <f>HYPERLINK("proteomic_fractions_linear_files/Yang_linear_img/84781706.jpg", "84781706")</f>
        <v>84781706</v>
      </c>
      <c r="B1107" s="7"/>
      <c r="C1107" s="6" t="str">
        <f>HYPERLINK("http://www.ncbi.nlm.nih.gov/protein/84781706","Cdc42se1")</f>
        <v>Cdc42se1</v>
      </c>
      <c r="D1107" s="8"/>
      <c r="E1107" s="8">
        <v>8945</v>
      </c>
      <c r="F1107" s="8"/>
      <c r="G1107" s="15" t="s">
        <v>10</v>
      </c>
      <c r="H1107" s="15" t="s">
        <v>10</v>
      </c>
      <c r="I1107" s="15">
        <v>1.4163577046597362</v>
      </c>
      <c r="J1107" s="15">
        <v>1.4163577046597362</v>
      </c>
      <c r="K1107" s="15">
        <v>1.4163577046597362</v>
      </c>
      <c r="L1107" s="15">
        <v>1.4163577046597362</v>
      </c>
      <c r="M1107" s="15" t="s">
        <v>10</v>
      </c>
      <c r="N1107" s="15" t="s">
        <v>10</v>
      </c>
      <c r="O1107" s="15" t="s">
        <v>10</v>
      </c>
      <c r="P1107" s="15" t="s">
        <v>10</v>
      </c>
      <c r="Q1107" s="8"/>
      <c r="R1107" s="9" t="s">
        <v>1103</v>
      </c>
    </row>
    <row r="1108" spans="1:18" x14ac:dyDescent="0.25">
      <c r="A1108" s="6" t="str">
        <f>HYPERLINK("proteomic_fractions_linear_files/Yang_linear_img/22779899.jpg", "22779899")</f>
        <v>22779899</v>
      </c>
      <c r="B1108" s="7"/>
      <c r="C1108" s="6" t="str">
        <f>HYPERLINK("http://www.ncbi.nlm.nih.gov/protein/22779899","Cdc5l")</f>
        <v>Cdc5l</v>
      </c>
      <c r="D1108" s="8"/>
      <c r="E1108" s="8">
        <v>92059</v>
      </c>
      <c r="F1108" s="8"/>
      <c r="G1108" s="15">
        <v>1.3991481320121408</v>
      </c>
      <c r="H1108" s="15">
        <v>1.3991481320121408</v>
      </c>
      <c r="I1108" s="15" t="s">
        <v>10</v>
      </c>
      <c r="J1108" s="15" t="s">
        <v>10</v>
      </c>
      <c r="K1108" s="15">
        <v>1.193495258925342</v>
      </c>
      <c r="L1108" s="15">
        <v>1.193495258925342</v>
      </c>
      <c r="M1108" s="15">
        <v>1.193495258925342</v>
      </c>
      <c r="N1108" s="15">
        <v>1.193495258925342</v>
      </c>
      <c r="O1108" s="15" t="s">
        <v>10</v>
      </c>
      <c r="P1108" s="15" t="s">
        <v>10</v>
      </c>
      <c r="Q1108" s="8"/>
      <c r="R1108" s="9" t="s">
        <v>1104</v>
      </c>
    </row>
    <row r="1109" spans="1:18" x14ac:dyDescent="0.25">
      <c r="A1109" s="6" t="str">
        <f>HYPERLINK("proteomic_fractions_linear_files/Yang_linear_img/22122445.jpg", "22122445")</f>
        <v>22122445</v>
      </c>
      <c r="B1109" s="7"/>
      <c r="C1109" s="6" t="str">
        <f>HYPERLINK("http://www.ncbi.nlm.nih.gov/protein/22122445","Cdc73")</f>
        <v>Cdc73</v>
      </c>
      <c r="D1109" s="8"/>
      <c r="E1109" s="8">
        <v>60446</v>
      </c>
      <c r="F1109" s="8"/>
      <c r="G1109" s="15">
        <v>1.2239360040280374</v>
      </c>
      <c r="H1109" s="15">
        <v>1.2239360040280374</v>
      </c>
      <c r="I1109" s="15">
        <v>0.97955345975989749</v>
      </c>
      <c r="J1109" s="15">
        <v>0.97955345975989749</v>
      </c>
      <c r="K1109" s="15">
        <v>1.0908877221757389</v>
      </c>
      <c r="L1109" s="15">
        <v>1.0908877221757389</v>
      </c>
      <c r="M1109" s="15">
        <v>0.53473454759555983</v>
      </c>
      <c r="N1109" s="15">
        <v>0.53473454759555983</v>
      </c>
      <c r="O1109" s="15" t="s">
        <v>10</v>
      </c>
      <c r="P1109" s="15" t="s">
        <v>10</v>
      </c>
      <c r="Q1109" s="8"/>
      <c r="R1109" s="9" t="s">
        <v>1105</v>
      </c>
    </row>
    <row r="1110" spans="1:18" x14ac:dyDescent="0.25">
      <c r="A1110" s="6" t="str">
        <f>HYPERLINK("proteomic_fractions_linear_files/Yang_linear_img/61098143.jpg", "61098143")</f>
        <v>61098143</v>
      </c>
      <c r="B1110" s="7"/>
      <c r="C1110" s="6" t="str">
        <f>HYPERLINK("http://www.ncbi.nlm.nih.gov/protein/61098143","Cdcp1")</f>
        <v>Cdcp1</v>
      </c>
      <c r="D1110" s="8"/>
      <c r="E1110" s="8">
        <v>89844</v>
      </c>
      <c r="F1110" s="8"/>
      <c r="G1110" s="15" t="s">
        <v>10</v>
      </c>
      <c r="H1110" s="15" t="s">
        <v>10</v>
      </c>
      <c r="I1110" s="15">
        <v>0.65303563983993174</v>
      </c>
      <c r="J1110" s="15">
        <v>0.65303563983993174</v>
      </c>
      <c r="K1110" s="15">
        <v>1.7050319015137982</v>
      </c>
      <c r="L1110" s="15">
        <v>1.7050319015137982</v>
      </c>
      <c r="M1110" s="15" t="s">
        <v>10</v>
      </c>
      <c r="N1110" s="15" t="s">
        <v>10</v>
      </c>
      <c r="O1110" s="15" t="s">
        <v>10</v>
      </c>
      <c r="P1110" s="15" t="s">
        <v>10</v>
      </c>
      <c r="Q1110" s="8"/>
      <c r="R1110" s="9" t="s">
        <v>1106</v>
      </c>
    </row>
    <row r="1111" spans="1:18" x14ac:dyDescent="0.25">
      <c r="A1111" s="6" t="str">
        <f>HYPERLINK("proteomic_fractions_linear_files/Yang_linear_img/6753374.jpg", "6753374")</f>
        <v>6753374</v>
      </c>
      <c r="B1111" s="7"/>
      <c r="C1111" s="6" t="str">
        <f>HYPERLINK("http://www.ncbi.nlm.nih.gov/protein/6753374","Cdh1")</f>
        <v>Cdh1</v>
      </c>
      <c r="D1111" s="8"/>
      <c r="E1111" s="8">
        <v>80346</v>
      </c>
      <c r="F1111" s="8"/>
      <c r="G1111" s="15">
        <v>1.1870997647823063</v>
      </c>
      <c r="H1111" s="15">
        <v>1.1870997647823063</v>
      </c>
      <c r="I1111" s="15">
        <v>1.0387332309142983</v>
      </c>
      <c r="J1111" s="15">
        <v>1.0387332309142983</v>
      </c>
      <c r="K1111" s="15">
        <v>1.1870997647823063</v>
      </c>
      <c r="L1111" s="15">
        <v>1.1870997647823063</v>
      </c>
      <c r="M1111" s="15">
        <v>1.9181608892030231</v>
      </c>
      <c r="N1111" s="15">
        <v>1.9181608892030231</v>
      </c>
      <c r="O1111" s="15">
        <v>1.0387332309142983</v>
      </c>
      <c r="P1111" s="15">
        <v>1.0387332309142983</v>
      </c>
      <c r="Q1111" s="8"/>
      <c r="R1111" s="9" t="s">
        <v>1107</v>
      </c>
    </row>
    <row r="1112" spans="1:18" x14ac:dyDescent="0.25">
      <c r="A1112" s="6" t="str">
        <f>HYPERLINK("proteomic_fractions_linear_files/Yang_linear_img/357933652.jpg", "357933652")</f>
        <v>357933652</v>
      </c>
      <c r="B1112" s="7"/>
      <c r="C1112" s="6" t="str">
        <f>HYPERLINK("http://www.ncbi.nlm.nih.gov/protein/357933652","Cdh16")</f>
        <v>Cdh16</v>
      </c>
      <c r="D1112" s="8"/>
      <c r="E1112" s="8">
        <v>86263</v>
      </c>
      <c r="F1112" s="8"/>
      <c r="G1112" s="15">
        <v>1.784335710886533</v>
      </c>
      <c r="H1112" s="15">
        <v>1.784335710886533</v>
      </c>
      <c r="I1112" s="15">
        <v>1.2767623700131565</v>
      </c>
      <c r="J1112" s="15">
        <v>1.2767623700131565</v>
      </c>
      <c r="K1112" s="15">
        <v>1.4967631179664764</v>
      </c>
      <c r="L1112" s="15">
        <v>1.4967631179664764</v>
      </c>
      <c r="M1112" s="15">
        <v>1.4967631179664764</v>
      </c>
      <c r="N1112" s="15">
        <v>1.4967631179664764</v>
      </c>
      <c r="O1112" s="15" t="s">
        <v>10</v>
      </c>
      <c r="P1112" s="15" t="s">
        <v>10</v>
      </c>
      <c r="Q1112" s="8"/>
      <c r="R1112" s="9" t="s">
        <v>1108</v>
      </c>
    </row>
    <row r="1113" spans="1:18" x14ac:dyDescent="0.25">
      <c r="A1113" s="6" t="str">
        <f>HYPERLINK("proteomic_fractions_linear_files/Yang_linear_img/357933654.jpg", "357933654")</f>
        <v>357933654</v>
      </c>
      <c r="B1113" s="7"/>
      <c r="C1113" s="6" t="str">
        <f>HYPERLINK("http://www.ncbi.nlm.nih.gov/protein/357933654","Cdh16")</f>
        <v>Cdh16</v>
      </c>
      <c r="D1113" s="8"/>
      <c r="E1113" s="8">
        <v>85604</v>
      </c>
      <c r="F1113" s="8"/>
      <c r="G1113" s="15">
        <v>1.784335710886533</v>
      </c>
      <c r="H1113" s="15">
        <v>1.784335710886533</v>
      </c>
      <c r="I1113" s="15">
        <v>1.2767623700131565</v>
      </c>
      <c r="J1113" s="15">
        <v>1.2767623700131565</v>
      </c>
      <c r="K1113" s="15">
        <v>1.4967631179664764</v>
      </c>
      <c r="L1113" s="15">
        <v>1.4967631179664764</v>
      </c>
      <c r="M1113" s="15">
        <v>1.4967631179664764</v>
      </c>
      <c r="N1113" s="15">
        <v>1.4967631179664764</v>
      </c>
      <c r="O1113" s="15" t="s">
        <v>10</v>
      </c>
      <c r="P1113" s="15" t="s">
        <v>10</v>
      </c>
      <c r="Q1113" s="8"/>
      <c r="R1113" s="9" t="s">
        <v>1109</v>
      </c>
    </row>
    <row r="1114" spans="1:18" x14ac:dyDescent="0.25">
      <c r="A1114" s="6" t="str">
        <f>HYPERLINK("proteomic_fractions_linear_files/Yang_linear_img/6680900.jpg", "6680900")</f>
        <v>6680900</v>
      </c>
      <c r="B1114" s="7"/>
      <c r="C1114" s="6" t="str">
        <f>HYPERLINK("http://www.ncbi.nlm.nih.gov/protein/6680900","Cdh16")</f>
        <v>Cdh16</v>
      </c>
      <c r="D1114" s="8"/>
      <c r="E1114" s="8">
        <v>87242</v>
      </c>
      <c r="F1114" s="8"/>
      <c r="G1114" s="15">
        <v>1.7638261050142741</v>
      </c>
      <c r="H1114" s="15">
        <v>1.7638261050142741</v>
      </c>
      <c r="I1114" s="15">
        <v>1.2620869404727755</v>
      </c>
      <c r="J1114" s="15">
        <v>1.2620869404727755</v>
      </c>
      <c r="K1114" s="15">
        <v>1.4795589441967467</v>
      </c>
      <c r="L1114" s="15">
        <v>1.4795589441967467</v>
      </c>
      <c r="M1114" s="15">
        <v>1.4795589441967467</v>
      </c>
      <c r="N1114" s="15">
        <v>1.4795589441967467</v>
      </c>
      <c r="O1114" s="15" t="s">
        <v>10</v>
      </c>
      <c r="P1114" s="15" t="s">
        <v>10</v>
      </c>
      <c r="Q1114" s="8"/>
      <c r="R1114" s="9" t="s">
        <v>1110</v>
      </c>
    </row>
    <row r="1115" spans="1:18" x14ac:dyDescent="0.25">
      <c r="A1115" s="6" t="str">
        <f>HYPERLINK("proteomic_fractions_linear_files/Yang_linear_img/124517680.jpg", "124517680")</f>
        <v>124517680</v>
      </c>
      <c r="B1115" s="7"/>
      <c r="C1115" s="6" t="str">
        <f>HYPERLINK("http://www.ncbi.nlm.nih.gov/protein/124517680","Cdh23")</f>
        <v>Cdh23</v>
      </c>
      <c r="D1115" s="8"/>
      <c r="E1115" s="8">
        <v>366966</v>
      </c>
      <c r="F1115" s="8"/>
      <c r="G1115" s="15" t="s">
        <v>10</v>
      </c>
      <c r="H1115" s="15" t="s">
        <v>10</v>
      </c>
      <c r="I1115" s="15" t="s">
        <v>10</v>
      </c>
      <c r="J1115" s="15" t="s">
        <v>10</v>
      </c>
      <c r="K1115" s="15">
        <v>0.14474269653951247</v>
      </c>
      <c r="L1115" s="15">
        <v>0.14474269653951247</v>
      </c>
      <c r="M1115" s="15" t="s">
        <v>10</v>
      </c>
      <c r="N1115" s="15" t="s">
        <v>10</v>
      </c>
      <c r="O1115" s="15" t="s">
        <v>10</v>
      </c>
      <c r="P1115" s="15" t="s">
        <v>10</v>
      </c>
      <c r="Q1115" s="8"/>
      <c r="R1115" s="9" t="s">
        <v>1111</v>
      </c>
    </row>
    <row r="1116" spans="1:18" x14ac:dyDescent="0.25">
      <c r="A1116" s="6" t="str">
        <f>HYPERLINK("proteomic_fractions_linear_files/Yang_linear_img/358001060.jpg", "358001060")</f>
        <v>358001060</v>
      </c>
      <c r="B1116" s="7"/>
      <c r="C1116" s="6" t="str">
        <f>HYPERLINK("http://www.ncbi.nlm.nih.gov/protein/358001060","Cdh23")</f>
        <v>Cdh23</v>
      </c>
      <c r="D1116" s="8"/>
      <c r="E1116" s="8">
        <v>366739</v>
      </c>
      <c r="F1116" s="8"/>
      <c r="G1116" s="15" t="s">
        <v>10</v>
      </c>
      <c r="H1116" s="15" t="s">
        <v>10</v>
      </c>
      <c r="I1116" s="15" t="s">
        <v>10</v>
      </c>
      <c r="J1116" s="15" t="s">
        <v>10</v>
      </c>
      <c r="K1116" s="15">
        <v>0.14474269653951247</v>
      </c>
      <c r="L1116" s="15">
        <v>0.14474269653951247</v>
      </c>
      <c r="M1116" s="15" t="s">
        <v>10</v>
      </c>
      <c r="N1116" s="15" t="s">
        <v>10</v>
      </c>
      <c r="O1116" s="15" t="s">
        <v>10</v>
      </c>
      <c r="P1116" s="15" t="s">
        <v>10</v>
      </c>
      <c r="Q1116" s="8"/>
      <c r="R1116" s="9" t="s">
        <v>1112</v>
      </c>
    </row>
    <row r="1117" spans="1:18" x14ac:dyDescent="0.25">
      <c r="A1117" s="6" t="str">
        <f>HYPERLINK("proteomic_fractions_linear_files/Yang_linear_img/45496816.jpg", "45496816")</f>
        <v>45496816</v>
      </c>
      <c r="B1117" s="7"/>
      <c r="C1117" s="6" t="str">
        <f>HYPERLINK("http://www.ncbi.nlm.nih.gov/protein/45496816","Cdh3")</f>
        <v>Cdh3</v>
      </c>
      <c r="D1117" s="8"/>
      <c r="E1117" s="8">
        <v>79858</v>
      </c>
      <c r="F1117" s="8"/>
      <c r="G1117" s="15" t="s">
        <v>10</v>
      </c>
      <c r="H1117" s="15" t="s">
        <v>10</v>
      </c>
      <c r="I1117" s="15">
        <v>5.113044471742997</v>
      </c>
      <c r="J1117" s="15">
        <v>5.113044471742997</v>
      </c>
      <c r="K1117" s="15">
        <v>0.40105091069666987</v>
      </c>
      <c r="L1117" s="15">
        <v>0.40105091069666987</v>
      </c>
      <c r="M1117" s="15" t="s">
        <v>10</v>
      </c>
      <c r="N1117" s="15" t="s">
        <v>10</v>
      </c>
      <c r="O1117" s="15" t="s">
        <v>10</v>
      </c>
      <c r="P1117" s="15" t="s">
        <v>10</v>
      </c>
      <c r="Q1117" s="8"/>
      <c r="R1117" s="9" t="s">
        <v>1113</v>
      </c>
    </row>
    <row r="1118" spans="1:18" x14ac:dyDescent="0.25">
      <c r="A1118" s="6" t="str">
        <f>HYPERLINK("proteomic_fractions_linear_files/Yang_linear_img/83715978.jpg", "83715978")</f>
        <v>83715978</v>
      </c>
      <c r="B1118" s="7"/>
      <c r="C1118" s="6" t="str">
        <f>HYPERLINK("http://www.ncbi.nlm.nih.gov/protein/83715978","Cdh3")</f>
        <v>Cdh3</v>
      </c>
      <c r="D1118" s="8"/>
      <c r="E1118" s="8">
        <v>79858</v>
      </c>
      <c r="F1118" s="8"/>
      <c r="G1118" s="15" t="s">
        <v>10</v>
      </c>
      <c r="H1118" s="15" t="s">
        <v>10</v>
      </c>
      <c r="I1118" s="15">
        <v>5.113044471742997</v>
      </c>
      <c r="J1118" s="15">
        <v>5.113044471742997</v>
      </c>
      <c r="K1118" s="15">
        <v>0.40105091069666987</v>
      </c>
      <c r="L1118" s="15">
        <v>0.40105091069666987</v>
      </c>
      <c r="M1118" s="15" t="s">
        <v>10</v>
      </c>
      <c r="N1118" s="15" t="s">
        <v>10</v>
      </c>
      <c r="O1118" s="15" t="s">
        <v>10</v>
      </c>
      <c r="P1118" s="15" t="s">
        <v>10</v>
      </c>
      <c r="Q1118" s="8"/>
      <c r="R1118" s="9" t="s">
        <v>1114</v>
      </c>
    </row>
    <row r="1119" spans="1:18" x14ac:dyDescent="0.25">
      <c r="A1119" s="6" t="str">
        <f>HYPERLINK("proteomic_fractions_linear_files/Yang_linear_img/28076897.jpg", "28076897")</f>
        <v>28076897</v>
      </c>
      <c r="B1119" s="7"/>
      <c r="C1119" s="6" t="str">
        <f>HYPERLINK("http://www.ncbi.nlm.nih.gov/protein/28076897","Cdipt")</f>
        <v>Cdipt</v>
      </c>
      <c r="D1119" s="8"/>
      <c r="E1119" s="8">
        <v>23468</v>
      </c>
      <c r="F1119" s="8"/>
      <c r="G1119" s="15">
        <v>1.2138352738122635</v>
      </c>
      <c r="H1119" s="15">
        <v>1.2138352738122635</v>
      </c>
      <c r="I1119" s="15">
        <v>0.80414344193756893</v>
      </c>
      <c r="J1119" s="15">
        <v>0.84787607947979449</v>
      </c>
      <c r="K1119" s="15">
        <v>0.84787607947979449</v>
      </c>
      <c r="L1119" s="15">
        <v>0.84787607947979449</v>
      </c>
      <c r="M1119" s="15">
        <v>0.84787607947979449</v>
      </c>
      <c r="N1119" s="15">
        <v>0.84787607947979449</v>
      </c>
      <c r="O1119" s="15" t="s">
        <v>10</v>
      </c>
      <c r="P1119" s="15" t="s">
        <v>10</v>
      </c>
      <c r="Q1119" s="8"/>
      <c r="R1119" s="9" t="s">
        <v>1115</v>
      </c>
    </row>
    <row r="1120" spans="1:18" x14ac:dyDescent="0.25">
      <c r="A1120" s="6" t="str">
        <f>HYPERLINK("proteomic_fractions_linear_files/Yang_linear_img/31542366.jpg", "31542366")</f>
        <v>31542366</v>
      </c>
      <c r="B1120" s="7"/>
      <c r="C1120" s="6" t="str">
        <f>HYPERLINK("http://www.ncbi.nlm.nih.gov/protein/31542366","Cdk1")</f>
        <v>Cdk1</v>
      </c>
      <c r="D1120" s="8"/>
      <c r="E1120" s="8">
        <v>33976</v>
      </c>
      <c r="F1120" s="8"/>
      <c r="G1120" s="15">
        <v>0.76912523868897065</v>
      </c>
      <c r="H1120" s="15">
        <v>0.76912523868897065</v>
      </c>
      <c r="I1120" s="15">
        <v>0.82112386169653118</v>
      </c>
      <c r="J1120" s="15">
        <v>0.82112386169653118</v>
      </c>
      <c r="K1120" s="15">
        <v>0.82112386169653118</v>
      </c>
      <c r="L1120" s="15">
        <v>0.82112386169653118</v>
      </c>
      <c r="M1120" s="15">
        <v>0.82112386169653118</v>
      </c>
      <c r="N1120" s="15">
        <v>0.82112386169653118</v>
      </c>
      <c r="O1120" s="15">
        <v>0.72220060627285054</v>
      </c>
      <c r="P1120" s="15">
        <v>0.72220060627285054</v>
      </c>
      <c r="Q1120" s="8"/>
      <c r="R1120" s="9" t="s">
        <v>1116</v>
      </c>
    </row>
    <row r="1121" spans="1:18" x14ac:dyDescent="0.25">
      <c r="A1121" s="6" t="str">
        <f>HYPERLINK("proteomic_fractions_linear_files/Yang_linear_img/33695123.jpg", "33695123")</f>
        <v>33695123</v>
      </c>
      <c r="B1121" s="7"/>
      <c r="C1121" s="6" t="str">
        <f>HYPERLINK("http://www.ncbi.nlm.nih.gov/protein/33695123","Cdk11b")</f>
        <v>Cdk11b</v>
      </c>
      <c r="D1121" s="8"/>
      <c r="E1121" s="8">
        <v>91383</v>
      </c>
      <c r="F1121" s="8"/>
      <c r="G1121" s="15" t="s">
        <v>10</v>
      </c>
      <c r="H1121" s="15" t="s">
        <v>10</v>
      </c>
      <c r="I1121" s="15">
        <v>65.858241758241761</v>
      </c>
      <c r="J1121" s="15">
        <v>65.858241758241761</v>
      </c>
      <c r="K1121" s="15">
        <v>65.858241758241761</v>
      </c>
      <c r="L1121" s="15">
        <v>65.858241758241761</v>
      </c>
      <c r="M1121" s="15" t="s">
        <v>10</v>
      </c>
      <c r="N1121" s="15" t="s">
        <v>10</v>
      </c>
      <c r="O1121" s="15">
        <v>0.80699077188661805</v>
      </c>
      <c r="P1121" s="15">
        <v>0.80699077188661805</v>
      </c>
      <c r="Q1121" s="8"/>
      <c r="R1121" s="9" t="s">
        <v>1117</v>
      </c>
    </row>
    <row r="1122" spans="1:18" x14ac:dyDescent="0.25">
      <c r="A1122" s="6" t="str">
        <f>HYPERLINK("proteomic_fractions_linear_files/Yang_linear_img/157816935.jpg", "157816935")</f>
        <v>157816935</v>
      </c>
      <c r="B1122" s="7"/>
      <c r="C1122" s="6" t="str">
        <f>HYPERLINK("http://www.ncbi.nlm.nih.gov/protein/157816935","Cdk12")</f>
        <v>Cdk12</v>
      </c>
      <c r="D1122" s="8"/>
      <c r="E1122" s="8">
        <v>163551</v>
      </c>
      <c r="F1122" s="8"/>
      <c r="G1122" s="15" t="s">
        <v>10</v>
      </c>
      <c r="H1122" s="15" t="s">
        <v>10</v>
      </c>
      <c r="I1122" s="15">
        <v>0.17023299571757353</v>
      </c>
      <c r="J1122" s="15">
        <v>0.17023299571757353</v>
      </c>
      <c r="K1122" s="15">
        <v>0.18222809080312885</v>
      </c>
      <c r="L1122" s="15">
        <v>0.18222809080312885</v>
      </c>
      <c r="M1122" s="15">
        <v>0.22769101477514994</v>
      </c>
      <c r="N1122" s="15">
        <v>0.22769101477514994</v>
      </c>
      <c r="O1122" s="15">
        <v>0.15945279338673782</v>
      </c>
      <c r="P1122" s="15">
        <v>0.15945279338673782</v>
      </c>
      <c r="Q1122" s="8"/>
      <c r="R1122" s="9" t="s">
        <v>1118</v>
      </c>
    </row>
    <row r="1123" spans="1:18" x14ac:dyDescent="0.25">
      <c r="A1123" s="6" t="str">
        <f>HYPERLINK("proteomic_fractions_linear_files/Yang_linear_img/157816961.jpg", "157816961")</f>
        <v>157816961</v>
      </c>
      <c r="B1123" s="7"/>
      <c r="C1123" s="6" t="str">
        <f>HYPERLINK("http://www.ncbi.nlm.nih.gov/protein/157816961","Cdk12")</f>
        <v>Cdk12</v>
      </c>
      <c r="D1123" s="8"/>
      <c r="E1123" s="8">
        <v>162625</v>
      </c>
      <c r="F1123" s="8"/>
      <c r="G1123" s="15" t="s">
        <v>10</v>
      </c>
      <c r="H1123" s="15" t="s">
        <v>10</v>
      </c>
      <c r="I1123" s="15">
        <v>0.17127736992442982</v>
      </c>
      <c r="J1123" s="15">
        <v>0.17127736992442982</v>
      </c>
      <c r="K1123" s="15">
        <v>0.1833460545503873</v>
      </c>
      <c r="L1123" s="15">
        <v>0.1833460545503873</v>
      </c>
      <c r="M1123" s="15">
        <v>0.22908789216640854</v>
      </c>
      <c r="N1123" s="15">
        <v>0.22908789216640854</v>
      </c>
      <c r="O1123" s="15">
        <v>0.16043103138297546</v>
      </c>
      <c r="P1123" s="15">
        <v>0.16043103138297546</v>
      </c>
      <c r="Q1123" s="8"/>
      <c r="R1123" s="9" t="s">
        <v>1119</v>
      </c>
    </row>
    <row r="1124" spans="1:18" x14ac:dyDescent="0.25">
      <c r="A1124" s="6" t="str">
        <f>HYPERLINK("proteomic_fractions_linear_files/Yang_linear_img/157824204.jpg", "157824204")</f>
        <v>157824204</v>
      </c>
      <c r="B1124" s="7"/>
      <c r="C1124" s="6" t="str">
        <f>HYPERLINK("http://www.ncbi.nlm.nih.gov/protein/157824204","Cdk12")</f>
        <v>Cdk12</v>
      </c>
      <c r="D1124" s="8"/>
      <c r="E1124" s="8">
        <v>139752</v>
      </c>
      <c r="F1124" s="8"/>
      <c r="G1124" s="15" t="s">
        <v>10</v>
      </c>
      <c r="H1124" s="15" t="s">
        <v>10</v>
      </c>
      <c r="I1124" s="15">
        <v>0.19941579498344328</v>
      </c>
      <c r="J1124" s="15">
        <v>0.19941579498344328</v>
      </c>
      <c r="K1124" s="15">
        <v>0.21346719208366521</v>
      </c>
      <c r="L1124" s="15">
        <v>0.21346719208366521</v>
      </c>
      <c r="M1124" s="15">
        <v>0.26672376016517568</v>
      </c>
      <c r="N1124" s="15">
        <v>0.26672376016517568</v>
      </c>
      <c r="O1124" s="15">
        <v>0.18678755796732144</v>
      </c>
      <c r="P1124" s="15">
        <v>0.18678755796732144</v>
      </c>
      <c r="Q1124" s="8"/>
      <c r="R1124" s="9" t="s">
        <v>1120</v>
      </c>
    </row>
    <row r="1125" spans="1:18" x14ac:dyDescent="0.25">
      <c r="A1125" s="6" t="str">
        <f>HYPERLINK("proteomic_fractions_linear_files/Yang_linear_img/124486698.jpg", "124486698")</f>
        <v>124486698</v>
      </c>
      <c r="B1125" s="7"/>
      <c r="C1125" s="6" t="str">
        <f>HYPERLINK("http://www.ncbi.nlm.nih.gov/protein/124486698","Cdk13")</f>
        <v>Cdk13</v>
      </c>
      <c r="D1125" s="8"/>
      <c r="E1125" s="8">
        <v>164422</v>
      </c>
      <c r="F1125" s="8"/>
      <c r="G1125" s="15" t="s">
        <v>10</v>
      </c>
      <c r="H1125" s="15" t="s">
        <v>10</v>
      </c>
      <c r="I1125" s="15">
        <v>0.17023299571757353</v>
      </c>
      <c r="J1125" s="15">
        <v>0.17023299571757353</v>
      </c>
      <c r="K1125" s="15">
        <v>0.18222809080312885</v>
      </c>
      <c r="L1125" s="15">
        <v>0.18222809080312885</v>
      </c>
      <c r="M1125" s="15">
        <v>0.22769101477514994</v>
      </c>
      <c r="N1125" s="15">
        <v>0.22769101477514994</v>
      </c>
      <c r="O1125" s="15">
        <v>0.15945279338673782</v>
      </c>
      <c r="P1125" s="15">
        <v>0.15945279338673782</v>
      </c>
      <c r="Q1125" s="8"/>
      <c r="R1125" s="9" t="s">
        <v>1121</v>
      </c>
    </row>
    <row r="1126" spans="1:18" x14ac:dyDescent="0.25">
      <c r="A1126" s="6" t="str">
        <f>HYPERLINK("proteomic_fractions_linear_files/Yang_linear_img/189409171.jpg", "189409171")</f>
        <v>189409171</v>
      </c>
      <c r="B1126" s="7"/>
      <c r="C1126" s="6" t="str">
        <f>HYPERLINK("http://www.ncbi.nlm.nih.gov/protein/189409171","Cdk13")</f>
        <v>Cdk13</v>
      </c>
      <c r="D1126" s="8"/>
      <c r="E1126" s="8">
        <v>158003</v>
      </c>
      <c r="F1126" s="8"/>
      <c r="G1126" s="15" t="s">
        <v>10</v>
      </c>
      <c r="H1126" s="15" t="s">
        <v>10</v>
      </c>
      <c r="I1126" s="15">
        <v>0.17669753985874723</v>
      </c>
      <c r="J1126" s="15">
        <v>0.17669753985874723</v>
      </c>
      <c r="K1126" s="15">
        <v>0.18914814488426032</v>
      </c>
      <c r="L1126" s="15">
        <v>0.18914814488426032</v>
      </c>
      <c r="M1126" s="15">
        <v>0.23633750900711767</v>
      </c>
      <c r="N1126" s="15">
        <v>0.23633750900711767</v>
      </c>
      <c r="O1126" s="15">
        <v>0.16550796275585444</v>
      </c>
      <c r="P1126" s="15">
        <v>0.16550796275585444</v>
      </c>
      <c r="Q1126" s="8"/>
      <c r="R1126" s="9" t="s">
        <v>1122</v>
      </c>
    </row>
    <row r="1127" spans="1:18" x14ac:dyDescent="0.25">
      <c r="A1127" s="6" t="str">
        <f>HYPERLINK("proteomic_fractions_linear_files/Yang_linear_img/161086911.jpg", "161086911")</f>
        <v>161086911</v>
      </c>
      <c r="B1127" s="7"/>
      <c r="C1127" s="6" t="str">
        <f>HYPERLINK("http://www.ncbi.nlm.nih.gov/protein/161086911","Cdk14")</f>
        <v>Cdk14</v>
      </c>
      <c r="D1127" s="8"/>
      <c r="E1127" s="8">
        <v>52865</v>
      </c>
      <c r="F1127" s="8"/>
      <c r="G1127" s="15" t="s">
        <v>10</v>
      </c>
      <c r="H1127" s="15" t="s">
        <v>10</v>
      </c>
      <c r="I1127" s="15">
        <v>0.52675870372985023</v>
      </c>
      <c r="J1127" s="15">
        <v>0.52675870372985023</v>
      </c>
      <c r="K1127" s="15">
        <v>0.56387560173043649</v>
      </c>
      <c r="L1127" s="15">
        <v>0.56387560173043649</v>
      </c>
      <c r="M1127" s="15">
        <v>0.70455332873819987</v>
      </c>
      <c r="N1127" s="15">
        <v>0.70455332873819987</v>
      </c>
      <c r="O1127" s="15">
        <v>0.49340109651745284</v>
      </c>
      <c r="P1127" s="15">
        <v>0.49340109651745284</v>
      </c>
      <c r="Q1127" s="8"/>
      <c r="R1127" s="9" t="s">
        <v>1123</v>
      </c>
    </row>
    <row r="1128" spans="1:18" x14ac:dyDescent="0.25">
      <c r="A1128" s="6" t="str">
        <f>HYPERLINK("proteomic_fractions_linear_files/Yang_linear_img/241666398.jpg", "241666398")</f>
        <v>241666398</v>
      </c>
      <c r="B1128" s="7"/>
      <c r="C1128" s="6" t="str">
        <f>HYPERLINK("http://www.ncbi.nlm.nih.gov/protein/241666398","Cdk15")</f>
        <v>Cdk15</v>
      </c>
      <c r="D1128" s="8"/>
      <c r="E1128" s="8">
        <v>48326</v>
      </c>
      <c r="F1128" s="8"/>
      <c r="G1128" s="15" t="s">
        <v>10</v>
      </c>
      <c r="H1128" s="15" t="s">
        <v>10</v>
      </c>
      <c r="I1128" s="15">
        <v>0.58162940203504288</v>
      </c>
      <c r="J1128" s="15">
        <v>0.58162940203504288</v>
      </c>
      <c r="K1128" s="15">
        <v>0.62261264357735691</v>
      </c>
      <c r="L1128" s="15">
        <v>0.62261264357735691</v>
      </c>
      <c r="M1128" s="15">
        <v>1.006041158008651</v>
      </c>
      <c r="N1128" s="15">
        <v>1.006041158008651</v>
      </c>
      <c r="O1128" s="15">
        <v>0.54479704407135421</v>
      </c>
      <c r="P1128" s="15">
        <v>0.54479704407135421</v>
      </c>
      <c r="Q1128" s="8"/>
      <c r="R1128" s="9" t="s">
        <v>1124</v>
      </c>
    </row>
    <row r="1129" spans="1:18" x14ac:dyDescent="0.25">
      <c r="A1129" s="6" t="str">
        <f>HYPERLINK("proteomic_fractions_linear_files/Yang_linear_img/7242173.jpg", "7242173")</f>
        <v>7242173</v>
      </c>
      <c r="B1129" s="7"/>
      <c r="C1129" s="6" t="str">
        <f>HYPERLINK("http://www.ncbi.nlm.nih.gov/protein/7242173","Cdk16")</f>
        <v>Cdk16</v>
      </c>
      <c r="D1129" s="8"/>
      <c r="E1129" s="8">
        <v>55783</v>
      </c>
      <c r="F1129" s="8"/>
      <c r="G1129" s="15" t="s">
        <v>10</v>
      </c>
      <c r="H1129" s="15" t="s">
        <v>10</v>
      </c>
      <c r="I1129" s="15">
        <v>0.49853948745860821</v>
      </c>
      <c r="J1129" s="15">
        <v>0.49853948745860821</v>
      </c>
      <c r="K1129" s="15">
        <v>0.53366798020916306</v>
      </c>
      <c r="L1129" s="15">
        <v>0.53366798020916306</v>
      </c>
      <c r="M1129" s="15">
        <v>0.66680940041293912</v>
      </c>
      <c r="N1129" s="15">
        <v>0.66680940041293912</v>
      </c>
      <c r="O1129" s="15">
        <v>0.46696889491830357</v>
      </c>
      <c r="P1129" s="15">
        <v>0.46696889491830357</v>
      </c>
      <c r="Q1129" s="8"/>
      <c r="R1129" s="9" t="s">
        <v>1125</v>
      </c>
    </row>
    <row r="1130" spans="1:18" x14ac:dyDescent="0.25">
      <c r="A1130" s="6" t="str">
        <f>HYPERLINK("proteomic_fractions_linear_files/Yang_linear_img/160333476.jpg", "160333476")</f>
        <v>160333476</v>
      </c>
      <c r="B1130" s="7"/>
      <c r="C1130" s="6" t="str">
        <f>HYPERLINK("http://www.ncbi.nlm.nih.gov/protein/160333476","Cdk17")</f>
        <v>Cdk17</v>
      </c>
      <c r="D1130" s="8"/>
      <c r="E1130" s="8">
        <v>59375</v>
      </c>
      <c r="F1130" s="8"/>
      <c r="G1130" s="15" t="s">
        <v>10</v>
      </c>
      <c r="H1130" s="15" t="s">
        <v>10</v>
      </c>
      <c r="I1130" s="15">
        <v>0.47319002199461119</v>
      </c>
      <c r="J1130" s="15">
        <v>0.47319002199461119</v>
      </c>
      <c r="K1130" s="15">
        <v>0.50653232019852767</v>
      </c>
      <c r="L1130" s="15">
        <v>0.50653232019852767</v>
      </c>
      <c r="M1130" s="15">
        <v>0.81847416244771609</v>
      </c>
      <c r="N1130" s="15">
        <v>0.81847416244771609</v>
      </c>
      <c r="O1130" s="15">
        <v>0.44322471382076273</v>
      </c>
      <c r="P1130" s="15">
        <v>0.44322471382076273</v>
      </c>
      <c r="Q1130" s="8"/>
      <c r="R1130" s="9" t="s">
        <v>1126</v>
      </c>
    </row>
    <row r="1131" spans="1:18" x14ac:dyDescent="0.25">
      <c r="A1131" s="6" t="str">
        <f>HYPERLINK("proteomic_fractions_linear_files/Yang_linear_img/6679233.jpg", "6679233")</f>
        <v>6679233</v>
      </c>
      <c r="B1131" s="7"/>
      <c r="C1131" s="6" t="str">
        <f>HYPERLINK("http://www.ncbi.nlm.nih.gov/protein/6679233","Cdk18")</f>
        <v>Cdk18</v>
      </c>
      <c r="D1131" s="8"/>
      <c r="E1131" s="8">
        <v>51717</v>
      </c>
      <c r="F1131" s="8"/>
      <c r="G1131" s="15" t="s">
        <v>10</v>
      </c>
      <c r="H1131" s="15" t="s">
        <v>10</v>
      </c>
      <c r="I1131" s="15">
        <v>0.53688867880157809</v>
      </c>
      <c r="J1131" s="15">
        <v>0.53688867880157809</v>
      </c>
      <c r="K1131" s="15">
        <v>0.57471936330217566</v>
      </c>
      <c r="L1131" s="15">
        <v>0.57471936330217566</v>
      </c>
      <c r="M1131" s="15">
        <v>0.92865337662337022</v>
      </c>
      <c r="N1131" s="15">
        <v>0.92865337662337022</v>
      </c>
      <c r="O1131" s="15">
        <v>0.50288957914278842</v>
      </c>
      <c r="P1131" s="15">
        <v>0.50288957914278842</v>
      </c>
      <c r="Q1131" s="8"/>
      <c r="R1131" s="9" t="s">
        <v>1127</v>
      </c>
    </row>
    <row r="1132" spans="1:18" x14ac:dyDescent="0.25">
      <c r="A1132" s="6" t="str">
        <f>HYPERLINK("proteomic_fractions_linear_files/Yang_linear_img/34556205.jpg", "34556205")</f>
        <v>34556205</v>
      </c>
      <c r="B1132" s="7"/>
      <c r="C1132" s="6" t="str">
        <f>HYPERLINK("http://www.ncbi.nlm.nih.gov/protein/34556205","Cdk2")</f>
        <v>Cdk2</v>
      </c>
      <c r="D1132" s="8"/>
      <c r="E1132" s="8">
        <v>38847</v>
      </c>
      <c r="F1132" s="8"/>
      <c r="G1132" s="15">
        <v>0.95746990828524592</v>
      </c>
      <c r="H1132" s="15">
        <v>0.95746990828524592</v>
      </c>
      <c r="I1132" s="15">
        <v>0.71585157173543745</v>
      </c>
      <c r="J1132" s="15">
        <v>0.71585157173543745</v>
      </c>
      <c r="K1132" s="15">
        <v>0.71585157173543745</v>
      </c>
      <c r="L1132" s="15">
        <v>0.71585157173543745</v>
      </c>
      <c r="M1132" s="15">
        <v>0.95746990828524592</v>
      </c>
      <c r="N1132" s="15">
        <v>0.95746990828524592</v>
      </c>
      <c r="O1132" s="15">
        <v>0.67051943885705134</v>
      </c>
      <c r="P1132" s="15">
        <v>0.67051943885705134</v>
      </c>
      <c r="Q1132" s="8"/>
      <c r="R1132" s="9" t="s">
        <v>1128</v>
      </c>
    </row>
    <row r="1133" spans="1:18" x14ac:dyDescent="0.25">
      <c r="A1133" s="6" t="str">
        <f>HYPERLINK("proteomic_fractions_linear_files/Yang_linear_img/7949020.jpg", "7949020")</f>
        <v>7949020</v>
      </c>
      <c r="B1133" s="7"/>
      <c r="C1133" s="6" t="str">
        <f>HYPERLINK("http://www.ncbi.nlm.nih.gov/protein/7949020","Cdk2")</f>
        <v>Cdk2</v>
      </c>
      <c r="D1133" s="8"/>
      <c r="E1133" s="8">
        <v>33756</v>
      </c>
      <c r="F1133" s="8"/>
      <c r="G1133" s="15">
        <v>1.098274306562488</v>
      </c>
      <c r="H1133" s="15">
        <v>1.098274306562488</v>
      </c>
      <c r="I1133" s="15">
        <v>0.82112386169653118</v>
      </c>
      <c r="J1133" s="15">
        <v>0.82112386169653118</v>
      </c>
      <c r="K1133" s="15">
        <v>0.82112386169653118</v>
      </c>
      <c r="L1133" s="15">
        <v>0.82112386169653118</v>
      </c>
      <c r="M1133" s="15">
        <v>1.098274306562488</v>
      </c>
      <c r="N1133" s="15">
        <v>1.098274306562488</v>
      </c>
      <c r="O1133" s="15">
        <v>0.76912523868897065</v>
      </c>
      <c r="P1133" s="15">
        <v>0.76912523868897065</v>
      </c>
      <c r="Q1133" s="8"/>
      <c r="R1133" s="9" t="s">
        <v>1129</v>
      </c>
    </row>
    <row r="1134" spans="1:18" x14ac:dyDescent="0.25">
      <c r="A1134" s="6" t="str">
        <f>HYPERLINK("proteomic_fractions_linear_files/Yang_linear_img/16716469.jpg", "16716469")</f>
        <v>16716469</v>
      </c>
      <c r="B1134" s="7"/>
      <c r="C1134" s="6" t="str">
        <f>HYPERLINK("http://www.ncbi.nlm.nih.gov/protein/16716469","Cdk20")</f>
        <v>Cdk20</v>
      </c>
      <c r="D1134" s="8"/>
      <c r="E1134" s="8">
        <v>38248</v>
      </c>
      <c r="F1134" s="8"/>
      <c r="G1134" s="15" t="s">
        <v>10</v>
      </c>
      <c r="H1134" s="15" t="s">
        <v>10</v>
      </c>
      <c r="I1134" s="15">
        <v>0.73468977099163313</v>
      </c>
      <c r="J1134" s="15">
        <v>0.73468977099163313</v>
      </c>
      <c r="K1134" s="15">
        <v>0.78645807609771401</v>
      </c>
      <c r="L1134" s="15">
        <v>0.78645807609771401</v>
      </c>
      <c r="M1134" s="15">
        <v>0.98266648481906815</v>
      </c>
      <c r="N1134" s="15">
        <v>0.98266648481906815</v>
      </c>
      <c r="O1134" s="15">
        <v>0.68816468724802637</v>
      </c>
      <c r="P1134" s="15">
        <v>0.68816468724802637</v>
      </c>
      <c r="Q1134" s="8"/>
      <c r="R1134" s="9" t="s">
        <v>1130</v>
      </c>
    </row>
    <row r="1135" spans="1:18" x14ac:dyDescent="0.25">
      <c r="A1135" s="6" t="str">
        <f>HYPERLINK("proteomic_fractions_linear_files/Yang_linear_img/6753380.jpg", "6753380")</f>
        <v>6753380</v>
      </c>
      <c r="B1135" s="7"/>
      <c r="C1135" s="6" t="str">
        <f>HYPERLINK("http://www.ncbi.nlm.nih.gov/protein/6753380","Cdk4")</f>
        <v>Cdk4</v>
      </c>
      <c r="D1135" s="8"/>
      <c r="E1135" s="8">
        <v>33620</v>
      </c>
      <c r="F1135" s="8"/>
      <c r="G1135" s="15" t="s">
        <v>10</v>
      </c>
      <c r="H1135" s="15" t="s">
        <v>10</v>
      </c>
      <c r="I1135" s="15">
        <v>0.82112386169653118</v>
      </c>
      <c r="J1135" s="15">
        <v>0.82112386169653118</v>
      </c>
      <c r="K1135" s="15">
        <v>0.87898255563862149</v>
      </c>
      <c r="L1135" s="15">
        <v>0.87898255563862149</v>
      </c>
      <c r="M1135" s="15">
        <v>0.82112386169653118</v>
      </c>
      <c r="N1135" s="15">
        <v>0.82112386169653118</v>
      </c>
      <c r="O1135" s="15">
        <v>0.76912523868897065</v>
      </c>
      <c r="P1135" s="15">
        <v>0.76912523868897065</v>
      </c>
      <c r="Q1135" s="8"/>
      <c r="R1135" s="9" t="s">
        <v>1131</v>
      </c>
    </row>
    <row r="1136" spans="1:18" x14ac:dyDescent="0.25">
      <c r="A1136" s="6" t="str">
        <f>HYPERLINK("proteomic_fractions_linear_files/Yang_linear_img/6680908.jpg", "6680908")</f>
        <v>6680908</v>
      </c>
      <c r="B1136" s="7"/>
      <c r="C1136" s="6" t="str">
        <f>HYPERLINK("http://www.ncbi.nlm.nih.gov/protein/6680908","Cdk5")</f>
        <v>Cdk5</v>
      </c>
      <c r="D1136" s="8"/>
      <c r="E1136" s="8">
        <v>33157</v>
      </c>
      <c r="F1136" s="8"/>
      <c r="G1136" s="15" t="s">
        <v>10</v>
      </c>
      <c r="H1136" s="15" t="s">
        <v>10</v>
      </c>
      <c r="I1136" s="15">
        <v>0.84600640296006246</v>
      </c>
      <c r="J1136" s="15">
        <v>0.84600640296006246</v>
      </c>
      <c r="K1136" s="15">
        <v>0.84600640296006246</v>
      </c>
      <c r="L1136" s="15">
        <v>0.84600640296006246</v>
      </c>
      <c r="M1136" s="15">
        <v>1.1315553461552907</v>
      </c>
      <c r="N1136" s="15">
        <v>1.1315553461552907</v>
      </c>
      <c r="O1136" s="15">
        <v>0.74408547312960349</v>
      </c>
      <c r="P1136" s="15">
        <v>0.74408547312960349</v>
      </c>
      <c r="Q1136" s="8"/>
      <c r="R1136" s="9" t="s">
        <v>1132</v>
      </c>
    </row>
    <row r="1137" spans="1:18" x14ac:dyDescent="0.25">
      <c r="A1137" s="6" t="str">
        <f>HYPERLINK("proteomic_fractions_linear_files/Yang_linear_img/50657347.jpg", "50657347")</f>
        <v>50657347</v>
      </c>
      <c r="B1137" s="7"/>
      <c r="C1137" s="6" t="str">
        <f>HYPERLINK("http://www.ncbi.nlm.nih.gov/protein/50657347","Cdk5rap2")</f>
        <v>Cdk5rap2</v>
      </c>
      <c r="D1137" s="8"/>
      <c r="E1137" s="8">
        <v>205815</v>
      </c>
      <c r="F1137" s="8"/>
      <c r="G1137" s="15" t="s">
        <v>10</v>
      </c>
      <c r="H1137" s="15" t="s">
        <v>10</v>
      </c>
      <c r="I1137" s="15" t="s">
        <v>10</v>
      </c>
      <c r="J1137" s="15" t="s">
        <v>10</v>
      </c>
      <c r="K1137" s="15">
        <v>1.4649675953228096</v>
      </c>
      <c r="L1137" s="15">
        <v>1.4649675953228096</v>
      </c>
      <c r="M1137" s="15" t="s">
        <v>10</v>
      </c>
      <c r="N1137" s="15" t="s">
        <v>10</v>
      </c>
      <c r="O1137" s="15" t="s">
        <v>10</v>
      </c>
      <c r="P1137" s="15" t="s">
        <v>10</v>
      </c>
      <c r="Q1137" s="8"/>
      <c r="R1137" s="9" t="s">
        <v>1133</v>
      </c>
    </row>
    <row r="1138" spans="1:18" x14ac:dyDescent="0.25">
      <c r="A1138" s="6" t="str">
        <f>HYPERLINK("proteomic_fractions_linear_files/Yang_linear_img/13384788.jpg", "13384788")</f>
        <v>13384788</v>
      </c>
      <c r="B1138" s="7"/>
      <c r="C1138" s="6" t="str">
        <f>HYPERLINK("http://www.ncbi.nlm.nih.gov/protein/13384788","Cdk5rap3")</f>
        <v>Cdk5rap3</v>
      </c>
      <c r="D1138" s="8"/>
      <c r="E1138" s="8">
        <v>56860</v>
      </c>
      <c r="F1138" s="8"/>
      <c r="G1138" s="15">
        <v>1.4578712012832256</v>
      </c>
      <c r="H1138" s="15">
        <v>1.4578712012832256</v>
      </c>
      <c r="I1138" s="15">
        <v>1.1483028654481462</v>
      </c>
      <c r="J1138" s="15">
        <v>1.1483028654481462</v>
      </c>
      <c r="K1138" s="15">
        <v>1.2883536884505657</v>
      </c>
      <c r="L1138" s="15">
        <v>1.2883536884505657</v>
      </c>
      <c r="M1138" s="15" t="s">
        <v>10</v>
      </c>
      <c r="N1138" s="15" t="s">
        <v>10</v>
      </c>
      <c r="O1138" s="15" t="s">
        <v>10</v>
      </c>
      <c r="P1138" s="15" t="s">
        <v>10</v>
      </c>
      <c r="Q1138" s="8"/>
      <c r="R1138" s="9" t="s">
        <v>1134</v>
      </c>
    </row>
    <row r="1139" spans="1:18" x14ac:dyDescent="0.25">
      <c r="A1139" s="6" t="str">
        <f>HYPERLINK("proteomic_fractions_linear_files/Yang_linear_img/14149637.jpg", "14149637")</f>
        <v>14149637</v>
      </c>
      <c r="B1139" s="7"/>
      <c r="C1139" s="6" t="str">
        <f>HYPERLINK("http://www.ncbi.nlm.nih.gov/protein/14149637","Cdk6")</f>
        <v>Cdk6</v>
      </c>
      <c r="D1139" s="8"/>
      <c r="E1139" s="8">
        <v>36897</v>
      </c>
      <c r="F1139" s="8"/>
      <c r="G1139" s="15" t="s">
        <v>10</v>
      </c>
      <c r="H1139" s="15" t="s">
        <v>10</v>
      </c>
      <c r="I1139" s="15">
        <v>0.75454625128870434</v>
      </c>
      <c r="J1139" s="15">
        <v>0.75454625128870434</v>
      </c>
      <c r="K1139" s="15">
        <v>0.80771369977603058</v>
      </c>
      <c r="L1139" s="15">
        <v>0.80771369977603058</v>
      </c>
      <c r="M1139" s="15">
        <v>1.0092250384628267</v>
      </c>
      <c r="N1139" s="15">
        <v>1.0092250384628267</v>
      </c>
      <c r="O1139" s="15">
        <v>0.70676373284932437</v>
      </c>
      <c r="P1139" s="15">
        <v>0.86713710420901591</v>
      </c>
      <c r="Q1139" s="8"/>
      <c r="R1139" s="9" t="s">
        <v>1135</v>
      </c>
    </row>
    <row r="1140" spans="1:18" x14ac:dyDescent="0.25">
      <c r="A1140" s="6" t="str">
        <f>HYPERLINK("proteomic_fractions_linear_files/Yang_linear_img/160333726.jpg", "160333726")</f>
        <v>160333726</v>
      </c>
      <c r="B1140" s="7"/>
      <c r="C1140" s="6" t="str">
        <f>HYPERLINK("http://www.ncbi.nlm.nih.gov/protein/160333726","Cdk7")</f>
        <v>Cdk7</v>
      </c>
      <c r="D1140" s="8"/>
      <c r="E1140" s="8">
        <v>38837</v>
      </c>
      <c r="F1140" s="8"/>
      <c r="G1140" s="15" t="s">
        <v>10</v>
      </c>
      <c r="H1140" s="15" t="s">
        <v>10</v>
      </c>
      <c r="I1140" s="15" t="s">
        <v>10</v>
      </c>
      <c r="J1140" s="15" t="s">
        <v>10</v>
      </c>
      <c r="K1140" s="15">
        <v>0.95746990828524592</v>
      </c>
      <c r="L1140" s="15">
        <v>0.95746990828524592</v>
      </c>
      <c r="M1140" s="15">
        <v>0.95746990828524592</v>
      </c>
      <c r="N1140" s="15">
        <v>0.95746990828524592</v>
      </c>
      <c r="O1140" s="15">
        <v>0.8859840136019278</v>
      </c>
      <c r="P1140" s="15">
        <v>0.8859840136019278</v>
      </c>
      <c r="Q1140" s="8"/>
      <c r="R1140" s="9" t="s">
        <v>1136</v>
      </c>
    </row>
    <row r="1141" spans="1:18" x14ac:dyDescent="0.25">
      <c r="A1141" s="6" t="str">
        <f>HYPERLINK("proteomic_fractions_linear_files/Yang_linear_img/18699998.jpg", "18699998")</f>
        <v>18699998</v>
      </c>
      <c r="B1141" s="7"/>
      <c r="C1141" s="6" t="str">
        <f>HYPERLINK("http://www.ncbi.nlm.nih.gov/protein/18699998","Cdk9")</f>
        <v>Cdk9</v>
      </c>
      <c r="D1141" s="8"/>
      <c r="E1141" s="8">
        <v>42631</v>
      </c>
      <c r="F1141" s="8"/>
      <c r="G1141" s="15" t="s">
        <v>10</v>
      </c>
      <c r="H1141" s="15" t="s">
        <v>10</v>
      </c>
      <c r="I1141" s="15">
        <v>0.64926072785307121</v>
      </c>
      <c r="J1141" s="15">
        <v>0.64926072785307121</v>
      </c>
      <c r="K1141" s="15">
        <v>0.6950094625979798</v>
      </c>
      <c r="L1141" s="15">
        <v>0.6950094625979798</v>
      </c>
      <c r="M1141" s="15">
        <v>0.86840294007266494</v>
      </c>
      <c r="N1141" s="15">
        <v>0.86840294007266494</v>
      </c>
      <c r="O1141" s="15">
        <v>0.60814553756802325</v>
      </c>
      <c r="P1141" s="15">
        <v>0.60814553756802325</v>
      </c>
      <c r="Q1141" s="8"/>
      <c r="R1141" s="9" t="s">
        <v>1137</v>
      </c>
    </row>
    <row r="1142" spans="1:18" x14ac:dyDescent="0.25">
      <c r="A1142" s="6" t="str">
        <f>HYPERLINK("proteomic_fractions_linear_files/Yang_linear_img/21617853.jpg", "21617853")</f>
        <v>21617853</v>
      </c>
      <c r="B1142" s="7"/>
      <c r="C1142" s="6" t="str">
        <f>HYPERLINK("http://www.ncbi.nlm.nih.gov/protein/21617853","Cdkal1")</f>
        <v>Cdkal1</v>
      </c>
      <c r="D1142" s="8"/>
      <c r="E1142" s="8">
        <v>65158</v>
      </c>
      <c r="F1142" s="8"/>
      <c r="G1142" s="15" t="s">
        <v>10</v>
      </c>
      <c r="H1142" s="15" t="s">
        <v>10</v>
      </c>
      <c r="I1142" s="15">
        <v>1.0069732820083743</v>
      </c>
      <c r="J1142" s="15">
        <v>1.0069732820083743</v>
      </c>
      <c r="K1142" s="15">
        <v>1.0069732820083743</v>
      </c>
      <c r="L1142" s="15">
        <v>1.0069732820083743</v>
      </c>
      <c r="M1142" s="15" t="s">
        <v>10</v>
      </c>
      <c r="N1142" s="15" t="s">
        <v>10</v>
      </c>
      <c r="O1142" s="15" t="s">
        <v>10</v>
      </c>
      <c r="P1142" s="15" t="s">
        <v>10</v>
      </c>
      <c r="Q1142" s="8"/>
      <c r="R1142" s="9" t="s">
        <v>1138</v>
      </c>
    </row>
    <row r="1143" spans="1:18" x14ac:dyDescent="0.25">
      <c r="A1143" s="6" t="str">
        <f>HYPERLINK("proteomic_fractions_linear_files/Yang_linear_img/34304105.jpg", "34304105")</f>
        <v>34304105</v>
      </c>
      <c r="B1143" s="7"/>
      <c r="C1143" s="6" t="str">
        <f>HYPERLINK("http://www.ncbi.nlm.nih.gov/protein/34304105","Cdkl1")</f>
        <v>Cdkl1</v>
      </c>
      <c r="D1143" s="8"/>
      <c r="E1143" s="8">
        <v>40893</v>
      </c>
      <c r="F1143" s="8"/>
      <c r="G1143" s="15" t="s">
        <v>10</v>
      </c>
      <c r="H1143" s="15" t="s">
        <v>10</v>
      </c>
      <c r="I1143" s="15" t="s">
        <v>10</v>
      </c>
      <c r="J1143" s="15" t="s">
        <v>10</v>
      </c>
      <c r="K1143" s="15">
        <v>0.98798337081031085</v>
      </c>
      <c r="L1143" s="15">
        <v>0.98798337081031085</v>
      </c>
      <c r="M1143" s="15">
        <v>0.91076405910059977</v>
      </c>
      <c r="N1143" s="15">
        <v>0.91076405910059977</v>
      </c>
      <c r="O1143" s="15" t="s">
        <v>10</v>
      </c>
      <c r="P1143" s="15" t="s">
        <v>10</v>
      </c>
      <c r="Q1143" s="8"/>
      <c r="R1143" s="9" t="s">
        <v>1139</v>
      </c>
    </row>
    <row r="1144" spans="1:18" x14ac:dyDescent="0.25">
      <c r="A1144" s="6" t="str">
        <f>HYPERLINK("proteomic_fractions_linear_files/Yang_linear_img/31542372.jpg", "31542372")</f>
        <v>31542372</v>
      </c>
      <c r="B1144" s="7"/>
      <c r="C1144" s="6" t="str">
        <f>HYPERLINK("http://www.ncbi.nlm.nih.gov/protein/31542372","Cdkn1b")</f>
        <v>Cdkn1b</v>
      </c>
      <c r="D1144" s="8"/>
      <c r="E1144" s="8">
        <v>22062</v>
      </c>
      <c r="F1144" s="8"/>
      <c r="G1144" s="15" t="s">
        <v>10</v>
      </c>
      <c r="H1144" s="15" t="s">
        <v>10</v>
      </c>
      <c r="I1144" s="15">
        <v>1.0504351533962475</v>
      </c>
      <c r="J1144" s="15">
        <v>1.0504351533962475</v>
      </c>
      <c r="K1144" s="15">
        <v>1.0504351533962475</v>
      </c>
      <c r="L1144" s="15">
        <v>1.0504351533962475</v>
      </c>
      <c r="M1144" s="15">
        <v>1.0504351533962475</v>
      </c>
      <c r="N1144" s="15">
        <v>1.0504351533962475</v>
      </c>
      <c r="O1144" s="15">
        <v>0.99071555775812503</v>
      </c>
      <c r="P1144" s="15">
        <v>0.99071555775812503</v>
      </c>
      <c r="Q1144" s="8"/>
      <c r="R1144" s="9" t="s">
        <v>1140</v>
      </c>
    </row>
    <row r="1145" spans="1:18" x14ac:dyDescent="0.25">
      <c r="A1145" s="6" t="str">
        <f>HYPERLINK("proteomic_fractions_linear_files/Yang_linear_img/6753390.jpg", "6753390")</f>
        <v>6753390</v>
      </c>
      <c r="B1145" s="7"/>
      <c r="C1145" s="6" t="str">
        <f>HYPERLINK("http://www.ncbi.nlm.nih.gov/protein/6753390","Cdkn2a")</f>
        <v>Cdkn2a</v>
      </c>
      <c r="D1145" s="8"/>
      <c r="E1145" s="8">
        <v>19107</v>
      </c>
      <c r="F1145" s="8"/>
      <c r="G1145" s="15">
        <v>0.97343679813495176</v>
      </c>
      <c r="H1145" s="15">
        <v>0.97343679813495176</v>
      </c>
      <c r="I1145" s="15">
        <v>1.0263763067386986</v>
      </c>
      <c r="J1145" s="15">
        <v>1.0263763067386986</v>
      </c>
      <c r="K1145" s="15">
        <v>1.0263763067386986</v>
      </c>
      <c r="L1145" s="15">
        <v>1.0263763067386986</v>
      </c>
      <c r="M1145" s="15">
        <v>1.0263763067386986</v>
      </c>
      <c r="N1145" s="15">
        <v>1.0263763067386986</v>
      </c>
      <c r="O1145" s="15" t="s">
        <v>10</v>
      </c>
      <c r="P1145" s="15" t="s">
        <v>10</v>
      </c>
      <c r="Q1145" s="8"/>
      <c r="R1145" s="9" t="s">
        <v>1141</v>
      </c>
    </row>
    <row r="1146" spans="1:18" x14ac:dyDescent="0.25">
      <c r="A1146" s="6" t="str">
        <f>HYPERLINK("proteomic_fractions_linear_files/Yang_linear_img/27369527.jpg", "27369527")</f>
        <v>27369527</v>
      </c>
      <c r="B1146" s="7"/>
      <c r="C1146" s="6" t="str">
        <f>HYPERLINK("http://www.ncbi.nlm.nih.gov/protein/27369527","Cdkn2aip")</f>
        <v>Cdkn2aip</v>
      </c>
      <c r="D1146" s="8"/>
      <c r="E1146" s="8">
        <v>59614</v>
      </c>
      <c r="F1146" s="8"/>
      <c r="G1146" s="15" t="s">
        <v>10</v>
      </c>
      <c r="H1146" s="15" t="s">
        <v>10</v>
      </c>
      <c r="I1146" s="15">
        <v>0.26545736305302958</v>
      </c>
      <c r="J1146" s="15">
        <v>0.25327230489690478</v>
      </c>
      <c r="K1146" s="15">
        <v>1.2239360040280374</v>
      </c>
      <c r="L1146" s="15">
        <v>1.2239360040280374</v>
      </c>
      <c r="M1146" s="15">
        <v>0.26545736305302958</v>
      </c>
      <c r="N1146" s="15">
        <v>0.26545736305302958</v>
      </c>
      <c r="O1146" s="15">
        <v>0.29283232942264947</v>
      </c>
      <c r="P1146" s="15">
        <v>1.0908877221757389</v>
      </c>
      <c r="Q1146" s="8"/>
      <c r="R1146" s="9" t="s">
        <v>1142</v>
      </c>
    </row>
    <row r="1147" spans="1:18" x14ac:dyDescent="0.25">
      <c r="A1147" s="6" t="str">
        <f>HYPERLINK("proteomic_fractions_linear_files/Yang_linear_img/21313402.jpg", "21313402")</f>
        <v>21313402</v>
      </c>
      <c r="B1147" s="7"/>
      <c r="C1147" s="6" t="str">
        <f>HYPERLINK("http://www.ncbi.nlm.nih.gov/protein/21313402","Cdkn2aipnl")</f>
        <v>Cdkn2aipnl</v>
      </c>
      <c r="D1147" s="8"/>
      <c r="E1147" s="8">
        <v>13078</v>
      </c>
      <c r="F1147" s="8"/>
      <c r="G1147" s="15">
        <v>0.94098933017933517</v>
      </c>
      <c r="H1147" s="15">
        <v>0.94098933017933517</v>
      </c>
      <c r="I1147" s="15" t="s">
        <v>10</v>
      </c>
      <c r="J1147" s="15" t="s">
        <v>10</v>
      </c>
      <c r="K1147" s="15">
        <v>0.98055533399520201</v>
      </c>
      <c r="L1147" s="15">
        <v>0.98055533399520201</v>
      </c>
      <c r="M1147" s="15">
        <v>0.98055533399520201</v>
      </c>
      <c r="N1147" s="15">
        <v>0.98055533399520201</v>
      </c>
      <c r="O1147" s="15">
        <v>0.94098933017933517</v>
      </c>
      <c r="P1147" s="15">
        <v>0.94098933017933517</v>
      </c>
      <c r="Q1147" s="8"/>
      <c r="R1147" s="9" t="s">
        <v>1143</v>
      </c>
    </row>
    <row r="1148" spans="1:18" x14ac:dyDescent="0.25">
      <c r="A1148" s="6" t="str">
        <f>HYPERLINK("proteomic_fractions_linear_files/Yang_linear_img/6671728.jpg", "6671728")</f>
        <v>6671728</v>
      </c>
      <c r="B1148" s="7"/>
      <c r="C1148" s="6" t="str">
        <f>HYPERLINK("http://www.ncbi.nlm.nih.gov/protein/6671728","Cdkn2b")</f>
        <v>Cdkn2b</v>
      </c>
      <c r="D1148" s="8"/>
      <c r="E1148" s="8">
        <v>13657</v>
      </c>
      <c r="F1148" s="8"/>
      <c r="G1148" s="15" t="s">
        <v>10</v>
      </c>
      <c r="H1148" s="15" t="s">
        <v>10</v>
      </c>
      <c r="I1148" s="15" t="s">
        <v>10</v>
      </c>
      <c r="J1148" s="15" t="s">
        <v>10</v>
      </c>
      <c r="K1148" s="15" t="s">
        <v>10</v>
      </c>
      <c r="L1148" s="15" t="s">
        <v>10</v>
      </c>
      <c r="M1148" s="15">
        <v>0.99184646428118928</v>
      </c>
      <c r="N1148" s="15">
        <v>0.99184646428118928</v>
      </c>
      <c r="O1148" s="15">
        <v>0.94979028735725246</v>
      </c>
      <c r="P1148" s="15">
        <v>0.94979028735725246</v>
      </c>
      <c r="Q1148" s="8"/>
      <c r="R1148" s="9" t="s">
        <v>1144</v>
      </c>
    </row>
    <row r="1149" spans="1:18" x14ac:dyDescent="0.25">
      <c r="A1149" s="6" t="str">
        <f>HYPERLINK("proteomic_fractions_linear_files/Yang_linear_img/6680910.jpg", "6680910")</f>
        <v>6680910</v>
      </c>
      <c r="B1149" s="7"/>
      <c r="C1149" s="6" t="str">
        <f>HYPERLINK("http://www.ncbi.nlm.nih.gov/protein/6680910","Cdkn2c")</f>
        <v>Cdkn2c</v>
      </c>
      <c r="D1149" s="8"/>
      <c r="E1149" s="8">
        <v>17935</v>
      </c>
      <c r="F1149" s="8"/>
      <c r="G1149" s="15" t="s">
        <v>10</v>
      </c>
      <c r="H1149" s="15" t="s">
        <v>10</v>
      </c>
      <c r="I1149" s="15" t="s">
        <v>10</v>
      </c>
      <c r="J1149" s="15" t="s">
        <v>10</v>
      </c>
      <c r="K1149" s="15" t="s">
        <v>10</v>
      </c>
      <c r="L1149" s="15" t="s">
        <v>10</v>
      </c>
      <c r="M1149" s="15" t="s">
        <v>10</v>
      </c>
      <c r="N1149" s="15" t="s">
        <v>10</v>
      </c>
      <c r="O1149" s="15">
        <v>0.84424101632301585</v>
      </c>
      <c r="P1149" s="15">
        <v>0.84424101632301585</v>
      </c>
      <c r="Q1149" s="8"/>
      <c r="R1149" s="9" t="s">
        <v>1145</v>
      </c>
    </row>
    <row r="1150" spans="1:18" x14ac:dyDescent="0.25">
      <c r="A1150" s="6" t="str">
        <f>HYPERLINK("proteomic_fractions_linear_files/Yang_linear_img/14719434.jpg", "14719434")</f>
        <v>14719434</v>
      </c>
      <c r="B1150" s="7"/>
      <c r="C1150" s="6" t="str">
        <f>HYPERLINK("http://www.ncbi.nlm.nih.gov/protein/14719434","Cdo1")</f>
        <v>Cdo1</v>
      </c>
      <c r="D1150" s="8"/>
      <c r="E1150" s="8">
        <v>22895</v>
      </c>
      <c r="F1150" s="8"/>
      <c r="G1150" s="15" t="s">
        <v>10</v>
      </c>
      <c r="H1150" s="15" t="s">
        <v>10</v>
      </c>
      <c r="I1150" s="15" t="s">
        <v>10</v>
      </c>
      <c r="J1150" s="15" t="s">
        <v>10</v>
      </c>
      <c r="K1150" s="15" t="s">
        <v>10</v>
      </c>
      <c r="L1150" s="15" t="s">
        <v>10</v>
      </c>
      <c r="M1150" s="15">
        <v>2.8457940578497536</v>
      </c>
      <c r="N1150" s="15">
        <v>2.8457940578497536</v>
      </c>
      <c r="O1150" s="15" t="s">
        <v>10</v>
      </c>
      <c r="P1150" s="15" t="s">
        <v>10</v>
      </c>
      <c r="Q1150" s="8"/>
      <c r="R1150" s="9" t="s">
        <v>1146</v>
      </c>
    </row>
    <row r="1151" spans="1:18" x14ac:dyDescent="0.25">
      <c r="A1151" s="6" t="str">
        <f>HYPERLINK("proteomic_fractions_linear_files/Yang_linear_img/257467494.jpg", "257467494")</f>
        <v>257467494</v>
      </c>
      <c r="B1151" s="7"/>
      <c r="C1151" s="6" t="str">
        <f>HYPERLINK("http://www.ncbi.nlm.nih.gov/protein/257467494","Cdpf1")</f>
        <v>Cdpf1</v>
      </c>
      <c r="D1151" s="8"/>
      <c r="E1151" s="8">
        <v>13169</v>
      </c>
      <c r="F1151" s="8"/>
      <c r="G1151" s="15" t="s">
        <v>10</v>
      </c>
      <c r="H1151" s="15" t="s">
        <v>10</v>
      </c>
      <c r="I1151" s="15" t="s">
        <v>10</v>
      </c>
      <c r="J1151" s="15" t="s">
        <v>10</v>
      </c>
      <c r="K1151" s="15" t="s">
        <v>10</v>
      </c>
      <c r="L1151" s="15" t="s">
        <v>10</v>
      </c>
      <c r="M1151" s="15" t="s">
        <v>10</v>
      </c>
      <c r="N1151" s="15" t="s">
        <v>10</v>
      </c>
      <c r="O1151" s="15">
        <v>1.068142346148973</v>
      </c>
      <c r="P1151" s="15">
        <v>1.068142346148973</v>
      </c>
      <c r="Q1151" s="8"/>
      <c r="R1151" s="9" t="s">
        <v>1147</v>
      </c>
    </row>
    <row r="1152" spans="1:18" x14ac:dyDescent="0.25">
      <c r="A1152" s="6" t="str">
        <f>HYPERLINK("proteomic_fractions_linear_files/Yang_linear_img/20149726.jpg", "20149726")</f>
        <v>20149726</v>
      </c>
      <c r="B1152" s="7"/>
      <c r="C1152" s="6" t="str">
        <f>HYPERLINK("http://www.ncbi.nlm.nih.gov/protein/20149726","Cds2")</f>
        <v>Cds2</v>
      </c>
      <c r="D1152" s="8"/>
      <c r="E1152" s="8">
        <v>51183</v>
      </c>
      <c r="F1152" s="8"/>
      <c r="G1152" s="15">
        <v>3.6620751301949088</v>
      </c>
      <c r="H1152" s="15">
        <v>3.0088798262008205</v>
      </c>
      <c r="I1152" s="15" t="s">
        <v>10</v>
      </c>
      <c r="J1152" s="15" t="s">
        <v>10</v>
      </c>
      <c r="K1152" s="15">
        <v>0.94686226636108339</v>
      </c>
      <c r="L1152" s="15">
        <v>0.94686226636108339</v>
      </c>
      <c r="M1152" s="15" t="s">
        <v>10</v>
      </c>
      <c r="N1152" s="15" t="s">
        <v>10</v>
      </c>
      <c r="O1152" s="15" t="s">
        <v>10</v>
      </c>
      <c r="P1152" s="15" t="s">
        <v>10</v>
      </c>
      <c r="Q1152" s="8"/>
      <c r="R1152" s="9" t="s">
        <v>1148</v>
      </c>
    </row>
    <row r="1153" spans="1:18" x14ac:dyDescent="0.25">
      <c r="A1153" s="6" t="str">
        <f>HYPERLINK("proteomic_fractions_linear_files/Yang_linear_img/31982546.jpg", "31982546")</f>
        <v>31982546</v>
      </c>
      <c r="B1153" s="7"/>
      <c r="C1153" s="6" t="str">
        <f>HYPERLINK("http://www.ncbi.nlm.nih.gov/protein/31982546","Cdt1")</f>
        <v>Cdt1</v>
      </c>
      <c r="D1153" s="8"/>
      <c r="E1153" s="8">
        <v>61379</v>
      </c>
      <c r="F1153" s="8"/>
      <c r="G1153" s="15" t="s">
        <v>10</v>
      </c>
      <c r="H1153" s="15" t="s">
        <v>10</v>
      </c>
      <c r="I1153" s="15" t="s">
        <v>10</v>
      </c>
      <c r="J1153" s="15" t="s">
        <v>10</v>
      </c>
      <c r="K1153" s="15" t="s">
        <v>10</v>
      </c>
      <c r="L1153" s="15" t="s">
        <v>10</v>
      </c>
      <c r="M1153" s="15" t="s">
        <v>10</v>
      </c>
      <c r="N1153" s="15" t="s">
        <v>10</v>
      </c>
      <c r="O1153" s="15">
        <v>1.2038714793718401</v>
      </c>
      <c r="P1153" s="15">
        <v>1.2038714793718401</v>
      </c>
      <c r="Q1153" s="8"/>
      <c r="R1153" s="9" t="s">
        <v>1149</v>
      </c>
    </row>
    <row r="1154" spans="1:18" x14ac:dyDescent="0.25">
      <c r="A1154" s="6" t="str">
        <f>HYPERLINK("proteomic_fractions_linear_files/Yang_linear_img/197313683.jpg", "197313683")</f>
        <v>197313683</v>
      </c>
      <c r="B1154" s="7"/>
      <c r="C1154" s="6" t="str">
        <f>HYPERLINK("http://www.ncbi.nlm.nih.gov/protein/197313683","Cdv3")</f>
        <v>Cdv3</v>
      </c>
      <c r="D1154" s="8"/>
      <c r="E1154" s="8">
        <v>24065</v>
      </c>
      <c r="F1154" s="8"/>
      <c r="G1154" s="15" t="s">
        <v>10</v>
      </c>
      <c r="H1154" s="15" t="s">
        <v>10</v>
      </c>
      <c r="I1154" s="15">
        <v>1.1632588040700858</v>
      </c>
      <c r="J1154" s="15">
        <v>1.1632588040700858</v>
      </c>
      <c r="K1154" s="15">
        <v>1.2452252871547138</v>
      </c>
      <c r="L1154" s="15">
        <v>1.2452252871547138</v>
      </c>
      <c r="M1154" s="15">
        <v>1.2452252871547138</v>
      </c>
      <c r="N1154" s="15">
        <v>1.2452252871547138</v>
      </c>
      <c r="O1154" s="15">
        <v>1.0895940881427084</v>
      </c>
      <c r="P1154" s="15">
        <v>1.0895940881427084</v>
      </c>
      <c r="Q1154" s="8"/>
      <c r="R1154" s="9" t="s">
        <v>1150</v>
      </c>
    </row>
    <row r="1155" spans="1:18" x14ac:dyDescent="0.25">
      <c r="A1155" s="6" t="str">
        <f>HYPERLINK("proteomic_fractions_linear_files/Yang_linear_img/197313685.jpg", "197313685")</f>
        <v>197313685</v>
      </c>
      <c r="B1155" s="7"/>
      <c r="C1155" s="6" t="str">
        <f>HYPERLINK("http://www.ncbi.nlm.nih.gov/protein/197313685","Cdv3")</f>
        <v>Cdv3</v>
      </c>
      <c r="D1155" s="8"/>
      <c r="E1155" s="8">
        <v>11719</v>
      </c>
      <c r="F1155" s="8"/>
      <c r="G1155" s="15" t="s">
        <v>10</v>
      </c>
      <c r="H1155" s="15" t="s">
        <v>10</v>
      </c>
      <c r="I1155" s="15">
        <v>2.3265176081401715</v>
      </c>
      <c r="J1155" s="15">
        <v>2.3265176081401715</v>
      </c>
      <c r="K1155" s="15">
        <v>2.4904505743094276</v>
      </c>
      <c r="L1155" s="15">
        <v>2.4904505743094276</v>
      </c>
      <c r="M1155" s="15">
        <v>2.4904505743094276</v>
      </c>
      <c r="N1155" s="15">
        <v>2.4904505743094276</v>
      </c>
      <c r="O1155" s="15">
        <v>2.1791881762854168</v>
      </c>
      <c r="P1155" s="15">
        <v>2.1791881762854168</v>
      </c>
      <c r="Q1155" s="8"/>
      <c r="R1155" s="9" t="s">
        <v>1151</v>
      </c>
    </row>
    <row r="1156" spans="1:18" x14ac:dyDescent="0.25">
      <c r="A1156" s="6" t="str">
        <f>HYPERLINK("proteomic_fractions_linear_files/Yang_linear_img/28202071.jpg", "28202071")</f>
        <v>28202071</v>
      </c>
      <c r="B1156" s="7"/>
      <c r="C1156" s="6" t="str">
        <f>HYPERLINK("http://www.ncbi.nlm.nih.gov/protein/28202071","Cdv3")</f>
        <v>Cdv3</v>
      </c>
      <c r="D1156" s="8"/>
      <c r="E1156" s="8">
        <v>24207</v>
      </c>
      <c r="F1156" s="8"/>
      <c r="G1156" s="15" t="s">
        <v>10</v>
      </c>
      <c r="H1156" s="15" t="s">
        <v>10</v>
      </c>
      <c r="I1156" s="15">
        <v>1.1632588040700858</v>
      </c>
      <c r="J1156" s="15">
        <v>1.1632588040700858</v>
      </c>
      <c r="K1156" s="15">
        <v>1.2452252871547138</v>
      </c>
      <c r="L1156" s="15">
        <v>1.2452252871547138</v>
      </c>
      <c r="M1156" s="15">
        <v>1.2452252871547138</v>
      </c>
      <c r="N1156" s="15">
        <v>1.2452252871547138</v>
      </c>
      <c r="O1156" s="15">
        <v>1.0895940881427084</v>
      </c>
      <c r="P1156" s="15">
        <v>1.0895940881427084</v>
      </c>
      <c r="Q1156" s="8"/>
      <c r="R1156" s="9" t="s">
        <v>1152</v>
      </c>
    </row>
    <row r="1157" spans="1:18" x14ac:dyDescent="0.25">
      <c r="A1157" s="6" t="str">
        <f>HYPERLINK("proteomic_fractions_linear_files/Yang_linear_img/28461294.jpg", "28461294")</f>
        <v>28461294</v>
      </c>
      <c r="B1157" s="7"/>
      <c r="C1157" s="6" t="str">
        <f>HYPERLINK("http://www.ncbi.nlm.nih.gov/protein/28461294","Cdv3")</f>
        <v>Cdv3</v>
      </c>
      <c r="D1157" s="8"/>
      <c r="E1157" s="8">
        <v>29598</v>
      </c>
      <c r="F1157" s="8"/>
      <c r="G1157" s="15" t="s">
        <v>10</v>
      </c>
      <c r="H1157" s="15" t="s">
        <v>10</v>
      </c>
      <c r="I1157" s="15">
        <v>0.93060704325606869</v>
      </c>
      <c r="J1157" s="15">
        <v>0.93060704325606869</v>
      </c>
      <c r="K1157" s="15">
        <v>0.99618022972377107</v>
      </c>
      <c r="L1157" s="15">
        <v>0.99618022972377107</v>
      </c>
      <c r="M1157" s="15">
        <v>0.99618022972377107</v>
      </c>
      <c r="N1157" s="15">
        <v>0.99618022972377107</v>
      </c>
      <c r="O1157" s="15">
        <v>0.87167527051416671</v>
      </c>
      <c r="P1157" s="15">
        <v>0.87167527051416671</v>
      </c>
      <c r="Q1157" s="8"/>
      <c r="R1157" s="9" t="s">
        <v>1153</v>
      </c>
    </row>
    <row r="1158" spans="1:18" x14ac:dyDescent="0.25">
      <c r="A1158" s="6" t="str">
        <f>HYPERLINK("proteomic_fractions_linear_files/Yang_linear_img/21450187.jpg", "21450187")</f>
        <v>21450187</v>
      </c>
      <c r="B1158" s="7"/>
      <c r="C1158" s="6" t="str">
        <f>HYPERLINK("http://www.ncbi.nlm.nih.gov/protein/21450187","Cecr5")</f>
        <v>Cecr5</v>
      </c>
      <c r="D1158" s="8"/>
      <c r="E1158" s="8">
        <v>44931</v>
      </c>
      <c r="F1158" s="8"/>
      <c r="G1158" s="15" t="s">
        <v>10</v>
      </c>
      <c r="H1158" s="15" t="s">
        <v>10</v>
      </c>
      <c r="I1158" s="15">
        <v>0.90016262673828318</v>
      </c>
      <c r="J1158" s="15">
        <v>0.90016262673828318</v>
      </c>
      <c r="K1158" s="15" t="s">
        <v>10</v>
      </c>
      <c r="L1158" s="15" t="s">
        <v>10</v>
      </c>
      <c r="M1158" s="15" t="s">
        <v>10</v>
      </c>
      <c r="N1158" s="15" t="s">
        <v>10</v>
      </c>
      <c r="O1158" s="15" t="s">
        <v>10</v>
      </c>
      <c r="P1158" s="15" t="s">
        <v>10</v>
      </c>
      <c r="Q1158" s="8"/>
      <c r="R1158" s="9" t="s">
        <v>1154</v>
      </c>
    </row>
    <row r="1159" spans="1:18" x14ac:dyDescent="0.25">
      <c r="A1159" s="6" t="str">
        <f>HYPERLINK("proteomic_fractions_linear_files/Yang_linear_img/349585220.jpg", "349585220")</f>
        <v>349585220</v>
      </c>
      <c r="B1159" s="7"/>
      <c r="C1159" s="6" t="str">
        <f>HYPERLINK("http://www.ncbi.nlm.nih.gov/protein/349585220","Celf1")</f>
        <v>Celf1</v>
      </c>
      <c r="D1159" s="8"/>
      <c r="E1159" s="8">
        <v>51976</v>
      </c>
      <c r="F1159" s="8"/>
      <c r="G1159" s="15" t="s">
        <v>10</v>
      </c>
      <c r="H1159" s="15" t="s">
        <v>10</v>
      </c>
      <c r="I1159" s="15" t="s">
        <v>10</v>
      </c>
      <c r="J1159" s="15" t="s">
        <v>10</v>
      </c>
      <c r="K1159" s="15">
        <v>1.0215494159615592</v>
      </c>
      <c r="L1159" s="15">
        <v>1.0215494159615592</v>
      </c>
      <c r="M1159" s="15">
        <v>1.0215494159615592</v>
      </c>
      <c r="N1159" s="15">
        <v>1.0215494159615592</v>
      </c>
      <c r="O1159" s="15" t="s">
        <v>10</v>
      </c>
      <c r="P1159" s="15" t="s">
        <v>10</v>
      </c>
      <c r="Q1159" s="8"/>
      <c r="R1159" s="9" t="s">
        <v>1155</v>
      </c>
    </row>
    <row r="1160" spans="1:18" x14ac:dyDescent="0.25">
      <c r="A1160" s="6" t="str">
        <f>HYPERLINK("proteomic_fractions_linear_files/Yang_linear_img/38570086.jpg", "38570086")</f>
        <v>38570086</v>
      </c>
      <c r="B1160" s="7"/>
      <c r="C1160" s="6" t="str">
        <f>HYPERLINK("http://www.ncbi.nlm.nih.gov/protein/38570086","Celf1")</f>
        <v>Celf1</v>
      </c>
      <c r="D1160" s="8"/>
      <c r="E1160" s="8">
        <v>54985</v>
      </c>
      <c r="F1160" s="8"/>
      <c r="G1160" s="15" t="s">
        <v>10</v>
      </c>
      <c r="H1160" s="15" t="s">
        <v>10</v>
      </c>
      <c r="I1160" s="15" t="s">
        <v>10</v>
      </c>
      <c r="J1160" s="15" t="s">
        <v>10</v>
      </c>
      <c r="K1160" s="15">
        <v>0.96582853872729235</v>
      </c>
      <c r="L1160" s="15">
        <v>0.96582853872729235</v>
      </c>
      <c r="M1160" s="15">
        <v>0.96582853872729235</v>
      </c>
      <c r="N1160" s="15">
        <v>0.96582853872729235</v>
      </c>
      <c r="O1160" s="15" t="s">
        <v>10</v>
      </c>
      <c r="P1160" s="15" t="s">
        <v>10</v>
      </c>
      <c r="Q1160" s="8"/>
      <c r="R1160" s="9" t="s">
        <v>1156</v>
      </c>
    </row>
    <row r="1161" spans="1:18" x14ac:dyDescent="0.25">
      <c r="A1161" s="6" t="str">
        <f>HYPERLINK("proteomic_fractions_linear_files/Yang_linear_img/124286791.jpg", "124286791")</f>
        <v>124286791</v>
      </c>
      <c r="B1161" s="7"/>
      <c r="C1161" s="6" t="str">
        <f>HYPERLINK("http://www.ncbi.nlm.nih.gov/protein/124286791","Celf2")</f>
        <v>Celf2</v>
      </c>
      <c r="D1161" s="8"/>
      <c r="E1161" s="8">
        <v>50765</v>
      </c>
      <c r="F1161" s="8"/>
      <c r="G1161" s="15" t="s">
        <v>10</v>
      </c>
      <c r="H1161" s="15" t="s">
        <v>10</v>
      </c>
      <c r="I1161" s="15" t="s">
        <v>10</v>
      </c>
      <c r="J1161" s="15" t="s">
        <v>10</v>
      </c>
      <c r="K1161" s="15">
        <v>1.0415797966666878</v>
      </c>
      <c r="L1161" s="15">
        <v>1.0415797966666878</v>
      </c>
      <c r="M1161" s="15" t="s">
        <v>10</v>
      </c>
      <c r="N1161" s="15" t="s">
        <v>10</v>
      </c>
      <c r="O1161" s="15" t="s">
        <v>10</v>
      </c>
      <c r="P1161" s="15" t="s">
        <v>10</v>
      </c>
      <c r="Q1161" s="8"/>
      <c r="R1161" s="9" t="s">
        <v>1157</v>
      </c>
    </row>
    <row r="1162" spans="1:18" x14ac:dyDescent="0.25">
      <c r="A1162" s="6" t="str">
        <f>HYPERLINK("proteomic_fractions_linear_files/Yang_linear_img/159032033.jpg", "159032033")</f>
        <v>159032033</v>
      </c>
      <c r="B1162" s="7"/>
      <c r="C1162" s="6" t="str">
        <f>HYPERLINK("http://www.ncbi.nlm.nih.gov/protein/159032033","Celf2")</f>
        <v>Celf2</v>
      </c>
      <c r="D1162" s="8"/>
      <c r="E1162" s="8">
        <v>55694</v>
      </c>
      <c r="F1162" s="8"/>
      <c r="G1162" s="15" t="s">
        <v>10</v>
      </c>
      <c r="H1162" s="15" t="s">
        <v>10</v>
      </c>
      <c r="I1162" s="15" t="s">
        <v>10</v>
      </c>
      <c r="J1162" s="15" t="s">
        <v>10</v>
      </c>
      <c r="K1162" s="15">
        <v>0.94858160053573359</v>
      </c>
      <c r="L1162" s="15">
        <v>0.94858160053573359</v>
      </c>
      <c r="M1162" s="15" t="s">
        <v>10</v>
      </c>
      <c r="N1162" s="15" t="s">
        <v>10</v>
      </c>
      <c r="O1162" s="15" t="s">
        <v>10</v>
      </c>
      <c r="P1162" s="15" t="s">
        <v>10</v>
      </c>
      <c r="Q1162" s="8"/>
      <c r="R1162" s="9" t="s">
        <v>1158</v>
      </c>
    </row>
    <row r="1163" spans="1:18" x14ac:dyDescent="0.25">
      <c r="A1163" s="6" t="str">
        <f>HYPERLINK("proteomic_fractions_linear_files/Yang_linear_img/159032035.jpg", "159032035")</f>
        <v>159032035</v>
      </c>
      <c r="B1163" s="7"/>
      <c r="C1163" s="6" t="str">
        <f>HYPERLINK("http://www.ncbi.nlm.nih.gov/protein/159032035","Celf2")</f>
        <v>Celf2</v>
      </c>
      <c r="D1163" s="8"/>
      <c r="E1163" s="8">
        <v>55279</v>
      </c>
      <c r="F1163" s="8"/>
      <c r="G1163" s="15" t="s">
        <v>10</v>
      </c>
      <c r="H1163" s="15" t="s">
        <v>10</v>
      </c>
      <c r="I1163" s="15" t="s">
        <v>10</v>
      </c>
      <c r="J1163" s="15" t="s">
        <v>10</v>
      </c>
      <c r="K1163" s="15">
        <v>0.96582853872729235</v>
      </c>
      <c r="L1163" s="15">
        <v>0.96582853872729235</v>
      </c>
      <c r="M1163" s="15" t="s">
        <v>10</v>
      </c>
      <c r="N1163" s="15" t="s">
        <v>10</v>
      </c>
      <c r="O1163" s="15" t="s">
        <v>10</v>
      </c>
      <c r="P1163" s="15" t="s">
        <v>10</v>
      </c>
      <c r="Q1163" s="8"/>
      <c r="R1163" s="9" t="s">
        <v>1159</v>
      </c>
    </row>
    <row r="1164" spans="1:18" x14ac:dyDescent="0.25">
      <c r="A1164" s="6" t="str">
        <f>HYPERLINK("proteomic_fractions_linear_files/Yang_linear_img/159032037.jpg", "159032037")</f>
        <v>159032037</v>
      </c>
      <c r="B1164" s="7"/>
      <c r="C1164" s="6" t="str">
        <f>HYPERLINK("http://www.ncbi.nlm.nih.gov/protein/159032037","Celf2")</f>
        <v>Celf2</v>
      </c>
      <c r="D1164" s="8"/>
      <c r="E1164" s="8">
        <v>52124</v>
      </c>
      <c r="F1164" s="8"/>
      <c r="G1164" s="15" t="s">
        <v>10</v>
      </c>
      <c r="H1164" s="15" t="s">
        <v>10</v>
      </c>
      <c r="I1164" s="15" t="s">
        <v>10</v>
      </c>
      <c r="J1164" s="15" t="s">
        <v>10</v>
      </c>
      <c r="K1164" s="15">
        <v>1.0215494159615592</v>
      </c>
      <c r="L1164" s="15">
        <v>1.0215494159615592</v>
      </c>
      <c r="M1164" s="15" t="s">
        <v>10</v>
      </c>
      <c r="N1164" s="15" t="s">
        <v>10</v>
      </c>
      <c r="O1164" s="15" t="s">
        <v>10</v>
      </c>
      <c r="P1164" s="15" t="s">
        <v>10</v>
      </c>
      <c r="Q1164" s="8"/>
      <c r="R1164" s="9" t="s">
        <v>1160</v>
      </c>
    </row>
    <row r="1165" spans="1:18" x14ac:dyDescent="0.25">
      <c r="A1165" s="6" t="str">
        <f>HYPERLINK("proteomic_fractions_linear_files/Yang_linear_img/159032039.jpg", "159032039")</f>
        <v>159032039</v>
      </c>
      <c r="B1165" s="7"/>
      <c r="C1165" s="6" t="str">
        <f>HYPERLINK("http://www.ncbi.nlm.nih.gov/protein/159032039","Celf2")</f>
        <v>Celf2</v>
      </c>
      <c r="D1165" s="8"/>
      <c r="E1165" s="8">
        <v>51494</v>
      </c>
      <c r="F1165" s="8"/>
      <c r="G1165" s="15" t="s">
        <v>10</v>
      </c>
      <c r="H1165" s="15" t="s">
        <v>10</v>
      </c>
      <c r="I1165" s="15" t="s">
        <v>10</v>
      </c>
      <c r="J1165" s="15" t="s">
        <v>10</v>
      </c>
      <c r="K1165" s="15">
        <v>1.0415797966666878</v>
      </c>
      <c r="L1165" s="15">
        <v>1.0415797966666878</v>
      </c>
      <c r="M1165" s="15" t="s">
        <v>10</v>
      </c>
      <c r="N1165" s="15" t="s">
        <v>10</v>
      </c>
      <c r="O1165" s="15" t="s">
        <v>10</v>
      </c>
      <c r="P1165" s="15" t="s">
        <v>10</v>
      </c>
      <c r="Q1165" s="8"/>
      <c r="R1165" s="9" t="s">
        <v>1161</v>
      </c>
    </row>
    <row r="1166" spans="1:18" x14ac:dyDescent="0.25">
      <c r="A1166" s="6" t="str">
        <f>HYPERLINK("proteomic_fractions_linear_files/Yang_linear_img/237757269.jpg", "237757269")</f>
        <v>237757269</v>
      </c>
      <c r="B1166" s="7"/>
      <c r="C1166" s="6" t="str">
        <f>HYPERLINK("http://www.ncbi.nlm.nih.gov/protein/237757269","Celf2")</f>
        <v>Celf2</v>
      </c>
      <c r="D1166" s="8"/>
      <c r="E1166" s="8">
        <v>49847</v>
      </c>
      <c r="F1166" s="8"/>
      <c r="G1166" s="15" t="s">
        <v>10</v>
      </c>
      <c r="H1166" s="15" t="s">
        <v>10</v>
      </c>
      <c r="I1166" s="15" t="s">
        <v>10</v>
      </c>
      <c r="J1166" s="15" t="s">
        <v>10</v>
      </c>
      <c r="K1166" s="15">
        <v>1.0624113926000216</v>
      </c>
      <c r="L1166" s="15">
        <v>1.0624113926000216</v>
      </c>
      <c r="M1166" s="15" t="s">
        <v>10</v>
      </c>
      <c r="N1166" s="15" t="s">
        <v>10</v>
      </c>
      <c r="O1166" s="15" t="s">
        <v>10</v>
      </c>
      <c r="P1166" s="15" t="s">
        <v>10</v>
      </c>
      <c r="Q1166" s="8"/>
      <c r="R1166" s="9" t="s">
        <v>1162</v>
      </c>
    </row>
    <row r="1167" spans="1:18" x14ac:dyDescent="0.25">
      <c r="A1167" s="6" t="str">
        <f>HYPERLINK("proteomic_fractions_linear_files/Yang_linear_img/237757271;159032031.jpg", "237757271;159032031")</f>
        <v>237757271;159032031</v>
      </c>
      <c r="B1167" s="8"/>
      <c r="C1167" s="6" t="str">
        <f>HYPERLINK("http://www.ncbi.nlm.nih.gov/protein/237757271;159032031","Celf2")</f>
        <v>Celf2</v>
      </c>
      <c r="D1167" s="8"/>
      <c r="E1167" s="8">
        <v>56197</v>
      </c>
      <c r="F1167" s="8"/>
      <c r="G1167" s="15" t="s">
        <v>10</v>
      </c>
      <c r="H1167" s="15" t="s">
        <v>10</v>
      </c>
      <c r="I1167" s="15" t="s">
        <v>10</v>
      </c>
      <c r="J1167" s="15" t="s">
        <v>10</v>
      </c>
      <c r="K1167" s="15">
        <v>0.94858160053573359</v>
      </c>
      <c r="L1167" s="15">
        <v>0.94858160053573359</v>
      </c>
      <c r="M1167" s="15" t="s">
        <v>10</v>
      </c>
      <c r="N1167" s="15" t="s">
        <v>10</v>
      </c>
      <c r="O1167" s="15" t="s">
        <v>10</v>
      </c>
      <c r="P1167" s="15" t="s">
        <v>10</v>
      </c>
      <c r="Q1167" s="8"/>
      <c r="R1167" s="9" t="s">
        <v>1163</v>
      </c>
    </row>
    <row r="1168" spans="1:18" x14ac:dyDescent="0.25">
      <c r="A1168" s="6" t="str">
        <f>HYPERLINK("proteomic_fractions_linear_files/Yang_linear_img/114050895.jpg", "114050895")</f>
        <v>114050895</v>
      </c>
      <c r="B1168" s="7"/>
      <c r="C1168" s="6" t="str">
        <f>HYPERLINK("http://www.ncbi.nlm.nih.gov/protein/114050895","Celsr2")</f>
        <v>Celsr2</v>
      </c>
      <c r="D1168" s="8"/>
      <c r="E1168" s="8">
        <v>313761</v>
      </c>
      <c r="F1168" s="8"/>
      <c r="G1168" s="15" t="s">
        <v>10</v>
      </c>
      <c r="H1168" s="15" t="s">
        <v>10</v>
      </c>
      <c r="I1168" s="15" t="s">
        <v>10</v>
      </c>
      <c r="J1168" s="15" t="s">
        <v>10</v>
      </c>
      <c r="K1168" s="15">
        <v>0.74318741282754486</v>
      </c>
      <c r="L1168" s="15">
        <v>0.74318741282754486</v>
      </c>
      <c r="M1168" s="15" t="s">
        <v>10</v>
      </c>
      <c r="N1168" s="15" t="s">
        <v>10</v>
      </c>
      <c r="O1168" s="15" t="s">
        <v>10</v>
      </c>
      <c r="P1168" s="15" t="s">
        <v>10</v>
      </c>
      <c r="Q1168" s="8"/>
      <c r="R1168" s="9" t="s">
        <v>1164</v>
      </c>
    </row>
    <row r="1169" spans="1:18" x14ac:dyDescent="0.25">
      <c r="A1169" s="6" t="str">
        <f>HYPERLINK("proteomic_fractions_linear_files/Yang_linear_img/114050897.jpg", "114050897")</f>
        <v>114050897</v>
      </c>
      <c r="B1169" s="7"/>
      <c r="C1169" s="6" t="str">
        <f>HYPERLINK("http://www.ncbi.nlm.nih.gov/protein/114050897","Celsr2")</f>
        <v>Celsr2</v>
      </c>
      <c r="D1169" s="8"/>
      <c r="E1169" s="8">
        <v>313309</v>
      </c>
      <c r="F1169" s="8"/>
      <c r="G1169" s="15" t="s">
        <v>10</v>
      </c>
      <c r="H1169" s="15" t="s">
        <v>10</v>
      </c>
      <c r="I1169" s="15" t="s">
        <v>10</v>
      </c>
      <c r="J1169" s="15" t="s">
        <v>10</v>
      </c>
      <c r="K1169" s="15">
        <v>0.74556181350750506</v>
      </c>
      <c r="L1169" s="15">
        <v>0.74556181350750506</v>
      </c>
      <c r="M1169" s="15" t="s">
        <v>10</v>
      </c>
      <c r="N1169" s="15" t="s">
        <v>10</v>
      </c>
      <c r="O1169" s="15" t="s">
        <v>10</v>
      </c>
      <c r="P1169" s="15" t="s">
        <v>10</v>
      </c>
      <c r="Q1169" s="8"/>
      <c r="R1169" s="9" t="s">
        <v>1165</v>
      </c>
    </row>
    <row r="1170" spans="1:18" x14ac:dyDescent="0.25">
      <c r="A1170" s="6" t="str">
        <f>HYPERLINK("proteomic_fractions_linear_files/Yang_linear_img/115648101.jpg", "115648101")</f>
        <v>115648101</v>
      </c>
      <c r="B1170" s="7"/>
      <c r="C1170" s="6" t="str">
        <f>HYPERLINK("http://www.ncbi.nlm.nih.gov/protein/115648101","Cenpe")</f>
        <v>Cenpe</v>
      </c>
      <c r="D1170" s="8"/>
      <c r="E1170" s="8">
        <v>286084</v>
      </c>
      <c r="F1170" s="8"/>
      <c r="G1170" s="15" t="s">
        <v>10</v>
      </c>
      <c r="H1170" s="15" t="s">
        <v>10</v>
      </c>
      <c r="I1170" s="15" t="s">
        <v>10</v>
      </c>
      <c r="J1170" s="15" t="s">
        <v>10</v>
      </c>
      <c r="K1170" s="15">
        <v>1.0551864497779677</v>
      </c>
      <c r="L1170" s="15">
        <v>1.0551864497779677</v>
      </c>
      <c r="M1170" s="15" t="s">
        <v>10</v>
      </c>
      <c r="N1170" s="15" t="s">
        <v>10</v>
      </c>
      <c r="O1170" s="15">
        <v>1.0551864497779677</v>
      </c>
      <c r="P1170" s="15">
        <v>1.0551864497779677</v>
      </c>
      <c r="Q1170" s="8"/>
      <c r="R1170" s="9" t="s">
        <v>1166</v>
      </c>
    </row>
    <row r="1171" spans="1:18" x14ac:dyDescent="0.25">
      <c r="A1171" s="6" t="str">
        <f>HYPERLINK("proteomic_fractions_linear_files/Yang_linear_img/11230784.jpg", "11230784")</f>
        <v>11230784</v>
      </c>
      <c r="B1171" s="7"/>
      <c r="C1171" s="6" t="str">
        <f>HYPERLINK("http://www.ncbi.nlm.nih.gov/protein/11230784","Cenph")</f>
        <v>Cenph</v>
      </c>
      <c r="D1171" s="8"/>
      <c r="E1171" s="8">
        <v>28004</v>
      </c>
      <c r="F1171" s="8"/>
      <c r="G1171" s="15">
        <v>1.4466899358293837</v>
      </c>
      <c r="H1171" s="15">
        <v>1.4466899358293837</v>
      </c>
      <c r="I1171" s="15">
        <v>1.5759139016773382</v>
      </c>
      <c r="J1171" s="15">
        <v>1.5759139016773382</v>
      </c>
      <c r="K1171" s="15">
        <v>2.967809231183709</v>
      </c>
      <c r="L1171" s="15">
        <v>2.967809231183709</v>
      </c>
      <c r="M1171" s="15">
        <v>2.967809231183709</v>
      </c>
      <c r="N1171" s="15">
        <v>2.967809231183709</v>
      </c>
      <c r="O1171" s="15" t="s">
        <v>10</v>
      </c>
      <c r="P1171" s="15" t="s">
        <v>10</v>
      </c>
      <c r="Q1171" s="8"/>
      <c r="R1171" s="9" t="s">
        <v>1167</v>
      </c>
    </row>
    <row r="1172" spans="1:18" x14ac:dyDescent="0.25">
      <c r="A1172" s="6" t="str">
        <f>HYPERLINK("proteomic_fractions_linear_files/Yang_linear_img/122939139.jpg", "122939139")</f>
        <v>122939139</v>
      </c>
      <c r="B1172" s="7"/>
      <c r="C1172" s="6" t="str">
        <f>HYPERLINK("http://www.ncbi.nlm.nih.gov/protein/122939139","Cenpm")</f>
        <v>Cenpm</v>
      </c>
      <c r="D1172" s="8"/>
      <c r="E1172" s="8">
        <v>16168</v>
      </c>
      <c r="F1172" s="8"/>
      <c r="G1172" s="15" t="s">
        <v>10</v>
      </c>
      <c r="H1172" s="15" t="s">
        <v>10</v>
      </c>
      <c r="I1172" s="15" t="s">
        <v>10</v>
      </c>
      <c r="J1172" s="15" t="s">
        <v>10</v>
      </c>
      <c r="K1172" s="15" t="s">
        <v>10</v>
      </c>
      <c r="L1172" s="15" t="s">
        <v>10</v>
      </c>
      <c r="M1172" s="15">
        <v>1.2188218642522046</v>
      </c>
      <c r="N1172" s="15">
        <v>1.2188218642522046</v>
      </c>
      <c r="O1172" s="15" t="s">
        <v>10</v>
      </c>
      <c r="P1172" s="15" t="s">
        <v>10</v>
      </c>
      <c r="Q1172" s="8"/>
      <c r="R1172" s="9" t="s">
        <v>1168</v>
      </c>
    </row>
    <row r="1173" spans="1:18" x14ac:dyDescent="0.25">
      <c r="A1173" s="6" t="str">
        <f>HYPERLINK("proteomic_fractions_linear_files/Yang_linear_img/13385104.jpg", "13385104")</f>
        <v>13385104</v>
      </c>
      <c r="B1173" s="7"/>
      <c r="C1173" s="6" t="str">
        <f>HYPERLINK("http://www.ncbi.nlm.nih.gov/protein/13385104","Cenpm")</f>
        <v>Cenpm</v>
      </c>
      <c r="D1173" s="8"/>
      <c r="E1173" s="8">
        <v>19908</v>
      </c>
      <c r="F1173" s="8"/>
      <c r="G1173" s="15" t="s">
        <v>10</v>
      </c>
      <c r="H1173" s="15" t="s">
        <v>10</v>
      </c>
      <c r="I1173" s="15" t="s">
        <v>10</v>
      </c>
      <c r="J1173" s="15" t="s">
        <v>10</v>
      </c>
      <c r="K1173" s="15" t="s">
        <v>10</v>
      </c>
      <c r="L1173" s="15" t="s">
        <v>10</v>
      </c>
      <c r="M1173" s="15">
        <v>0.97505749140176368</v>
      </c>
      <c r="N1173" s="15">
        <v>0.97505749140176368</v>
      </c>
      <c r="O1173" s="15" t="s">
        <v>10</v>
      </c>
      <c r="P1173" s="15" t="s">
        <v>10</v>
      </c>
      <c r="Q1173" s="8"/>
      <c r="R1173" s="9" t="s">
        <v>1169</v>
      </c>
    </row>
    <row r="1174" spans="1:18" x14ac:dyDescent="0.25">
      <c r="A1174" s="6" t="str">
        <f>HYPERLINK("proteomic_fractions_linear_files/Yang_linear_img/189458800.jpg", "189458800")</f>
        <v>189458800</v>
      </c>
      <c r="B1174" s="7"/>
      <c r="C1174" s="6" t="str">
        <f>HYPERLINK("http://www.ncbi.nlm.nih.gov/protein/189458800","Cep250")</f>
        <v>Cep250</v>
      </c>
      <c r="D1174" s="8"/>
      <c r="E1174" s="8">
        <v>276684</v>
      </c>
      <c r="F1174" s="8"/>
      <c r="G1174" s="15" t="s">
        <v>10</v>
      </c>
      <c r="H1174" s="15" t="s">
        <v>10</v>
      </c>
      <c r="I1174" s="15">
        <v>1.0894704860523421</v>
      </c>
      <c r="J1174" s="15">
        <v>1.0894704860523421</v>
      </c>
      <c r="K1174" s="15" t="s">
        <v>10</v>
      </c>
      <c r="L1174" s="15" t="s">
        <v>10</v>
      </c>
      <c r="M1174" s="15" t="s">
        <v>10</v>
      </c>
      <c r="N1174" s="15" t="s">
        <v>10</v>
      </c>
      <c r="O1174" s="15" t="s">
        <v>10</v>
      </c>
      <c r="P1174" s="15" t="s">
        <v>10</v>
      </c>
      <c r="Q1174" s="8"/>
      <c r="R1174" s="9" t="s">
        <v>1170</v>
      </c>
    </row>
    <row r="1175" spans="1:18" x14ac:dyDescent="0.25">
      <c r="A1175" s="6" t="str">
        <f>HYPERLINK("proteomic_fractions_linear_files/Yang_linear_img/194018503.jpg", "194018503")</f>
        <v>194018503</v>
      </c>
      <c r="B1175" s="7"/>
      <c r="C1175" s="6" t="str">
        <f>HYPERLINK("http://www.ncbi.nlm.nih.gov/protein/194018503","Cep250")</f>
        <v>Cep250</v>
      </c>
      <c r="D1175" s="8"/>
      <c r="E1175" s="8">
        <v>278840</v>
      </c>
      <c r="F1175" s="8"/>
      <c r="G1175" s="15" t="s">
        <v>10</v>
      </c>
      <c r="H1175" s="15" t="s">
        <v>10</v>
      </c>
      <c r="I1175" s="15">
        <v>1.0816606617795654</v>
      </c>
      <c r="J1175" s="15">
        <v>1.0816606617795654</v>
      </c>
      <c r="K1175" s="15" t="s">
        <v>10</v>
      </c>
      <c r="L1175" s="15" t="s">
        <v>10</v>
      </c>
      <c r="M1175" s="15" t="s">
        <v>10</v>
      </c>
      <c r="N1175" s="15" t="s">
        <v>10</v>
      </c>
      <c r="O1175" s="15" t="s">
        <v>10</v>
      </c>
      <c r="P1175" s="15" t="s">
        <v>10</v>
      </c>
      <c r="Q1175" s="8"/>
      <c r="R1175" s="9" t="s">
        <v>1171</v>
      </c>
    </row>
    <row r="1176" spans="1:18" x14ac:dyDescent="0.25">
      <c r="A1176" s="6" t="str">
        <f>HYPERLINK("proteomic_fractions_linear_files/Yang_linear_img/194097345.jpg", "194097345")</f>
        <v>194097345</v>
      </c>
      <c r="B1176" s="7"/>
      <c r="C1176" s="6" t="str">
        <f>HYPERLINK("http://www.ncbi.nlm.nih.gov/protein/194097345","Cep250")</f>
        <v>Cep250</v>
      </c>
      <c r="D1176" s="8"/>
      <c r="E1176" s="8">
        <v>278711</v>
      </c>
      <c r="F1176" s="8"/>
      <c r="G1176" s="15" t="s">
        <v>10</v>
      </c>
      <c r="H1176" s="15" t="s">
        <v>10</v>
      </c>
      <c r="I1176" s="15">
        <v>1.0816606617795654</v>
      </c>
      <c r="J1176" s="15">
        <v>1.0816606617795654</v>
      </c>
      <c r="K1176" s="15" t="s">
        <v>10</v>
      </c>
      <c r="L1176" s="15" t="s">
        <v>10</v>
      </c>
      <c r="M1176" s="15" t="s">
        <v>10</v>
      </c>
      <c r="N1176" s="15" t="s">
        <v>10</v>
      </c>
      <c r="O1176" s="15" t="s">
        <v>10</v>
      </c>
      <c r="P1176" s="15" t="s">
        <v>10</v>
      </c>
      <c r="Q1176" s="8"/>
      <c r="R1176" s="9" t="s">
        <v>1172</v>
      </c>
    </row>
    <row r="1177" spans="1:18" x14ac:dyDescent="0.25">
      <c r="A1177" s="6" t="str">
        <f>HYPERLINK("proteomic_fractions_linear_files/Yang_linear_img/163965444.jpg", "163965444")</f>
        <v>163965444</v>
      </c>
      <c r="B1177" s="7"/>
      <c r="C1177" s="6" t="str">
        <f>HYPERLINK("http://www.ncbi.nlm.nih.gov/protein/163965444","Cep290")</f>
        <v>Cep290</v>
      </c>
      <c r="D1177" s="8"/>
      <c r="E1177" s="8">
        <v>289843</v>
      </c>
      <c r="F1177" s="8"/>
      <c r="G1177" s="15" t="s">
        <v>10</v>
      </c>
      <c r="H1177" s="15" t="s">
        <v>10</v>
      </c>
      <c r="I1177" s="15" t="s">
        <v>10</v>
      </c>
      <c r="J1177" s="15" t="s">
        <v>10</v>
      </c>
      <c r="K1177" s="15">
        <v>1.0406321539189614</v>
      </c>
      <c r="L1177" s="15">
        <v>1.0406321539189614</v>
      </c>
      <c r="M1177" s="15" t="s">
        <v>10</v>
      </c>
      <c r="N1177" s="15" t="s">
        <v>10</v>
      </c>
      <c r="O1177" s="15" t="s">
        <v>10</v>
      </c>
      <c r="P1177" s="15" t="s">
        <v>10</v>
      </c>
      <c r="Q1177" s="8"/>
      <c r="R1177" s="9" t="s">
        <v>1173</v>
      </c>
    </row>
    <row r="1178" spans="1:18" x14ac:dyDescent="0.25">
      <c r="A1178" s="6" t="str">
        <f>HYPERLINK("proteomic_fractions_linear_files/Yang_linear_img/255982600.jpg", "255982600")</f>
        <v>255982600</v>
      </c>
      <c r="B1178" s="7"/>
      <c r="C1178" s="6" t="str">
        <f>HYPERLINK("http://www.ncbi.nlm.nih.gov/protein/255982600","Cep350")</f>
        <v>Cep350</v>
      </c>
      <c r="D1178" s="8"/>
      <c r="E1178" s="8">
        <v>346327</v>
      </c>
      <c r="F1178" s="8"/>
      <c r="G1178" s="15" t="s">
        <v>10</v>
      </c>
      <c r="H1178" s="15" t="s">
        <v>10</v>
      </c>
      <c r="I1178" s="15" t="s">
        <v>10</v>
      </c>
      <c r="J1178" s="15" t="s">
        <v>10</v>
      </c>
      <c r="K1178" s="15" t="s">
        <v>10</v>
      </c>
      <c r="L1178" s="15" t="s">
        <v>10</v>
      </c>
      <c r="M1178" s="15">
        <v>0.12753060476001579</v>
      </c>
      <c r="N1178" s="15">
        <v>0.12753060476001579</v>
      </c>
      <c r="O1178" s="15" t="s">
        <v>10</v>
      </c>
      <c r="P1178" s="15" t="s">
        <v>10</v>
      </c>
      <c r="Q1178" s="8"/>
      <c r="R1178" s="9" t="s">
        <v>1174</v>
      </c>
    </row>
    <row r="1179" spans="1:18" x14ac:dyDescent="0.25">
      <c r="A1179" s="6" t="str">
        <f>HYPERLINK("proteomic_fractions_linear_files/Yang_linear_img/14030773.jpg", "14030773")</f>
        <v>14030773</v>
      </c>
      <c r="B1179" s="7"/>
      <c r="C1179" s="6" t="str">
        <f>HYPERLINK("http://www.ncbi.nlm.nih.gov/protein/14030773","Cep41")</f>
        <v>Cep41</v>
      </c>
      <c r="D1179" s="8"/>
      <c r="E1179" s="8">
        <v>41311</v>
      </c>
      <c r="F1179" s="8"/>
      <c r="G1179" s="15" t="s">
        <v>10</v>
      </c>
      <c r="H1179" s="15" t="s">
        <v>10</v>
      </c>
      <c r="I1179" s="15" t="s">
        <v>10</v>
      </c>
      <c r="J1179" s="15" t="s">
        <v>10</v>
      </c>
      <c r="K1179" s="15">
        <v>1.1778042825467134</v>
      </c>
      <c r="L1179" s="15">
        <v>1.1778042825467134</v>
      </c>
      <c r="M1179" s="15" t="s">
        <v>10</v>
      </c>
      <c r="N1179" s="15" t="s">
        <v>10</v>
      </c>
      <c r="O1179" s="15" t="s">
        <v>10</v>
      </c>
      <c r="P1179" s="15" t="s">
        <v>10</v>
      </c>
      <c r="Q1179" s="8"/>
      <c r="R1179" s="9" t="s">
        <v>1175</v>
      </c>
    </row>
    <row r="1180" spans="1:18" x14ac:dyDescent="0.25">
      <c r="A1180" s="6" t="str">
        <f>HYPERLINK("proteomic_fractions_linear_files/Yang_linear_img/256355030.jpg", "256355030")</f>
        <v>256355030</v>
      </c>
      <c r="B1180" s="7"/>
      <c r="C1180" s="6" t="str">
        <f>HYPERLINK("http://www.ncbi.nlm.nih.gov/protein/256355030","Cep55")</f>
        <v>Cep55</v>
      </c>
      <c r="D1180" s="8"/>
      <c r="E1180" s="8">
        <v>53671</v>
      </c>
      <c r="F1180" s="8"/>
      <c r="G1180" s="15" t="s">
        <v>10</v>
      </c>
      <c r="H1180" s="15" t="s">
        <v>10</v>
      </c>
      <c r="I1180" s="15">
        <v>0.98371425240742738</v>
      </c>
      <c r="J1180" s="15">
        <v>0.98371425240742738</v>
      </c>
      <c r="K1180" s="15" t="s">
        <v>10</v>
      </c>
      <c r="L1180" s="15" t="s">
        <v>10</v>
      </c>
      <c r="M1180" s="15">
        <v>0.98371425240742738</v>
      </c>
      <c r="N1180" s="15">
        <v>0.98371425240742738</v>
      </c>
      <c r="O1180" s="15" t="s">
        <v>10</v>
      </c>
      <c r="P1180" s="15" t="s">
        <v>10</v>
      </c>
      <c r="Q1180" s="8"/>
      <c r="R1180" s="9" t="s">
        <v>1176</v>
      </c>
    </row>
    <row r="1181" spans="1:18" x14ac:dyDescent="0.25">
      <c r="A1181" s="6" t="str">
        <f>HYPERLINK("proteomic_fractions_linear_files/Yang_linear_img/256355032.jpg", "256355032")</f>
        <v>256355032</v>
      </c>
      <c r="B1181" s="7"/>
      <c r="C1181" s="6" t="str">
        <f>HYPERLINK("http://www.ncbi.nlm.nih.gov/protein/256355032","Cep55")</f>
        <v>Cep55</v>
      </c>
      <c r="D1181" s="8"/>
      <c r="E1181" s="8">
        <v>53799</v>
      </c>
      <c r="F1181" s="8"/>
      <c r="G1181" s="15" t="s">
        <v>10</v>
      </c>
      <c r="H1181" s="15" t="s">
        <v>10</v>
      </c>
      <c r="I1181" s="15">
        <v>0.98371425240742738</v>
      </c>
      <c r="J1181" s="15">
        <v>0.98371425240742738</v>
      </c>
      <c r="K1181" s="15" t="s">
        <v>10</v>
      </c>
      <c r="L1181" s="15" t="s">
        <v>10</v>
      </c>
      <c r="M1181" s="15">
        <v>0.98371425240742738</v>
      </c>
      <c r="N1181" s="15">
        <v>0.98371425240742738</v>
      </c>
      <c r="O1181" s="15" t="s">
        <v>10</v>
      </c>
      <c r="P1181" s="15" t="s">
        <v>10</v>
      </c>
      <c r="Q1181" s="8"/>
      <c r="R1181" s="9" t="s">
        <v>1177</v>
      </c>
    </row>
    <row r="1182" spans="1:18" x14ac:dyDescent="0.25">
      <c r="A1182" s="6" t="str">
        <f>HYPERLINK("proteomic_fractions_linear_files/Yang_linear_img/262331530.jpg", "262331530")</f>
        <v>262331530</v>
      </c>
      <c r="B1182" s="7"/>
      <c r="C1182" s="6" t="str">
        <f>HYPERLINK("http://www.ncbi.nlm.nih.gov/protein/262331530","Cep95")</f>
        <v>Cep95</v>
      </c>
      <c r="D1182" s="8"/>
      <c r="E1182" s="8">
        <v>95079</v>
      </c>
      <c r="F1182" s="8"/>
      <c r="G1182" s="15" t="s">
        <v>10</v>
      </c>
      <c r="H1182" s="15" t="s">
        <v>10</v>
      </c>
      <c r="I1182" s="15" t="s">
        <v>10</v>
      </c>
      <c r="J1182" s="15" t="s">
        <v>10</v>
      </c>
      <c r="K1182" s="15">
        <v>1.354964506790705</v>
      </c>
      <c r="L1182" s="15">
        <v>1.354964506790705</v>
      </c>
      <c r="M1182" s="15" t="s">
        <v>10</v>
      </c>
      <c r="N1182" s="15" t="s">
        <v>10</v>
      </c>
      <c r="O1182" s="15" t="s">
        <v>10</v>
      </c>
      <c r="P1182" s="15" t="s">
        <v>10</v>
      </c>
      <c r="Q1182" s="8"/>
      <c r="R1182" s="9" t="s">
        <v>1178</v>
      </c>
    </row>
    <row r="1183" spans="1:18" x14ac:dyDescent="0.25">
      <c r="A1183" s="6" t="str">
        <f>HYPERLINK("proteomic_fractions_linear_files/Yang_linear_img/262331533.jpg", "262331533")</f>
        <v>262331533</v>
      </c>
      <c r="B1183" s="7"/>
      <c r="C1183" s="6" t="str">
        <f>HYPERLINK("http://www.ncbi.nlm.nih.gov/protein/262331533","Cep95")</f>
        <v>Cep95</v>
      </c>
      <c r="D1183" s="8"/>
      <c r="E1183" s="8">
        <v>90662</v>
      </c>
      <c r="F1183" s="8"/>
      <c r="G1183" s="15" t="s">
        <v>10</v>
      </c>
      <c r="H1183" s="15" t="s">
        <v>10</v>
      </c>
      <c r="I1183" s="15" t="s">
        <v>10</v>
      </c>
      <c r="J1183" s="15" t="s">
        <v>10</v>
      </c>
      <c r="K1183" s="15">
        <v>1.4145233862100766</v>
      </c>
      <c r="L1183" s="15">
        <v>1.4145233862100766</v>
      </c>
      <c r="M1183" s="15" t="s">
        <v>10</v>
      </c>
      <c r="N1183" s="15" t="s">
        <v>10</v>
      </c>
      <c r="O1183" s="15" t="s">
        <v>10</v>
      </c>
      <c r="P1183" s="15" t="s">
        <v>10</v>
      </c>
      <c r="Q1183" s="8"/>
      <c r="R1183" s="9" t="s">
        <v>1179</v>
      </c>
    </row>
    <row r="1184" spans="1:18" x14ac:dyDescent="0.25">
      <c r="A1184" s="6" t="str">
        <f>HYPERLINK("proteomic_fractions_linear_files/Yang_linear_img/21312662.jpg", "21312662")</f>
        <v>21312662</v>
      </c>
      <c r="B1184" s="7"/>
      <c r="C1184" s="6" t="str">
        <f>HYPERLINK("http://www.ncbi.nlm.nih.gov/protein/21312662","Cep97")</f>
        <v>Cep97</v>
      </c>
      <c r="D1184" s="8"/>
      <c r="E1184" s="8">
        <v>94510</v>
      </c>
      <c r="F1184" s="8"/>
      <c r="G1184" s="15" t="s">
        <v>10</v>
      </c>
      <c r="H1184" s="15" t="s">
        <v>10</v>
      </c>
      <c r="I1184" s="15" t="s">
        <v>10</v>
      </c>
      <c r="J1184" s="15" t="s">
        <v>10</v>
      </c>
      <c r="K1184" s="15" t="s">
        <v>10</v>
      </c>
      <c r="L1184" s="15" t="s">
        <v>10</v>
      </c>
      <c r="M1184" s="15" t="s">
        <v>10</v>
      </c>
      <c r="N1184" s="15" t="s">
        <v>10</v>
      </c>
      <c r="O1184" s="15">
        <v>1.354964506790705</v>
      </c>
      <c r="P1184" s="15">
        <v>1.354964506790705</v>
      </c>
      <c r="Q1184" s="8"/>
      <c r="R1184" s="9" t="s">
        <v>1180</v>
      </c>
    </row>
    <row r="1185" spans="1:18" x14ac:dyDescent="0.25">
      <c r="A1185" s="6" t="str">
        <f>HYPERLINK("proteomic_fractions_linear_files/Yang_linear_img/31559983.jpg", "31559983")</f>
        <v>31559983</v>
      </c>
      <c r="B1185" s="7"/>
      <c r="C1185" s="6" t="str">
        <f>HYPERLINK("http://www.ncbi.nlm.nih.gov/protein/31559983","Cept1")</f>
        <v>Cept1</v>
      </c>
      <c r="D1185" s="8"/>
      <c r="E1185" s="8">
        <v>46304</v>
      </c>
      <c r="F1185" s="8"/>
      <c r="G1185" s="15" t="s">
        <v>10</v>
      </c>
      <c r="H1185" s="15" t="s">
        <v>10</v>
      </c>
      <c r="I1185" s="15">
        <v>0.60691763690613176</v>
      </c>
      <c r="J1185" s="15">
        <v>0.60691763690613176</v>
      </c>
      <c r="K1185" s="15">
        <v>0.64968275851550283</v>
      </c>
      <c r="L1185" s="15">
        <v>0.64968275851550283</v>
      </c>
      <c r="M1185" s="15" t="s">
        <v>10</v>
      </c>
      <c r="N1185" s="15" t="s">
        <v>10</v>
      </c>
      <c r="O1185" s="15" t="s">
        <v>10</v>
      </c>
      <c r="P1185" s="15" t="s">
        <v>10</v>
      </c>
      <c r="Q1185" s="8"/>
      <c r="R1185" s="9" t="s">
        <v>1181</v>
      </c>
    </row>
    <row r="1186" spans="1:18" x14ac:dyDescent="0.25">
      <c r="A1186" s="6" t="str">
        <f>HYPERLINK("proteomic_fractions_linear_files/Yang_linear_img/22095015.jpg", "22095015")</f>
        <v>22095015</v>
      </c>
      <c r="B1186" s="7"/>
      <c r="C1186" s="6" t="str">
        <f>HYPERLINK("http://www.ncbi.nlm.nih.gov/protein/22095015","Cers2")</f>
        <v>Cers2</v>
      </c>
      <c r="D1186" s="8"/>
      <c r="E1186" s="8">
        <v>44893</v>
      </c>
      <c r="F1186" s="8"/>
      <c r="G1186" s="15">
        <v>1.0731105685425613</v>
      </c>
      <c r="H1186" s="15">
        <v>1.0731105685425613</v>
      </c>
      <c r="I1186" s="15">
        <v>0.76785281178833742</v>
      </c>
      <c r="J1186" s="15">
        <v>0.76785281178833742</v>
      </c>
      <c r="K1186" s="15">
        <v>0.8298072538472131</v>
      </c>
      <c r="L1186" s="15">
        <v>0.8298072538472131</v>
      </c>
      <c r="M1186" s="15" t="s">
        <v>10</v>
      </c>
      <c r="N1186" s="15" t="s">
        <v>10</v>
      </c>
      <c r="O1186" s="15" t="s">
        <v>10</v>
      </c>
      <c r="P1186" s="15" t="s">
        <v>10</v>
      </c>
      <c r="Q1186" s="8"/>
      <c r="R1186" s="9" t="s">
        <v>1182</v>
      </c>
    </row>
    <row r="1187" spans="1:18" x14ac:dyDescent="0.25">
      <c r="A1187" s="6" t="str">
        <f>HYPERLINK("proteomic_fractions_linear_files/Yang_linear_img/117553604.jpg", "117553604")</f>
        <v>117553604</v>
      </c>
      <c r="B1187" s="7"/>
      <c r="C1187" s="6" t="str">
        <f>HYPERLINK("http://www.ncbi.nlm.nih.gov/protein/117553604","Ces1d")</f>
        <v>Ces1d</v>
      </c>
      <c r="D1187" s="8"/>
      <c r="E1187" s="8">
        <v>59840</v>
      </c>
      <c r="F1187" s="8"/>
      <c r="G1187" s="15" t="s">
        <v>10</v>
      </c>
      <c r="H1187" s="15" t="s">
        <v>10</v>
      </c>
      <c r="I1187" s="15">
        <v>0.97955345975989749</v>
      </c>
      <c r="J1187" s="15">
        <v>0.97955345975989749</v>
      </c>
      <c r="K1187" s="15" t="s">
        <v>10</v>
      </c>
      <c r="L1187" s="15" t="s">
        <v>10</v>
      </c>
      <c r="M1187" s="15" t="s">
        <v>10</v>
      </c>
      <c r="N1187" s="15" t="s">
        <v>10</v>
      </c>
      <c r="O1187" s="15" t="s">
        <v>10</v>
      </c>
      <c r="P1187" s="15" t="s">
        <v>10</v>
      </c>
      <c r="Q1187" s="8"/>
      <c r="R1187" s="9" t="s">
        <v>1183</v>
      </c>
    </row>
    <row r="1188" spans="1:18" x14ac:dyDescent="0.25">
      <c r="A1188" s="6" t="str">
        <f>HYPERLINK("proteomic_fractions_linear_files/Yang_linear_img/76253942.jpg", "76253942")</f>
        <v>76253942</v>
      </c>
      <c r="B1188" s="7"/>
      <c r="C1188" s="6" t="str">
        <f>HYPERLINK("http://www.ncbi.nlm.nih.gov/protein/76253942","Cetn1")</f>
        <v>Cetn1</v>
      </c>
      <c r="D1188" s="8"/>
      <c r="E1188" s="8">
        <v>19565</v>
      </c>
      <c r="F1188" s="8"/>
      <c r="G1188" s="15" t="s">
        <v>10</v>
      </c>
      <c r="H1188" s="15" t="s">
        <v>10</v>
      </c>
      <c r="I1188" s="15" t="s">
        <v>10</v>
      </c>
      <c r="J1188" s="15" t="s">
        <v>10</v>
      </c>
      <c r="K1188" s="15">
        <v>0.87849698826794831</v>
      </c>
      <c r="L1188" s="15">
        <v>0.87849698826794831</v>
      </c>
      <c r="M1188" s="15" t="s">
        <v>10</v>
      </c>
      <c r="N1188" s="15" t="s">
        <v>10</v>
      </c>
      <c r="O1188" s="15">
        <v>0.83582372603035116</v>
      </c>
      <c r="P1188" s="15">
        <v>0.83582372603035116</v>
      </c>
      <c r="Q1188" s="8"/>
      <c r="R1188" s="9" t="s">
        <v>1184</v>
      </c>
    </row>
    <row r="1189" spans="1:18" x14ac:dyDescent="0.25">
      <c r="A1189" s="6" t="str">
        <f>HYPERLINK("proteomic_fractions_linear_files/Yang_linear_img/10257421.jpg", "10257421")</f>
        <v>10257421</v>
      </c>
      <c r="B1189" s="7"/>
      <c r="C1189" s="6" t="str">
        <f>HYPERLINK("http://www.ncbi.nlm.nih.gov/protein/10257421","Cetn2")</f>
        <v>Cetn2</v>
      </c>
      <c r="D1189" s="8"/>
      <c r="E1189" s="8">
        <v>19665</v>
      </c>
      <c r="F1189" s="8"/>
      <c r="G1189" s="15" t="s">
        <v>10</v>
      </c>
      <c r="H1189" s="15" t="s">
        <v>10</v>
      </c>
      <c r="I1189" s="15" t="s">
        <v>10</v>
      </c>
      <c r="J1189" s="15" t="s">
        <v>10</v>
      </c>
      <c r="K1189" s="15">
        <v>0.87849698826794831</v>
      </c>
      <c r="L1189" s="15">
        <v>0.87849698826794831</v>
      </c>
      <c r="M1189" s="15" t="s">
        <v>10</v>
      </c>
      <c r="N1189" s="15" t="s">
        <v>10</v>
      </c>
      <c r="O1189" s="15">
        <v>0.87849698826794831</v>
      </c>
      <c r="P1189" s="15">
        <v>0.87849698826794831</v>
      </c>
      <c r="Q1189" s="8"/>
      <c r="R1189" s="9" t="s">
        <v>1185</v>
      </c>
    </row>
    <row r="1190" spans="1:18" x14ac:dyDescent="0.25">
      <c r="A1190" s="6" t="str">
        <f>HYPERLINK("proteomic_fractions_linear_files/Yang_linear_img/6680922.jpg", "6680922")</f>
        <v>6680922</v>
      </c>
      <c r="B1190" s="7"/>
      <c r="C1190" s="6" t="str">
        <f>HYPERLINK("http://www.ncbi.nlm.nih.gov/protein/6680922","Cetn3")</f>
        <v>Cetn3</v>
      </c>
      <c r="D1190" s="8"/>
      <c r="E1190" s="8">
        <v>19388</v>
      </c>
      <c r="F1190" s="8"/>
      <c r="G1190" s="15" t="s">
        <v>10</v>
      </c>
      <c r="H1190" s="15" t="s">
        <v>10</v>
      </c>
      <c r="I1190" s="15" t="s">
        <v>10</v>
      </c>
      <c r="J1190" s="15" t="s">
        <v>10</v>
      </c>
      <c r="K1190" s="15">
        <v>1.0263763067386986</v>
      </c>
      <c r="L1190" s="15">
        <v>1.0263763067386986</v>
      </c>
      <c r="M1190" s="15">
        <v>1.0263763067386986</v>
      </c>
      <c r="N1190" s="15">
        <v>1.0263763067386986</v>
      </c>
      <c r="O1190" s="15">
        <v>0.97343679813495176</v>
      </c>
      <c r="P1190" s="15">
        <v>0.97343679813495176</v>
      </c>
      <c r="Q1190" s="8"/>
      <c r="R1190" s="9" t="s">
        <v>1186</v>
      </c>
    </row>
    <row r="1191" spans="1:18" x14ac:dyDescent="0.25">
      <c r="A1191" s="6" t="str">
        <f>HYPERLINK("proteomic_fractions_linear_files/Yang_linear_img/6753412.jpg", "6753412")</f>
        <v>6753412</v>
      </c>
      <c r="B1191" s="7"/>
      <c r="C1191" s="6" t="str">
        <f>HYPERLINK("http://www.ncbi.nlm.nih.gov/protein/6753412","Cfdp1")</f>
        <v>Cfdp1</v>
      </c>
      <c r="D1191" s="8"/>
      <c r="E1191" s="8">
        <v>32790</v>
      </c>
      <c r="F1191" s="8"/>
      <c r="G1191" s="15" t="s">
        <v>10</v>
      </c>
      <c r="H1191" s="15" t="s">
        <v>10</v>
      </c>
      <c r="I1191" s="15" t="s">
        <v>10</v>
      </c>
      <c r="J1191" s="15" t="s">
        <v>10</v>
      </c>
      <c r="K1191" s="15">
        <v>1.4633325934671289</v>
      </c>
      <c r="L1191" s="15">
        <v>1.4633325934671289</v>
      </c>
      <c r="M1191" s="15">
        <v>0.90561839065797367</v>
      </c>
      <c r="N1191" s="15">
        <v>0.90561839065797367</v>
      </c>
      <c r="O1191" s="15">
        <v>1.3371390680898627</v>
      </c>
      <c r="P1191" s="15">
        <v>1.3371390680898627</v>
      </c>
      <c r="Q1191" s="8"/>
      <c r="R1191" s="9" t="s">
        <v>1187</v>
      </c>
    </row>
    <row r="1192" spans="1:18" x14ac:dyDescent="0.25">
      <c r="A1192" s="6" t="str">
        <f>HYPERLINK("proteomic_fractions_linear_files/Yang_linear_img/6680924.jpg", "6680924")</f>
        <v>6680924</v>
      </c>
      <c r="B1192" s="7"/>
      <c r="C1192" s="6" t="str">
        <f>HYPERLINK("http://www.ncbi.nlm.nih.gov/protein/6680924","Cfl1")</f>
        <v>Cfl1</v>
      </c>
      <c r="D1192" s="8"/>
      <c r="E1192" s="8">
        <v>18428</v>
      </c>
      <c r="F1192" s="8"/>
      <c r="G1192" s="15">
        <v>1.3641567007376065</v>
      </c>
      <c r="H1192" s="15">
        <v>1.3641567007376065</v>
      </c>
      <c r="I1192" s="15">
        <v>1.0275166202535602</v>
      </c>
      <c r="J1192" s="15">
        <v>1.0275166202535602</v>
      </c>
      <c r="K1192" s="15">
        <v>0.97610776474216487</v>
      </c>
      <c r="L1192" s="15">
        <v>0.97610776474216487</v>
      </c>
      <c r="M1192" s="15">
        <v>1.0275166202535602</v>
      </c>
      <c r="N1192" s="15">
        <v>1.0275166202535602</v>
      </c>
      <c r="O1192" s="15">
        <v>0.97610776474216487</v>
      </c>
      <c r="P1192" s="15">
        <v>0.97610776474216487</v>
      </c>
      <c r="Q1192" s="8"/>
      <c r="R1192" s="9" t="s">
        <v>1188</v>
      </c>
    </row>
    <row r="1193" spans="1:18" x14ac:dyDescent="0.25">
      <c r="A1193" s="6" t="str">
        <f>HYPERLINK("proteomic_fractions_linear_files/Yang_linear_img/6671746.jpg", "6671746")</f>
        <v>6671746</v>
      </c>
      <c r="B1193" s="7"/>
      <c r="C1193" s="6" t="str">
        <f>HYPERLINK("http://www.ncbi.nlm.nih.gov/protein/6671746","Cfl2")</f>
        <v>Cfl2</v>
      </c>
      <c r="D1193" s="8"/>
      <c r="E1193" s="8">
        <v>18578</v>
      </c>
      <c r="F1193" s="8"/>
      <c r="G1193" s="15">
        <v>1.3763293744960527</v>
      </c>
      <c r="H1193" s="15">
        <v>1.2923589796461534</v>
      </c>
      <c r="I1193" s="15">
        <v>0.97343679813495176</v>
      </c>
      <c r="J1193" s="15">
        <v>0.97343679813495176</v>
      </c>
      <c r="K1193" s="15">
        <v>0.92473367186099831</v>
      </c>
      <c r="L1193" s="15">
        <v>0.92473367186099831</v>
      </c>
      <c r="M1193" s="15">
        <v>0.92473367186099831</v>
      </c>
      <c r="N1193" s="15">
        <v>0.92473367186099831</v>
      </c>
      <c r="O1193" s="15">
        <v>0.97343679813495176</v>
      </c>
      <c r="P1193" s="15">
        <v>0.97343679813495176</v>
      </c>
      <c r="Q1193" s="8"/>
      <c r="R1193" s="9" t="s">
        <v>1189</v>
      </c>
    </row>
    <row r="1194" spans="1:18" x14ac:dyDescent="0.25">
      <c r="A1194" s="6" t="str">
        <f>HYPERLINK("proteomic_fractions_linear_files/Yang_linear_img/46559393.jpg", "46559393")</f>
        <v>46559393</v>
      </c>
      <c r="B1194" s="7"/>
      <c r="C1194" s="6" t="str">
        <f>HYPERLINK("http://www.ncbi.nlm.nih.gov/protein/46559393","Cflar")</f>
        <v>Cflar</v>
      </c>
      <c r="D1194" s="8"/>
      <c r="E1194" s="8">
        <v>54744</v>
      </c>
      <c r="F1194" s="8"/>
      <c r="G1194" s="15" t="s">
        <v>10</v>
      </c>
      <c r="H1194" s="15" t="s">
        <v>10</v>
      </c>
      <c r="I1194" s="15" t="s">
        <v>10</v>
      </c>
      <c r="J1194" s="15" t="s">
        <v>10</v>
      </c>
      <c r="K1194" s="15" t="s">
        <v>10</v>
      </c>
      <c r="L1194" s="15" t="s">
        <v>10</v>
      </c>
      <c r="M1194" s="15" t="s">
        <v>10</v>
      </c>
      <c r="N1194" s="15" t="s">
        <v>10</v>
      </c>
      <c r="O1194" s="15">
        <v>0.87799955608027735</v>
      </c>
      <c r="P1194" s="15">
        <v>0.87799955608027735</v>
      </c>
      <c r="Q1194" s="8"/>
      <c r="R1194" s="9" t="s">
        <v>1190</v>
      </c>
    </row>
    <row r="1195" spans="1:18" x14ac:dyDescent="0.25">
      <c r="A1195" s="6" t="str">
        <f>HYPERLINK("proteomic_fractions_linear_files/Yang_linear_img/86198303.jpg", "86198303")</f>
        <v>86198303</v>
      </c>
      <c r="B1195" s="7"/>
      <c r="C1195" s="6" t="str">
        <f>HYPERLINK("http://www.ncbi.nlm.nih.gov/protein/86198303","Cflar")</f>
        <v>Cflar</v>
      </c>
      <c r="D1195" s="8"/>
      <c r="E1195" s="8">
        <v>24403</v>
      </c>
      <c r="F1195" s="8"/>
      <c r="G1195" s="15" t="s">
        <v>10</v>
      </c>
      <c r="H1195" s="15" t="s">
        <v>10</v>
      </c>
      <c r="I1195" s="15" t="s">
        <v>10</v>
      </c>
      <c r="J1195" s="15" t="s">
        <v>10</v>
      </c>
      <c r="K1195" s="15" t="s">
        <v>10</v>
      </c>
      <c r="L1195" s="15" t="s">
        <v>10</v>
      </c>
      <c r="M1195" s="15" t="s">
        <v>10</v>
      </c>
      <c r="N1195" s="15" t="s">
        <v>10</v>
      </c>
      <c r="O1195" s="15">
        <v>2.012082316017302</v>
      </c>
      <c r="P1195" s="15">
        <v>2.012082316017302</v>
      </c>
      <c r="Q1195" s="8"/>
      <c r="R1195" s="9" t="s">
        <v>1191</v>
      </c>
    </row>
    <row r="1196" spans="1:18" x14ac:dyDescent="0.25">
      <c r="A1196" s="6" t="str">
        <f>HYPERLINK("proteomic_fractions_linear_files/Yang_linear_img/14141185.jpg", "14141185")</f>
        <v>14141185</v>
      </c>
      <c r="B1196" s="7"/>
      <c r="C1196" s="6" t="str">
        <f>HYPERLINK("http://www.ncbi.nlm.nih.gov/protein/14141185","Cftr")</f>
        <v>Cftr</v>
      </c>
      <c r="D1196" s="8"/>
      <c r="E1196" s="8">
        <v>167740</v>
      </c>
      <c r="F1196" s="8"/>
      <c r="G1196" s="15" t="s">
        <v>10</v>
      </c>
      <c r="H1196" s="15" t="s">
        <v>10</v>
      </c>
      <c r="I1196" s="15" t="s">
        <v>10</v>
      </c>
      <c r="J1196" s="15" t="s">
        <v>10</v>
      </c>
      <c r="K1196" s="15" t="s">
        <v>10</v>
      </c>
      <c r="L1196" s="15" t="s">
        <v>10</v>
      </c>
      <c r="M1196" s="15" t="s">
        <v>10</v>
      </c>
      <c r="N1196" s="15" t="s">
        <v>10</v>
      </c>
      <c r="O1196" s="15">
        <v>0.76620016753045816</v>
      </c>
      <c r="P1196" s="15">
        <v>0.76620016753045816</v>
      </c>
      <c r="Q1196" s="8"/>
      <c r="R1196" s="9" t="s">
        <v>1192</v>
      </c>
    </row>
    <row r="1197" spans="1:18" x14ac:dyDescent="0.25">
      <c r="A1197" s="6" t="str">
        <f>HYPERLINK("proteomic_fractions_linear_files/Yang_linear_img/30520001.jpg", "30520001")</f>
        <v>30520001</v>
      </c>
      <c r="B1197" s="7"/>
      <c r="C1197" s="6" t="str">
        <f>HYPERLINK("http://www.ncbi.nlm.nih.gov/protein/30520001","Cggbp1")</f>
        <v>Cggbp1</v>
      </c>
      <c r="D1197" s="8"/>
      <c r="E1197" s="8">
        <v>18630</v>
      </c>
      <c r="F1197" s="8"/>
      <c r="G1197" s="15">
        <v>0.92473367186099831</v>
      </c>
      <c r="H1197" s="15">
        <v>0.92473367186099831</v>
      </c>
      <c r="I1197" s="15">
        <v>0.97343679813495176</v>
      </c>
      <c r="J1197" s="15">
        <v>0.97343679813495176</v>
      </c>
      <c r="K1197" s="15">
        <v>0.97343679813495176</v>
      </c>
      <c r="L1197" s="15">
        <v>0.97343679813495176</v>
      </c>
      <c r="M1197" s="15">
        <v>1.0263763067386986</v>
      </c>
      <c r="N1197" s="15">
        <v>1.0263763067386986</v>
      </c>
      <c r="O1197" s="15" t="s">
        <v>10</v>
      </c>
      <c r="P1197" s="15" t="s">
        <v>10</v>
      </c>
      <c r="Q1197" s="8"/>
      <c r="R1197" s="9" t="s">
        <v>1193</v>
      </c>
    </row>
    <row r="1198" spans="1:18" x14ac:dyDescent="0.25">
      <c r="A1198" s="6" t="str">
        <f>HYPERLINK("proteomic_fractions_linear_files/Yang_linear_img/189458807.jpg", "189458807")</f>
        <v>189458807</v>
      </c>
      <c r="B1198" s="7"/>
      <c r="C1198" s="6" t="str">
        <f>HYPERLINK("http://www.ncbi.nlm.nih.gov/protein/189458807","Cgn")</f>
        <v>Cgn</v>
      </c>
      <c r="D1198" s="8"/>
      <c r="E1198" s="8">
        <v>136415</v>
      </c>
      <c r="F1198" s="8"/>
      <c r="G1198" s="15">
        <v>1.1283299348253077</v>
      </c>
      <c r="H1198" s="15">
        <v>1.1283299348253077</v>
      </c>
      <c r="I1198" s="15">
        <v>1.1283299348253077</v>
      </c>
      <c r="J1198" s="15">
        <v>1.1283299348253077</v>
      </c>
      <c r="K1198" s="15">
        <v>1.3732781738230908</v>
      </c>
      <c r="L1198" s="15">
        <v>1.3732781738230908</v>
      </c>
      <c r="M1198" s="15">
        <v>1.3732781738230908</v>
      </c>
      <c r="N1198" s="15">
        <v>1.3732781738230908</v>
      </c>
      <c r="O1198" s="15">
        <v>1.3732781738230908</v>
      </c>
      <c r="P1198" s="15">
        <v>1.3732781738230908</v>
      </c>
      <c r="Q1198" s="8"/>
      <c r="R1198" s="9" t="s">
        <v>1194</v>
      </c>
    </row>
    <row r="1199" spans="1:18" x14ac:dyDescent="0.25">
      <c r="A1199" s="6" t="str">
        <f>HYPERLINK("proteomic_fractions_linear_files/Yang_linear_img/13386024.jpg", "13386024")</f>
        <v>13386024</v>
      </c>
      <c r="B1199" s="7"/>
      <c r="C1199" s="6" t="str">
        <f>HYPERLINK("http://www.ncbi.nlm.nih.gov/protein/13386024","Chac2")</f>
        <v>Chac2</v>
      </c>
      <c r="D1199" s="8"/>
      <c r="E1199" s="8">
        <v>20022</v>
      </c>
      <c r="F1199" s="8"/>
      <c r="G1199" s="15" t="s">
        <v>10</v>
      </c>
      <c r="H1199" s="15" t="s">
        <v>10</v>
      </c>
      <c r="I1199" s="15" t="s">
        <v>10</v>
      </c>
      <c r="J1199" s="15" t="s">
        <v>10</v>
      </c>
      <c r="K1199" s="15" t="s">
        <v>10</v>
      </c>
      <c r="L1199" s="15" t="s">
        <v>10</v>
      </c>
      <c r="M1199" s="15" t="s">
        <v>10</v>
      </c>
      <c r="N1199" s="15" t="s">
        <v>10</v>
      </c>
      <c r="O1199" s="15">
        <v>0.87849698826794831</v>
      </c>
      <c r="P1199" s="15">
        <v>0.87849698826794831</v>
      </c>
      <c r="Q1199" s="8"/>
      <c r="R1199" s="9" t="s">
        <v>1195</v>
      </c>
    </row>
    <row r="1200" spans="1:18" x14ac:dyDescent="0.25">
      <c r="A1200" s="6" t="str">
        <f>HYPERLINK("proteomic_fractions_linear_files/Yang_linear_img/7304957.jpg", "7304957")</f>
        <v>7304957</v>
      </c>
      <c r="B1200" s="7"/>
      <c r="C1200" s="6" t="str">
        <f>HYPERLINK("http://www.ncbi.nlm.nih.gov/protein/7304957","Chaf1a")</f>
        <v>Chaf1a</v>
      </c>
      <c r="D1200" s="8"/>
      <c r="E1200" s="8">
        <v>101805</v>
      </c>
      <c r="F1200" s="8"/>
      <c r="G1200" s="15" t="s">
        <v>10</v>
      </c>
      <c r="H1200" s="15" t="s">
        <v>10</v>
      </c>
      <c r="I1200" s="15" t="s">
        <v>10</v>
      </c>
      <c r="J1200" s="15" t="s">
        <v>10</v>
      </c>
      <c r="K1200" s="15">
        <v>1.8310375650974544</v>
      </c>
      <c r="L1200" s="15">
        <v>1.8310375650974544</v>
      </c>
      <c r="M1200" s="15" t="s">
        <v>10</v>
      </c>
      <c r="N1200" s="15" t="s">
        <v>10</v>
      </c>
      <c r="O1200" s="15">
        <v>1.5044399131004103</v>
      </c>
      <c r="P1200" s="15">
        <v>1.5044399131004103</v>
      </c>
      <c r="Q1200" s="8"/>
      <c r="R1200" s="9" t="s">
        <v>1196</v>
      </c>
    </row>
    <row r="1201" spans="1:18" x14ac:dyDescent="0.25">
      <c r="A1201" s="6" t="str">
        <f>HYPERLINK("proteomic_fractions_linear_files/Yang_linear_img/21312470.jpg", "21312470")</f>
        <v>21312470</v>
      </c>
      <c r="B1201" s="7"/>
      <c r="C1201" s="6" t="str">
        <f>HYPERLINK("http://www.ncbi.nlm.nih.gov/protein/21312470","Chaf1b")</f>
        <v>Chaf1b</v>
      </c>
      <c r="D1201" s="8"/>
      <c r="E1201" s="8">
        <v>63001</v>
      </c>
      <c r="F1201" s="8"/>
      <c r="G1201" s="15" t="s">
        <v>10</v>
      </c>
      <c r="H1201" s="15" t="s">
        <v>10</v>
      </c>
      <c r="I1201" s="15">
        <v>0.9329080569141881</v>
      </c>
      <c r="J1201" s="15">
        <v>0.9329080569141881</v>
      </c>
      <c r="K1201" s="15">
        <v>0.9329080569141881</v>
      </c>
      <c r="L1201" s="15">
        <v>0.9329080569141881</v>
      </c>
      <c r="M1201" s="15">
        <v>0.9329080569141881</v>
      </c>
      <c r="N1201" s="15">
        <v>0.9329080569141881</v>
      </c>
      <c r="O1201" s="15">
        <v>0.84318364492065201</v>
      </c>
      <c r="P1201" s="15">
        <v>0.84318364492065201</v>
      </c>
      <c r="Q1201" s="8"/>
      <c r="R1201" s="9" t="s">
        <v>1197</v>
      </c>
    </row>
    <row r="1202" spans="1:18" x14ac:dyDescent="0.25">
      <c r="A1202" s="6" t="str">
        <f>HYPERLINK("proteomic_fractions_linear_files/Yang_linear_img/32469497.jpg", "32469497")</f>
        <v>32469497</v>
      </c>
      <c r="B1202" s="7"/>
      <c r="C1202" s="6" t="str">
        <f>HYPERLINK("http://www.ncbi.nlm.nih.gov/protein/32469497","Champ1")</f>
        <v>Champ1</v>
      </c>
      <c r="D1202" s="8"/>
      <c r="E1202" s="8">
        <v>87430</v>
      </c>
      <c r="F1202" s="8"/>
      <c r="G1202" s="15">
        <v>1.7638261050142741</v>
      </c>
      <c r="H1202" s="15">
        <v>1.7638261050142741</v>
      </c>
      <c r="I1202" s="15" t="s">
        <v>10</v>
      </c>
      <c r="J1202" s="15" t="s">
        <v>10</v>
      </c>
      <c r="K1202" s="15" t="s">
        <v>10</v>
      </c>
      <c r="L1202" s="15" t="s">
        <v>10</v>
      </c>
      <c r="M1202" s="15" t="s">
        <v>10</v>
      </c>
      <c r="N1202" s="15" t="s">
        <v>10</v>
      </c>
      <c r="O1202" s="15" t="s">
        <v>10</v>
      </c>
      <c r="P1202" s="15" t="s">
        <v>10</v>
      </c>
      <c r="Q1202" s="8"/>
      <c r="R1202" s="9" t="s">
        <v>1198</v>
      </c>
    </row>
    <row r="1203" spans="1:18" x14ac:dyDescent="0.25">
      <c r="A1203" s="6" t="str">
        <f>HYPERLINK("proteomic_fractions_linear_files/Yang_linear_img/13384734.jpg", "13384734")</f>
        <v>13384734</v>
      </c>
      <c r="B1203" s="7"/>
      <c r="C1203" s="6" t="str">
        <f>HYPERLINK("http://www.ncbi.nlm.nih.gov/protein/13384734","Chchd1")</f>
        <v>Chchd1</v>
      </c>
      <c r="D1203" s="8"/>
      <c r="E1203" s="8">
        <v>13477</v>
      </c>
      <c r="F1203" s="8"/>
      <c r="G1203" s="15">
        <v>1.068142346148973</v>
      </c>
      <c r="H1203" s="15">
        <v>1.068142346148973</v>
      </c>
      <c r="I1203" s="15">
        <v>1.1167287478361805</v>
      </c>
      <c r="J1203" s="15">
        <v>1.1167287478361805</v>
      </c>
      <c r="K1203" s="15" t="s">
        <v>10</v>
      </c>
      <c r="L1203" s="15" t="s">
        <v>10</v>
      </c>
      <c r="M1203" s="15" t="s">
        <v>10</v>
      </c>
      <c r="N1203" s="15" t="s">
        <v>10</v>
      </c>
      <c r="O1203" s="15" t="s">
        <v>10</v>
      </c>
      <c r="P1203" s="15" t="s">
        <v>10</v>
      </c>
      <c r="Q1203" s="8"/>
      <c r="R1203" s="9" t="s">
        <v>1199</v>
      </c>
    </row>
    <row r="1204" spans="1:18" x14ac:dyDescent="0.25">
      <c r="A1204" s="6" t="str">
        <f>HYPERLINK("proteomic_fractions_linear_files/Yang_linear_img/18079334.jpg", "18079334")</f>
        <v>18079334</v>
      </c>
      <c r="B1204" s="7"/>
      <c r="C1204" s="6" t="str">
        <f>HYPERLINK("http://www.ncbi.nlm.nih.gov/protein/18079334","Chchd2")</f>
        <v>Chchd2</v>
      </c>
      <c r="D1204" s="8"/>
      <c r="E1204" s="8">
        <v>15530</v>
      </c>
      <c r="F1204" s="8"/>
      <c r="G1204" s="15">
        <v>1.209789476822529</v>
      </c>
      <c r="H1204" s="15">
        <v>1.209789476822529</v>
      </c>
      <c r="I1204" s="15">
        <v>1.5412749303803404</v>
      </c>
      <c r="J1204" s="15">
        <v>1.5412749303803404</v>
      </c>
      <c r="K1204" s="15" t="s">
        <v>10</v>
      </c>
      <c r="L1204" s="15" t="s">
        <v>10</v>
      </c>
      <c r="M1204" s="15" t="s">
        <v>10</v>
      </c>
      <c r="N1204" s="15" t="s">
        <v>10</v>
      </c>
      <c r="O1204" s="15">
        <v>1.4641616471132473</v>
      </c>
      <c r="P1204" s="15">
        <v>1.5412749303803404</v>
      </c>
      <c r="Q1204" s="8"/>
      <c r="R1204" s="9" t="s">
        <v>1200</v>
      </c>
    </row>
    <row r="1205" spans="1:18" x14ac:dyDescent="0.25">
      <c r="A1205" s="6" t="str">
        <f>HYPERLINK("proteomic_fractions_linear_files/Yang_linear_img/21313618.jpg", "21313618")</f>
        <v>21313618</v>
      </c>
      <c r="B1205" s="7"/>
      <c r="C1205" s="6" t="str">
        <f>HYPERLINK("http://www.ncbi.nlm.nih.gov/protein/21313618","Chchd3")</f>
        <v>Chchd3</v>
      </c>
      <c r="D1205" s="8"/>
      <c r="E1205" s="8">
        <v>26203</v>
      </c>
      <c r="F1205" s="8"/>
      <c r="G1205" s="15">
        <v>1.3289760204028918</v>
      </c>
      <c r="H1205" s="15">
        <v>1.3289760204028918</v>
      </c>
      <c r="I1205" s="15">
        <v>0.94441617743372752</v>
      </c>
      <c r="J1205" s="15">
        <v>0.94441617743372752</v>
      </c>
      <c r="K1205" s="15">
        <v>1.0057791582855768</v>
      </c>
      <c r="L1205" s="15">
        <v>1.0057791582855768</v>
      </c>
      <c r="M1205" s="15" t="s">
        <v>10</v>
      </c>
      <c r="N1205" s="15" t="s">
        <v>10</v>
      </c>
      <c r="O1205" s="15" t="s">
        <v>10</v>
      </c>
      <c r="P1205" s="15" t="s">
        <v>10</v>
      </c>
      <c r="Q1205" s="8"/>
      <c r="R1205" s="9" t="s">
        <v>1201</v>
      </c>
    </row>
    <row r="1206" spans="1:18" x14ac:dyDescent="0.25">
      <c r="A1206" s="6" t="str">
        <f>HYPERLINK("proteomic_fractions_linear_files/Yang_linear_img/19527144.jpg", "19527144")</f>
        <v>19527144</v>
      </c>
      <c r="B1206" s="7"/>
      <c r="C1206" s="6" t="str">
        <f>HYPERLINK("http://www.ncbi.nlm.nih.gov/protein/19527144","Chchd4")</f>
        <v>Chchd4</v>
      </c>
      <c r="D1206" s="8"/>
      <c r="E1206" s="8">
        <v>15394</v>
      </c>
      <c r="F1206" s="8"/>
      <c r="G1206" s="15">
        <v>1.3000766552023515</v>
      </c>
      <c r="H1206" s="15">
        <v>1.3000766552023515</v>
      </c>
      <c r="I1206" s="15">
        <v>1.3731627457770847</v>
      </c>
      <c r="J1206" s="15">
        <v>1.3731627457770847</v>
      </c>
      <c r="K1206" s="15">
        <v>1.3731627457770847</v>
      </c>
      <c r="L1206" s="15">
        <v>1.3731627457770847</v>
      </c>
      <c r="M1206" s="15" t="s">
        <v>10</v>
      </c>
      <c r="N1206" s="15" t="s">
        <v>10</v>
      </c>
      <c r="O1206" s="15" t="s">
        <v>10</v>
      </c>
      <c r="P1206" s="15" t="s">
        <v>10</v>
      </c>
      <c r="Q1206" s="8"/>
      <c r="R1206" s="9" t="s">
        <v>1202</v>
      </c>
    </row>
    <row r="1207" spans="1:18" x14ac:dyDescent="0.25">
      <c r="A1207" s="6" t="str">
        <f>HYPERLINK("proteomic_fractions_linear_files/Yang_linear_img/28076873.jpg", "28076873")</f>
        <v>28076873</v>
      </c>
      <c r="B1207" s="7"/>
      <c r="C1207" s="6" t="str">
        <f>HYPERLINK("http://www.ncbi.nlm.nih.gov/protein/28076873","Chchd5")</f>
        <v>Chchd5</v>
      </c>
      <c r="D1207" s="8"/>
      <c r="E1207" s="8">
        <v>12195</v>
      </c>
      <c r="F1207" s="8"/>
      <c r="G1207" s="15" t="s">
        <v>10</v>
      </c>
      <c r="H1207" s="15" t="s">
        <v>10</v>
      </c>
      <c r="I1207" s="15">
        <v>1.2663615244845239</v>
      </c>
      <c r="J1207" s="15">
        <v>1.2663615244845239</v>
      </c>
      <c r="K1207" s="15" t="s">
        <v>10</v>
      </c>
      <c r="L1207" s="15" t="s">
        <v>10</v>
      </c>
      <c r="M1207" s="15" t="s">
        <v>10</v>
      </c>
      <c r="N1207" s="15" t="s">
        <v>10</v>
      </c>
      <c r="O1207" s="15" t="s">
        <v>10</v>
      </c>
      <c r="P1207" s="15" t="s">
        <v>10</v>
      </c>
      <c r="Q1207" s="8"/>
      <c r="R1207" s="9" t="s">
        <v>1203</v>
      </c>
    </row>
    <row r="1208" spans="1:18" x14ac:dyDescent="0.25">
      <c r="A1208" s="6" t="str">
        <f>HYPERLINK("proteomic_fractions_linear_files/Yang_linear_img/267844804.jpg", "267844804")</f>
        <v>267844804</v>
      </c>
      <c r="B1208" s="7"/>
      <c r="C1208" s="6" t="str">
        <f>HYPERLINK("http://www.ncbi.nlm.nih.gov/protein/267844804","Chchd6")</f>
        <v>Chchd6</v>
      </c>
      <c r="D1208" s="8"/>
      <c r="E1208" s="8">
        <v>29721</v>
      </c>
      <c r="F1208" s="8"/>
      <c r="G1208" s="15">
        <v>1.3502439401074249</v>
      </c>
      <c r="H1208" s="15">
        <v>1.3502439401074249</v>
      </c>
      <c r="I1208" s="15">
        <v>0.99618022972377107</v>
      </c>
      <c r="J1208" s="15">
        <v>0.99618022972377107</v>
      </c>
      <c r="K1208" s="15">
        <v>1.0694690951911197</v>
      </c>
      <c r="L1208" s="15">
        <v>1.0694690951911197</v>
      </c>
      <c r="M1208" s="15" t="s">
        <v>10</v>
      </c>
      <c r="N1208" s="15" t="s">
        <v>10</v>
      </c>
      <c r="O1208" s="15" t="s">
        <v>10</v>
      </c>
      <c r="P1208" s="15" t="s">
        <v>10</v>
      </c>
      <c r="Q1208" s="8"/>
      <c r="R1208" s="9" t="s">
        <v>1204</v>
      </c>
    </row>
    <row r="1209" spans="1:18" x14ac:dyDescent="0.25">
      <c r="A1209" s="6" t="str">
        <f>HYPERLINK("proteomic_fractions_linear_files/Yang_linear_img/267844806.jpg", "267844806")</f>
        <v>267844806</v>
      </c>
      <c r="B1209" s="7"/>
      <c r="C1209" s="6" t="str">
        <f>HYPERLINK("http://www.ncbi.nlm.nih.gov/protein/267844806","Chchd6")</f>
        <v>Chchd6</v>
      </c>
      <c r="D1209" s="8"/>
      <c r="E1209" s="8">
        <v>26257</v>
      </c>
      <c r="F1209" s="8"/>
      <c r="G1209" s="15">
        <v>1.5579737770470286</v>
      </c>
      <c r="H1209" s="15">
        <v>1.5579737770470286</v>
      </c>
      <c r="I1209" s="15">
        <v>1.1494387266043513</v>
      </c>
      <c r="J1209" s="15">
        <v>1.1494387266043513</v>
      </c>
      <c r="K1209" s="15">
        <v>1.2340028021435996</v>
      </c>
      <c r="L1209" s="15">
        <v>1.2340028021435996</v>
      </c>
      <c r="M1209" s="15" t="s">
        <v>10</v>
      </c>
      <c r="N1209" s="15" t="s">
        <v>10</v>
      </c>
      <c r="O1209" s="15" t="s">
        <v>10</v>
      </c>
      <c r="P1209" s="15" t="s">
        <v>10</v>
      </c>
      <c r="Q1209" s="8"/>
      <c r="R1209" s="9" t="s">
        <v>1205</v>
      </c>
    </row>
    <row r="1210" spans="1:18" x14ac:dyDescent="0.25">
      <c r="A1210" s="6" t="str">
        <f>HYPERLINK("proteomic_fractions_linear_files/Yang_linear_img/298358505;298358513.jpg", "298358505;298358513")</f>
        <v>298358505;298358513</v>
      </c>
      <c r="B1210" s="8"/>
      <c r="C1210" s="6" t="str">
        <f>HYPERLINK("http://www.ncbi.nlm.nih.gov/protein/298358505;298358513","Chchd7")</f>
        <v>Chchd7</v>
      </c>
      <c r="D1210" s="8"/>
      <c r="E1210" s="8">
        <v>9970</v>
      </c>
      <c r="F1210" s="8"/>
      <c r="G1210" s="15" t="s">
        <v>10</v>
      </c>
      <c r="H1210" s="15" t="s">
        <v>10</v>
      </c>
      <c r="I1210" s="15">
        <v>1.3297064023001535</v>
      </c>
      <c r="J1210" s="15">
        <v>1.3297064023001535</v>
      </c>
      <c r="K1210" s="15" t="s">
        <v>10</v>
      </c>
      <c r="L1210" s="15" t="s">
        <v>10</v>
      </c>
      <c r="M1210" s="15" t="s">
        <v>10</v>
      </c>
      <c r="N1210" s="15" t="s">
        <v>10</v>
      </c>
      <c r="O1210" s="15" t="s">
        <v>10</v>
      </c>
      <c r="P1210" s="15" t="s">
        <v>10</v>
      </c>
      <c r="Q1210" s="8"/>
      <c r="R1210" s="9" t="s">
        <v>1206</v>
      </c>
    </row>
    <row r="1211" spans="1:18" x14ac:dyDescent="0.25">
      <c r="A1211" s="6" t="str">
        <f>HYPERLINK("proteomic_fractions_linear_files/Yang_linear_img/357527416.jpg", "357527416")</f>
        <v>357527416</v>
      </c>
      <c r="B1211" s="7"/>
      <c r="C1211" s="6" t="str">
        <f>HYPERLINK("http://www.ncbi.nlm.nih.gov/protein/357527416","Chd3")</f>
        <v>Chd3</v>
      </c>
      <c r="D1211" s="8"/>
      <c r="E1211" s="8">
        <v>232616</v>
      </c>
      <c r="F1211" s="8"/>
      <c r="G1211" s="15">
        <v>1.0015487022654466</v>
      </c>
      <c r="H1211" s="15">
        <v>1.0015487022654466</v>
      </c>
      <c r="I1211" s="15" t="s">
        <v>10</v>
      </c>
      <c r="J1211" s="15" t="s">
        <v>10</v>
      </c>
      <c r="K1211" s="15">
        <v>1.2952074018733852</v>
      </c>
      <c r="L1211" s="15">
        <v>1.2952074018733852</v>
      </c>
      <c r="M1211" s="15">
        <v>1.2952074018733852</v>
      </c>
      <c r="N1211" s="15">
        <v>1.2952074018733852</v>
      </c>
      <c r="O1211" s="15" t="s">
        <v>10</v>
      </c>
      <c r="P1211" s="15" t="s">
        <v>10</v>
      </c>
      <c r="Q1211" s="8"/>
      <c r="R1211" s="9" t="s">
        <v>1207</v>
      </c>
    </row>
    <row r="1212" spans="1:18" x14ac:dyDescent="0.25">
      <c r="A1212" s="6" t="str">
        <f>HYPERLINK("proteomic_fractions_linear_files/Yang_linear_img/39204553.jpg", "39204553")</f>
        <v>39204553</v>
      </c>
      <c r="B1212" s="7"/>
      <c r="C1212" s="6" t="str">
        <f>HYPERLINK("http://www.ncbi.nlm.nih.gov/protein/39204553","Chd4")</f>
        <v>Chd4</v>
      </c>
      <c r="D1212" s="8"/>
      <c r="E1212" s="8">
        <v>217621</v>
      </c>
      <c r="F1212" s="8"/>
      <c r="G1212" s="15">
        <v>1.0704626037974727</v>
      </c>
      <c r="H1212" s="15">
        <v>1.0704626037974727</v>
      </c>
      <c r="I1212" s="15">
        <v>1.3843271772316457</v>
      </c>
      <c r="J1212" s="15">
        <v>1.3843271772316457</v>
      </c>
      <c r="K1212" s="15">
        <v>1.3843271772316457</v>
      </c>
      <c r="L1212" s="15">
        <v>1.3843271772316457</v>
      </c>
      <c r="M1212" s="15">
        <v>1.3843271772316457</v>
      </c>
      <c r="N1212" s="15">
        <v>1.3843271772316457</v>
      </c>
      <c r="O1212" s="15">
        <v>1.3843271772316457</v>
      </c>
      <c r="P1212" s="15">
        <v>1.3843271772316457</v>
      </c>
      <c r="Q1212" s="8"/>
      <c r="R1212" s="9" t="s">
        <v>1208</v>
      </c>
    </row>
    <row r="1213" spans="1:18" x14ac:dyDescent="0.25">
      <c r="A1213" s="6" t="str">
        <f>HYPERLINK("proteomic_fractions_linear_files/Yang_linear_img/124487025.jpg", "124487025")</f>
        <v>124487025</v>
      </c>
      <c r="B1213" s="7"/>
      <c r="C1213" s="6" t="str">
        <f>HYPERLINK("http://www.ncbi.nlm.nih.gov/protein/124487025","Chd5")</f>
        <v>Chd5</v>
      </c>
      <c r="D1213" s="8"/>
      <c r="E1213" s="8">
        <v>222555</v>
      </c>
      <c r="F1213" s="8"/>
      <c r="G1213" s="15">
        <v>1.0464612001248836</v>
      </c>
      <c r="H1213" s="15">
        <v>1.0464612001248836</v>
      </c>
      <c r="I1213" s="15">
        <v>1.3532884512847478</v>
      </c>
      <c r="J1213" s="15">
        <v>1.3532884512847478</v>
      </c>
      <c r="K1213" s="15">
        <v>1.3532884512847478</v>
      </c>
      <c r="L1213" s="15">
        <v>1.3532884512847478</v>
      </c>
      <c r="M1213" s="15">
        <v>1.3532884512847478</v>
      </c>
      <c r="N1213" s="15">
        <v>1.3532884512847478</v>
      </c>
      <c r="O1213" s="15">
        <v>1.3532884512847478</v>
      </c>
      <c r="P1213" s="15">
        <v>1.3532884512847478</v>
      </c>
      <c r="Q1213" s="8"/>
      <c r="R1213" s="9" t="s">
        <v>1209</v>
      </c>
    </row>
    <row r="1214" spans="1:18" x14ac:dyDescent="0.25">
      <c r="A1214" s="6" t="str">
        <f>HYPERLINK("proteomic_fractions_linear_files/Yang_linear_img/189458814.jpg", "189458814")</f>
        <v>189458814</v>
      </c>
      <c r="B1214" s="7"/>
      <c r="C1214" s="6" t="str">
        <f>HYPERLINK("http://www.ncbi.nlm.nih.gov/protein/189458814","Chd5")</f>
        <v>Chd5</v>
      </c>
      <c r="D1214" s="8"/>
      <c r="E1214" s="8">
        <v>218823</v>
      </c>
      <c r="F1214" s="8"/>
      <c r="G1214" s="15">
        <v>1.0655746467025071</v>
      </c>
      <c r="H1214" s="15">
        <v>1.0655746467025071</v>
      </c>
      <c r="I1214" s="15">
        <v>1.3780060485684875</v>
      </c>
      <c r="J1214" s="15">
        <v>1.3780060485684875</v>
      </c>
      <c r="K1214" s="15">
        <v>1.3780060485684875</v>
      </c>
      <c r="L1214" s="15">
        <v>1.3780060485684875</v>
      </c>
      <c r="M1214" s="15">
        <v>1.3780060485684875</v>
      </c>
      <c r="N1214" s="15">
        <v>1.3780060485684875</v>
      </c>
      <c r="O1214" s="15">
        <v>1.3780060485684875</v>
      </c>
      <c r="P1214" s="15">
        <v>1.3780060485684875</v>
      </c>
      <c r="Q1214" s="8"/>
      <c r="R1214" s="9" t="s">
        <v>1210</v>
      </c>
    </row>
    <row r="1215" spans="1:18" x14ac:dyDescent="0.25">
      <c r="A1215" s="6" t="str">
        <f>HYPERLINK("proteomic_fractions_linear_files/Yang_linear_img/30425036.jpg", "30425036")</f>
        <v>30425036</v>
      </c>
      <c r="B1215" s="7"/>
      <c r="C1215" s="6" t="str">
        <f>HYPERLINK("http://www.ncbi.nlm.nih.gov/protein/30425036","Chdh")</f>
        <v>Chdh</v>
      </c>
      <c r="D1215" s="8"/>
      <c r="E1215" s="8">
        <v>62567</v>
      </c>
      <c r="F1215" s="8"/>
      <c r="G1215" s="15">
        <v>1.1656533371695594</v>
      </c>
      <c r="H1215" s="15">
        <v>1.1656533371695594</v>
      </c>
      <c r="I1215" s="15">
        <v>0.9329080569141881</v>
      </c>
      <c r="J1215" s="15">
        <v>0.9329080569141881</v>
      </c>
      <c r="K1215" s="15">
        <v>1.038940687786418</v>
      </c>
      <c r="L1215" s="15">
        <v>1.038940687786418</v>
      </c>
      <c r="M1215" s="15" t="s">
        <v>10</v>
      </c>
      <c r="N1215" s="15" t="s">
        <v>10</v>
      </c>
      <c r="O1215" s="15" t="s">
        <v>10</v>
      </c>
      <c r="P1215" s="15" t="s">
        <v>10</v>
      </c>
      <c r="Q1215" s="8"/>
      <c r="R1215" s="9" t="s">
        <v>1211</v>
      </c>
    </row>
    <row r="1216" spans="1:18" x14ac:dyDescent="0.25">
      <c r="A1216" s="6" t="str">
        <f>HYPERLINK("proteomic_fractions_linear_files/Yang_linear_img/31542385.jpg", "31542385")</f>
        <v>31542385</v>
      </c>
      <c r="B1216" s="7"/>
      <c r="C1216" s="6" t="str">
        <f>HYPERLINK("http://www.ncbi.nlm.nih.gov/protein/31542385","Chek1")</f>
        <v>Chek1</v>
      </c>
      <c r="D1216" s="8"/>
      <c r="E1216" s="8">
        <v>54250</v>
      </c>
      <c r="F1216" s="8"/>
      <c r="G1216" s="15" t="s">
        <v>10</v>
      </c>
      <c r="H1216" s="15" t="s">
        <v>10</v>
      </c>
      <c r="I1216" s="15">
        <v>0.98371425240742738</v>
      </c>
      <c r="J1216" s="15">
        <v>0.98371425240742738</v>
      </c>
      <c r="K1216" s="15">
        <v>1.0883927330665528</v>
      </c>
      <c r="L1216" s="15">
        <v>1.0883927330665528</v>
      </c>
      <c r="M1216" s="15" t="s">
        <v>10</v>
      </c>
      <c r="N1216" s="15" t="s">
        <v>10</v>
      </c>
      <c r="O1216" s="15">
        <v>0.98371425240742738</v>
      </c>
      <c r="P1216" s="15">
        <v>0.98371425240742738</v>
      </c>
      <c r="Q1216" s="8"/>
      <c r="R1216" s="9" t="s">
        <v>1212</v>
      </c>
    </row>
    <row r="1217" spans="1:18" x14ac:dyDescent="0.25">
      <c r="A1217" s="6" t="str">
        <f>HYPERLINK("proteomic_fractions_linear_files/Yang_linear_img/119672912.jpg", "119672912")</f>
        <v>119672912</v>
      </c>
      <c r="B1217" s="7"/>
      <c r="C1217" s="6" t="str">
        <f>HYPERLINK("http://www.ncbi.nlm.nih.gov/protein/119672912","Cherp")</f>
        <v>Cherp</v>
      </c>
      <c r="D1217" s="8"/>
      <c r="E1217" s="8">
        <v>106281</v>
      </c>
      <c r="F1217" s="8"/>
      <c r="G1217" s="15" t="s">
        <v>10</v>
      </c>
      <c r="H1217" s="15" t="s">
        <v>10</v>
      </c>
      <c r="I1217" s="15">
        <v>56.538679245283021</v>
      </c>
      <c r="J1217" s="15">
        <v>56.538679245283021</v>
      </c>
      <c r="K1217" s="15">
        <v>56.538679245283021</v>
      </c>
      <c r="L1217" s="15">
        <v>56.538679245283021</v>
      </c>
      <c r="M1217" s="15" t="s">
        <v>10</v>
      </c>
      <c r="N1217" s="15" t="s">
        <v>10</v>
      </c>
      <c r="O1217" s="15" t="s">
        <v>10</v>
      </c>
      <c r="P1217" s="15" t="s">
        <v>10</v>
      </c>
      <c r="Q1217" s="8"/>
      <c r="R1217" s="9" t="s">
        <v>1213</v>
      </c>
    </row>
    <row r="1218" spans="1:18" x14ac:dyDescent="0.25">
      <c r="A1218" s="6" t="str">
        <f>HYPERLINK("proteomic_fractions_linear_files/Yang_linear_img/218083710.jpg", "218083710")</f>
        <v>218083710</v>
      </c>
      <c r="B1218" s="7"/>
      <c r="C1218" s="6" t="str">
        <f>HYPERLINK("http://www.ncbi.nlm.nih.gov/protein/218083710","Chid1")</f>
        <v>Chid1</v>
      </c>
      <c r="D1218" s="8"/>
      <c r="E1218" s="8">
        <v>42748</v>
      </c>
      <c r="F1218" s="8"/>
      <c r="G1218" s="15" t="s">
        <v>10</v>
      </c>
      <c r="H1218" s="15" t="s">
        <v>10</v>
      </c>
      <c r="I1218" s="15" t="s">
        <v>10</v>
      </c>
      <c r="J1218" s="15" t="s">
        <v>10</v>
      </c>
      <c r="K1218" s="15">
        <v>0.942030655888901</v>
      </c>
      <c r="L1218" s="15">
        <v>0.942030655888901</v>
      </c>
      <c r="M1218" s="15" t="s">
        <v>10</v>
      </c>
      <c r="N1218" s="15" t="s">
        <v>10</v>
      </c>
      <c r="O1218" s="15" t="s">
        <v>10</v>
      </c>
      <c r="P1218" s="15" t="s">
        <v>10</v>
      </c>
      <c r="Q1218" s="8"/>
      <c r="R1218" s="9" t="s">
        <v>1214</v>
      </c>
    </row>
    <row r="1219" spans="1:18" x14ac:dyDescent="0.25">
      <c r="A1219" s="6" t="str">
        <f>HYPERLINK("proteomic_fractions_linear_files/Yang_linear_img/31541939.jpg", "31541939")</f>
        <v>31541939</v>
      </c>
      <c r="B1219" s="7"/>
      <c r="C1219" s="6" t="str">
        <f>HYPERLINK("http://www.ncbi.nlm.nih.gov/protein/31541939","Chid1")</f>
        <v>Chid1</v>
      </c>
      <c r="D1219" s="8"/>
      <c r="E1219" s="8">
        <v>33083</v>
      </c>
      <c r="F1219" s="8"/>
      <c r="G1219" s="15" t="s">
        <v>10</v>
      </c>
      <c r="H1219" s="15" t="s">
        <v>10</v>
      </c>
      <c r="I1219" s="15" t="s">
        <v>10</v>
      </c>
      <c r="J1219" s="15" t="s">
        <v>10</v>
      </c>
      <c r="K1219" s="15">
        <v>1.2274944910067498</v>
      </c>
      <c r="L1219" s="15">
        <v>1.2274944910067498</v>
      </c>
      <c r="M1219" s="15" t="s">
        <v>10</v>
      </c>
      <c r="N1219" s="15" t="s">
        <v>10</v>
      </c>
      <c r="O1219" s="15" t="s">
        <v>10</v>
      </c>
      <c r="P1219" s="15" t="s">
        <v>10</v>
      </c>
      <c r="Q1219" s="8"/>
      <c r="R1219" s="9" t="s">
        <v>1215</v>
      </c>
    </row>
    <row r="1220" spans="1:18" x14ac:dyDescent="0.25">
      <c r="A1220" s="6" t="str">
        <f>HYPERLINK("proteomic_fractions_linear_files/Yang_linear_img/407970974.jpg", "407970974")</f>
        <v>407970974</v>
      </c>
      <c r="B1220" s="7"/>
      <c r="C1220" s="6" t="str">
        <f>HYPERLINK("http://www.ncbi.nlm.nih.gov/protein/407970974","Chka")</f>
        <v>Chka</v>
      </c>
      <c r="D1220" s="8"/>
      <c r="E1220" s="8">
        <v>51854</v>
      </c>
      <c r="F1220" s="8"/>
      <c r="G1220" s="15" t="s">
        <v>10</v>
      </c>
      <c r="H1220" s="15" t="s">
        <v>10</v>
      </c>
      <c r="I1220" s="15" t="s">
        <v>10</v>
      </c>
      <c r="J1220" s="15" t="s">
        <v>10</v>
      </c>
      <c r="K1220" s="15">
        <v>1.0215494159615592</v>
      </c>
      <c r="L1220" s="15">
        <v>1.0215494159615592</v>
      </c>
      <c r="M1220" s="15" t="s">
        <v>10</v>
      </c>
      <c r="N1220" s="15" t="s">
        <v>10</v>
      </c>
      <c r="O1220" s="15">
        <v>0.84856902398010514</v>
      </c>
      <c r="P1220" s="15">
        <v>0.92865337662337022</v>
      </c>
      <c r="Q1220" s="8"/>
      <c r="R1220" s="9" t="s">
        <v>1216</v>
      </c>
    </row>
    <row r="1221" spans="1:18" x14ac:dyDescent="0.25">
      <c r="A1221" s="6" t="str">
        <f>HYPERLINK("proteomic_fractions_linear_files/Yang_linear_img/70908364.jpg", "70908364")</f>
        <v>70908364</v>
      </c>
      <c r="B1221" s="7"/>
      <c r="C1221" s="6" t="str">
        <f>HYPERLINK("http://www.ncbi.nlm.nih.gov/protein/70908364","Chka")</f>
        <v>Chka</v>
      </c>
      <c r="D1221" s="8"/>
      <c r="E1221" s="8">
        <v>49774</v>
      </c>
      <c r="F1221" s="8"/>
      <c r="G1221" s="15" t="s">
        <v>10</v>
      </c>
      <c r="H1221" s="15" t="s">
        <v>10</v>
      </c>
      <c r="I1221" s="15" t="s">
        <v>10</v>
      </c>
      <c r="J1221" s="15" t="s">
        <v>10</v>
      </c>
      <c r="K1221" s="15">
        <v>1.0624113926000216</v>
      </c>
      <c r="L1221" s="15">
        <v>1.0624113926000216</v>
      </c>
      <c r="M1221" s="15" t="s">
        <v>10</v>
      </c>
      <c r="N1221" s="15" t="s">
        <v>10</v>
      </c>
      <c r="O1221" s="15">
        <v>0.88251178493930937</v>
      </c>
      <c r="P1221" s="15">
        <v>0.96579951168830502</v>
      </c>
      <c r="Q1221" s="8"/>
      <c r="R1221" s="9" t="s">
        <v>1217</v>
      </c>
    </row>
    <row r="1222" spans="1:18" x14ac:dyDescent="0.25">
      <c r="A1222" s="6" t="str">
        <f>HYPERLINK("proteomic_fractions_linear_files/Yang_linear_img/6671748.jpg", "6671748")</f>
        <v>6671748</v>
      </c>
      <c r="B1222" s="7"/>
      <c r="C1222" s="6" t="str">
        <f>HYPERLINK("http://www.ncbi.nlm.nih.gov/protein/6671748","Chkb")</f>
        <v>Chkb</v>
      </c>
      <c r="D1222" s="8"/>
      <c r="E1222" s="8">
        <v>44995</v>
      </c>
      <c r="F1222" s="8"/>
      <c r="G1222" s="15" t="s">
        <v>10</v>
      </c>
      <c r="H1222" s="15" t="s">
        <v>10</v>
      </c>
      <c r="I1222" s="15">
        <v>0.98056864993256598</v>
      </c>
      <c r="J1222" s="15">
        <v>0.98056864993256598</v>
      </c>
      <c r="K1222" s="15">
        <v>0.98056864993256598</v>
      </c>
      <c r="L1222" s="15">
        <v>0.98056864993256598</v>
      </c>
      <c r="M1222" s="15" t="s">
        <v>10</v>
      </c>
      <c r="N1222" s="15" t="s">
        <v>10</v>
      </c>
      <c r="O1222" s="15">
        <v>0.90016262673828318</v>
      </c>
      <c r="P1222" s="15">
        <v>0.90016262673828318</v>
      </c>
      <c r="Q1222" s="8"/>
      <c r="R1222" s="9" t="s">
        <v>1218</v>
      </c>
    </row>
    <row r="1223" spans="1:18" x14ac:dyDescent="0.25">
      <c r="A1223" s="6" t="str">
        <f>HYPERLINK("proteomic_fractions_linear_files/Yang_linear_img/110681714.jpg", "110681714")</f>
        <v>110681714</v>
      </c>
      <c r="B1223" s="7"/>
      <c r="C1223" s="6" t="str">
        <f>HYPERLINK("http://www.ncbi.nlm.nih.gov/protein/110681714","Chm")</f>
        <v>Chm</v>
      </c>
      <c r="D1223" s="8"/>
      <c r="E1223" s="8">
        <v>73533</v>
      </c>
      <c r="F1223" s="8"/>
      <c r="G1223" s="15" t="s">
        <v>10</v>
      </c>
      <c r="H1223" s="15" t="s">
        <v>10</v>
      </c>
      <c r="I1223" s="15" t="s">
        <v>10</v>
      </c>
      <c r="J1223" s="15" t="s">
        <v>10</v>
      </c>
      <c r="K1223" s="15" t="s">
        <v>10</v>
      </c>
      <c r="L1223" s="15" t="s">
        <v>10</v>
      </c>
      <c r="M1223" s="15" t="s">
        <v>10</v>
      </c>
      <c r="N1223" s="15" t="s">
        <v>10</v>
      </c>
      <c r="O1223" s="15">
        <v>1.2833510970619528</v>
      </c>
      <c r="P1223" s="15">
        <v>1.2833510970619528</v>
      </c>
      <c r="Q1223" s="8"/>
      <c r="R1223" s="9" t="s">
        <v>1219</v>
      </c>
    </row>
    <row r="1224" spans="1:18" x14ac:dyDescent="0.25">
      <c r="A1224" s="6" t="str">
        <f>HYPERLINK("proteomic_fractions_linear_files/Yang_linear_img/377834613.jpg", "377834613")</f>
        <v>377834613</v>
      </c>
      <c r="B1224" s="7"/>
      <c r="C1224" s="6" t="str">
        <f>HYPERLINK("http://www.ncbi.nlm.nih.gov/protein/377834613","Chm")</f>
        <v>Chm</v>
      </c>
      <c r="D1224" s="8"/>
      <c r="E1224" s="8">
        <v>51884</v>
      </c>
      <c r="F1224" s="8"/>
      <c r="G1224" s="15" t="s">
        <v>10</v>
      </c>
      <c r="H1224" s="15" t="s">
        <v>10</v>
      </c>
      <c r="I1224" s="15" t="s">
        <v>10</v>
      </c>
      <c r="J1224" s="15" t="s">
        <v>10</v>
      </c>
      <c r="K1224" s="15" t="s">
        <v>10</v>
      </c>
      <c r="L1224" s="15" t="s">
        <v>10</v>
      </c>
      <c r="M1224" s="15" t="s">
        <v>10</v>
      </c>
      <c r="N1224" s="15" t="s">
        <v>10</v>
      </c>
      <c r="O1224" s="15">
        <v>1.8263073304343176</v>
      </c>
      <c r="P1224" s="15">
        <v>1.8263073304343176</v>
      </c>
      <c r="Q1224" s="8"/>
      <c r="R1224" s="9" t="s">
        <v>8046</v>
      </c>
    </row>
    <row r="1225" spans="1:18" x14ac:dyDescent="0.25">
      <c r="A1225" s="6" t="str">
        <f>HYPERLINK("proteomic_fractions_linear_files/Yang_linear_img/21704220.jpg", "21704220")</f>
        <v>21704220</v>
      </c>
      <c r="B1225" s="7"/>
      <c r="C1225" s="6" t="str">
        <f>HYPERLINK("http://www.ncbi.nlm.nih.gov/protein/21704220","Chmp1a")</f>
        <v>Chmp1a</v>
      </c>
      <c r="D1225" s="8"/>
      <c r="E1225" s="8">
        <v>21477</v>
      </c>
      <c r="F1225" s="8"/>
      <c r="G1225" s="15" t="s">
        <v>10</v>
      </c>
      <c r="H1225" s="15" t="s">
        <v>10</v>
      </c>
      <c r="I1225" s="15" t="s">
        <v>10</v>
      </c>
      <c r="J1225" s="15" t="s">
        <v>10</v>
      </c>
      <c r="K1225" s="15" t="s">
        <v>10</v>
      </c>
      <c r="L1225" s="15" t="s">
        <v>10</v>
      </c>
      <c r="M1225" s="15" t="s">
        <v>10</v>
      </c>
      <c r="N1225" s="15" t="s">
        <v>10</v>
      </c>
      <c r="O1225" s="15">
        <v>1.100455874986545</v>
      </c>
      <c r="P1225" s="15">
        <v>1.100455874986545</v>
      </c>
      <c r="Q1225" s="8"/>
      <c r="R1225" s="9" t="s">
        <v>1220</v>
      </c>
    </row>
    <row r="1226" spans="1:18" x14ac:dyDescent="0.25">
      <c r="A1226" s="6" t="str">
        <f>HYPERLINK("proteomic_fractions_linear_files/Yang_linear_img/21312151.jpg", "21312151")</f>
        <v>21312151</v>
      </c>
      <c r="B1226" s="7"/>
      <c r="C1226" s="6" t="str">
        <f>HYPERLINK("http://www.ncbi.nlm.nih.gov/protein/21312151","Chmp2a")</f>
        <v>Chmp2a</v>
      </c>
      <c r="D1226" s="8"/>
      <c r="E1226" s="8">
        <v>25003</v>
      </c>
      <c r="F1226" s="8"/>
      <c r="G1226" s="15" t="s">
        <v>10</v>
      </c>
      <c r="H1226" s="15" t="s">
        <v>10</v>
      </c>
      <c r="I1226" s="15">
        <v>1.1167284519072824</v>
      </c>
      <c r="J1226" s="15">
        <v>1.1167284519072824</v>
      </c>
      <c r="K1226" s="15">
        <v>1.1167284519072824</v>
      </c>
      <c r="L1226" s="15">
        <v>1.1167284519072824</v>
      </c>
      <c r="M1226" s="15">
        <v>1.1167284519072824</v>
      </c>
      <c r="N1226" s="15">
        <v>1.1167284519072824</v>
      </c>
      <c r="O1226" s="15">
        <v>0.9821928245310767</v>
      </c>
      <c r="P1226" s="15">
        <v>0.9821928245310767</v>
      </c>
      <c r="Q1226" s="8"/>
      <c r="R1226" s="9" t="s">
        <v>1221</v>
      </c>
    </row>
    <row r="1227" spans="1:18" x14ac:dyDescent="0.25">
      <c r="A1227" s="6" t="str">
        <f>HYPERLINK("proteomic_fractions_linear_files/Yang_linear_img/30794432.jpg", "30794432")</f>
        <v>30794432</v>
      </c>
      <c r="B1227" s="7"/>
      <c r="C1227" s="6" t="str">
        <f>HYPERLINK("http://www.ncbi.nlm.nih.gov/protein/30794432","Chmp2b")</f>
        <v>Chmp2b</v>
      </c>
      <c r="D1227" s="8"/>
      <c r="E1227" s="8">
        <v>23804</v>
      </c>
      <c r="F1227" s="8"/>
      <c r="G1227" s="15" t="s">
        <v>10</v>
      </c>
      <c r="H1227" s="15" t="s">
        <v>10</v>
      </c>
      <c r="I1227" s="15">
        <v>1.1632588040700858</v>
      </c>
      <c r="J1227" s="15">
        <v>1.1632588040700858</v>
      </c>
      <c r="K1227" s="15">
        <v>1.1632588040700858</v>
      </c>
      <c r="L1227" s="15">
        <v>1.1632588040700858</v>
      </c>
      <c r="M1227" s="15">
        <v>1.1632588040700858</v>
      </c>
      <c r="N1227" s="15">
        <v>1.1632588040700858</v>
      </c>
      <c r="O1227" s="15">
        <v>1.0231175255532048</v>
      </c>
      <c r="P1227" s="15">
        <v>1.0231175255532048</v>
      </c>
      <c r="Q1227" s="8"/>
      <c r="R1227" s="9" t="s">
        <v>1222</v>
      </c>
    </row>
    <row r="1228" spans="1:18" x14ac:dyDescent="0.25">
      <c r="A1228" s="6" t="str">
        <f>HYPERLINK("proteomic_fractions_linear_files/Yang_linear_img/31541959.jpg", "31541959")</f>
        <v>31541959</v>
      </c>
      <c r="B1228" s="7"/>
      <c r="C1228" s="6" t="str">
        <f>HYPERLINK("http://www.ncbi.nlm.nih.gov/protein/31541959","Chmp3")</f>
        <v>Chmp3</v>
      </c>
      <c r="D1228" s="8"/>
      <c r="E1228" s="8">
        <v>25088</v>
      </c>
      <c r="F1228" s="8"/>
      <c r="G1228" s="15" t="s">
        <v>10</v>
      </c>
      <c r="H1228" s="15" t="s">
        <v>10</v>
      </c>
      <c r="I1228" s="15" t="s">
        <v>10</v>
      </c>
      <c r="J1228" s="15" t="s">
        <v>10</v>
      </c>
      <c r="K1228" s="15">
        <v>1.1167284519072824</v>
      </c>
      <c r="L1228" s="15">
        <v>1.1167284519072824</v>
      </c>
      <c r="M1228" s="15">
        <v>1.1167284519072824</v>
      </c>
      <c r="N1228" s="15">
        <v>1.1167284519072824</v>
      </c>
      <c r="O1228" s="15">
        <v>1.0460103246170001</v>
      </c>
      <c r="P1228" s="15">
        <v>1.0460103246170001</v>
      </c>
      <c r="Q1228" s="8"/>
      <c r="R1228" s="9" t="s">
        <v>1223</v>
      </c>
    </row>
    <row r="1229" spans="1:18" x14ac:dyDescent="0.25">
      <c r="A1229" s="6" t="str">
        <f>HYPERLINK("proteomic_fractions_linear_files/Yang_linear_img/28077049.jpg", "28077049")</f>
        <v>28077049</v>
      </c>
      <c r="B1229" s="7"/>
      <c r="C1229" s="6" t="str">
        <f>HYPERLINK("http://www.ncbi.nlm.nih.gov/protein/28077049","Chmp4b")</f>
        <v>Chmp4b</v>
      </c>
      <c r="D1229" s="8"/>
      <c r="E1229" s="8">
        <v>24805</v>
      </c>
      <c r="F1229" s="8"/>
      <c r="G1229" s="15">
        <v>1.2833629142293435</v>
      </c>
      <c r="H1229" s="15">
        <v>1.2833629142293435</v>
      </c>
      <c r="I1229" s="15">
        <v>1.2833629142293435</v>
      </c>
      <c r="J1229" s="15">
        <v>1.2833629142293435</v>
      </c>
      <c r="K1229" s="15">
        <v>1.3821350612190073</v>
      </c>
      <c r="L1229" s="15">
        <v>1.3821350612190073</v>
      </c>
      <c r="M1229" s="15">
        <v>1.3821350612190073</v>
      </c>
      <c r="N1229" s="15">
        <v>1.3821350612190073</v>
      </c>
      <c r="O1229" s="15">
        <v>1.1167284519072824</v>
      </c>
      <c r="P1229" s="15">
        <v>1.1167284519072824</v>
      </c>
      <c r="Q1229" s="8"/>
      <c r="R1229" s="9" t="s">
        <v>1224</v>
      </c>
    </row>
    <row r="1230" spans="1:18" x14ac:dyDescent="0.25">
      <c r="A1230" s="6" t="str">
        <f>HYPERLINK("proteomic_fractions_linear_files/Yang_linear_img/13386442.jpg", "13386442")</f>
        <v>13386442</v>
      </c>
      <c r="B1230" s="7"/>
      <c r="C1230" s="6" t="str">
        <f>HYPERLINK("http://www.ncbi.nlm.nih.gov/protein/13386442","Chmp5")</f>
        <v>Chmp5</v>
      </c>
      <c r="D1230" s="8"/>
      <c r="E1230" s="8">
        <v>24445</v>
      </c>
      <c r="F1230" s="8"/>
      <c r="G1230" s="15" t="s">
        <v>10</v>
      </c>
      <c r="H1230" s="15" t="s">
        <v>10</v>
      </c>
      <c r="I1230" s="15">
        <v>1.2452252871547138</v>
      </c>
      <c r="J1230" s="15">
        <v>1.2452252871547138</v>
      </c>
      <c r="K1230" s="15">
        <v>1.2452252871547138</v>
      </c>
      <c r="L1230" s="15">
        <v>1.2452252871547138</v>
      </c>
      <c r="M1230" s="15">
        <v>1.2452252871547138</v>
      </c>
      <c r="N1230" s="15">
        <v>1.2452252871547138</v>
      </c>
      <c r="O1230" s="15">
        <v>1.0895940881427084</v>
      </c>
      <c r="P1230" s="15">
        <v>1.0895940881427084</v>
      </c>
      <c r="Q1230" s="8"/>
      <c r="R1230" s="9" t="s">
        <v>1225</v>
      </c>
    </row>
    <row r="1231" spans="1:18" x14ac:dyDescent="0.25">
      <c r="A1231" s="6" t="str">
        <f>HYPERLINK("proteomic_fractions_linear_files/Yang_linear_img/147904547.jpg", "147904547")</f>
        <v>147904547</v>
      </c>
      <c r="B1231" s="7"/>
      <c r="C1231" s="6" t="str">
        <f>HYPERLINK("http://www.ncbi.nlm.nih.gov/protein/147904547","Chmp6")</f>
        <v>Chmp6</v>
      </c>
      <c r="D1231" s="8"/>
      <c r="E1231" s="8">
        <v>23285</v>
      </c>
      <c r="F1231" s="8"/>
      <c r="G1231" s="15">
        <v>1.7611877479662064</v>
      </c>
      <c r="H1231" s="15">
        <v>1.7611877479662064</v>
      </c>
      <c r="I1231" s="15">
        <v>1.2993655170310057</v>
      </c>
      <c r="J1231" s="15">
        <v>1.2993655170310057</v>
      </c>
      <c r="K1231" s="15">
        <v>1.2993655170310057</v>
      </c>
      <c r="L1231" s="15">
        <v>1.2993655170310057</v>
      </c>
      <c r="M1231" s="15">
        <v>1.2993655170310057</v>
      </c>
      <c r="N1231" s="15">
        <v>1.2993655170310057</v>
      </c>
      <c r="O1231" s="15" t="s">
        <v>10</v>
      </c>
      <c r="P1231" s="15" t="s">
        <v>10</v>
      </c>
      <c r="Q1231" s="8"/>
      <c r="R1231" s="9" t="s">
        <v>1226</v>
      </c>
    </row>
    <row r="1232" spans="1:18" x14ac:dyDescent="0.25">
      <c r="A1232" s="6" t="str">
        <f>HYPERLINK("proteomic_fractions_linear_files/Yang_linear_img/13385324.jpg", "13385324")</f>
        <v>13385324</v>
      </c>
      <c r="B1232" s="7"/>
      <c r="C1232" s="6" t="str">
        <f>HYPERLINK("http://www.ncbi.nlm.nih.gov/protein/13385324","Chordc1")</f>
        <v>Chordc1</v>
      </c>
      <c r="D1232" s="8"/>
      <c r="E1232" s="8">
        <v>37220</v>
      </c>
      <c r="F1232" s="8"/>
      <c r="G1232" s="15" t="s">
        <v>10</v>
      </c>
      <c r="H1232" s="15" t="s">
        <v>10</v>
      </c>
      <c r="I1232" s="15">
        <v>0.93387504136419419</v>
      </c>
      <c r="J1232" s="15">
        <v>0.93387504136419419</v>
      </c>
      <c r="K1232" s="15">
        <v>1.0092250384628267</v>
      </c>
      <c r="L1232" s="15">
        <v>1.0092250384628267</v>
      </c>
      <c r="M1232" s="15">
        <v>1.0092250384628267</v>
      </c>
      <c r="N1232" s="15">
        <v>1.0092250384628267</v>
      </c>
      <c r="O1232" s="15">
        <v>0.86713710420901591</v>
      </c>
      <c r="P1232" s="15">
        <v>0.86713710420901591</v>
      </c>
      <c r="Q1232" s="8"/>
      <c r="R1232" s="9" t="s">
        <v>1227</v>
      </c>
    </row>
    <row r="1233" spans="1:18" x14ac:dyDescent="0.25">
      <c r="A1233" s="6" t="str">
        <f>HYPERLINK("proteomic_fractions_linear_files/Yang_linear_img/9790225.jpg", "9790225")</f>
        <v>9790225</v>
      </c>
      <c r="B1233" s="7"/>
      <c r="C1233" s="6" t="str">
        <f>HYPERLINK("http://www.ncbi.nlm.nih.gov/protein/9790225","Chp1")</f>
        <v>Chp1</v>
      </c>
      <c r="D1233" s="8"/>
      <c r="E1233" s="8">
        <v>22301</v>
      </c>
      <c r="F1233" s="8"/>
      <c r="G1233" s="15">
        <v>1.4583669479878905</v>
      </c>
      <c r="H1233" s="15">
        <v>1.4583669479878905</v>
      </c>
      <c r="I1233" s="15">
        <v>0.99071555775812503</v>
      </c>
      <c r="J1233" s="15">
        <v>0.99071555775812503</v>
      </c>
      <c r="K1233" s="15">
        <v>0.99071555775812503</v>
      </c>
      <c r="L1233" s="15">
        <v>0.99071555775812503</v>
      </c>
      <c r="M1233" s="15">
        <v>1.0504351533962475</v>
      </c>
      <c r="N1233" s="15">
        <v>1.0504351533962475</v>
      </c>
      <c r="O1233" s="15" t="s">
        <v>10</v>
      </c>
      <c r="P1233" s="15" t="s">
        <v>10</v>
      </c>
      <c r="Q1233" s="8"/>
      <c r="R1233" s="9" t="s">
        <v>1228</v>
      </c>
    </row>
    <row r="1234" spans="1:18" x14ac:dyDescent="0.25">
      <c r="A1234" s="6" t="str">
        <f>HYPERLINK("proteomic_fractions_linear_files/Yang_linear_img/226442811.jpg", "226442811")</f>
        <v>226442811</v>
      </c>
      <c r="B1234" s="7"/>
      <c r="C1234" s="6" t="str">
        <f>HYPERLINK("http://www.ncbi.nlm.nih.gov/protein/226442811","Chpt1")</f>
        <v>Chpt1</v>
      </c>
      <c r="D1234" s="8"/>
      <c r="E1234" s="8">
        <v>44477</v>
      </c>
      <c r="F1234" s="8"/>
      <c r="G1234" s="15" t="s">
        <v>10</v>
      </c>
      <c r="H1234" s="15" t="s">
        <v>10</v>
      </c>
      <c r="I1234" s="15" t="s">
        <v>10</v>
      </c>
      <c r="J1234" s="15" t="s">
        <v>10</v>
      </c>
      <c r="K1234" s="15">
        <v>0.67921379299348028</v>
      </c>
      <c r="L1234" s="15">
        <v>0.67921379299348028</v>
      </c>
      <c r="M1234" s="15" t="s">
        <v>10</v>
      </c>
      <c r="N1234" s="15" t="s">
        <v>10</v>
      </c>
      <c r="O1234" s="15" t="s">
        <v>10</v>
      </c>
      <c r="P1234" s="15" t="s">
        <v>10</v>
      </c>
      <c r="Q1234" s="8"/>
      <c r="R1234" s="9" t="s">
        <v>1229</v>
      </c>
    </row>
    <row r="1235" spans="1:18" x14ac:dyDescent="0.25">
      <c r="A1235" s="6" t="str">
        <f>HYPERLINK("proteomic_fractions_linear_files/Yang_linear_img/226442815.jpg", "226442815")</f>
        <v>226442815</v>
      </c>
      <c r="B1235" s="7"/>
      <c r="C1235" s="6" t="str">
        <f>HYPERLINK("http://www.ncbi.nlm.nih.gov/protein/226442815","Chpt1")</f>
        <v>Chpt1</v>
      </c>
      <c r="D1235" s="8"/>
      <c r="E1235" s="8">
        <v>45304</v>
      </c>
      <c r="F1235" s="8"/>
      <c r="G1235" s="15" t="s">
        <v>10</v>
      </c>
      <c r="H1235" s="15" t="s">
        <v>10</v>
      </c>
      <c r="I1235" s="15" t="s">
        <v>10</v>
      </c>
      <c r="J1235" s="15" t="s">
        <v>10</v>
      </c>
      <c r="K1235" s="15">
        <v>0.66412015314918071</v>
      </c>
      <c r="L1235" s="15">
        <v>0.66412015314918071</v>
      </c>
      <c r="M1235" s="15" t="s">
        <v>10</v>
      </c>
      <c r="N1235" s="15" t="s">
        <v>10</v>
      </c>
      <c r="O1235" s="15" t="s">
        <v>10</v>
      </c>
      <c r="P1235" s="15" t="s">
        <v>10</v>
      </c>
      <c r="Q1235" s="8"/>
      <c r="R1235" s="9" t="s">
        <v>1230</v>
      </c>
    </row>
    <row r="1236" spans="1:18" x14ac:dyDescent="0.25">
      <c r="A1236" s="6" t="str">
        <f>HYPERLINK("proteomic_fractions_linear_files/Yang_linear_img/6752950.jpg", "6752950")</f>
        <v>6752950</v>
      </c>
      <c r="B1236" s="7"/>
      <c r="C1236" s="6" t="str">
        <f>HYPERLINK("http://www.ncbi.nlm.nih.gov/protein/6752950","Chrne")</f>
        <v>Chrne</v>
      </c>
      <c r="D1236" s="8"/>
      <c r="E1236" s="8">
        <v>52930</v>
      </c>
      <c r="F1236" s="8"/>
      <c r="G1236" s="15" t="s">
        <v>10</v>
      </c>
      <c r="H1236" s="15" t="s">
        <v>10</v>
      </c>
      <c r="I1236" s="15" t="s">
        <v>10</v>
      </c>
      <c r="J1236" s="15" t="s">
        <v>10</v>
      </c>
      <c r="K1236" s="15" t="s">
        <v>10</v>
      </c>
      <c r="L1236" s="15" t="s">
        <v>10</v>
      </c>
      <c r="M1236" s="15" t="s">
        <v>10</v>
      </c>
      <c r="N1236" s="15" t="s">
        <v>10</v>
      </c>
      <c r="O1236" s="15">
        <v>0.49340109651745284</v>
      </c>
      <c r="P1236" s="15">
        <v>0.49340109651745284</v>
      </c>
      <c r="Q1236" s="8"/>
      <c r="R1236" s="9" t="s">
        <v>1231</v>
      </c>
    </row>
    <row r="1237" spans="1:18" x14ac:dyDescent="0.25">
      <c r="A1237" s="6" t="str">
        <f>HYPERLINK("proteomic_fractions_linear_files/Yang_linear_img/157951666.jpg", "157951666")</f>
        <v>157951666</v>
      </c>
      <c r="B1237" s="7"/>
      <c r="C1237" s="6" t="str">
        <f>HYPERLINK("http://www.ncbi.nlm.nih.gov/protein/157951666","Chtf18")</f>
        <v>Chtf18</v>
      </c>
      <c r="D1237" s="8"/>
      <c r="E1237" s="8">
        <v>108007</v>
      </c>
      <c r="F1237" s="8"/>
      <c r="G1237" s="15" t="s">
        <v>10</v>
      </c>
      <c r="H1237" s="15" t="s">
        <v>10</v>
      </c>
      <c r="I1237" s="15" t="s">
        <v>10</v>
      </c>
      <c r="J1237" s="15" t="s">
        <v>10</v>
      </c>
      <c r="K1237" s="15">
        <v>1.1918669272696016</v>
      </c>
      <c r="L1237" s="15">
        <v>1.4208599179281651</v>
      </c>
      <c r="M1237" s="15">
        <v>1.1918669272696016</v>
      </c>
      <c r="N1237" s="15">
        <v>1.1918669272696016</v>
      </c>
      <c r="O1237" s="15">
        <v>1.1918669272696016</v>
      </c>
      <c r="P1237" s="15">
        <v>1.1918669272696016</v>
      </c>
      <c r="Q1237" s="8"/>
      <c r="R1237" s="9" t="s">
        <v>1232</v>
      </c>
    </row>
    <row r="1238" spans="1:18" x14ac:dyDescent="0.25">
      <c r="A1238" s="6" t="str">
        <f>HYPERLINK("proteomic_fractions_linear_files/Yang_linear_img/84000434.jpg", "84000434")</f>
        <v>84000434</v>
      </c>
      <c r="B1238" s="7"/>
      <c r="C1238" s="6" t="str">
        <f>HYPERLINK("http://www.ncbi.nlm.nih.gov/protein/84000434","Chtf8")</f>
        <v>Chtf8</v>
      </c>
      <c r="D1238" s="8"/>
      <c r="E1238" s="8">
        <v>13096</v>
      </c>
      <c r="F1238" s="8"/>
      <c r="G1238" s="15" t="s">
        <v>10</v>
      </c>
      <c r="H1238" s="15" t="s">
        <v>10</v>
      </c>
      <c r="I1238" s="15">
        <v>1.0228510786924256</v>
      </c>
      <c r="J1238" s="15">
        <v>1.0228510786924256</v>
      </c>
      <c r="K1238" s="15">
        <v>1.1167287478361805</v>
      </c>
      <c r="L1238" s="15">
        <v>1.1167287478361805</v>
      </c>
      <c r="M1238" s="15">
        <v>1.1167287478361805</v>
      </c>
      <c r="N1238" s="15">
        <v>1.1167287478361805</v>
      </c>
      <c r="O1238" s="15">
        <v>1.0228510786924256</v>
      </c>
      <c r="P1238" s="15">
        <v>1.0228510786924256</v>
      </c>
      <c r="Q1238" s="8"/>
      <c r="R1238" s="9" t="s">
        <v>1233</v>
      </c>
    </row>
    <row r="1239" spans="1:18" x14ac:dyDescent="0.25">
      <c r="A1239" s="6" t="str">
        <f>HYPERLINK("proteomic_fractions_linear_files/Yang_linear_img/31981251.jpg", "31981251")</f>
        <v>31981251</v>
      </c>
      <c r="B1239" s="7"/>
      <c r="C1239" s="6" t="str">
        <f>HYPERLINK("http://www.ncbi.nlm.nih.gov/protein/31981251","Chtop")</f>
        <v>Chtop</v>
      </c>
      <c r="D1239" s="8"/>
      <c r="E1239" s="8">
        <v>23719</v>
      </c>
      <c r="F1239" s="8"/>
      <c r="G1239" s="15">
        <v>1.5558886009635247</v>
      </c>
      <c r="H1239" s="15">
        <v>1.5558886009635247</v>
      </c>
      <c r="I1239" s="15">
        <v>1.0895940881427084</v>
      </c>
      <c r="J1239" s="15">
        <v>1.0895940881427084</v>
      </c>
      <c r="K1239" s="15">
        <v>1.1632588040700858</v>
      </c>
      <c r="L1239" s="15">
        <v>1.1632588040700858</v>
      </c>
      <c r="M1239" s="15">
        <v>1.0895940881427084</v>
      </c>
      <c r="N1239" s="15">
        <v>1.0895940881427084</v>
      </c>
      <c r="O1239" s="15" t="s">
        <v>10</v>
      </c>
      <c r="P1239" s="15" t="s">
        <v>10</v>
      </c>
      <c r="Q1239" s="8"/>
      <c r="R1239" s="9" t="s">
        <v>1234</v>
      </c>
    </row>
    <row r="1240" spans="1:18" x14ac:dyDescent="0.25">
      <c r="A1240" s="6" t="str">
        <f>HYPERLINK("proteomic_fractions_linear_files/Yang_linear_img/124249115.jpg", "124249115")</f>
        <v>124249115</v>
      </c>
      <c r="B1240" s="7"/>
      <c r="C1240" s="6" t="str">
        <f>HYPERLINK("http://www.ncbi.nlm.nih.gov/protein/124249115","Churc1")</f>
        <v>Churc1</v>
      </c>
      <c r="D1240" s="8"/>
      <c r="E1240" s="8">
        <v>12727</v>
      </c>
      <c r="F1240" s="8"/>
      <c r="G1240" s="15" t="s">
        <v>10</v>
      </c>
      <c r="H1240" s="15" t="s">
        <v>10</v>
      </c>
      <c r="I1240" s="15" t="s">
        <v>10</v>
      </c>
      <c r="J1240" s="15" t="s">
        <v>10</v>
      </c>
      <c r="K1240" s="15" t="s">
        <v>10</v>
      </c>
      <c r="L1240" s="15" t="s">
        <v>10</v>
      </c>
      <c r="M1240" s="15" t="s">
        <v>10</v>
      </c>
      <c r="N1240" s="15" t="s">
        <v>10</v>
      </c>
      <c r="O1240" s="15">
        <v>1.068142346148973</v>
      </c>
      <c r="P1240" s="15">
        <v>1.068142346148973</v>
      </c>
      <c r="Q1240" s="8"/>
      <c r="R1240" s="9" t="s">
        <v>1235</v>
      </c>
    </row>
    <row r="1241" spans="1:18" x14ac:dyDescent="0.25">
      <c r="A1241" s="6" t="str">
        <f>HYPERLINK("proteomic_fractions_linear_files/Yang_linear_img/31542399.jpg", "31542399")</f>
        <v>31542399</v>
      </c>
      <c r="B1241" s="7"/>
      <c r="C1241" s="6" t="str">
        <f>HYPERLINK("http://www.ncbi.nlm.nih.gov/protein/31542399","Ciao1")</f>
        <v>Ciao1</v>
      </c>
      <c r="D1241" s="8"/>
      <c r="E1241" s="8">
        <v>37502</v>
      </c>
      <c r="F1241" s="8"/>
      <c r="G1241" s="15" t="s">
        <v>10</v>
      </c>
      <c r="H1241" s="15" t="s">
        <v>10</v>
      </c>
      <c r="I1241" s="15" t="s">
        <v>10</v>
      </c>
      <c r="J1241" s="15" t="s">
        <v>10</v>
      </c>
      <c r="K1241" s="15">
        <v>1.0659820579795458</v>
      </c>
      <c r="L1241" s="15">
        <v>1.0659820579795458</v>
      </c>
      <c r="M1241" s="15">
        <v>0.98266648481906815</v>
      </c>
      <c r="N1241" s="15">
        <v>0.98266648481906815</v>
      </c>
      <c r="O1241" s="15">
        <v>0.90929938238092589</v>
      </c>
      <c r="P1241" s="15">
        <v>0.90929938238092589</v>
      </c>
      <c r="Q1241" s="8"/>
      <c r="R1241" s="9" t="s">
        <v>1236</v>
      </c>
    </row>
    <row r="1242" spans="1:18" x14ac:dyDescent="0.25">
      <c r="A1242" s="6" t="str">
        <f>HYPERLINK("proteomic_fractions_linear_files/Yang_linear_img/19527376.jpg", "19527376")</f>
        <v>19527376</v>
      </c>
      <c r="B1242" s="7"/>
      <c r="C1242" s="6" t="str">
        <f>HYPERLINK("http://www.ncbi.nlm.nih.gov/protein/19527376","Ciapin1")</f>
        <v>Ciapin1</v>
      </c>
      <c r="D1242" s="8"/>
      <c r="E1242" s="8">
        <v>33298</v>
      </c>
      <c r="F1242" s="8"/>
      <c r="G1242" s="15" t="s">
        <v>10</v>
      </c>
      <c r="H1242" s="15" t="s">
        <v>10</v>
      </c>
      <c r="I1242" s="15">
        <v>0.38627937399810985</v>
      </c>
      <c r="J1242" s="15">
        <v>0.38627937399810985</v>
      </c>
      <c r="K1242" s="15">
        <v>1.2274944910067498</v>
      </c>
      <c r="L1242" s="15">
        <v>1.1315553461552907</v>
      </c>
      <c r="M1242" s="15" t="s">
        <v>10</v>
      </c>
      <c r="N1242" s="15" t="s">
        <v>10</v>
      </c>
      <c r="O1242" s="15">
        <v>1.0470720160750056</v>
      </c>
      <c r="P1242" s="15">
        <v>1.0470720160750056</v>
      </c>
      <c r="Q1242" s="8"/>
      <c r="R1242" s="9" t="s">
        <v>1237</v>
      </c>
    </row>
    <row r="1243" spans="1:18" x14ac:dyDescent="0.25">
      <c r="A1243" s="6" t="str">
        <f>HYPERLINK("proteomic_fractions_linear_files/Yang_linear_img/6680946.jpg", "6680946")</f>
        <v>6680946</v>
      </c>
      <c r="B1243" s="7"/>
      <c r="C1243" s="6" t="str">
        <f>HYPERLINK("http://www.ncbi.nlm.nih.gov/protein/6680946","Cirbp")</f>
        <v>Cirbp</v>
      </c>
      <c r="D1243" s="8"/>
      <c r="E1243" s="8">
        <v>18476</v>
      </c>
      <c r="F1243" s="8"/>
      <c r="G1243" s="15">
        <v>1.3641567007376065</v>
      </c>
      <c r="H1243" s="15">
        <v>1.3641567007376065</v>
      </c>
      <c r="I1243" s="15">
        <v>0.97610776474216487</v>
      </c>
      <c r="J1243" s="15">
        <v>0.97610776474216487</v>
      </c>
      <c r="K1243" s="15">
        <v>0.97610776474216487</v>
      </c>
      <c r="L1243" s="15">
        <v>0.97610776474216487</v>
      </c>
      <c r="M1243" s="15">
        <v>0.97610776474216487</v>
      </c>
      <c r="N1243" s="15">
        <v>0.97610776474216487</v>
      </c>
      <c r="O1243" s="15" t="s">
        <v>10</v>
      </c>
      <c r="P1243" s="15" t="s">
        <v>10</v>
      </c>
      <c r="Q1243" s="8"/>
      <c r="R1243" s="9" t="s">
        <v>1238</v>
      </c>
    </row>
    <row r="1244" spans="1:18" x14ac:dyDescent="0.25">
      <c r="A1244" s="6" t="str">
        <f>HYPERLINK("proteomic_fractions_linear_files/Yang_linear_img/19527228.jpg", "19527228")</f>
        <v>19527228</v>
      </c>
      <c r="B1244" s="7"/>
      <c r="C1244" s="6" t="str">
        <f>HYPERLINK("http://www.ncbi.nlm.nih.gov/protein/19527228","Cisd1")</f>
        <v>Cisd1</v>
      </c>
      <c r="D1244" s="8"/>
      <c r="E1244" s="8">
        <v>11966</v>
      </c>
      <c r="F1244" s="8"/>
      <c r="G1244" s="15">
        <v>1.1571542083280542</v>
      </c>
      <c r="H1244" s="15">
        <v>1.1571542083280542</v>
      </c>
      <c r="I1244" s="15">
        <v>1.1571542083280542</v>
      </c>
      <c r="J1244" s="15">
        <v>1.1571542083280542</v>
      </c>
      <c r="K1244" s="15">
        <v>1.209789476822529</v>
      </c>
      <c r="L1244" s="15">
        <v>1.209789476822529</v>
      </c>
      <c r="M1244" s="15">
        <v>1.2663615244845239</v>
      </c>
      <c r="N1244" s="15">
        <v>1.209789476822529</v>
      </c>
      <c r="O1244" s="15" t="s">
        <v>10</v>
      </c>
      <c r="P1244" s="15" t="s">
        <v>10</v>
      </c>
      <c r="Q1244" s="8"/>
      <c r="R1244" s="9" t="s">
        <v>1239</v>
      </c>
    </row>
    <row r="1245" spans="1:18" x14ac:dyDescent="0.25">
      <c r="A1245" s="6" t="str">
        <f>HYPERLINK("proteomic_fractions_linear_files/Yang_linear_img/21728370.jpg", "21728370")</f>
        <v>21728370</v>
      </c>
      <c r="B1245" s="7"/>
      <c r="C1245" s="6" t="str">
        <f>HYPERLINK("http://www.ncbi.nlm.nih.gov/protein/21728370","Cisd2")</f>
        <v>Cisd2</v>
      </c>
      <c r="D1245" s="8"/>
      <c r="E1245" s="8">
        <v>15111</v>
      </c>
      <c r="F1245" s="8"/>
      <c r="G1245" s="15">
        <v>1.540638224981163</v>
      </c>
      <c r="H1245" s="15">
        <v>1.540638224981163</v>
      </c>
      <c r="I1245" s="15">
        <v>1.0130892195876191</v>
      </c>
      <c r="J1245" s="15">
        <v>1.0130892195876191</v>
      </c>
      <c r="K1245" s="15">
        <v>1.0130892195876191</v>
      </c>
      <c r="L1245" s="15">
        <v>1.0130892195876191</v>
      </c>
      <c r="M1245" s="15">
        <v>1.0618294522121183</v>
      </c>
      <c r="N1245" s="15">
        <v>1.0130892195876191</v>
      </c>
      <c r="O1245" s="15" t="s">
        <v>10</v>
      </c>
      <c r="P1245" s="15" t="s">
        <v>10</v>
      </c>
      <c r="Q1245" s="8"/>
      <c r="R1245" s="9" t="s">
        <v>1240</v>
      </c>
    </row>
    <row r="1246" spans="1:18" x14ac:dyDescent="0.25">
      <c r="A1246" s="6" t="str">
        <f>HYPERLINK("proteomic_fractions_linear_files/Yang_linear_img/168229148.jpg", "168229148")</f>
        <v>168229148</v>
      </c>
      <c r="B1246" s="7"/>
      <c r="C1246" s="6" t="str">
        <f>HYPERLINK("http://www.ncbi.nlm.nih.gov/protein/168229148","Cisd3")</f>
        <v>Cisd3</v>
      </c>
      <c r="D1246" s="8"/>
      <c r="E1246" s="8">
        <v>15545</v>
      </c>
      <c r="F1246" s="8"/>
      <c r="G1246" s="15">
        <v>0.90734210761689671</v>
      </c>
      <c r="H1246" s="15">
        <v>0.90734210761689671</v>
      </c>
      <c r="I1246" s="15">
        <v>0.94977114336339286</v>
      </c>
      <c r="J1246" s="15">
        <v>0.94977114336339286</v>
      </c>
      <c r="K1246" s="15" t="s">
        <v>10</v>
      </c>
      <c r="L1246" s="15" t="s">
        <v>10</v>
      </c>
      <c r="M1246" s="15" t="s">
        <v>10</v>
      </c>
      <c r="N1246" s="15" t="s">
        <v>10</v>
      </c>
      <c r="O1246" s="15" t="s">
        <v>10</v>
      </c>
      <c r="P1246" s="15" t="s">
        <v>10</v>
      </c>
      <c r="Q1246" s="8"/>
      <c r="R1246" s="9" t="s">
        <v>1241</v>
      </c>
    </row>
    <row r="1247" spans="1:18" x14ac:dyDescent="0.25">
      <c r="A1247" s="6" t="str">
        <f>HYPERLINK("proteomic_fractions_linear_files/Yang_linear_img/62526118.jpg", "62526118")</f>
        <v>62526118</v>
      </c>
      <c r="B1247" s="7"/>
      <c r="C1247" s="6" t="str">
        <f>HYPERLINK("http://www.ncbi.nlm.nih.gov/protein/62526118","Ckap4")</f>
        <v>Ckap4</v>
      </c>
      <c r="D1247" s="8"/>
      <c r="E1247" s="8">
        <v>63561</v>
      </c>
      <c r="F1247" s="8"/>
      <c r="G1247" s="15">
        <v>1.2984165386428728</v>
      </c>
      <c r="H1247" s="15">
        <v>1.2984165386428728</v>
      </c>
      <c r="I1247" s="15">
        <v>1.0227072395397552</v>
      </c>
      <c r="J1247" s="15">
        <v>1.0227072395397552</v>
      </c>
      <c r="K1247" s="15">
        <v>1.1474400037762851</v>
      </c>
      <c r="L1247" s="15">
        <v>1.1474400037762851</v>
      </c>
      <c r="M1247" s="15" t="s">
        <v>10</v>
      </c>
      <c r="N1247" s="15" t="s">
        <v>10</v>
      </c>
      <c r="O1247" s="15" t="s">
        <v>10</v>
      </c>
      <c r="P1247" s="15" t="s">
        <v>10</v>
      </c>
      <c r="Q1247" s="8"/>
      <c r="R1247" s="9" t="s">
        <v>1242</v>
      </c>
    </row>
    <row r="1248" spans="1:18" x14ac:dyDescent="0.25">
      <c r="A1248" s="6" t="str">
        <f>HYPERLINK("proteomic_fractions_linear_files/Yang_linear_img/260166719.jpg", "260166719")</f>
        <v>260166719</v>
      </c>
      <c r="B1248" s="7"/>
      <c r="C1248" s="6" t="str">
        <f>HYPERLINK("http://www.ncbi.nlm.nih.gov/protein/260166719","Ckap5")</f>
        <v>Ckap5</v>
      </c>
      <c r="D1248" s="8"/>
      <c r="E1248" s="8">
        <v>223389</v>
      </c>
      <c r="F1248" s="8"/>
      <c r="G1248" s="15" t="s">
        <v>10</v>
      </c>
      <c r="H1248" s="15" t="s">
        <v>10</v>
      </c>
      <c r="I1248" s="15">
        <v>0.32931013561292488</v>
      </c>
      <c r="J1248" s="15">
        <v>0.32931013561292488</v>
      </c>
      <c r="K1248" s="15">
        <v>1.3532884512847478</v>
      </c>
      <c r="L1248" s="15">
        <v>1.3532884512847478</v>
      </c>
      <c r="M1248" s="15" t="s">
        <v>10</v>
      </c>
      <c r="N1248" s="15" t="s">
        <v>10</v>
      </c>
      <c r="O1248" s="15">
        <v>0.32931013561292488</v>
      </c>
      <c r="P1248" s="15">
        <v>0.32931013561292488</v>
      </c>
      <c r="Q1248" s="8"/>
      <c r="R1248" s="9" t="s">
        <v>1243</v>
      </c>
    </row>
    <row r="1249" spans="1:18" x14ac:dyDescent="0.25">
      <c r="A1249" s="6" t="str">
        <f>HYPERLINK("proteomic_fractions_linear_files/Yang_linear_img/260166721.jpg", "260166721")</f>
        <v>260166721</v>
      </c>
      <c r="B1249" s="7"/>
      <c r="C1249" s="6" t="str">
        <f>HYPERLINK("http://www.ncbi.nlm.nih.gov/protein/260166721","Ckap5")</f>
        <v>Ckap5</v>
      </c>
      <c r="D1249" s="8"/>
      <c r="E1249" s="8">
        <v>225506</v>
      </c>
      <c r="F1249" s="8"/>
      <c r="G1249" s="15" t="s">
        <v>10</v>
      </c>
      <c r="H1249" s="15" t="s">
        <v>10</v>
      </c>
      <c r="I1249" s="15">
        <v>0.32493876213133738</v>
      </c>
      <c r="J1249" s="15">
        <v>0.32493876213133738</v>
      </c>
      <c r="K1249" s="15">
        <v>1.3353244452942423</v>
      </c>
      <c r="L1249" s="15">
        <v>1.3353244452942423</v>
      </c>
      <c r="M1249" s="15" t="s">
        <v>10</v>
      </c>
      <c r="N1249" s="15" t="s">
        <v>10</v>
      </c>
      <c r="O1249" s="15">
        <v>0.32493876213133738</v>
      </c>
      <c r="P1249" s="15">
        <v>0.32493876213133738</v>
      </c>
      <c r="Q1249" s="8"/>
      <c r="R1249" s="9" t="s">
        <v>1244</v>
      </c>
    </row>
    <row r="1250" spans="1:18" x14ac:dyDescent="0.25">
      <c r="A1250" s="6" t="str">
        <f>HYPERLINK("proteomic_fractions_linear_files/Yang_linear_img/6753428.jpg", "6753428")</f>
        <v>6753428</v>
      </c>
      <c r="B1250" s="7"/>
      <c r="C1250" s="6" t="str">
        <f>HYPERLINK("http://www.ncbi.nlm.nih.gov/protein/6753428","Ckmt1")</f>
        <v>Ckmt1</v>
      </c>
      <c r="D1250" s="8"/>
      <c r="E1250" s="8">
        <v>43160</v>
      </c>
      <c r="F1250" s="8"/>
      <c r="G1250" s="15">
        <v>1.3668187810603221</v>
      </c>
      <c r="H1250" s="15">
        <v>1.3668187810603221</v>
      </c>
      <c r="I1250" s="15">
        <v>0.942030655888901</v>
      </c>
      <c r="J1250" s="15">
        <v>0.942030655888901</v>
      </c>
      <c r="K1250" s="15">
        <v>0.942030655888901</v>
      </c>
      <c r="L1250" s="15">
        <v>0.80356689605756237</v>
      </c>
      <c r="M1250" s="15">
        <v>0.33761566795047321</v>
      </c>
      <c r="N1250" s="15">
        <v>0.33761566795047321</v>
      </c>
      <c r="O1250" s="15" t="s">
        <v>10</v>
      </c>
      <c r="P1250" s="15" t="s">
        <v>10</v>
      </c>
      <c r="Q1250" s="8"/>
      <c r="R1250" s="9" t="s">
        <v>1245</v>
      </c>
    </row>
    <row r="1251" spans="1:18" x14ac:dyDescent="0.25">
      <c r="A1251" s="6" t="str">
        <f>HYPERLINK("proteomic_fractions_linear_files/Yang_linear_img/38259206.jpg", "38259206")</f>
        <v>38259206</v>
      </c>
      <c r="B1251" s="7"/>
      <c r="C1251" s="6" t="str">
        <f>HYPERLINK("http://www.ncbi.nlm.nih.gov/protein/38259206","Ckmt2")</f>
        <v>Ckmt2</v>
      </c>
      <c r="D1251" s="8"/>
      <c r="E1251" s="8">
        <v>43387</v>
      </c>
      <c r="F1251" s="8"/>
      <c r="G1251" s="15">
        <v>1.3668187810603221</v>
      </c>
      <c r="H1251" s="15">
        <v>1.3668187810603221</v>
      </c>
      <c r="I1251" s="15">
        <v>0.942030655888901</v>
      </c>
      <c r="J1251" s="15">
        <v>0.942030655888901</v>
      </c>
      <c r="K1251" s="15">
        <v>0.80356689605756237</v>
      </c>
      <c r="L1251" s="15">
        <v>0.80356689605756237</v>
      </c>
      <c r="M1251" s="15">
        <v>0.33761566795047321</v>
      </c>
      <c r="N1251" s="15">
        <v>0.33761566795047321</v>
      </c>
      <c r="O1251" s="15" t="s">
        <v>10</v>
      </c>
      <c r="P1251" s="15" t="s">
        <v>10</v>
      </c>
      <c r="Q1251" s="8"/>
      <c r="R1251" s="9" t="s">
        <v>1246</v>
      </c>
    </row>
    <row r="1252" spans="1:18" x14ac:dyDescent="0.25">
      <c r="A1252" s="6" t="str">
        <f>HYPERLINK("proteomic_fractions_linear_files/Yang_linear_img/8393135.jpg", "8393135")</f>
        <v>8393135</v>
      </c>
      <c r="B1252" s="7"/>
      <c r="C1252" s="6" t="str">
        <f>HYPERLINK("http://www.ncbi.nlm.nih.gov/protein/8393135","Cks1b")</f>
        <v>Cks1b</v>
      </c>
      <c r="D1252" s="8"/>
      <c r="E1252" s="8">
        <v>9529</v>
      </c>
      <c r="F1252" s="8"/>
      <c r="G1252" s="15" t="s">
        <v>10</v>
      </c>
      <c r="H1252" s="15" t="s">
        <v>10</v>
      </c>
      <c r="I1252" s="15" t="s">
        <v>10</v>
      </c>
      <c r="J1252" s="15" t="s">
        <v>10</v>
      </c>
      <c r="K1252" s="15" t="s">
        <v>10</v>
      </c>
      <c r="L1252" s="15" t="s">
        <v>10</v>
      </c>
      <c r="M1252" s="15" t="s">
        <v>10</v>
      </c>
      <c r="N1252" s="15" t="s">
        <v>10</v>
      </c>
      <c r="O1252" s="15">
        <v>1.2232861292331356</v>
      </c>
      <c r="P1252" s="15">
        <v>1.2232861292331356</v>
      </c>
      <c r="Q1252" s="8"/>
      <c r="R1252" s="9" t="s">
        <v>1247</v>
      </c>
    </row>
    <row r="1253" spans="1:18" x14ac:dyDescent="0.25">
      <c r="A1253" s="6" t="str">
        <f>HYPERLINK("proteomic_fractions_linear_files/Yang_linear_img/13384804.jpg", "13384804")</f>
        <v>13384804</v>
      </c>
      <c r="B1253" s="7"/>
      <c r="C1253" s="6" t="str">
        <f>HYPERLINK("http://www.ncbi.nlm.nih.gov/protein/13384804","Cks2")</f>
        <v>Cks2</v>
      </c>
      <c r="D1253" s="8"/>
      <c r="E1253" s="8">
        <v>9743</v>
      </c>
      <c r="F1253" s="8"/>
      <c r="G1253" s="15" t="s">
        <v>10</v>
      </c>
      <c r="H1253" s="15" t="s">
        <v>10</v>
      </c>
      <c r="I1253" s="15" t="s">
        <v>10</v>
      </c>
      <c r="J1253" s="15" t="s">
        <v>10</v>
      </c>
      <c r="K1253" s="15" t="s">
        <v>10</v>
      </c>
      <c r="L1253" s="15" t="s">
        <v>10</v>
      </c>
      <c r="M1253" s="15" t="s">
        <v>10</v>
      </c>
      <c r="N1253" s="15" t="s">
        <v>10</v>
      </c>
      <c r="O1253" s="15">
        <v>1.2232861292331356</v>
      </c>
      <c r="P1253" s="15">
        <v>1.2232861292331356</v>
      </c>
      <c r="Q1253" s="8"/>
      <c r="R1253" s="9" t="s">
        <v>1248</v>
      </c>
    </row>
    <row r="1254" spans="1:18" x14ac:dyDescent="0.25">
      <c r="A1254" s="6" t="str">
        <f>HYPERLINK("proteomic_fractions_linear_files/Yang_linear_img/124486879.jpg", "124486879")</f>
        <v>124486879</v>
      </c>
      <c r="B1254" s="7"/>
      <c r="C1254" s="6" t="str">
        <f>HYPERLINK("http://www.ncbi.nlm.nih.gov/protein/124486879","Clasp1")</f>
        <v>Clasp1</v>
      </c>
      <c r="D1254" s="8"/>
      <c r="E1254" s="8">
        <v>169184</v>
      </c>
      <c r="F1254" s="8"/>
      <c r="G1254" s="15" t="s">
        <v>10</v>
      </c>
      <c r="H1254" s="15" t="s">
        <v>10</v>
      </c>
      <c r="I1254" s="15" t="s">
        <v>10</v>
      </c>
      <c r="J1254" s="15" t="s">
        <v>10</v>
      </c>
      <c r="K1254" s="15">
        <v>1.1051232641416588</v>
      </c>
      <c r="L1254" s="15">
        <v>1.1051232641416588</v>
      </c>
      <c r="M1254" s="15" t="s">
        <v>10</v>
      </c>
      <c r="N1254" s="15" t="s">
        <v>10</v>
      </c>
      <c r="O1254" s="15" t="s">
        <v>10</v>
      </c>
      <c r="P1254" s="15" t="s">
        <v>10</v>
      </c>
      <c r="Q1254" s="8"/>
      <c r="R1254" s="9" t="s">
        <v>1249</v>
      </c>
    </row>
    <row r="1255" spans="1:18" x14ac:dyDescent="0.25">
      <c r="A1255" s="6" t="str">
        <f>HYPERLINK("proteomic_fractions_linear_files/Yang_linear_img/163644247.jpg", "163644247")</f>
        <v>163644247</v>
      </c>
      <c r="B1255" s="7"/>
      <c r="C1255" s="6" t="str">
        <f>HYPERLINK("http://www.ncbi.nlm.nih.gov/protein/163644247","Clasp1")</f>
        <v>Clasp1</v>
      </c>
      <c r="D1255" s="8"/>
      <c r="E1255" s="8">
        <v>160947</v>
      </c>
      <c r="F1255" s="8"/>
      <c r="G1255" s="15" t="s">
        <v>10</v>
      </c>
      <c r="H1255" s="15" t="s">
        <v>10</v>
      </c>
      <c r="I1255" s="15" t="s">
        <v>10</v>
      </c>
      <c r="J1255" s="15" t="s">
        <v>10</v>
      </c>
      <c r="K1255" s="15">
        <v>1.1600362213660891</v>
      </c>
      <c r="L1255" s="15">
        <v>1.1600362213660891</v>
      </c>
      <c r="M1255" s="15" t="s">
        <v>10</v>
      </c>
      <c r="N1255" s="15" t="s">
        <v>10</v>
      </c>
      <c r="O1255" s="15" t="s">
        <v>10</v>
      </c>
      <c r="P1255" s="15" t="s">
        <v>10</v>
      </c>
      <c r="Q1255" s="8"/>
      <c r="R1255" s="9" t="s">
        <v>1250</v>
      </c>
    </row>
    <row r="1256" spans="1:18" x14ac:dyDescent="0.25">
      <c r="A1256" s="6" t="str">
        <f>HYPERLINK("proteomic_fractions_linear_files/Yang_linear_img/163644249.jpg", "163644249")</f>
        <v>163644249</v>
      </c>
      <c r="B1256" s="7"/>
      <c r="C1256" s="6" t="str">
        <f>HYPERLINK("http://www.ncbi.nlm.nih.gov/protein/163644249","Clasp1")</f>
        <v>Clasp1</v>
      </c>
      <c r="D1256" s="8"/>
      <c r="E1256" s="8">
        <v>162008</v>
      </c>
      <c r="F1256" s="8"/>
      <c r="G1256" s="15" t="s">
        <v>10</v>
      </c>
      <c r="H1256" s="15" t="s">
        <v>10</v>
      </c>
      <c r="I1256" s="15" t="s">
        <v>10</v>
      </c>
      <c r="J1256" s="15" t="s">
        <v>10</v>
      </c>
      <c r="K1256" s="15">
        <v>1.1528755039502492</v>
      </c>
      <c r="L1256" s="15">
        <v>1.1528755039502492</v>
      </c>
      <c r="M1256" s="15" t="s">
        <v>10</v>
      </c>
      <c r="N1256" s="15" t="s">
        <v>10</v>
      </c>
      <c r="O1256" s="15" t="s">
        <v>10</v>
      </c>
      <c r="P1256" s="15" t="s">
        <v>10</v>
      </c>
      <c r="Q1256" s="8"/>
      <c r="R1256" s="9" t="s">
        <v>1251</v>
      </c>
    </row>
    <row r="1257" spans="1:18" x14ac:dyDescent="0.25">
      <c r="A1257" s="6" t="str">
        <f>HYPERLINK("proteomic_fractions_linear_files/Yang_linear_img/295293088.jpg", "295293088")</f>
        <v>295293088</v>
      </c>
      <c r="B1257" s="7"/>
      <c r="C1257" s="6" t="str">
        <f>HYPERLINK("http://www.ncbi.nlm.nih.gov/protein/295293088","Clcc1")</f>
        <v>Clcc1</v>
      </c>
      <c r="D1257" s="8"/>
      <c r="E1257" s="8">
        <v>58598</v>
      </c>
      <c r="F1257" s="8"/>
      <c r="G1257" s="15" t="s">
        <v>10</v>
      </c>
      <c r="H1257" s="15" t="s">
        <v>10</v>
      </c>
      <c r="I1257" s="15" t="s">
        <v>10</v>
      </c>
      <c r="J1257" s="15" t="s">
        <v>10</v>
      </c>
      <c r="K1257" s="15">
        <v>1.244680682062411</v>
      </c>
      <c r="L1257" s="15">
        <v>1.244680682062411</v>
      </c>
      <c r="M1257" s="15" t="s">
        <v>10</v>
      </c>
      <c r="N1257" s="15" t="s">
        <v>10</v>
      </c>
      <c r="O1257" s="15" t="s">
        <v>10</v>
      </c>
      <c r="P1257" s="15" t="s">
        <v>10</v>
      </c>
      <c r="Q1257" s="8"/>
      <c r="R1257" s="9" t="s">
        <v>1252</v>
      </c>
    </row>
    <row r="1258" spans="1:18" x14ac:dyDescent="0.25">
      <c r="A1258" s="6" t="str">
        <f>HYPERLINK("proteomic_fractions_linear_files/Yang_linear_img/295293090;21704070.jpg", "295293090;21704070")</f>
        <v>295293090;21704070</v>
      </c>
      <c r="B1258" s="8"/>
      <c r="C1258" s="6" t="str">
        <f>HYPERLINK("http://www.ncbi.nlm.nih.gov/protein/295293090;21704070","Clcc1")</f>
        <v>Clcc1</v>
      </c>
      <c r="D1258" s="8"/>
      <c r="E1258" s="8">
        <v>58598</v>
      </c>
      <c r="F1258" s="8"/>
      <c r="G1258" s="15" t="s">
        <v>10</v>
      </c>
      <c r="H1258" s="15" t="s">
        <v>10</v>
      </c>
      <c r="I1258" s="15" t="s">
        <v>10</v>
      </c>
      <c r="J1258" s="15" t="s">
        <v>10</v>
      </c>
      <c r="K1258" s="15">
        <v>1.244680682062411</v>
      </c>
      <c r="L1258" s="15">
        <v>1.244680682062411</v>
      </c>
      <c r="M1258" s="15" t="s">
        <v>10</v>
      </c>
      <c r="N1258" s="15" t="s">
        <v>10</v>
      </c>
      <c r="O1258" s="15" t="s">
        <v>10</v>
      </c>
      <c r="P1258" s="15" t="s">
        <v>10</v>
      </c>
      <c r="Q1258" s="8"/>
      <c r="R1258" s="9" t="s">
        <v>1253</v>
      </c>
    </row>
    <row r="1259" spans="1:18" x14ac:dyDescent="0.25">
      <c r="A1259" s="6" t="str">
        <f>HYPERLINK("proteomic_fractions_linear_files/Yang_linear_img/189458826.jpg", "189458826")</f>
        <v>189458826</v>
      </c>
      <c r="B1259" s="7"/>
      <c r="C1259" s="6" t="str">
        <f>HYPERLINK("http://www.ncbi.nlm.nih.gov/protein/189458826","Clcn3")</f>
        <v>Clcn3</v>
      </c>
      <c r="D1259" s="8"/>
      <c r="E1259" s="8">
        <v>96497</v>
      </c>
      <c r="F1259" s="8"/>
      <c r="G1259" s="15" t="s">
        <v>10</v>
      </c>
      <c r="H1259" s="15" t="s">
        <v>10</v>
      </c>
      <c r="I1259" s="15" t="s">
        <v>10</v>
      </c>
      <c r="J1259" s="15" t="s">
        <v>10</v>
      </c>
      <c r="K1259" s="15">
        <v>1.9454774129160455</v>
      </c>
      <c r="L1259" s="15">
        <v>1.9454774129160455</v>
      </c>
      <c r="M1259" s="15" t="s">
        <v>10</v>
      </c>
      <c r="N1259" s="15" t="s">
        <v>10</v>
      </c>
      <c r="O1259" s="15" t="s">
        <v>10</v>
      </c>
      <c r="P1259" s="15" t="s">
        <v>10</v>
      </c>
      <c r="Q1259" s="8"/>
      <c r="R1259" s="9" t="s">
        <v>1254</v>
      </c>
    </row>
    <row r="1260" spans="1:18" x14ac:dyDescent="0.25">
      <c r="A1260" s="6" t="str">
        <f>HYPERLINK("proteomic_fractions_linear_files/Yang_linear_img/189458829.jpg", "189458829")</f>
        <v>189458829</v>
      </c>
      <c r="B1260" s="7"/>
      <c r="C1260" s="6" t="str">
        <f>HYPERLINK("http://www.ncbi.nlm.nih.gov/protein/189458829","Clcn3")</f>
        <v>Clcn3</v>
      </c>
      <c r="D1260" s="8"/>
      <c r="E1260" s="8">
        <v>90738</v>
      </c>
      <c r="F1260" s="8"/>
      <c r="G1260" s="15" t="s">
        <v>10</v>
      </c>
      <c r="H1260" s="15" t="s">
        <v>10</v>
      </c>
      <c r="I1260" s="15" t="s">
        <v>10</v>
      </c>
      <c r="J1260" s="15" t="s">
        <v>10</v>
      </c>
      <c r="K1260" s="15">
        <v>2.0523717762630809</v>
      </c>
      <c r="L1260" s="15">
        <v>2.0523717762630809</v>
      </c>
      <c r="M1260" s="15" t="s">
        <v>10</v>
      </c>
      <c r="N1260" s="15" t="s">
        <v>10</v>
      </c>
      <c r="O1260" s="15" t="s">
        <v>10</v>
      </c>
      <c r="P1260" s="15" t="s">
        <v>10</v>
      </c>
      <c r="Q1260" s="8"/>
      <c r="R1260" s="9" t="s">
        <v>1255</v>
      </c>
    </row>
    <row r="1261" spans="1:18" x14ac:dyDescent="0.25">
      <c r="A1261" s="6" t="str">
        <f>HYPERLINK("proteomic_fractions_linear_files/Yang_linear_img/41281837.jpg", "41281837")</f>
        <v>41281837</v>
      </c>
      <c r="B1261" s="7"/>
      <c r="C1261" s="6" t="str">
        <f>HYPERLINK("http://www.ncbi.nlm.nih.gov/protein/41281837","Clcn3")</f>
        <v>Clcn3</v>
      </c>
      <c r="D1261" s="8"/>
      <c r="E1261" s="8">
        <v>87776</v>
      </c>
      <c r="F1261" s="8"/>
      <c r="G1261" s="15" t="s">
        <v>10</v>
      </c>
      <c r="H1261" s="15" t="s">
        <v>10</v>
      </c>
      <c r="I1261" s="15" t="s">
        <v>10</v>
      </c>
      <c r="J1261" s="15" t="s">
        <v>10</v>
      </c>
      <c r="K1261" s="15">
        <v>2.1223389959084131</v>
      </c>
      <c r="L1261" s="15">
        <v>2.1223389959084131</v>
      </c>
      <c r="M1261" s="15" t="s">
        <v>10</v>
      </c>
      <c r="N1261" s="15" t="s">
        <v>10</v>
      </c>
      <c r="O1261" s="15" t="s">
        <v>10</v>
      </c>
      <c r="P1261" s="15" t="s">
        <v>10</v>
      </c>
      <c r="Q1261" s="8"/>
      <c r="R1261" s="9" t="s">
        <v>1256</v>
      </c>
    </row>
    <row r="1262" spans="1:18" x14ac:dyDescent="0.25">
      <c r="A1262" s="6" t="str">
        <f>HYPERLINK("proteomic_fractions_linear_files/Yang_linear_img/6680948.jpg", "6680948")</f>
        <v>6680948</v>
      </c>
      <c r="B1262" s="7"/>
      <c r="C1262" s="6" t="str">
        <f>HYPERLINK("http://www.ncbi.nlm.nih.gov/protein/6680948","Clcn3")</f>
        <v>Clcn3</v>
      </c>
      <c r="D1262" s="8"/>
      <c r="E1262" s="8">
        <v>84345</v>
      </c>
      <c r="F1262" s="8"/>
      <c r="G1262" s="15" t="s">
        <v>10</v>
      </c>
      <c r="H1262" s="15" t="s">
        <v>10</v>
      </c>
      <c r="I1262" s="15" t="s">
        <v>10</v>
      </c>
      <c r="J1262" s="15" t="s">
        <v>10</v>
      </c>
      <c r="K1262" s="15">
        <v>2.2234027576183375</v>
      </c>
      <c r="L1262" s="15">
        <v>2.2234027576183375</v>
      </c>
      <c r="M1262" s="15" t="s">
        <v>10</v>
      </c>
      <c r="N1262" s="15" t="s">
        <v>10</v>
      </c>
      <c r="O1262" s="15" t="s">
        <v>10</v>
      </c>
      <c r="P1262" s="15" t="s">
        <v>10</v>
      </c>
      <c r="Q1262" s="8"/>
      <c r="R1262" s="9" t="s">
        <v>1257</v>
      </c>
    </row>
    <row r="1263" spans="1:18" x14ac:dyDescent="0.25">
      <c r="A1263" s="6" t="str">
        <f>HYPERLINK("proteomic_fractions_linear_files/Yang_linear_img/110625940.jpg", "110625940")</f>
        <v>110625940</v>
      </c>
      <c r="B1263" s="7"/>
      <c r="C1263" s="6" t="str">
        <f>HYPERLINK("http://www.ncbi.nlm.nih.gov/protein/110625940","Clcn4-2")</f>
        <v>Clcn4-2</v>
      </c>
      <c r="D1263" s="8"/>
      <c r="E1263" s="8">
        <v>83603</v>
      </c>
      <c r="F1263" s="8"/>
      <c r="G1263" s="15" t="s">
        <v>10</v>
      </c>
      <c r="H1263" s="15" t="s">
        <v>10</v>
      </c>
      <c r="I1263" s="15" t="s">
        <v>10</v>
      </c>
      <c r="J1263" s="15" t="s">
        <v>10</v>
      </c>
      <c r="K1263" s="15">
        <v>2.2234027576183375</v>
      </c>
      <c r="L1263" s="15">
        <v>2.2234027576183375</v>
      </c>
      <c r="M1263" s="15" t="s">
        <v>10</v>
      </c>
      <c r="N1263" s="15" t="s">
        <v>10</v>
      </c>
      <c r="O1263" s="15" t="s">
        <v>10</v>
      </c>
      <c r="P1263" s="15" t="s">
        <v>10</v>
      </c>
      <c r="Q1263" s="8"/>
      <c r="R1263" s="9" t="s">
        <v>1258</v>
      </c>
    </row>
    <row r="1264" spans="1:18" x14ac:dyDescent="0.25">
      <c r="A1264" s="6" t="str">
        <f>HYPERLINK("proteomic_fractions_linear_files/Yang_linear_img/261823931.jpg", "261823931")</f>
        <v>261823931</v>
      </c>
      <c r="B1264" s="7"/>
      <c r="C1264" s="6" t="str">
        <f>HYPERLINK("http://www.ncbi.nlm.nih.gov/protein/261823931","Clcn5")</f>
        <v>Clcn5</v>
      </c>
      <c r="D1264" s="8"/>
      <c r="E1264" s="8">
        <v>82970</v>
      </c>
      <c r="F1264" s="8"/>
      <c r="G1264" s="15" t="s">
        <v>10</v>
      </c>
      <c r="H1264" s="15" t="s">
        <v>10</v>
      </c>
      <c r="I1264" s="15" t="s">
        <v>10</v>
      </c>
      <c r="J1264" s="15" t="s">
        <v>10</v>
      </c>
      <c r="K1264" s="15">
        <v>2.8115764774439649</v>
      </c>
      <c r="L1264" s="15">
        <v>2.8115764774439649</v>
      </c>
      <c r="M1264" s="15" t="s">
        <v>10</v>
      </c>
      <c r="N1264" s="15" t="s">
        <v>10</v>
      </c>
      <c r="O1264" s="15" t="s">
        <v>10</v>
      </c>
      <c r="P1264" s="15" t="s">
        <v>10</v>
      </c>
      <c r="Q1264" s="8"/>
      <c r="R1264" s="9" t="s">
        <v>1259</v>
      </c>
    </row>
    <row r="1265" spans="1:18" x14ac:dyDescent="0.25">
      <c r="A1265" s="6" t="str">
        <f>HYPERLINK("proteomic_fractions_linear_files/Yang_linear_img/344313157.jpg", "344313157")</f>
        <v>344313157</v>
      </c>
      <c r="B1265" s="7"/>
      <c r="C1265" s="6" t="str">
        <f>HYPERLINK("http://www.ncbi.nlm.nih.gov/protein/344313157","Clcn5")</f>
        <v>Clcn5</v>
      </c>
      <c r="D1265" s="8"/>
      <c r="E1265" s="8">
        <v>90575</v>
      </c>
      <c r="F1265" s="8"/>
      <c r="G1265" s="15" t="s">
        <v>10</v>
      </c>
      <c r="H1265" s="15" t="s">
        <v>10</v>
      </c>
      <c r="I1265" s="15" t="s">
        <v>10</v>
      </c>
      <c r="J1265" s="15" t="s">
        <v>10</v>
      </c>
      <c r="K1265" s="15">
        <v>2.5644049189873526</v>
      </c>
      <c r="L1265" s="15">
        <v>2.5644049189873526</v>
      </c>
      <c r="M1265" s="15" t="s">
        <v>10</v>
      </c>
      <c r="N1265" s="15" t="s">
        <v>10</v>
      </c>
      <c r="O1265" s="15" t="s">
        <v>10</v>
      </c>
      <c r="P1265" s="15" t="s">
        <v>10</v>
      </c>
      <c r="Q1265" s="8"/>
      <c r="R1265" s="9" t="s">
        <v>1260</v>
      </c>
    </row>
    <row r="1266" spans="1:18" x14ac:dyDescent="0.25">
      <c r="A1266" s="6" t="str">
        <f>HYPERLINK("proteomic_fractions_linear_files/Yang_linear_img/6753436.jpg", "6753436")</f>
        <v>6753436</v>
      </c>
      <c r="B1266" s="7"/>
      <c r="C1266" s="6" t="str">
        <f>HYPERLINK("http://www.ncbi.nlm.nih.gov/protein/6753436","Clcn7")</f>
        <v>Clcn7</v>
      </c>
      <c r="D1266" s="8"/>
      <c r="E1266" s="8">
        <v>88582</v>
      </c>
      <c r="F1266" s="8"/>
      <c r="G1266" s="15" t="s">
        <v>10</v>
      </c>
      <c r="H1266" s="15" t="s">
        <v>10</v>
      </c>
      <c r="I1266" s="15" t="s">
        <v>10</v>
      </c>
      <c r="J1266" s="15" t="s">
        <v>10</v>
      </c>
      <c r="K1266" s="15">
        <v>1.0670559683436462</v>
      </c>
      <c r="L1266" s="15">
        <v>1.0670559683436462</v>
      </c>
      <c r="M1266" s="15" t="s">
        <v>10</v>
      </c>
      <c r="N1266" s="15" t="s">
        <v>10</v>
      </c>
      <c r="O1266" s="15" t="s">
        <v>10</v>
      </c>
      <c r="P1266" s="15" t="s">
        <v>10</v>
      </c>
      <c r="Q1266" s="8"/>
      <c r="R1266" s="9" t="s">
        <v>1261</v>
      </c>
    </row>
    <row r="1267" spans="1:18" x14ac:dyDescent="0.25">
      <c r="A1267" s="6" t="str">
        <f>HYPERLINK("proteomic_fractions_linear_files/Yang_linear_img/7710002.jpg", "7710002")</f>
        <v>7710002</v>
      </c>
      <c r="B1267" s="7"/>
      <c r="C1267" s="6" t="str">
        <f>HYPERLINK("http://www.ncbi.nlm.nih.gov/protein/7710002","Cldn1")</f>
        <v>Cldn1</v>
      </c>
      <c r="D1267" s="8"/>
      <c r="E1267" s="8">
        <v>22750</v>
      </c>
      <c r="F1267" s="8"/>
      <c r="G1267" s="15" t="s">
        <v>10</v>
      </c>
      <c r="H1267" s="15" t="s">
        <v>10</v>
      </c>
      <c r="I1267" s="15">
        <v>0.7639104245808247</v>
      </c>
      <c r="J1267" s="15">
        <v>0.7639104245808247</v>
      </c>
      <c r="K1267" s="15">
        <v>0.80414344193756893</v>
      </c>
      <c r="L1267" s="15">
        <v>0.80414344193756893</v>
      </c>
      <c r="M1267" s="15" t="s">
        <v>10</v>
      </c>
      <c r="N1267" s="15" t="s">
        <v>10</v>
      </c>
      <c r="O1267" s="15" t="s">
        <v>10</v>
      </c>
      <c r="P1267" s="15" t="s">
        <v>10</v>
      </c>
      <c r="Q1267" s="8"/>
      <c r="R1267" s="9" t="s">
        <v>1262</v>
      </c>
    </row>
    <row r="1268" spans="1:18" x14ac:dyDescent="0.25">
      <c r="A1268" s="6" t="str">
        <f>HYPERLINK("proteomic_fractions_linear_files/Yang_linear_img/25188197.jpg", "25188197")</f>
        <v>25188197</v>
      </c>
      <c r="B1268" s="7"/>
      <c r="C1268" s="6" t="str">
        <f>HYPERLINK("http://www.ncbi.nlm.nih.gov/protein/25188197","Cldn25")</f>
        <v>Cldn25</v>
      </c>
      <c r="D1268" s="8"/>
      <c r="E1268" s="8">
        <v>28441</v>
      </c>
      <c r="F1268" s="8"/>
      <c r="G1268" s="15" t="s">
        <v>10</v>
      </c>
      <c r="H1268" s="15" t="s">
        <v>10</v>
      </c>
      <c r="I1268" s="15">
        <v>1.2340491618026852</v>
      </c>
      <c r="J1268" s="15">
        <v>1.2340491618026852</v>
      </c>
      <c r="K1268" s="15">
        <v>1.2340491618026852</v>
      </c>
      <c r="L1268" s="15">
        <v>1.2340491618026852</v>
      </c>
      <c r="M1268" s="15" t="s">
        <v>10</v>
      </c>
      <c r="N1268" s="15" t="s">
        <v>10</v>
      </c>
      <c r="O1268" s="15" t="s">
        <v>10</v>
      </c>
      <c r="P1268" s="15" t="s">
        <v>10</v>
      </c>
      <c r="Q1268" s="8"/>
      <c r="R1268" s="9" t="s">
        <v>1263</v>
      </c>
    </row>
    <row r="1269" spans="1:18" x14ac:dyDescent="0.25">
      <c r="A1269" s="6" t="str">
        <f>HYPERLINK("proteomic_fractions_linear_files/Yang_linear_img/356991139.jpg", "356991139")</f>
        <v>356991139</v>
      </c>
      <c r="B1269" s="7"/>
      <c r="C1269" s="6" t="str">
        <f>HYPERLINK("http://www.ncbi.nlm.nih.gov/protein/356991139","Cldn25")</f>
        <v>Cldn25</v>
      </c>
      <c r="D1269" s="8"/>
      <c r="E1269" s="8">
        <v>25877</v>
      </c>
      <c r="F1269" s="8"/>
      <c r="G1269" s="15" t="s">
        <v>10</v>
      </c>
      <c r="H1269" s="15" t="s">
        <v>10</v>
      </c>
      <c r="I1269" s="15">
        <v>1.3289760204028918</v>
      </c>
      <c r="J1269" s="15">
        <v>1.3289760204028918</v>
      </c>
      <c r="K1269" s="15">
        <v>1.3289760204028918</v>
      </c>
      <c r="L1269" s="15">
        <v>1.3289760204028918</v>
      </c>
      <c r="M1269" s="15" t="s">
        <v>10</v>
      </c>
      <c r="N1269" s="15" t="s">
        <v>10</v>
      </c>
      <c r="O1269" s="15" t="s">
        <v>10</v>
      </c>
      <c r="P1269" s="15" t="s">
        <v>10</v>
      </c>
      <c r="Q1269" s="8"/>
      <c r="R1269" s="9" t="s">
        <v>1264</v>
      </c>
    </row>
    <row r="1270" spans="1:18" x14ac:dyDescent="0.25">
      <c r="A1270" s="6" t="str">
        <f>HYPERLINK("proteomic_fractions_linear_files/Yang_linear_img/356995848.jpg", "356995848")</f>
        <v>356995848</v>
      </c>
      <c r="B1270" s="7"/>
      <c r="C1270" s="6" t="str">
        <f>HYPERLINK("http://www.ncbi.nlm.nih.gov/protein/356995848","Cldn25")</f>
        <v>Cldn25</v>
      </c>
      <c r="D1270" s="8"/>
      <c r="E1270" s="8">
        <v>30889</v>
      </c>
      <c r="F1270" s="8"/>
      <c r="G1270" s="15" t="s">
        <v>10</v>
      </c>
      <c r="H1270" s="15" t="s">
        <v>10</v>
      </c>
      <c r="I1270" s="15">
        <v>1.1146250493701673</v>
      </c>
      <c r="J1270" s="15">
        <v>1.1146250493701673</v>
      </c>
      <c r="K1270" s="15">
        <v>1.1146250493701673</v>
      </c>
      <c r="L1270" s="15">
        <v>1.1146250493701673</v>
      </c>
      <c r="M1270" s="15" t="s">
        <v>10</v>
      </c>
      <c r="N1270" s="15" t="s">
        <v>10</v>
      </c>
      <c r="O1270" s="15" t="s">
        <v>10</v>
      </c>
      <c r="P1270" s="15" t="s">
        <v>10</v>
      </c>
      <c r="Q1270" s="8"/>
      <c r="R1270" s="9" t="s">
        <v>1265</v>
      </c>
    </row>
    <row r="1271" spans="1:18" x14ac:dyDescent="0.25">
      <c r="A1271" s="6" t="str">
        <f>HYPERLINK("proteomic_fractions_linear_files/Yang_linear_img/6753438.jpg", "6753438")</f>
        <v>6753438</v>
      </c>
      <c r="B1271" s="7"/>
      <c r="C1271" s="6" t="str">
        <f>HYPERLINK("http://www.ncbi.nlm.nih.gov/protein/6753438","Cldn3")</f>
        <v>Cldn3</v>
      </c>
      <c r="D1271" s="8"/>
      <c r="E1271" s="8">
        <v>23153</v>
      </c>
      <c r="F1271" s="8"/>
      <c r="G1271" s="15">
        <v>1.136967744148913</v>
      </c>
      <c r="H1271" s="15">
        <v>1.136967744148913</v>
      </c>
      <c r="I1271" s="15">
        <v>0.7639104245808247</v>
      </c>
      <c r="J1271" s="15">
        <v>0.7639104245808247</v>
      </c>
      <c r="K1271" s="15">
        <v>0.84787607947979449</v>
      </c>
      <c r="L1271" s="15">
        <v>0.84787607947979449</v>
      </c>
      <c r="M1271" s="15">
        <v>0.80414344193756893</v>
      </c>
      <c r="N1271" s="15">
        <v>0.80414344193756893</v>
      </c>
      <c r="O1271" s="15" t="s">
        <v>10</v>
      </c>
      <c r="P1271" s="15" t="s">
        <v>10</v>
      </c>
      <c r="Q1271" s="8"/>
      <c r="R1271" s="9" t="s">
        <v>1266</v>
      </c>
    </row>
    <row r="1272" spans="1:18" x14ac:dyDescent="0.25">
      <c r="A1272" s="6" t="str">
        <f>HYPERLINK("proteomic_fractions_linear_files/Yang_linear_img/6753440.jpg", "6753440")</f>
        <v>6753440</v>
      </c>
      <c r="B1272" s="7"/>
      <c r="C1272" s="6" t="str">
        <f>HYPERLINK("http://www.ncbi.nlm.nih.gov/protein/6753440","Cldn4")</f>
        <v>Cldn4</v>
      </c>
      <c r="D1272" s="8"/>
      <c r="E1272" s="8">
        <v>22208</v>
      </c>
      <c r="F1272" s="8"/>
      <c r="G1272" s="15">
        <v>0.7986336256981349</v>
      </c>
      <c r="H1272" s="15">
        <v>0.7986336256981349</v>
      </c>
      <c r="I1272" s="15">
        <v>0.7986336256981349</v>
      </c>
      <c r="J1272" s="15">
        <v>0.7986336256981349</v>
      </c>
      <c r="K1272" s="15">
        <v>0.7986336256981349</v>
      </c>
      <c r="L1272" s="15">
        <v>0.7986336256981349</v>
      </c>
      <c r="M1272" s="15">
        <v>0.7986336256981349</v>
      </c>
      <c r="N1272" s="15">
        <v>0.7986336256981349</v>
      </c>
      <c r="O1272" s="15" t="s">
        <v>10</v>
      </c>
      <c r="P1272" s="15" t="s">
        <v>10</v>
      </c>
      <c r="Q1272" s="8"/>
      <c r="R1272" s="9" t="s">
        <v>1267</v>
      </c>
    </row>
    <row r="1273" spans="1:18" x14ac:dyDescent="0.25">
      <c r="A1273" s="6" t="str">
        <f>HYPERLINK("proteomic_fractions_linear_files/Yang_linear_img/9055190.jpg", "9055190")</f>
        <v>9055190</v>
      </c>
      <c r="B1273" s="7"/>
      <c r="C1273" s="6" t="str">
        <f>HYPERLINK("http://www.ncbi.nlm.nih.gov/protein/9055190","Cldn6")</f>
        <v>Cldn6</v>
      </c>
      <c r="D1273" s="8"/>
      <c r="E1273" s="8">
        <v>21235</v>
      </c>
      <c r="F1273" s="8"/>
      <c r="G1273" s="15">
        <v>1.2452503864488096</v>
      </c>
      <c r="H1273" s="15">
        <v>1.2452503864488096</v>
      </c>
      <c r="I1273" s="15">
        <v>0.88072853164590881</v>
      </c>
      <c r="J1273" s="15">
        <v>0.88072853164590881</v>
      </c>
      <c r="K1273" s="15">
        <v>0.88072853164590881</v>
      </c>
      <c r="L1273" s="15">
        <v>0.88072853164590881</v>
      </c>
      <c r="M1273" s="15">
        <v>0.83666379835042703</v>
      </c>
      <c r="N1273" s="15">
        <v>0.83666379835042703</v>
      </c>
      <c r="O1273" s="15" t="s">
        <v>10</v>
      </c>
      <c r="P1273" s="15" t="s">
        <v>10</v>
      </c>
      <c r="Q1273" s="8"/>
      <c r="R1273" s="9" t="s">
        <v>1268</v>
      </c>
    </row>
    <row r="1274" spans="1:18" x14ac:dyDescent="0.25">
      <c r="A1274" s="6" t="str">
        <f>HYPERLINK("proteomic_fractions_linear_files/Yang_linear_img/302318906;8393144.jpg", "302318906;8393144")</f>
        <v>302318906;8393144</v>
      </c>
      <c r="B1274" s="8"/>
      <c r="C1274" s="6" t="str">
        <f>HYPERLINK("http://www.ncbi.nlm.nih.gov/protein/302318906;8393144","Cldn7")</f>
        <v>Cldn7</v>
      </c>
      <c r="D1274" s="8"/>
      <c r="E1274" s="8">
        <v>19910</v>
      </c>
      <c r="F1274" s="8"/>
      <c r="G1274" s="15" t="s">
        <v>10</v>
      </c>
      <c r="H1274" s="15" t="s">
        <v>10</v>
      </c>
      <c r="I1274" s="15" t="s">
        <v>10</v>
      </c>
      <c r="J1274" s="15" t="s">
        <v>10</v>
      </c>
      <c r="K1274" s="15">
        <v>0.92476495822820426</v>
      </c>
      <c r="L1274" s="15">
        <v>0.92476495822820426</v>
      </c>
      <c r="M1274" s="15" t="s">
        <v>10</v>
      </c>
      <c r="N1274" s="15" t="s">
        <v>10</v>
      </c>
      <c r="O1274" s="15" t="s">
        <v>10</v>
      </c>
      <c r="P1274" s="15" t="s">
        <v>10</v>
      </c>
      <c r="Q1274" s="8"/>
      <c r="R1274" s="9" t="s">
        <v>1269</v>
      </c>
    </row>
    <row r="1275" spans="1:18" x14ac:dyDescent="0.25">
      <c r="A1275" s="6" t="str">
        <f>HYPERLINK("proteomic_fractions_linear_files/Yang_linear_img/8393144.jpg", "8393144")</f>
        <v>8393144</v>
      </c>
      <c r="B1275" s="7"/>
      <c r="C1275" s="6" t="str">
        <f>HYPERLINK("http://www.ncbi.nlm.nih.gov/protein/8393144","Cldn7")</f>
        <v>Cldn7</v>
      </c>
      <c r="D1275" s="8"/>
      <c r="E1275" s="8">
        <v>19910</v>
      </c>
      <c r="F1275" s="8"/>
      <c r="G1275" s="15">
        <v>1.30751290577125</v>
      </c>
      <c r="H1275" s="15">
        <v>1.30751290577125</v>
      </c>
      <c r="I1275" s="15">
        <v>0.83582372603035116</v>
      </c>
      <c r="J1275" s="15">
        <v>299.65500000000003</v>
      </c>
      <c r="K1275" s="15" t="s">
        <v>10</v>
      </c>
      <c r="L1275" s="15" t="s">
        <v>10</v>
      </c>
      <c r="M1275" s="15">
        <v>0.87849698826794831</v>
      </c>
      <c r="N1275" s="15">
        <v>0.87849698826794831</v>
      </c>
      <c r="O1275" s="15" t="s">
        <v>10</v>
      </c>
      <c r="P1275" s="15" t="s">
        <v>10</v>
      </c>
      <c r="Q1275" s="8"/>
      <c r="R1275" s="9" t="s">
        <v>1270</v>
      </c>
    </row>
    <row r="1276" spans="1:18" x14ac:dyDescent="0.25">
      <c r="A1276" s="6" t="str">
        <f>HYPERLINK("proteomic_fractions_linear_files/Yang_linear_img/9055192.jpg", "9055192")</f>
        <v>9055192</v>
      </c>
      <c r="B1276" s="7"/>
      <c r="C1276" s="6" t="str">
        <f>HYPERLINK("http://www.ncbi.nlm.nih.gov/protein/9055192","Cldn8")</f>
        <v>Cldn8</v>
      </c>
      <c r="D1276" s="8"/>
      <c r="E1276" s="8">
        <v>24816</v>
      </c>
      <c r="F1276" s="8"/>
      <c r="G1276" s="15">
        <v>1.0460103246170001</v>
      </c>
      <c r="H1276" s="15">
        <v>1.0460103246170001</v>
      </c>
      <c r="I1276" s="15">
        <v>0.73981196658256332</v>
      </c>
      <c r="J1276" s="15">
        <v>0.73981196658256332</v>
      </c>
      <c r="K1276" s="15">
        <v>0.78004599312141099</v>
      </c>
      <c r="L1276" s="15">
        <v>0.78004599312141099</v>
      </c>
      <c r="M1276" s="15">
        <v>0.78004599312141099</v>
      </c>
      <c r="N1276" s="15">
        <v>0.78004599312141099</v>
      </c>
      <c r="O1276" s="15" t="s">
        <v>10</v>
      </c>
      <c r="P1276" s="15" t="s">
        <v>10</v>
      </c>
      <c r="Q1276" s="8"/>
      <c r="R1276" s="9" t="s">
        <v>1271</v>
      </c>
    </row>
    <row r="1277" spans="1:18" x14ac:dyDescent="0.25">
      <c r="A1277" s="6" t="str">
        <f>HYPERLINK("proteomic_fractions_linear_files/Yang_linear_img/61098102.jpg", "61098102")</f>
        <v>61098102</v>
      </c>
      <c r="B1277" s="7"/>
      <c r="C1277" s="6" t="str">
        <f>HYPERLINK("http://www.ncbi.nlm.nih.gov/protein/61098102","Cldn9")</f>
        <v>Cldn9</v>
      </c>
      <c r="D1277" s="8"/>
      <c r="E1277" s="8">
        <v>22766</v>
      </c>
      <c r="F1277" s="8"/>
      <c r="G1277" s="15">
        <v>1.136967744148913</v>
      </c>
      <c r="H1277" s="15">
        <v>1.136967744148913</v>
      </c>
      <c r="I1277" s="15">
        <v>0.80414344193756893</v>
      </c>
      <c r="J1277" s="15">
        <v>0.80414344193756893</v>
      </c>
      <c r="K1277" s="15">
        <v>0.80414344193756893</v>
      </c>
      <c r="L1277" s="15">
        <v>0.80414344193756893</v>
      </c>
      <c r="M1277" s="15">
        <v>0.7639104245808247</v>
      </c>
      <c r="N1277" s="15">
        <v>0.7639104245808247</v>
      </c>
      <c r="O1277" s="15" t="s">
        <v>10</v>
      </c>
      <c r="P1277" s="15" t="s">
        <v>10</v>
      </c>
      <c r="Q1277" s="8"/>
      <c r="R1277" s="9" t="s">
        <v>1272</v>
      </c>
    </row>
    <row r="1278" spans="1:18" x14ac:dyDescent="0.25">
      <c r="A1278" s="6" t="str">
        <f>HYPERLINK("proteomic_fractions_linear_files/Yang_linear_img/323668269.jpg", "323668269")</f>
        <v>323668269</v>
      </c>
      <c r="B1278" s="7"/>
      <c r="C1278" s="6" t="str">
        <f>HYPERLINK("http://www.ncbi.nlm.nih.gov/protein/323668269","Clec16a")</f>
        <v>Clec16a</v>
      </c>
      <c r="D1278" s="8"/>
      <c r="E1278" s="8">
        <v>115901</v>
      </c>
      <c r="F1278" s="8"/>
      <c r="G1278" s="15" t="s">
        <v>10</v>
      </c>
      <c r="H1278" s="15" t="s">
        <v>10</v>
      </c>
      <c r="I1278" s="15" t="s">
        <v>10</v>
      </c>
      <c r="J1278" s="15" t="s">
        <v>10</v>
      </c>
      <c r="K1278" s="15">
        <v>1.3228695787607054</v>
      </c>
      <c r="L1278" s="15">
        <v>1.3228695787607054</v>
      </c>
      <c r="M1278" s="15">
        <v>1.3228695787607054</v>
      </c>
      <c r="N1278" s="15">
        <v>1.3228695787607054</v>
      </c>
      <c r="O1278" s="15" t="s">
        <v>10</v>
      </c>
      <c r="P1278" s="15" t="s">
        <v>10</v>
      </c>
      <c r="Q1278" s="8"/>
      <c r="R1278" s="9" t="s">
        <v>1273</v>
      </c>
    </row>
    <row r="1279" spans="1:18" x14ac:dyDescent="0.25">
      <c r="A1279" s="6" t="str">
        <f>HYPERLINK("proteomic_fractions_linear_files/Yang_linear_img/61656175.jpg", "61656175")</f>
        <v>61656175</v>
      </c>
      <c r="B1279" s="7"/>
      <c r="C1279" s="6" t="str">
        <f>HYPERLINK("http://www.ncbi.nlm.nih.gov/protein/61656175","Clec16a")</f>
        <v>Clec16a</v>
      </c>
      <c r="D1279" s="8"/>
      <c r="E1279" s="8">
        <v>116102</v>
      </c>
      <c r="F1279" s="8"/>
      <c r="G1279" s="15" t="s">
        <v>10</v>
      </c>
      <c r="H1279" s="15" t="s">
        <v>10</v>
      </c>
      <c r="I1279" s="15" t="s">
        <v>10</v>
      </c>
      <c r="J1279" s="15" t="s">
        <v>10</v>
      </c>
      <c r="K1279" s="15">
        <v>1.3228695787607054</v>
      </c>
      <c r="L1279" s="15">
        <v>1.3228695787607054</v>
      </c>
      <c r="M1279" s="15">
        <v>1.3228695787607054</v>
      </c>
      <c r="N1279" s="15">
        <v>1.3228695787607054</v>
      </c>
      <c r="O1279" s="15" t="s">
        <v>10</v>
      </c>
      <c r="P1279" s="15" t="s">
        <v>10</v>
      </c>
      <c r="Q1279" s="8"/>
      <c r="R1279" s="9" t="s">
        <v>1274</v>
      </c>
    </row>
    <row r="1280" spans="1:18" x14ac:dyDescent="0.25">
      <c r="A1280" s="6" t="str">
        <f>HYPERLINK("proteomic_fractions_linear_files/Yang_linear_img/15617203.jpg", "15617203")</f>
        <v>15617203</v>
      </c>
      <c r="B1280" s="7"/>
      <c r="C1280" s="6" t="str">
        <f>HYPERLINK("http://www.ncbi.nlm.nih.gov/protein/15617203","Clic1")</f>
        <v>Clic1</v>
      </c>
      <c r="D1280" s="8"/>
      <c r="E1280" s="8">
        <v>26882</v>
      </c>
      <c r="F1280" s="8"/>
      <c r="G1280" s="15">
        <v>1.3830120897453553</v>
      </c>
      <c r="H1280" s="15">
        <v>1.3830120897453553</v>
      </c>
      <c r="I1280" s="15">
        <v>0.96852807834907406</v>
      </c>
      <c r="J1280" s="15">
        <v>0.96852807834907406</v>
      </c>
      <c r="K1280" s="15">
        <v>1.0340078258400762</v>
      </c>
      <c r="L1280" s="15">
        <v>1.0340078258400762</v>
      </c>
      <c r="M1280" s="15">
        <v>1.0340078258400762</v>
      </c>
      <c r="N1280" s="15">
        <v>1.0340078258400762</v>
      </c>
      <c r="O1280" s="15">
        <v>0.90943780049173761</v>
      </c>
      <c r="P1280" s="15">
        <v>0.90943780049173761</v>
      </c>
      <c r="Q1280" s="8"/>
      <c r="R1280" s="9" t="s">
        <v>1275</v>
      </c>
    </row>
    <row r="1281" spans="1:18" x14ac:dyDescent="0.25">
      <c r="A1281" s="6" t="str">
        <f>HYPERLINK("proteomic_fractions_linear_files/Yang_linear_img/27229085.jpg", "27229085")</f>
        <v>27229085</v>
      </c>
      <c r="B1281" s="7"/>
      <c r="C1281" s="6" t="str">
        <f>HYPERLINK("http://www.ncbi.nlm.nih.gov/protein/27229085","Clic3")</f>
        <v>Clic3</v>
      </c>
      <c r="D1281" s="8"/>
      <c r="E1281" s="8">
        <v>26715</v>
      </c>
      <c r="F1281" s="8"/>
      <c r="G1281" s="15" t="s">
        <v>10</v>
      </c>
      <c r="H1281" s="15" t="s">
        <v>10</v>
      </c>
      <c r="I1281" s="15" t="s">
        <v>10</v>
      </c>
      <c r="J1281" s="15" t="s">
        <v>10</v>
      </c>
      <c r="K1281" s="15">
        <v>0.96852807834907406</v>
      </c>
      <c r="L1281" s="15">
        <v>0.96852807834907406</v>
      </c>
      <c r="M1281" s="15" t="s">
        <v>10</v>
      </c>
      <c r="N1281" s="15" t="s">
        <v>10</v>
      </c>
      <c r="O1281" s="15" t="s">
        <v>10</v>
      </c>
      <c r="P1281" s="15" t="s">
        <v>10</v>
      </c>
      <c r="Q1281" s="8"/>
      <c r="R1281" s="9" t="s">
        <v>1276</v>
      </c>
    </row>
    <row r="1282" spans="1:18" x14ac:dyDescent="0.25">
      <c r="A1282" s="6" t="str">
        <f>HYPERLINK("proteomic_fractions_linear_files/Yang_linear_img/7304963.jpg", "7304963")</f>
        <v>7304963</v>
      </c>
      <c r="B1282" s="7"/>
      <c r="C1282" s="6" t="str">
        <f>HYPERLINK("http://www.ncbi.nlm.nih.gov/protein/7304963","Clic4")</f>
        <v>Clic4</v>
      </c>
      <c r="D1282" s="8"/>
      <c r="E1282" s="8">
        <v>28598</v>
      </c>
      <c r="F1282" s="8"/>
      <c r="G1282" s="15" t="s">
        <v>10</v>
      </c>
      <c r="H1282" s="15" t="s">
        <v>10</v>
      </c>
      <c r="I1282" s="15">
        <v>0.90173303846293107</v>
      </c>
      <c r="J1282" s="15">
        <v>0.90173303846293107</v>
      </c>
      <c r="K1282" s="15">
        <v>0.90173303846293107</v>
      </c>
      <c r="L1282" s="15">
        <v>0.90173303846293107</v>
      </c>
      <c r="M1282" s="15">
        <v>0.90173303846293107</v>
      </c>
      <c r="N1282" s="15">
        <v>0.90173303846293107</v>
      </c>
      <c r="O1282" s="15">
        <v>0.79688184050749811</v>
      </c>
      <c r="P1282" s="15">
        <v>0.79688184050749811</v>
      </c>
      <c r="Q1282" s="8"/>
      <c r="R1282" s="9" t="s">
        <v>1277</v>
      </c>
    </row>
    <row r="1283" spans="1:18" x14ac:dyDescent="0.25">
      <c r="A1283" s="6" t="str">
        <f>HYPERLINK("proteomic_fractions_linear_files/Yang_linear_img/27369886.jpg", "27369886")</f>
        <v>27369886</v>
      </c>
      <c r="B1283" s="7"/>
      <c r="C1283" s="6" t="str">
        <f>HYPERLINK("http://www.ncbi.nlm.nih.gov/protein/27369886","Clic5")</f>
        <v>Clic5</v>
      </c>
      <c r="D1283" s="8"/>
      <c r="E1283" s="8">
        <v>28156</v>
      </c>
      <c r="F1283" s="8"/>
      <c r="G1283" s="15" t="s">
        <v>10</v>
      </c>
      <c r="H1283" s="15" t="s">
        <v>10</v>
      </c>
      <c r="I1283" s="15" t="s">
        <v>10</v>
      </c>
      <c r="J1283" s="15" t="s">
        <v>10</v>
      </c>
      <c r="K1283" s="15">
        <v>0.99707897491721642</v>
      </c>
      <c r="L1283" s="15">
        <v>0.99707897491721642</v>
      </c>
      <c r="M1283" s="15" t="s">
        <v>10</v>
      </c>
      <c r="N1283" s="15" t="s">
        <v>10</v>
      </c>
      <c r="O1283" s="15" t="s">
        <v>10</v>
      </c>
      <c r="P1283" s="15" t="s">
        <v>10</v>
      </c>
      <c r="Q1283" s="8"/>
      <c r="R1283" s="9" t="s">
        <v>1278</v>
      </c>
    </row>
    <row r="1284" spans="1:18" x14ac:dyDescent="0.25">
      <c r="A1284" s="6" t="str">
        <f>HYPERLINK("proteomic_fractions_linear_files/Yang_linear_img/154240730.jpg", "154240730")</f>
        <v>154240730</v>
      </c>
      <c r="B1284" s="7"/>
      <c r="C1284" s="6" t="str">
        <f>HYPERLINK("http://www.ncbi.nlm.nih.gov/protein/154240730","Clint1")</f>
        <v>Clint1</v>
      </c>
      <c r="D1284" s="8"/>
      <c r="E1284" s="8">
        <v>67600</v>
      </c>
      <c r="F1284" s="8"/>
      <c r="G1284" s="15">
        <v>1.3965879585674192</v>
      </c>
      <c r="H1284" s="15">
        <v>1.3965879585674192</v>
      </c>
      <c r="I1284" s="15">
        <v>1.0799435329659153</v>
      </c>
      <c r="J1284" s="15">
        <v>1.0799435329659153</v>
      </c>
      <c r="K1284" s="15">
        <v>1.222039095193292</v>
      </c>
      <c r="L1284" s="15">
        <v>1.222039095193292</v>
      </c>
      <c r="M1284" s="15">
        <v>1.0799435329659153</v>
      </c>
      <c r="N1284" s="15">
        <v>1.0799435329659153</v>
      </c>
      <c r="O1284" s="15">
        <v>1.0799435329659153</v>
      </c>
      <c r="P1284" s="15">
        <v>1.0799435329659153</v>
      </c>
      <c r="Q1284" s="8"/>
      <c r="R1284" s="9" t="s">
        <v>1279</v>
      </c>
    </row>
    <row r="1285" spans="1:18" x14ac:dyDescent="0.25">
      <c r="A1285" s="6" t="str">
        <f>HYPERLINK("proteomic_fractions_linear_files/Yang_linear_img/23821025.jpg", "23821025")</f>
        <v>23821025</v>
      </c>
      <c r="B1285" s="7"/>
      <c r="C1285" s="6" t="str">
        <f>HYPERLINK("http://www.ncbi.nlm.nih.gov/protein/23821025","Clip1")</f>
        <v>Clip1</v>
      </c>
      <c r="D1285" s="8"/>
      <c r="E1285" s="8">
        <v>155683</v>
      </c>
      <c r="F1285" s="8"/>
      <c r="G1285" s="15" t="s">
        <v>10</v>
      </c>
      <c r="H1285" s="15" t="s">
        <v>10</v>
      </c>
      <c r="I1285" s="15" t="s">
        <v>10</v>
      </c>
      <c r="J1285" s="15" t="s">
        <v>10</v>
      </c>
      <c r="K1285" s="15">
        <v>1.4959028694092888</v>
      </c>
      <c r="L1285" s="15">
        <v>1.1972168694867971</v>
      </c>
      <c r="M1285" s="15" t="s">
        <v>10</v>
      </c>
      <c r="N1285" s="15" t="s">
        <v>10</v>
      </c>
      <c r="O1285" s="15">
        <v>1.1972168694867971</v>
      </c>
      <c r="P1285" s="15">
        <v>1.1972168694867971</v>
      </c>
      <c r="Q1285" s="8"/>
      <c r="R1285" s="9" t="s">
        <v>1280</v>
      </c>
    </row>
    <row r="1286" spans="1:18" x14ac:dyDescent="0.25">
      <c r="A1286" s="6" t="str">
        <f>HYPERLINK("proteomic_fractions_linear_files/Yang_linear_img/85662406.jpg", "85662406")</f>
        <v>85662406</v>
      </c>
      <c r="B1286" s="7"/>
      <c r="C1286" s="6" t="str">
        <f>HYPERLINK("http://www.ncbi.nlm.nih.gov/protein/85662406","Clip2")</f>
        <v>Clip2</v>
      </c>
      <c r="D1286" s="8"/>
      <c r="E1286" s="8">
        <v>111724</v>
      </c>
      <c r="F1286" s="8"/>
      <c r="G1286" s="15">
        <v>0.33340470020646956</v>
      </c>
      <c r="H1286" s="15">
        <v>0.33340470020646956</v>
      </c>
      <c r="I1286" s="15">
        <v>53.509821428571435</v>
      </c>
      <c r="J1286" s="15">
        <v>53.509821428571435</v>
      </c>
      <c r="K1286" s="15" t="s">
        <v>10</v>
      </c>
      <c r="L1286" s="15" t="s">
        <v>10</v>
      </c>
      <c r="M1286" s="15" t="s">
        <v>10</v>
      </c>
      <c r="N1286" s="15" t="s">
        <v>10</v>
      </c>
      <c r="O1286" s="15">
        <v>1.3701149208593022</v>
      </c>
      <c r="P1286" s="15">
        <v>1.3701149208593022</v>
      </c>
      <c r="Q1286" s="8"/>
      <c r="R1286" s="9" t="s">
        <v>1281</v>
      </c>
    </row>
    <row r="1287" spans="1:18" x14ac:dyDescent="0.25">
      <c r="A1287" s="6" t="str">
        <f>HYPERLINK("proteomic_fractions_linear_files/Yang_linear_img/85662410.jpg", "85662410")</f>
        <v>85662410</v>
      </c>
      <c r="B1287" s="7"/>
      <c r="C1287" s="6" t="str">
        <f>HYPERLINK("http://www.ncbi.nlm.nih.gov/protein/85662410","Clip2")</f>
        <v>Clip2</v>
      </c>
      <c r="D1287" s="8"/>
      <c r="E1287" s="8">
        <v>115780</v>
      </c>
      <c r="F1287" s="8"/>
      <c r="G1287" s="15">
        <v>0.32190798640624646</v>
      </c>
      <c r="H1287" s="15">
        <v>0.32190798640624646</v>
      </c>
      <c r="I1287" s="15">
        <v>51.664655172413795</v>
      </c>
      <c r="J1287" s="15">
        <v>51.664655172413795</v>
      </c>
      <c r="K1287" s="15" t="s">
        <v>10</v>
      </c>
      <c r="L1287" s="15" t="s">
        <v>10</v>
      </c>
      <c r="M1287" s="15" t="s">
        <v>10</v>
      </c>
      <c r="N1287" s="15" t="s">
        <v>10</v>
      </c>
      <c r="O1287" s="15">
        <v>1.3228695787607054</v>
      </c>
      <c r="P1287" s="15">
        <v>1.3228695787607054</v>
      </c>
      <c r="Q1287" s="8"/>
      <c r="R1287" s="9" t="s">
        <v>1282</v>
      </c>
    </row>
    <row r="1288" spans="1:18" x14ac:dyDescent="0.25">
      <c r="A1288" s="6" t="str">
        <f>HYPERLINK("proteomic_fractions_linear_files/Yang_linear_img/100816764.jpg", "100816764")</f>
        <v>100816764</v>
      </c>
      <c r="B1288" s="7"/>
      <c r="C1288" s="6" t="str">
        <f>HYPERLINK("http://www.ncbi.nlm.nih.gov/protein/100816764","Clmn")</f>
        <v>Clmn</v>
      </c>
      <c r="D1288" s="8"/>
      <c r="E1288" s="8">
        <v>117096</v>
      </c>
      <c r="F1288" s="8"/>
      <c r="G1288" s="15">
        <v>1.3115630011644601</v>
      </c>
      <c r="H1288" s="15">
        <v>1.3115630011644601</v>
      </c>
      <c r="I1288" s="15" t="s">
        <v>10</v>
      </c>
      <c r="J1288" s="15" t="s">
        <v>10</v>
      </c>
      <c r="K1288" s="15" t="s">
        <v>10</v>
      </c>
      <c r="L1288" s="15" t="s">
        <v>10</v>
      </c>
      <c r="M1288" s="15" t="s">
        <v>10</v>
      </c>
      <c r="N1288" s="15" t="s">
        <v>10</v>
      </c>
      <c r="O1288" s="15" t="s">
        <v>10</v>
      </c>
      <c r="P1288" s="15" t="s">
        <v>10</v>
      </c>
      <c r="Q1288" s="8"/>
      <c r="R1288" s="9" t="s">
        <v>1283</v>
      </c>
    </row>
    <row r="1289" spans="1:18" x14ac:dyDescent="0.25">
      <c r="A1289" s="6" t="str">
        <f>HYPERLINK("proteomic_fractions_linear_files/Yang_linear_img/100816903.jpg", "100816903")</f>
        <v>100816903</v>
      </c>
      <c r="B1289" s="7"/>
      <c r="C1289" s="6" t="str">
        <f>HYPERLINK("http://www.ncbi.nlm.nih.gov/protein/100816903","Clmn")</f>
        <v>Clmn</v>
      </c>
      <c r="D1289" s="8"/>
      <c r="E1289" s="8">
        <v>113310</v>
      </c>
      <c r="F1289" s="8"/>
      <c r="G1289" s="15">
        <v>1.3579900100552376</v>
      </c>
      <c r="H1289" s="15">
        <v>1.3579900100552376</v>
      </c>
      <c r="I1289" s="15" t="s">
        <v>10</v>
      </c>
      <c r="J1289" s="15" t="s">
        <v>10</v>
      </c>
      <c r="K1289" s="15" t="s">
        <v>10</v>
      </c>
      <c r="L1289" s="15" t="s">
        <v>10</v>
      </c>
      <c r="M1289" s="15" t="s">
        <v>10</v>
      </c>
      <c r="N1289" s="15" t="s">
        <v>10</v>
      </c>
      <c r="O1289" s="15" t="s">
        <v>10</v>
      </c>
      <c r="P1289" s="15" t="s">
        <v>10</v>
      </c>
      <c r="Q1289" s="8"/>
      <c r="R1289" s="9" t="s">
        <v>1284</v>
      </c>
    </row>
    <row r="1290" spans="1:18" x14ac:dyDescent="0.25">
      <c r="A1290" s="6" t="str">
        <f>HYPERLINK("proteomic_fractions_linear_files/Yang_linear_img/226423881.jpg", "226423881")</f>
        <v>226423881</v>
      </c>
      <c r="B1290" s="7"/>
      <c r="C1290" s="6" t="str">
        <f>HYPERLINK("http://www.ncbi.nlm.nih.gov/protein/226423881","Cln3")</f>
        <v>Cln3</v>
      </c>
      <c r="D1290" s="8"/>
      <c r="E1290" s="8">
        <v>47526</v>
      </c>
      <c r="F1290" s="8"/>
      <c r="G1290" s="15" t="s">
        <v>10</v>
      </c>
      <c r="H1290" s="15" t="s">
        <v>10</v>
      </c>
      <c r="I1290" s="15">
        <v>0.33182170381628701</v>
      </c>
      <c r="J1290" s="15">
        <v>0.33182170381628701</v>
      </c>
      <c r="K1290" s="15">
        <v>0.30244736920563225</v>
      </c>
      <c r="L1290" s="15">
        <v>0.30244736920563225</v>
      </c>
      <c r="M1290" s="15" t="s">
        <v>10</v>
      </c>
      <c r="N1290" s="15" t="s">
        <v>10</v>
      </c>
      <c r="O1290" s="15" t="s">
        <v>10</v>
      </c>
      <c r="P1290" s="15" t="s">
        <v>10</v>
      </c>
      <c r="Q1290" s="8"/>
      <c r="R1290" s="9" t="s">
        <v>1285</v>
      </c>
    </row>
    <row r="1291" spans="1:18" x14ac:dyDescent="0.25">
      <c r="A1291" s="6" t="str">
        <f>HYPERLINK("proteomic_fractions_linear_files/Yang_linear_img/112734833.jpg", "112734833")</f>
        <v>112734833</v>
      </c>
      <c r="B1291" s="7"/>
      <c r="C1291" s="6" t="str">
        <f>HYPERLINK("http://www.ncbi.nlm.nih.gov/protein/112734833","Cln5")</f>
        <v>Cln5</v>
      </c>
      <c r="D1291" s="8"/>
      <c r="E1291" s="8">
        <v>36118</v>
      </c>
      <c r="F1291" s="8"/>
      <c r="G1291" s="15" t="s">
        <v>10</v>
      </c>
      <c r="H1291" s="15" t="s">
        <v>10</v>
      </c>
      <c r="I1291" s="15">
        <v>1.2257108124157075</v>
      </c>
      <c r="J1291" s="15">
        <v>1.2257108124157075</v>
      </c>
      <c r="K1291" s="15">
        <v>1.3413882106782014</v>
      </c>
      <c r="L1291" s="15">
        <v>1.3413882106782014</v>
      </c>
      <c r="M1291" s="15" t="s">
        <v>10</v>
      </c>
      <c r="N1291" s="15" t="s">
        <v>10</v>
      </c>
      <c r="O1291" s="15" t="s">
        <v>10</v>
      </c>
      <c r="P1291" s="15" t="s">
        <v>10</v>
      </c>
      <c r="Q1291" s="8"/>
      <c r="R1291" s="9" t="s">
        <v>1286</v>
      </c>
    </row>
    <row r="1292" spans="1:18" x14ac:dyDescent="0.25">
      <c r="A1292" s="6" t="str">
        <f>HYPERLINK("proteomic_fractions_linear_files/Yang_linear_img/75677520.jpg", "75677520")</f>
        <v>75677520</v>
      </c>
      <c r="B1292" s="7"/>
      <c r="C1292" s="6" t="str">
        <f>HYPERLINK("http://www.ncbi.nlm.nih.gov/protein/75677520","Cln6")</f>
        <v>Cln6</v>
      </c>
      <c r="D1292" s="8"/>
      <c r="E1292" s="8">
        <v>35728</v>
      </c>
      <c r="F1292" s="8"/>
      <c r="G1292" s="15">
        <v>0.95981601473542177</v>
      </c>
      <c r="H1292" s="15">
        <v>0.89122424599259964</v>
      </c>
      <c r="I1292" s="15" t="s">
        <v>10</v>
      </c>
      <c r="J1292" s="15" t="s">
        <v>10</v>
      </c>
      <c r="K1292" s="15">
        <v>0.64193259374215128</v>
      </c>
      <c r="L1292" s="15">
        <v>0.64193259374215128</v>
      </c>
      <c r="M1292" s="15" t="s">
        <v>10</v>
      </c>
      <c r="N1292" s="15" t="s">
        <v>10</v>
      </c>
      <c r="O1292" s="15" t="s">
        <v>10</v>
      </c>
      <c r="P1292" s="15" t="s">
        <v>10</v>
      </c>
      <c r="Q1292" s="8"/>
      <c r="R1292" s="9" t="s">
        <v>1287</v>
      </c>
    </row>
    <row r="1293" spans="1:18" x14ac:dyDescent="0.25">
      <c r="A1293" s="6" t="str">
        <f>HYPERLINK("proteomic_fractions_linear_files/Yang_linear_img/19263324.jpg", "19263324")</f>
        <v>19263324</v>
      </c>
      <c r="B1293" s="7"/>
      <c r="C1293" s="6" t="str">
        <f>HYPERLINK("http://www.ncbi.nlm.nih.gov/protein/19263324","Clns1a")</f>
        <v>Clns1a</v>
      </c>
      <c r="D1293" s="8"/>
      <c r="E1293" s="8">
        <v>26392</v>
      </c>
      <c r="F1293" s="8"/>
      <c r="G1293" s="15" t="s">
        <v>10</v>
      </c>
      <c r="H1293" s="15" t="s">
        <v>10</v>
      </c>
      <c r="I1293" s="15" t="s">
        <v>10</v>
      </c>
      <c r="J1293" s="15" t="s">
        <v>10</v>
      </c>
      <c r="K1293" s="15">
        <v>1.3289760204028918</v>
      </c>
      <c r="L1293" s="15">
        <v>1.3289760204028918</v>
      </c>
      <c r="M1293" s="15" t="s">
        <v>10</v>
      </c>
      <c r="N1293" s="15" t="s">
        <v>10</v>
      </c>
      <c r="O1293" s="15">
        <v>1.1494387266043513</v>
      </c>
      <c r="P1293" s="15">
        <v>1.1494387266043513</v>
      </c>
      <c r="Q1293" s="8"/>
      <c r="R1293" s="9" t="s">
        <v>1288</v>
      </c>
    </row>
    <row r="1294" spans="1:18" x14ac:dyDescent="0.25">
      <c r="A1294" s="6" t="str">
        <f>HYPERLINK("proteomic_fractions_linear_files/Yang_linear_img/19527056.jpg", "19527056")</f>
        <v>19527056</v>
      </c>
      <c r="B1294" s="7"/>
      <c r="C1294" s="6" t="str">
        <f>HYPERLINK("http://www.ncbi.nlm.nih.gov/protein/19527056","Clp1")</f>
        <v>Clp1</v>
      </c>
      <c r="D1294" s="8"/>
      <c r="E1294" s="8">
        <v>47607</v>
      </c>
      <c r="F1294" s="8"/>
      <c r="G1294" s="15" t="s">
        <v>10</v>
      </c>
      <c r="H1294" s="15" t="s">
        <v>10</v>
      </c>
      <c r="I1294" s="15" t="s">
        <v>10</v>
      </c>
      <c r="J1294" s="15" t="s">
        <v>10</v>
      </c>
      <c r="K1294" s="15">
        <v>0.91928310931178059</v>
      </c>
      <c r="L1294" s="15">
        <v>0.91928310931178059</v>
      </c>
      <c r="M1294" s="15" t="s">
        <v>10</v>
      </c>
      <c r="N1294" s="15" t="s">
        <v>10</v>
      </c>
      <c r="O1294" s="15" t="s">
        <v>10</v>
      </c>
      <c r="P1294" s="15" t="s">
        <v>10</v>
      </c>
      <c r="Q1294" s="8"/>
      <c r="R1294" s="9" t="s">
        <v>1289</v>
      </c>
    </row>
    <row r="1295" spans="1:18" x14ac:dyDescent="0.25">
      <c r="A1295" s="6" t="str">
        <f>HYPERLINK("proteomic_fractions_linear_files/Yang_linear_img/6677983.jpg", "6677983")</f>
        <v>6677983</v>
      </c>
      <c r="B1295" s="7"/>
      <c r="C1295" s="6" t="str">
        <f>HYPERLINK("http://www.ncbi.nlm.nih.gov/protein/6677983","Clpb")</f>
        <v>Clpb</v>
      </c>
      <c r="D1295" s="8"/>
      <c r="E1295" s="8">
        <v>70627</v>
      </c>
      <c r="F1295" s="8"/>
      <c r="G1295" s="15" t="s">
        <v>10</v>
      </c>
      <c r="H1295" s="15" t="s">
        <v>10</v>
      </c>
      <c r="I1295" s="15">
        <v>0.77333167875781383</v>
      </c>
      <c r="J1295" s="15">
        <v>0.77333167875781383</v>
      </c>
      <c r="K1295" s="15" t="s">
        <v>10</v>
      </c>
      <c r="L1295" s="15" t="s">
        <v>10</v>
      </c>
      <c r="M1295" s="15" t="s">
        <v>10</v>
      </c>
      <c r="N1295" s="15" t="s">
        <v>10</v>
      </c>
      <c r="O1295" s="15" t="s">
        <v>10</v>
      </c>
      <c r="P1295" s="15" t="s">
        <v>10</v>
      </c>
      <c r="Q1295" s="8"/>
      <c r="R1295" s="9" t="s">
        <v>1290</v>
      </c>
    </row>
    <row r="1296" spans="1:18" x14ac:dyDescent="0.25">
      <c r="A1296" s="6" t="str">
        <f>HYPERLINK("proteomic_fractions_linear_files/Yang_linear_img/8393156.jpg", "8393156")</f>
        <v>8393156</v>
      </c>
      <c r="B1296" s="7"/>
      <c r="C1296" s="6" t="str">
        <f>HYPERLINK("http://www.ncbi.nlm.nih.gov/protein/8393156","Clpp")</f>
        <v>Clpp</v>
      </c>
      <c r="D1296" s="8"/>
      <c r="E1296" s="8">
        <v>24101</v>
      </c>
      <c r="F1296" s="8"/>
      <c r="G1296" s="15">
        <v>1.0231175255532048</v>
      </c>
      <c r="H1296" s="15">
        <v>1.0231175255532048</v>
      </c>
      <c r="I1296" s="15">
        <v>1.0895940881427084</v>
      </c>
      <c r="J1296" s="15">
        <v>1.0895940881427084</v>
      </c>
      <c r="K1296" s="15" t="s">
        <v>10</v>
      </c>
      <c r="L1296" s="15" t="s">
        <v>10</v>
      </c>
      <c r="M1296" s="15" t="s">
        <v>10</v>
      </c>
      <c r="N1296" s="15" t="s">
        <v>10</v>
      </c>
      <c r="O1296" s="15">
        <v>0.96289889061322687</v>
      </c>
      <c r="P1296" s="15">
        <v>0.96289889061322687</v>
      </c>
      <c r="Q1296" s="8"/>
      <c r="R1296" s="9" t="s">
        <v>1291</v>
      </c>
    </row>
    <row r="1297" spans="1:18" x14ac:dyDescent="0.25">
      <c r="A1297" s="6" t="str">
        <f>HYPERLINK("proteomic_fractions_linear_files/Yang_linear_img/103472025.jpg", "103472025")</f>
        <v>103472025</v>
      </c>
      <c r="B1297" s="7"/>
      <c r="C1297" s="6" t="str">
        <f>HYPERLINK("http://www.ncbi.nlm.nih.gov/protein/103472025","Clptm1")</f>
        <v>Clptm1</v>
      </c>
      <c r="D1297" s="8"/>
      <c r="E1297" s="8">
        <v>75160</v>
      </c>
      <c r="F1297" s="8"/>
      <c r="G1297" s="15">
        <v>1.4640208509484196</v>
      </c>
      <c r="H1297" s="15">
        <v>1.4640208509484196</v>
      </c>
      <c r="I1297" s="15">
        <v>1.2662397491011268</v>
      </c>
      <c r="J1297" s="15">
        <v>1.2662397491011268</v>
      </c>
      <c r="K1297" s="15">
        <v>1.2662397491011268</v>
      </c>
      <c r="L1297" s="15">
        <v>1.2662397491011268</v>
      </c>
      <c r="M1297" s="15" t="s">
        <v>10</v>
      </c>
      <c r="N1297" s="15" t="s">
        <v>10</v>
      </c>
      <c r="O1297" s="15" t="s">
        <v>10</v>
      </c>
      <c r="P1297" s="15" t="s">
        <v>10</v>
      </c>
      <c r="Q1297" s="8"/>
      <c r="R1297" s="9" t="s">
        <v>1292</v>
      </c>
    </row>
    <row r="1298" spans="1:18" x14ac:dyDescent="0.25">
      <c r="A1298" s="6" t="str">
        <f>HYPERLINK("proteomic_fractions_linear_files/Yang_linear_img/326937503.jpg", "326937503")</f>
        <v>326937503</v>
      </c>
      <c r="B1298" s="7"/>
      <c r="C1298" s="6" t="str">
        <f>HYPERLINK("http://www.ncbi.nlm.nih.gov/protein/326937503","Clptm1l")</f>
        <v>Clptm1l</v>
      </c>
      <c r="D1298" s="8"/>
      <c r="E1298" s="8">
        <v>62052</v>
      </c>
      <c r="F1298" s="8"/>
      <c r="G1298" s="15" t="s">
        <v>10</v>
      </c>
      <c r="H1298" s="15" t="s">
        <v>10</v>
      </c>
      <c r="I1298" s="15">
        <v>0.9479549610579654</v>
      </c>
      <c r="J1298" s="15">
        <v>0.9479549610579654</v>
      </c>
      <c r="K1298" s="15" t="s">
        <v>10</v>
      </c>
      <c r="L1298" s="15" t="s">
        <v>10</v>
      </c>
      <c r="M1298" s="15" t="s">
        <v>10</v>
      </c>
      <c r="N1298" s="15" t="s">
        <v>10</v>
      </c>
      <c r="O1298" s="15" t="s">
        <v>10</v>
      </c>
      <c r="P1298" s="15" t="s">
        <v>10</v>
      </c>
      <c r="Q1298" s="8"/>
      <c r="R1298" s="9" t="s">
        <v>1293</v>
      </c>
    </row>
    <row r="1299" spans="1:18" x14ac:dyDescent="0.25">
      <c r="A1299" s="6" t="str">
        <f>HYPERLINK("proteomic_fractions_linear_files/Yang_linear_img/113205069.jpg", "113205069")</f>
        <v>113205069</v>
      </c>
      <c r="B1299" s="7"/>
      <c r="C1299" s="6" t="str">
        <f>HYPERLINK("http://www.ncbi.nlm.nih.gov/protein/113205069","Clpx")</f>
        <v>Clpx</v>
      </c>
      <c r="D1299" s="8"/>
      <c r="E1299" s="8">
        <v>67205</v>
      </c>
      <c r="F1299" s="8"/>
      <c r="G1299" s="15" t="s">
        <v>10</v>
      </c>
      <c r="H1299" s="15" t="s">
        <v>10</v>
      </c>
      <c r="I1299" s="15">
        <v>0.97691437806782588</v>
      </c>
      <c r="J1299" s="15">
        <v>0.97691437806782588</v>
      </c>
      <c r="K1299" s="15" t="s">
        <v>10</v>
      </c>
      <c r="L1299" s="15" t="s">
        <v>10</v>
      </c>
      <c r="M1299" s="15" t="s">
        <v>10</v>
      </c>
      <c r="N1299" s="15" t="s">
        <v>10</v>
      </c>
      <c r="O1299" s="15" t="s">
        <v>10</v>
      </c>
      <c r="P1299" s="15" t="s">
        <v>10</v>
      </c>
      <c r="Q1299" s="8"/>
      <c r="R1299" s="9" t="s">
        <v>1294</v>
      </c>
    </row>
    <row r="1300" spans="1:18" x14ac:dyDescent="0.25">
      <c r="A1300" s="6" t="str">
        <f>HYPERLINK("proteomic_fractions_linear_files/Yang_linear_img/113205071.jpg", "113205071")</f>
        <v>113205071</v>
      </c>
      <c r="B1300" s="7"/>
      <c r="C1300" s="6" t="str">
        <f>HYPERLINK("http://www.ncbi.nlm.nih.gov/protein/113205071","Clpx")</f>
        <v>Clpx</v>
      </c>
      <c r="D1300" s="8"/>
      <c r="E1300" s="8">
        <v>63535</v>
      </c>
      <c r="F1300" s="8"/>
      <c r="G1300" s="15" t="s">
        <v>10</v>
      </c>
      <c r="H1300" s="15" t="s">
        <v>10</v>
      </c>
      <c r="I1300" s="15">
        <v>1.0227072395397552</v>
      </c>
      <c r="J1300" s="15">
        <v>1.0227072395397552</v>
      </c>
      <c r="K1300" s="15" t="s">
        <v>10</v>
      </c>
      <c r="L1300" s="15" t="s">
        <v>10</v>
      </c>
      <c r="M1300" s="15" t="s">
        <v>10</v>
      </c>
      <c r="N1300" s="15" t="s">
        <v>10</v>
      </c>
      <c r="O1300" s="15" t="s">
        <v>10</v>
      </c>
      <c r="P1300" s="15" t="s">
        <v>10</v>
      </c>
      <c r="Q1300" s="8"/>
      <c r="R1300" s="9" t="s">
        <v>1295</v>
      </c>
    </row>
    <row r="1301" spans="1:18" x14ac:dyDescent="0.25">
      <c r="A1301" s="6" t="str">
        <f>HYPERLINK("proteomic_fractions_linear_files/Yang_linear_img/122939192.jpg", "122939192")</f>
        <v>122939192</v>
      </c>
      <c r="B1301" s="7"/>
      <c r="C1301" s="6" t="str">
        <f>HYPERLINK("http://www.ncbi.nlm.nih.gov/protein/122939192","Clta")</f>
        <v>Clta</v>
      </c>
      <c r="D1301" s="8"/>
      <c r="E1301" s="8">
        <v>23502</v>
      </c>
      <c r="F1301" s="8"/>
      <c r="G1301" s="15" t="s">
        <v>10</v>
      </c>
      <c r="H1301" s="15" t="s">
        <v>10</v>
      </c>
      <c r="I1301" s="15" t="s">
        <v>10</v>
      </c>
      <c r="J1301" s="15" t="s">
        <v>10</v>
      </c>
      <c r="K1301" s="15">
        <v>1.3368363689888996</v>
      </c>
      <c r="L1301" s="15">
        <v>1.3368363689888996</v>
      </c>
      <c r="M1301" s="15">
        <v>0.63318076224226194</v>
      </c>
      <c r="N1301" s="15">
        <v>0.63318076224226194</v>
      </c>
      <c r="O1301" s="15">
        <v>0.73208082355662363</v>
      </c>
      <c r="P1301" s="15">
        <v>0.73208082355662363</v>
      </c>
      <c r="Q1301" s="8"/>
      <c r="R1301" s="9" t="s">
        <v>1296</v>
      </c>
    </row>
    <row r="1302" spans="1:18" x14ac:dyDescent="0.25">
      <c r="A1302" s="6" t="str">
        <f>HYPERLINK("proteomic_fractions_linear_files/Yang_linear_img/122939194.jpg", "122939194")</f>
        <v>122939194</v>
      </c>
      <c r="B1302" s="7"/>
      <c r="C1302" s="6" t="str">
        <f>HYPERLINK("http://www.ncbi.nlm.nih.gov/protein/122939194","Clta")</f>
        <v>Clta</v>
      </c>
      <c r="D1302" s="8"/>
      <c r="E1302" s="8">
        <v>26931</v>
      </c>
      <c r="F1302" s="8"/>
      <c r="G1302" s="15" t="s">
        <v>10</v>
      </c>
      <c r="H1302" s="15" t="s">
        <v>10</v>
      </c>
      <c r="I1302" s="15" t="s">
        <v>10</v>
      </c>
      <c r="J1302" s="15" t="s">
        <v>10</v>
      </c>
      <c r="K1302" s="15">
        <v>1.1882989946567994</v>
      </c>
      <c r="L1302" s="15">
        <v>1.1882989946567994</v>
      </c>
      <c r="M1302" s="15">
        <v>0.56282734421534386</v>
      </c>
      <c r="N1302" s="15">
        <v>0.56282734421534386</v>
      </c>
      <c r="O1302" s="15">
        <v>0.65073850982810988</v>
      </c>
      <c r="P1302" s="15">
        <v>0.65073850982810988</v>
      </c>
      <c r="Q1302" s="8"/>
      <c r="R1302" s="9" t="s">
        <v>1297</v>
      </c>
    </row>
    <row r="1303" spans="1:18" x14ac:dyDescent="0.25">
      <c r="A1303" s="6" t="str">
        <f>HYPERLINK("proteomic_fractions_linear_files/Yang_linear_img/122939196.jpg", "122939196")</f>
        <v>122939196</v>
      </c>
      <c r="B1303" s="7"/>
      <c r="C1303" s="6" t="str">
        <f>HYPERLINK("http://www.ncbi.nlm.nih.gov/protein/122939196","Clta")</f>
        <v>Clta</v>
      </c>
      <c r="D1303" s="8"/>
      <c r="E1303" s="8">
        <v>23348</v>
      </c>
      <c r="F1303" s="8"/>
      <c r="G1303" s="15" t="s">
        <v>10</v>
      </c>
      <c r="H1303" s="15" t="s">
        <v>10</v>
      </c>
      <c r="I1303" s="15" t="s">
        <v>10</v>
      </c>
      <c r="J1303" s="15" t="s">
        <v>10</v>
      </c>
      <c r="K1303" s="15">
        <v>1.3949596893797211</v>
      </c>
      <c r="L1303" s="15">
        <v>1.3949596893797211</v>
      </c>
      <c r="M1303" s="15">
        <v>0.66071036060062116</v>
      </c>
      <c r="N1303" s="15">
        <v>0.66071036060062116</v>
      </c>
      <c r="O1303" s="15">
        <v>0.7639104245808247</v>
      </c>
      <c r="P1303" s="15">
        <v>0.7639104245808247</v>
      </c>
      <c r="Q1303" s="8"/>
      <c r="R1303" s="9" t="s">
        <v>1298</v>
      </c>
    </row>
    <row r="1304" spans="1:18" x14ac:dyDescent="0.25">
      <c r="A1304" s="6" t="str">
        <f>HYPERLINK("proteomic_fractions_linear_files/Yang_linear_img/122939198.jpg", "122939198")</f>
        <v>122939198</v>
      </c>
      <c r="B1304" s="7"/>
      <c r="C1304" s="6" t="str">
        <f>HYPERLINK("http://www.ncbi.nlm.nih.gov/protein/122939198","Clta")</f>
        <v>Clta</v>
      </c>
      <c r="D1304" s="8"/>
      <c r="E1304" s="8">
        <v>25530</v>
      </c>
      <c r="F1304" s="8"/>
      <c r="G1304" s="15" t="s">
        <v>10</v>
      </c>
      <c r="H1304" s="15" t="s">
        <v>10</v>
      </c>
      <c r="I1304" s="15" t="s">
        <v>10</v>
      </c>
      <c r="J1304" s="15" t="s">
        <v>10</v>
      </c>
      <c r="K1304" s="15">
        <v>1.2340028021435996</v>
      </c>
      <c r="L1304" s="15">
        <v>1.2340028021435996</v>
      </c>
      <c r="M1304" s="15">
        <v>0.5844745497620879</v>
      </c>
      <c r="N1304" s="15">
        <v>0.5844745497620879</v>
      </c>
      <c r="O1304" s="15">
        <v>0.67576691405226796</v>
      </c>
      <c r="P1304" s="15">
        <v>0.67576691405226796</v>
      </c>
      <c r="Q1304" s="8"/>
      <c r="R1304" s="9" t="s">
        <v>1299</v>
      </c>
    </row>
    <row r="1305" spans="1:18" x14ac:dyDescent="0.25">
      <c r="A1305" s="6" t="str">
        <f>HYPERLINK("proteomic_fractions_linear_files/Yang_linear_img/30794164.jpg", "30794164")</f>
        <v>30794164</v>
      </c>
      <c r="B1305" s="7"/>
      <c r="C1305" s="6" t="str">
        <f>HYPERLINK("http://www.ncbi.nlm.nih.gov/protein/30794164","Cltb")</f>
        <v>Cltb</v>
      </c>
      <c r="D1305" s="8"/>
      <c r="E1305" s="8">
        <v>23043</v>
      </c>
      <c r="F1305" s="8"/>
      <c r="G1305" s="15" t="s">
        <v>10</v>
      </c>
      <c r="H1305" s="15" t="s">
        <v>10</v>
      </c>
      <c r="I1305" s="15" t="s">
        <v>10</v>
      </c>
      <c r="J1305" s="15" t="s">
        <v>10</v>
      </c>
      <c r="K1305" s="15">
        <v>1.2993655170310057</v>
      </c>
      <c r="L1305" s="15">
        <v>1.2993655170310057</v>
      </c>
      <c r="M1305" s="15" t="s">
        <v>10</v>
      </c>
      <c r="N1305" s="15" t="s">
        <v>10</v>
      </c>
      <c r="O1305" s="15">
        <v>1.136967744148913</v>
      </c>
      <c r="P1305" s="15">
        <v>1.136967744148913</v>
      </c>
      <c r="Q1305" s="8"/>
      <c r="R1305" s="9" t="s">
        <v>1300</v>
      </c>
    </row>
    <row r="1306" spans="1:18" x14ac:dyDescent="0.25">
      <c r="A1306" s="6" t="str">
        <f>HYPERLINK("proteomic_fractions_linear_files/Yang_linear_img/51491845.jpg", "51491845")</f>
        <v>51491845</v>
      </c>
      <c r="B1306" s="7"/>
      <c r="C1306" s="6" t="str">
        <f>HYPERLINK("http://www.ncbi.nlm.nih.gov/protein/51491845","Cltc")</f>
        <v>Cltc</v>
      </c>
      <c r="D1306" s="8"/>
      <c r="E1306" s="8">
        <v>191426</v>
      </c>
      <c r="F1306" s="8"/>
      <c r="G1306" s="15">
        <v>0.9778315792667035</v>
      </c>
      <c r="H1306" s="15">
        <v>0.9778315792667035</v>
      </c>
      <c r="I1306" s="15">
        <v>1.2217845425541836</v>
      </c>
      <c r="J1306" s="15">
        <v>1.2217845425541836</v>
      </c>
      <c r="K1306" s="15">
        <v>1.2217845425541836</v>
      </c>
      <c r="L1306" s="15">
        <v>1.2217845425541836</v>
      </c>
      <c r="M1306" s="15">
        <v>1.2217845425541836</v>
      </c>
      <c r="N1306" s="15">
        <v>1.2217845425541836</v>
      </c>
      <c r="O1306" s="15">
        <v>0.9778315792667035</v>
      </c>
      <c r="P1306" s="15">
        <v>0.9778315792667035</v>
      </c>
      <c r="Q1306" s="8"/>
      <c r="R1306" s="9" t="s">
        <v>1301</v>
      </c>
    </row>
    <row r="1307" spans="1:18" x14ac:dyDescent="0.25">
      <c r="A1307" s="6" t="str">
        <f>HYPERLINK("proteomic_fractions_linear_files/Yang_linear_img/214010170.jpg", "214010170")</f>
        <v>214010170</v>
      </c>
      <c r="B1307" s="7"/>
      <c r="C1307" s="6" t="str">
        <f>HYPERLINK("http://www.ncbi.nlm.nih.gov/protein/214010170","Clu")</f>
        <v>Clu</v>
      </c>
      <c r="D1307" s="8"/>
      <c r="E1307" s="8">
        <v>49345</v>
      </c>
      <c r="F1307" s="8"/>
      <c r="G1307" s="15" t="s">
        <v>10</v>
      </c>
      <c r="H1307" s="15" t="s">
        <v>10</v>
      </c>
      <c r="I1307" s="15">
        <v>1.3357808842968231</v>
      </c>
      <c r="J1307" s="15">
        <v>1.3357808842968231</v>
      </c>
      <c r="K1307" s="15">
        <v>0.90052222952990757</v>
      </c>
      <c r="L1307" s="15">
        <v>0.90052222952990757</v>
      </c>
      <c r="M1307" s="15" t="s">
        <v>10</v>
      </c>
      <c r="N1307" s="15" t="s">
        <v>10</v>
      </c>
      <c r="O1307" s="15" t="s">
        <v>10</v>
      </c>
      <c r="P1307" s="15" t="s">
        <v>10</v>
      </c>
      <c r="Q1307" s="8"/>
      <c r="R1307" s="9" t="s">
        <v>1302</v>
      </c>
    </row>
    <row r="1308" spans="1:18" x14ac:dyDescent="0.25">
      <c r="A1308" s="6" t="str">
        <f>HYPERLINK("proteomic_fractions_linear_files/Yang_linear_img/39930457.jpg", "39930457")</f>
        <v>39930457</v>
      </c>
      <c r="B1308" s="7"/>
      <c r="C1308" s="6" t="str">
        <f>HYPERLINK("http://www.ncbi.nlm.nih.gov/protein/39930457","Cluap1")</f>
        <v>Cluap1</v>
      </c>
      <c r="D1308" s="8"/>
      <c r="E1308" s="8">
        <v>47822</v>
      </c>
      <c r="F1308" s="8"/>
      <c r="G1308" s="15" t="s">
        <v>10</v>
      </c>
      <c r="H1308" s="15" t="s">
        <v>10</v>
      </c>
      <c r="I1308" s="15" t="s">
        <v>10</v>
      </c>
      <c r="J1308" s="15" t="s">
        <v>10</v>
      </c>
      <c r="K1308" s="15" t="s">
        <v>10</v>
      </c>
      <c r="L1308" s="15" t="s">
        <v>10</v>
      </c>
      <c r="M1308" s="15">
        <v>1.2244418246998718</v>
      </c>
      <c r="N1308" s="15">
        <v>1.2244418246998718</v>
      </c>
      <c r="O1308" s="15" t="s">
        <v>10</v>
      </c>
      <c r="P1308" s="15" t="s">
        <v>10</v>
      </c>
      <c r="Q1308" s="8"/>
      <c r="R1308" s="9" t="s">
        <v>1303</v>
      </c>
    </row>
    <row r="1309" spans="1:18" x14ac:dyDescent="0.25">
      <c r="A1309" s="6" t="str">
        <f>HYPERLINK("proteomic_fractions_linear_files/Yang_linear_img/124487201.jpg", "124487201")</f>
        <v>124487201</v>
      </c>
      <c r="B1309" s="7"/>
      <c r="C1309" s="6" t="str">
        <f>HYPERLINK("http://www.ncbi.nlm.nih.gov/protein/124487201","Cluh")</f>
        <v>Cluh</v>
      </c>
      <c r="D1309" s="8"/>
      <c r="E1309" s="8">
        <v>151706</v>
      </c>
      <c r="F1309" s="8"/>
      <c r="G1309" s="15" t="s">
        <v>10</v>
      </c>
      <c r="H1309" s="15" t="s">
        <v>10</v>
      </c>
      <c r="I1309" s="15" t="s">
        <v>10</v>
      </c>
      <c r="J1309" s="15" t="s">
        <v>10</v>
      </c>
      <c r="K1309" s="15">
        <v>1.5352687343937439</v>
      </c>
      <c r="L1309" s="15">
        <v>1.5352687343937439</v>
      </c>
      <c r="M1309" s="15" t="s">
        <v>10</v>
      </c>
      <c r="N1309" s="15" t="s">
        <v>10</v>
      </c>
      <c r="O1309" s="15">
        <v>1.228722576578555</v>
      </c>
      <c r="P1309" s="15">
        <v>1.228722576578555</v>
      </c>
      <c r="Q1309" s="8"/>
      <c r="R1309" s="9" t="s">
        <v>1304</v>
      </c>
    </row>
    <row r="1310" spans="1:18" x14ac:dyDescent="0.25">
      <c r="A1310" s="6" t="str">
        <f>HYPERLINK("proteomic_fractions_linear_files/Yang_linear_img/256220113.jpg", "256220113")</f>
        <v>256220113</v>
      </c>
      <c r="B1310" s="7"/>
      <c r="C1310" s="6" t="str">
        <f>HYPERLINK("http://www.ncbi.nlm.nih.gov/protein/256220113","Clybl")</f>
        <v>Clybl</v>
      </c>
      <c r="D1310" s="8"/>
      <c r="E1310" s="8">
        <v>35413</v>
      </c>
      <c r="F1310" s="8"/>
      <c r="G1310" s="15">
        <v>1.1573519486635071</v>
      </c>
      <c r="H1310" s="15">
        <v>1.1573519486635071</v>
      </c>
      <c r="I1310" s="15">
        <v>0.85386876833466085</v>
      </c>
      <c r="J1310" s="15">
        <v>0.85386876833466085</v>
      </c>
      <c r="K1310" s="15" t="s">
        <v>10</v>
      </c>
      <c r="L1310" s="15" t="s">
        <v>10</v>
      </c>
      <c r="M1310" s="15" t="s">
        <v>10</v>
      </c>
      <c r="N1310" s="15" t="s">
        <v>10</v>
      </c>
      <c r="O1310" s="15" t="s">
        <v>10</v>
      </c>
      <c r="P1310" s="15" t="s">
        <v>10</v>
      </c>
      <c r="Q1310" s="8"/>
      <c r="R1310" s="9" t="s">
        <v>1305</v>
      </c>
    </row>
    <row r="1311" spans="1:18" x14ac:dyDescent="0.25">
      <c r="A1311" s="6" t="str">
        <f>HYPERLINK("proteomic_fractions_linear_files/Yang_linear_img/247269309.jpg", "247269309")</f>
        <v>247269309</v>
      </c>
      <c r="B1311" s="7"/>
      <c r="C1311" s="6" t="str">
        <f>HYPERLINK("http://www.ncbi.nlm.nih.gov/protein/247269309","Cmas")</f>
        <v>Cmas</v>
      </c>
      <c r="D1311" s="8"/>
      <c r="E1311" s="8">
        <v>47899</v>
      </c>
      <c r="F1311" s="8"/>
      <c r="G1311" s="15">
        <v>1.2244418246998718</v>
      </c>
      <c r="H1311" s="15">
        <v>1.2244418246998718</v>
      </c>
      <c r="I1311" s="15" t="s">
        <v>10</v>
      </c>
      <c r="J1311" s="15" t="s">
        <v>10</v>
      </c>
      <c r="K1311" s="15" t="s">
        <v>10</v>
      </c>
      <c r="L1311" s="15" t="s">
        <v>10</v>
      </c>
      <c r="M1311" s="15" t="s">
        <v>10</v>
      </c>
      <c r="N1311" s="15" t="s">
        <v>10</v>
      </c>
      <c r="O1311" s="15" t="s">
        <v>10</v>
      </c>
      <c r="P1311" s="15" t="s">
        <v>10</v>
      </c>
      <c r="Q1311" s="8"/>
      <c r="R1311" s="9" t="s">
        <v>1306</v>
      </c>
    </row>
    <row r="1312" spans="1:18" x14ac:dyDescent="0.25">
      <c r="A1312" s="6" t="str">
        <f>HYPERLINK("proteomic_fractions_linear_files/Yang_linear_img/21735441.jpg", "21735441")</f>
        <v>21735441</v>
      </c>
      <c r="B1312" s="7"/>
      <c r="C1312" s="6" t="str">
        <f>HYPERLINK("http://www.ncbi.nlm.nih.gov/protein/21735441","Cmc1")</f>
        <v>Cmc1</v>
      </c>
      <c r="D1312" s="8"/>
      <c r="E1312" s="8">
        <v>12421</v>
      </c>
      <c r="F1312" s="8"/>
      <c r="G1312" s="15">
        <v>1.1571542083280542</v>
      </c>
      <c r="H1312" s="15">
        <v>1.1571542083280542</v>
      </c>
      <c r="I1312" s="15">
        <v>1.1571542083280542</v>
      </c>
      <c r="J1312" s="15">
        <v>1.1571542083280542</v>
      </c>
      <c r="K1312" s="15" t="s">
        <v>10</v>
      </c>
      <c r="L1312" s="15" t="s">
        <v>10</v>
      </c>
      <c r="M1312" s="15" t="s">
        <v>10</v>
      </c>
      <c r="N1312" s="15" t="s">
        <v>10</v>
      </c>
      <c r="O1312" s="15" t="s">
        <v>10</v>
      </c>
      <c r="P1312" s="15" t="s">
        <v>10</v>
      </c>
      <c r="Q1312" s="8"/>
      <c r="R1312" s="9" t="s">
        <v>1307</v>
      </c>
    </row>
    <row r="1313" spans="1:18" x14ac:dyDescent="0.25">
      <c r="A1313" s="6" t="str">
        <f>HYPERLINK("proteomic_fractions_linear_files/Yang_linear_img/33457314.jpg", "33457314")</f>
        <v>33457314</v>
      </c>
      <c r="B1313" s="7"/>
      <c r="C1313" s="6" t="str">
        <f>HYPERLINK("http://www.ncbi.nlm.nih.gov/protein/33457314","Cmc2")</f>
        <v>Cmc2</v>
      </c>
      <c r="D1313" s="8"/>
      <c r="E1313" s="8">
        <v>9288</v>
      </c>
      <c r="F1313" s="8"/>
      <c r="G1313" s="15" t="s">
        <v>10</v>
      </c>
      <c r="H1313" s="15" t="s">
        <v>10</v>
      </c>
      <c r="I1313" s="15">
        <v>1.4163577046597362</v>
      </c>
      <c r="J1313" s="15">
        <v>1.4163577046597362</v>
      </c>
      <c r="K1313" s="15" t="s">
        <v>10</v>
      </c>
      <c r="L1313" s="15" t="s">
        <v>10</v>
      </c>
      <c r="M1313" s="15" t="s">
        <v>10</v>
      </c>
      <c r="N1313" s="15" t="s">
        <v>10</v>
      </c>
      <c r="O1313" s="15" t="s">
        <v>10</v>
      </c>
      <c r="P1313" s="15" t="s">
        <v>10</v>
      </c>
      <c r="Q1313" s="8"/>
      <c r="R1313" s="9" t="s">
        <v>1308</v>
      </c>
    </row>
    <row r="1314" spans="1:18" x14ac:dyDescent="0.25">
      <c r="A1314" s="6" t="str">
        <f>HYPERLINK("proteomic_fractions_linear_files/Yang_linear_img/165377065.jpg", "165377065")</f>
        <v>165377065</v>
      </c>
      <c r="B1314" s="7"/>
      <c r="C1314" s="6" t="str">
        <f>HYPERLINK("http://www.ncbi.nlm.nih.gov/protein/165377065","Cmpk1")</f>
        <v>Cmpk1</v>
      </c>
      <c r="D1314" s="8"/>
      <c r="E1314" s="8">
        <v>25584</v>
      </c>
      <c r="F1314" s="8"/>
      <c r="G1314" s="15" t="s">
        <v>10</v>
      </c>
      <c r="H1314" s="15" t="s">
        <v>10</v>
      </c>
      <c r="I1314" s="15">
        <v>0.83829777964149044</v>
      </c>
      <c r="J1314" s="15">
        <v>0.83829777964149044</v>
      </c>
      <c r="K1314" s="15">
        <v>0.83829777964149044</v>
      </c>
      <c r="L1314" s="15">
        <v>0.83829777964149044</v>
      </c>
      <c r="M1314" s="15">
        <v>0.83829777964149044</v>
      </c>
      <c r="N1314" s="15">
        <v>0.83829777964149044</v>
      </c>
      <c r="O1314" s="15">
        <v>0.83829777964149044</v>
      </c>
      <c r="P1314" s="15">
        <v>0.83829777964149044</v>
      </c>
      <c r="Q1314" s="8"/>
      <c r="R1314" s="9" t="s">
        <v>1309</v>
      </c>
    </row>
    <row r="1315" spans="1:18" x14ac:dyDescent="0.25">
      <c r="A1315" s="6" t="str">
        <f>HYPERLINK("proteomic_fractions_linear_files/Yang_linear_img/165932364.jpg", "165932364")</f>
        <v>165932364</v>
      </c>
      <c r="B1315" s="7"/>
      <c r="C1315" s="6" t="str">
        <f>HYPERLINK("http://www.ncbi.nlm.nih.gov/protein/165932364","Cmss1")</f>
        <v>Cmss1</v>
      </c>
      <c r="D1315" s="8"/>
      <c r="E1315" s="8">
        <v>31463</v>
      </c>
      <c r="F1315" s="8"/>
      <c r="G1315" s="15" t="s">
        <v>10</v>
      </c>
      <c r="H1315" s="15" t="s">
        <v>10</v>
      </c>
      <c r="I1315" s="15">
        <v>1.0349700921204383</v>
      </c>
      <c r="J1315" s="15">
        <v>1.0349700921204383</v>
      </c>
      <c r="K1315" s="15">
        <v>1.1146250493701673</v>
      </c>
      <c r="L1315" s="15">
        <v>1.1146250493701673</v>
      </c>
      <c r="M1315" s="15">
        <v>1.0349700921204383</v>
      </c>
      <c r="N1315" s="15">
        <v>1.0349700921204383</v>
      </c>
      <c r="O1315" s="15" t="s">
        <v>10</v>
      </c>
      <c r="P1315" s="15" t="s">
        <v>10</v>
      </c>
      <c r="Q1315" s="8"/>
      <c r="R1315" s="9" t="s">
        <v>1310</v>
      </c>
    </row>
    <row r="1316" spans="1:18" x14ac:dyDescent="0.25">
      <c r="A1316" s="6" t="str">
        <f>HYPERLINK("proteomic_fractions_linear_files/Yang_linear_img/27312023.jpg", "27312023")</f>
        <v>27312023</v>
      </c>
      <c r="B1316" s="7"/>
      <c r="C1316" s="6" t="str">
        <f>HYPERLINK("http://www.ncbi.nlm.nih.gov/protein/27312023","Cmtm4")</f>
        <v>Cmtm4</v>
      </c>
      <c r="D1316" s="8"/>
      <c r="E1316" s="8">
        <v>22790</v>
      </c>
      <c r="F1316" s="8"/>
      <c r="G1316" s="15" t="s">
        <v>10</v>
      </c>
      <c r="H1316" s="15" t="s">
        <v>10</v>
      </c>
      <c r="I1316" s="15" t="s">
        <v>10</v>
      </c>
      <c r="J1316" s="15" t="s">
        <v>10</v>
      </c>
      <c r="K1316" s="15">
        <v>0.94764096829038047</v>
      </c>
      <c r="L1316" s="15">
        <v>0.94764096829038047</v>
      </c>
      <c r="M1316" s="15" t="s">
        <v>10</v>
      </c>
      <c r="N1316" s="15" t="s">
        <v>10</v>
      </c>
      <c r="O1316" s="15" t="s">
        <v>10</v>
      </c>
      <c r="P1316" s="15" t="s">
        <v>10</v>
      </c>
      <c r="Q1316" s="8"/>
      <c r="R1316" s="9" t="s">
        <v>1311</v>
      </c>
    </row>
    <row r="1317" spans="1:18" x14ac:dyDescent="0.25">
      <c r="A1317" s="6" t="str">
        <f>HYPERLINK("proteomic_fractions_linear_files/Yang_linear_img/19527198.jpg", "19527198")</f>
        <v>19527198</v>
      </c>
      <c r="B1317" s="7"/>
      <c r="C1317" s="6" t="str">
        <f>HYPERLINK("http://www.ncbi.nlm.nih.gov/protein/19527198","Cmtm7")</f>
        <v>Cmtm7</v>
      </c>
      <c r="D1317" s="8"/>
      <c r="E1317" s="8">
        <v>17974</v>
      </c>
      <c r="F1317" s="8"/>
      <c r="G1317" s="15" t="s">
        <v>10</v>
      </c>
      <c r="H1317" s="15" t="s">
        <v>10</v>
      </c>
      <c r="I1317" s="15" t="s">
        <v>10</v>
      </c>
      <c r="J1317" s="15" t="s">
        <v>10</v>
      </c>
      <c r="K1317" s="15">
        <v>0.9286930289226123</v>
      </c>
      <c r="L1317" s="15">
        <v>0.9286930289226123</v>
      </c>
      <c r="M1317" s="15" t="s">
        <v>10</v>
      </c>
      <c r="N1317" s="15" t="s">
        <v>10</v>
      </c>
      <c r="O1317" s="15" t="s">
        <v>10</v>
      </c>
      <c r="P1317" s="15" t="s">
        <v>10</v>
      </c>
      <c r="Q1317" s="8"/>
      <c r="R1317" s="9" t="s">
        <v>1312</v>
      </c>
    </row>
    <row r="1318" spans="1:18" x14ac:dyDescent="0.25">
      <c r="A1318" s="6" t="str">
        <f>HYPERLINK("proteomic_fractions_linear_files/Yang_linear_img/357197168.jpg", "357197168")</f>
        <v>357197168</v>
      </c>
      <c r="B1318" s="7"/>
      <c r="C1318" s="6" t="str">
        <f>HYPERLINK("http://www.ncbi.nlm.nih.gov/protein/357197168","Cmtm7")</f>
        <v>Cmtm7</v>
      </c>
      <c r="D1318" s="8"/>
      <c r="E1318" s="8">
        <v>14550</v>
      </c>
      <c r="F1318" s="8"/>
      <c r="G1318" s="15" t="s">
        <v>10</v>
      </c>
      <c r="H1318" s="15" t="s">
        <v>10</v>
      </c>
      <c r="I1318" s="15" t="s">
        <v>10</v>
      </c>
      <c r="J1318" s="15" t="s">
        <v>10</v>
      </c>
      <c r="K1318" s="15">
        <v>1.1144316347071348</v>
      </c>
      <c r="L1318" s="15">
        <v>1.1144316347071348</v>
      </c>
      <c r="M1318" s="15" t="s">
        <v>10</v>
      </c>
      <c r="N1318" s="15" t="s">
        <v>10</v>
      </c>
      <c r="O1318" s="15" t="s">
        <v>10</v>
      </c>
      <c r="P1318" s="15" t="s">
        <v>10</v>
      </c>
      <c r="Q1318" s="8"/>
      <c r="R1318" s="9" t="s">
        <v>1313</v>
      </c>
    </row>
    <row r="1319" spans="1:18" x14ac:dyDescent="0.25">
      <c r="A1319" s="6" t="str">
        <f>HYPERLINK("proteomic_fractions_linear_files/Yang_linear_img/21311939.jpg", "21311939")</f>
        <v>21311939</v>
      </c>
      <c r="B1319" s="7"/>
      <c r="C1319" s="6" t="str">
        <f>HYPERLINK("http://www.ncbi.nlm.nih.gov/protein/21311939","Cmtr1")</f>
        <v>Cmtr1</v>
      </c>
      <c r="D1319" s="8"/>
      <c r="E1319" s="8">
        <v>95546</v>
      </c>
      <c r="F1319" s="8"/>
      <c r="G1319" s="15" t="s">
        <v>10</v>
      </c>
      <c r="H1319" s="15" t="s">
        <v>10</v>
      </c>
      <c r="I1319" s="15">
        <v>1.1437662898034529</v>
      </c>
      <c r="J1319" s="15">
        <v>1.1437662898034529</v>
      </c>
      <c r="K1319" s="15">
        <v>1.1437662898034529</v>
      </c>
      <c r="L1319" s="15">
        <v>1.1437662898034529</v>
      </c>
      <c r="M1319" s="15">
        <v>1.1437662898034529</v>
      </c>
      <c r="N1319" s="15">
        <v>1.1437662898034529</v>
      </c>
      <c r="O1319" s="15">
        <v>1.1437662898034529</v>
      </c>
      <c r="P1319" s="15">
        <v>1.1437662898034529</v>
      </c>
      <c r="Q1319" s="8"/>
      <c r="R1319" s="9" t="s">
        <v>1314</v>
      </c>
    </row>
    <row r="1320" spans="1:18" x14ac:dyDescent="0.25">
      <c r="A1320" s="6" t="str">
        <f>HYPERLINK("proteomic_fractions_linear_files/Yang_linear_img/157909782.jpg", "157909782")</f>
        <v>157909782</v>
      </c>
      <c r="B1320" s="7"/>
      <c r="C1320" s="6" t="str">
        <f>HYPERLINK("http://www.ncbi.nlm.nih.gov/protein/157909782","Cnbp")</f>
        <v>Cnbp</v>
      </c>
      <c r="D1320" s="8"/>
      <c r="E1320" s="8">
        <v>18740</v>
      </c>
      <c r="F1320" s="8"/>
      <c r="G1320" s="15">
        <v>1.572916152195428</v>
      </c>
      <c r="H1320" s="15">
        <v>1.572916152195428</v>
      </c>
      <c r="I1320" s="15">
        <v>1.0263763067386986</v>
      </c>
      <c r="J1320" s="15">
        <v>1.0263763067386986</v>
      </c>
      <c r="K1320" s="15">
        <v>1.0840758519292775</v>
      </c>
      <c r="L1320" s="15">
        <v>1.0840758519292775</v>
      </c>
      <c r="M1320" s="15">
        <v>1.0840758519292775</v>
      </c>
      <c r="N1320" s="15">
        <v>1.0840758519292775</v>
      </c>
      <c r="O1320" s="15">
        <v>1.0840758519292775</v>
      </c>
      <c r="P1320" s="15">
        <v>1.0840758519292775</v>
      </c>
      <c r="Q1320" s="8"/>
      <c r="R1320" s="9" t="s">
        <v>1315</v>
      </c>
    </row>
    <row r="1321" spans="1:18" x14ac:dyDescent="0.25">
      <c r="A1321" s="6" t="str">
        <f>HYPERLINK("proteomic_fractions_linear_files/Yang_linear_img/157909784.jpg", "157909784")</f>
        <v>157909784</v>
      </c>
      <c r="B1321" s="7"/>
      <c r="C1321" s="6" t="str">
        <f>HYPERLINK("http://www.ncbi.nlm.nih.gov/protein/157909784","Cnbp")</f>
        <v>Cnbp</v>
      </c>
      <c r="D1321" s="8"/>
      <c r="E1321" s="8">
        <v>18611</v>
      </c>
      <c r="F1321" s="8"/>
      <c r="G1321" s="15">
        <v>1.572916152195428</v>
      </c>
      <c r="H1321" s="15">
        <v>1.572916152195428</v>
      </c>
      <c r="I1321" s="15">
        <v>1.0263763067386986</v>
      </c>
      <c r="J1321" s="15">
        <v>1.0263763067386986</v>
      </c>
      <c r="K1321" s="15">
        <v>1.0840758519292775</v>
      </c>
      <c r="L1321" s="15">
        <v>1.0840758519292775</v>
      </c>
      <c r="M1321" s="15">
        <v>1.0840758519292775</v>
      </c>
      <c r="N1321" s="15">
        <v>1.0840758519292775</v>
      </c>
      <c r="O1321" s="15">
        <v>1.0840758519292775</v>
      </c>
      <c r="P1321" s="15">
        <v>1.0840758519292775</v>
      </c>
      <c r="Q1321" s="8"/>
      <c r="R1321" s="9" t="s">
        <v>1316</v>
      </c>
    </row>
    <row r="1322" spans="1:18" x14ac:dyDescent="0.25">
      <c r="A1322" s="6" t="str">
        <f>HYPERLINK("proteomic_fractions_linear_files/Yang_linear_img/7304969.jpg", "7304969")</f>
        <v>7304969</v>
      </c>
      <c r="B1322" s="7"/>
      <c r="C1322" s="6" t="str">
        <f>HYPERLINK("http://www.ncbi.nlm.nih.gov/protein/7304969","Cnbp")</f>
        <v>Cnbp</v>
      </c>
      <c r="D1322" s="8"/>
      <c r="E1322" s="8">
        <v>19461</v>
      </c>
      <c r="F1322" s="8"/>
      <c r="G1322" s="15">
        <v>1.572916152195428</v>
      </c>
      <c r="H1322" s="15">
        <v>1.572916152195428</v>
      </c>
      <c r="I1322" s="15">
        <v>1.0263763067386986</v>
      </c>
      <c r="J1322" s="15">
        <v>1.0263763067386986</v>
      </c>
      <c r="K1322" s="15">
        <v>1.0840758519292775</v>
      </c>
      <c r="L1322" s="15">
        <v>1.0840758519292775</v>
      </c>
      <c r="M1322" s="15">
        <v>1.0840758519292775</v>
      </c>
      <c r="N1322" s="15">
        <v>1.0840758519292775</v>
      </c>
      <c r="O1322" s="15">
        <v>1.0840758519292775</v>
      </c>
      <c r="P1322" s="15">
        <v>1.0840758519292775</v>
      </c>
      <c r="Q1322" s="8"/>
      <c r="R1322" s="9" t="s">
        <v>1317</v>
      </c>
    </row>
    <row r="1323" spans="1:18" x14ac:dyDescent="0.25">
      <c r="A1323" s="6" t="str">
        <f>HYPERLINK("proteomic_fractions_linear_files/Yang_linear_img/31981273.jpg", "31981273")</f>
        <v>31981273</v>
      </c>
      <c r="B1323" s="7"/>
      <c r="C1323" s="6" t="str">
        <f>HYPERLINK("http://www.ncbi.nlm.nih.gov/protein/31981273","Cndp2")</f>
        <v>Cndp2</v>
      </c>
      <c r="D1323" s="8"/>
      <c r="E1323" s="8">
        <v>52636</v>
      </c>
      <c r="F1323" s="8"/>
      <c r="G1323" s="15">
        <v>1.2349672326517798</v>
      </c>
      <c r="H1323" s="15">
        <v>1.2349672326517798</v>
      </c>
      <c r="I1323" s="15">
        <v>1.0022748986792656</v>
      </c>
      <c r="J1323" s="15">
        <v>1.0022748986792656</v>
      </c>
      <c r="K1323" s="15">
        <v>1.0022748986792656</v>
      </c>
      <c r="L1323" s="15">
        <v>1.0022748986792656</v>
      </c>
      <c r="M1323" s="15">
        <v>1.0022748986792656</v>
      </c>
      <c r="N1323" s="15">
        <v>1.0022748986792656</v>
      </c>
      <c r="O1323" s="15">
        <v>0.91113161480028781</v>
      </c>
      <c r="P1323" s="15">
        <v>0.91113161480028781</v>
      </c>
      <c r="Q1323" s="8"/>
      <c r="R1323" s="9" t="s">
        <v>1318</v>
      </c>
    </row>
    <row r="1324" spans="1:18" x14ac:dyDescent="0.25">
      <c r="A1324" s="6" t="str">
        <f>HYPERLINK("proteomic_fractions_linear_files/Yang_linear_img/68131553.jpg", "68131553")</f>
        <v>68131553</v>
      </c>
      <c r="B1324" s="7"/>
      <c r="C1324" s="6" t="str">
        <f>HYPERLINK("http://www.ncbi.nlm.nih.gov/protein/68131553","Cnih4")</f>
        <v>Cnih4</v>
      </c>
      <c r="D1324" s="8"/>
      <c r="E1324" s="8">
        <v>15958</v>
      </c>
      <c r="F1324" s="8"/>
      <c r="G1324" s="15" t="s">
        <v>10</v>
      </c>
      <c r="H1324" s="15" t="s">
        <v>10</v>
      </c>
      <c r="I1324" s="15" t="s">
        <v>10</v>
      </c>
      <c r="J1324" s="15" t="s">
        <v>10</v>
      </c>
      <c r="K1324" s="15">
        <v>0.99546511144886096</v>
      </c>
      <c r="L1324" s="15">
        <v>0.99546511144886096</v>
      </c>
      <c r="M1324" s="15">
        <v>0.94977114336339286</v>
      </c>
      <c r="N1324" s="15">
        <v>0.94977114336339286</v>
      </c>
      <c r="O1324" s="15" t="s">
        <v>10</v>
      </c>
      <c r="P1324" s="15" t="s">
        <v>10</v>
      </c>
      <c r="Q1324" s="8"/>
      <c r="R1324" s="9" t="s">
        <v>1319</v>
      </c>
    </row>
    <row r="1325" spans="1:18" x14ac:dyDescent="0.25">
      <c r="A1325" s="6" t="str">
        <f>HYPERLINK("proteomic_fractions_linear_files/Yang_linear_img/27369772.jpg", "27369772")</f>
        <v>27369772</v>
      </c>
      <c r="B1325" s="7"/>
      <c r="C1325" s="6" t="str">
        <f>HYPERLINK("http://www.ncbi.nlm.nih.gov/protein/27369772","Cnksr3")</f>
        <v>Cnksr3</v>
      </c>
      <c r="D1325" s="8"/>
      <c r="E1325" s="8">
        <v>61739</v>
      </c>
      <c r="F1325" s="8"/>
      <c r="G1325" s="15" t="s">
        <v>10</v>
      </c>
      <c r="H1325" s="15" t="s">
        <v>10</v>
      </c>
      <c r="I1325" s="15">
        <v>1.0556977956539408</v>
      </c>
      <c r="J1325" s="15">
        <v>1.0556977956539408</v>
      </c>
      <c r="K1325" s="15">
        <v>1.1844541974464877</v>
      </c>
      <c r="L1325" s="15">
        <v>1.1844541974464877</v>
      </c>
      <c r="M1325" s="15" t="s">
        <v>10</v>
      </c>
      <c r="N1325" s="15" t="s">
        <v>10</v>
      </c>
      <c r="O1325" s="15" t="s">
        <v>10</v>
      </c>
      <c r="P1325" s="15" t="s">
        <v>10</v>
      </c>
      <c r="Q1325" s="8"/>
      <c r="R1325" s="9" t="s">
        <v>1320</v>
      </c>
    </row>
    <row r="1326" spans="1:18" x14ac:dyDescent="0.25">
      <c r="A1326" s="6" t="str">
        <f>HYPERLINK("proteomic_fractions_linear_files/Yang_linear_img/6680952.jpg", "6680952")</f>
        <v>6680952</v>
      </c>
      <c r="B1326" s="7"/>
      <c r="C1326" s="6" t="str">
        <f>HYPERLINK("http://www.ncbi.nlm.nih.gov/protein/6680952","Cnn2")</f>
        <v>Cnn2</v>
      </c>
      <c r="D1326" s="8"/>
      <c r="E1326" s="8">
        <v>33025</v>
      </c>
      <c r="F1326" s="8"/>
      <c r="G1326" s="15" t="s">
        <v>10</v>
      </c>
      <c r="H1326" s="15" t="s">
        <v>10</v>
      </c>
      <c r="I1326" s="15">
        <v>0.9722446319919269</v>
      </c>
      <c r="J1326" s="15">
        <v>0.9722446319919269</v>
      </c>
      <c r="K1326" s="15">
        <v>0.9722446319919269</v>
      </c>
      <c r="L1326" s="15">
        <v>0.9722446319919269</v>
      </c>
      <c r="M1326" s="15">
        <v>0.9722446319919269</v>
      </c>
      <c r="N1326" s="15">
        <v>0.9722446319919269</v>
      </c>
      <c r="O1326" s="15">
        <v>0.50655983395778859</v>
      </c>
      <c r="P1326" s="15">
        <v>0.84600640296006246</v>
      </c>
      <c r="Q1326" s="8"/>
      <c r="R1326" s="9" t="s">
        <v>1321</v>
      </c>
    </row>
    <row r="1327" spans="1:18" x14ac:dyDescent="0.25">
      <c r="A1327" s="6" t="str">
        <f>HYPERLINK("proteomic_fractions_linear_files/Yang_linear_img/21312564.jpg", "21312564")</f>
        <v>21312564</v>
      </c>
      <c r="B1327" s="7"/>
      <c r="C1327" s="6" t="str">
        <f>HYPERLINK("http://www.ncbi.nlm.nih.gov/protein/21312564","Cnn3")</f>
        <v>Cnn3</v>
      </c>
      <c r="D1327" s="8"/>
      <c r="E1327" s="8">
        <v>36298</v>
      </c>
      <c r="F1327" s="8"/>
      <c r="G1327" s="15" t="s">
        <v>10</v>
      </c>
      <c r="H1327" s="15" t="s">
        <v>10</v>
      </c>
      <c r="I1327" s="15">
        <v>0.46434651446130615</v>
      </c>
      <c r="J1327" s="15">
        <v>0.95981601473542177</v>
      </c>
      <c r="K1327" s="15">
        <v>1.0372590673090165</v>
      </c>
      <c r="L1327" s="15">
        <v>1.0372590673090165</v>
      </c>
      <c r="M1327" s="15">
        <v>1.0372590673090165</v>
      </c>
      <c r="N1327" s="15">
        <v>1.0372590673090165</v>
      </c>
      <c r="O1327" s="15">
        <v>0.89122424599259964</v>
      </c>
      <c r="P1327" s="15">
        <v>0.89122424599259964</v>
      </c>
      <c r="Q1327" s="8"/>
      <c r="R1327" s="9" t="s">
        <v>1322</v>
      </c>
    </row>
    <row r="1328" spans="1:18" x14ac:dyDescent="0.25">
      <c r="A1328" s="6" t="str">
        <f>HYPERLINK("proteomic_fractions_linear_files/Yang_linear_img/156447046.jpg", "156447046")</f>
        <v>156447046</v>
      </c>
      <c r="B1328" s="7"/>
      <c r="C1328" s="6" t="str">
        <f>HYPERLINK("http://www.ncbi.nlm.nih.gov/protein/156447046","Cnnm2")</f>
        <v>Cnnm2</v>
      </c>
      <c r="D1328" s="8"/>
      <c r="E1328" s="8">
        <v>96574</v>
      </c>
      <c r="F1328" s="8"/>
      <c r="G1328" s="15" t="s">
        <v>10</v>
      </c>
      <c r="H1328" s="15" t="s">
        <v>10</v>
      </c>
      <c r="I1328" s="15" t="s">
        <v>10</v>
      </c>
      <c r="J1328" s="15" t="s">
        <v>10</v>
      </c>
      <c r="K1328" s="15">
        <v>1.1319748847539326</v>
      </c>
      <c r="L1328" s="15">
        <v>1.1319748847539326</v>
      </c>
      <c r="M1328" s="15" t="s">
        <v>10</v>
      </c>
      <c r="N1328" s="15" t="s">
        <v>10</v>
      </c>
      <c r="O1328" s="15" t="s">
        <v>10</v>
      </c>
      <c r="P1328" s="15" t="s">
        <v>10</v>
      </c>
      <c r="Q1328" s="8"/>
      <c r="R1328" s="9" t="s">
        <v>1323</v>
      </c>
    </row>
    <row r="1329" spans="1:18" x14ac:dyDescent="0.25">
      <c r="A1329" s="6" t="str">
        <f>HYPERLINK("proteomic_fractions_linear_files/Yang_linear_img/156447048.jpg", "156447048")</f>
        <v>156447048</v>
      </c>
      <c r="B1329" s="7"/>
      <c r="C1329" s="6" t="str">
        <f>HYPERLINK("http://www.ncbi.nlm.nih.gov/protein/156447048","Cnnm2")</f>
        <v>Cnnm2</v>
      </c>
      <c r="D1329" s="8"/>
      <c r="E1329" s="8">
        <v>94305</v>
      </c>
      <c r="F1329" s="8"/>
      <c r="G1329" s="15" t="s">
        <v>10</v>
      </c>
      <c r="H1329" s="15" t="s">
        <v>10</v>
      </c>
      <c r="I1329" s="15" t="s">
        <v>10</v>
      </c>
      <c r="J1329" s="15" t="s">
        <v>10</v>
      </c>
      <c r="K1329" s="15">
        <v>1.1681017427779943</v>
      </c>
      <c r="L1329" s="15">
        <v>1.1681017427779943</v>
      </c>
      <c r="M1329" s="15" t="s">
        <v>10</v>
      </c>
      <c r="N1329" s="15" t="s">
        <v>10</v>
      </c>
      <c r="O1329" s="15" t="s">
        <v>10</v>
      </c>
      <c r="P1329" s="15" t="s">
        <v>10</v>
      </c>
      <c r="Q1329" s="8"/>
      <c r="R1329" s="9" t="s">
        <v>1324</v>
      </c>
    </row>
    <row r="1330" spans="1:18" x14ac:dyDescent="0.25">
      <c r="A1330" s="6" t="str">
        <f>HYPERLINK("proteomic_fractions_linear_files/Yang_linear_img/88196782.jpg", "88196782")</f>
        <v>88196782</v>
      </c>
      <c r="B1330" s="7"/>
      <c r="C1330" s="6" t="str">
        <f>HYPERLINK("http://www.ncbi.nlm.nih.gov/protein/88196782","Cnnm3")</f>
        <v>Cnnm3</v>
      </c>
      <c r="D1330" s="8"/>
      <c r="E1330" s="8">
        <v>74641</v>
      </c>
      <c r="F1330" s="8"/>
      <c r="G1330" s="15" t="s">
        <v>10</v>
      </c>
      <c r="H1330" s="15" t="s">
        <v>10</v>
      </c>
      <c r="I1330" s="15" t="s">
        <v>10</v>
      </c>
      <c r="J1330" s="15" t="s">
        <v>10</v>
      </c>
      <c r="K1330" s="15">
        <v>0.97914880322242992</v>
      </c>
      <c r="L1330" s="15">
        <v>0.97914880322242992</v>
      </c>
      <c r="M1330" s="15" t="s">
        <v>10</v>
      </c>
      <c r="N1330" s="15" t="s">
        <v>10</v>
      </c>
      <c r="O1330" s="15" t="s">
        <v>10</v>
      </c>
      <c r="P1330" s="15" t="s">
        <v>10</v>
      </c>
      <c r="Q1330" s="8"/>
      <c r="R1330" s="9" t="s">
        <v>1325</v>
      </c>
    </row>
    <row r="1331" spans="1:18" x14ac:dyDescent="0.25">
      <c r="A1331" s="6" t="str">
        <f>HYPERLINK("proteomic_fractions_linear_files/Yang_linear_img/88196784.jpg", "88196784")</f>
        <v>88196784</v>
      </c>
      <c r="B1331" s="7"/>
      <c r="C1331" s="6" t="str">
        <f>HYPERLINK("http://www.ncbi.nlm.nih.gov/protein/88196784","Cnnm3")</f>
        <v>Cnnm3</v>
      </c>
      <c r="D1331" s="8"/>
      <c r="E1331" s="8">
        <v>74166</v>
      </c>
      <c r="F1331" s="8"/>
      <c r="G1331" s="15" t="s">
        <v>10</v>
      </c>
      <c r="H1331" s="15" t="s">
        <v>10</v>
      </c>
      <c r="I1331" s="15" t="s">
        <v>10</v>
      </c>
      <c r="J1331" s="15" t="s">
        <v>10</v>
      </c>
      <c r="K1331" s="15">
        <v>0.99238054380651686</v>
      </c>
      <c r="L1331" s="15">
        <v>0.99238054380651686</v>
      </c>
      <c r="M1331" s="15" t="s">
        <v>10</v>
      </c>
      <c r="N1331" s="15" t="s">
        <v>10</v>
      </c>
      <c r="O1331" s="15" t="s">
        <v>10</v>
      </c>
      <c r="P1331" s="15" t="s">
        <v>10</v>
      </c>
      <c r="Q1331" s="8"/>
      <c r="R1331" s="9" t="s">
        <v>1326</v>
      </c>
    </row>
    <row r="1332" spans="1:18" x14ac:dyDescent="0.25">
      <c r="A1332" s="6" t="str">
        <f>HYPERLINK("proteomic_fractions_linear_files/Yang_linear_img/189458844.jpg", "189458844")</f>
        <v>189458844</v>
      </c>
      <c r="B1332" s="7"/>
      <c r="C1332" s="6" t="str">
        <f>HYPERLINK("http://www.ncbi.nlm.nih.gov/protein/189458844","Cnot1")</f>
        <v>Cnot1</v>
      </c>
      <c r="D1332" s="8"/>
      <c r="E1332" s="8">
        <v>266219</v>
      </c>
      <c r="F1332" s="8"/>
      <c r="G1332" s="15">
        <v>0.87729641965356797</v>
      </c>
      <c r="H1332" s="15">
        <v>0.87729641965356797</v>
      </c>
      <c r="I1332" s="15">
        <v>0.87729641965356797</v>
      </c>
      <c r="J1332" s="15">
        <v>0.87729641965356797</v>
      </c>
      <c r="K1332" s="15">
        <v>1.1345237768289427</v>
      </c>
      <c r="L1332" s="15">
        <v>1.1345237768289427</v>
      </c>
      <c r="M1332" s="15">
        <v>1.1345237768289427</v>
      </c>
      <c r="N1332" s="15">
        <v>1.1345237768289427</v>
      </c>
      <c r="O1332" s="15">
        <v>0.87729641965356797</v>
      </c>
      <c r="P1332" s="15">
        <v>0.87729641965356797</v>
      </c>
      <c r="Q1332" s="8"/>
      <c r="R1332" s="9" t="s">
        <v>1327</v>
      </c>
    </row>
    <row r="1333" spans="1:18" x14ac:dyDescent="0.25">
      <c r="A1333" s="6" t="str">
        <f>HYPERLINK("proteomic_fractions_linear_files/Yang_linear_img/327315389.jpg", "327315389")</f>
        <v>327315389</v>
      </c>
      <c r="B1333" s="7"/>
      <c r="C1333" s="6" t="str">
        <f>HYPERLINK("http://www.ncbi.nlm.nih.gov/protein/327315389","Cnot1")</f>
        <v>Cnot1</v>
      </c>
      <c r="D1333" s="8"/>
      <c r="E1333" s="8">
        <v>260828</v>
      </c>
      <c r="F1333" s="8"/>
      <c r="G1333" s="15">
        <v>0.89410286447451748</v>
      </c>
      <c r="H1333" s="15">
        <v>0.89410286447451748</v>
      </c>
      <c r="I1333" s="15">
        <v>0.89410286447451748</v>
      </c>
      <c r="J1333" s="15">
        <v>0.89410286447451748</v>
      </c>
      <c r="K1333" s="15">
        <v>1.1562579487988458</v>
      </c>
      <c r="L1333" s="15">
        <v>1.1562579487988458</v>
      </c>
      <c r="M1333" s="15">
        <v>1.1562579487988458</v>
      </c>
      <c r="N1333" s="15">
        <v>1.1562579487988458</v>
      </c>
      <c r="O1333" s="15">
        <v>0.89410286447451748</v>
      </c>
      <c r="P1333" s="15">
        <v>0.89410286447451748</v>
      </c>
      <c r="Q1333" s="8"/>
      <c r="R1333" s="9" t="s">
        <v>1328</v>
      </c>
    </row>
    <row r="1334" spans="1:18" x14ac:dyDescent="0.25">
      <c r="A1334" s="6" t="str">
        <f>HYPERLINK("proteomic_fractions_linear_files/Yang_linear_img/327315392.jpg", "327315392")</f>
        <v>327315392</v>
      </c>
      <c r="B1334" s="7"/>
      <c r="C1334" s="6" t="str">
        <f>HYPERLINK("http://www.ncbi.nlm.nih.gov/protein/327315392","Cnot1")</f>
        <v>Cnot1</v>
      </c>
      <c r="D1334" s="8"/>
      <c r="E1334" s="8">
        <v>265990</v>
      </c>
      <c r="F1334" s="8"/>
      <c r="G1334" s="15">
        <v>0.87729641965356797</v>
      </c>
      <c r="H1334" s="15">
        <v>0.87729641965356797</v>
      </c>
      <c r="I1334" s="15">
        <v>0.87729641965356797</v>
      </c>
      <c r="J1334" s="15">
        <v>0.87729641965356797</v>
      </c>
      <c r="K1334" s="15">
        <v>1.1345237768289427</v>
      </c>
      <c r="L1334" s="15">
        <v>1.1345237768289427</v>
      </c>
      <c r="M1334" s="15">
        <v>1.1345237768289427</v>
      </c>
      <c r="N1334" s="15">
        <v>1.1345237768289427</v>
      </c>
      <c r="O1334" s="15">
        <v>0.87729641965356797</v>
      </c>
      <c r="P1334" s="15">
        <v>0.87729641965356797</v>
      </c>
      <c r="Q1334" s="8"/>
      <c r="R1334" s="9" t="s">
        <v>1329</v>
      </c>
    </row>
    <row r="1335" spans="1:18" x14ac:dyDescent="0.25">
      <c r="A1335" s="6" t="str">
        <f>HYPERLINK("proteomic_fractions_linear_files/Yang_linear_img/31324571.jpg", "31324571")</f>
        <v>31324571</v>
      </c>
      <c r="B1335" s="7"/>
      <c r="C1335" s="6" t="str">
        <f>HYPERLINK("http://www.ncbi.nlm.nih.gov/protein/31324571","Cnot10")</f>
        <v>Cnot10</v>
      </c>
      <c r="D1335" s="8"/>
      <c r="E1335" s="8">
        <v>81687</v>
      </c>
      <c r="F1335" s="8"/>
      <c r="G1335" s="15" t="s">
        <v>10</v>
      </c>
      <c r="H1335" s="15" t="s">
        <v>10</v>
      </c>
      <c r="I1335" s="15">
        <v>1.1581461119827379</v>
      </c>
      <c r="J1335" s="15">
        <v>1.1581461119827379</v>
      </c>
      <c r="K1335" s="15">
        <v>1.1581461119827379</v>
      </c>
      <c r="L1335" s="15">
        <v>1.1581461119827379</v>
      </c>
      <c r="M1335" s="15">
        <v>1.1581461119827379</v>
      </c>
      <c r="N1335" s="15">
        <v>1.1581461119827379</v>
      </c>
      <c r="O1335" s="15" t="s">
        <v>10</v>
      </c>
      <c r="P1335" s="15" t="s">
        <v>10</v>
      </c>
      <c r="Q1335" s="8"/>
      <c r="R1335" s="9" t="s">
        <v>1330</v>
      </c>
    </row>
    <row r="1336" spans="1:18" x14ac:dyDescent="0.25">
      <c r="A1336" s="6" t="str">
        <f>HYPERLINK("proteomic_fractions_linear_files/Yang_linear_img/26553441.jpg", "26553441")</f>
        <v>26553441</v>
      </c>
      <c r="B1336" s="7"/>
      <c r="C1336" s="6" t="str">
        <f>HYPERLINK("http://www.ncbi.nlm.nih.gov/protein/26553441","Cnot11")</f>
        <v>Cnot11</v>
      </c>
      <c r="D1336" s="8"/>
      <c r="E1336" s="8">
        <v>54828</v>
      </c>
      <c r="F1336" s="8"/>
      <c r="G1336" s="15" t="s">
        <v>10</v>
      </c>
      <c r="H1336" s="15" t="s">
        <v>10</v>
      </c>
      <c r="I1336" s="15">
        <v>0.87799955608027735</v>
      </c>
      <c r="J1336" s="15">
        <v>0.87799955608027735</v>
      </c>
      <c r="K1336" s="15">
        <v>0.87799955608027735</v>
      </c>
      <c r="L1336" s="15">
        <v>0.87799955608027735</v>
      </c>
      <c r="M1336" s="15">
        <v>0.87799955608027735</v>
      </c>
      <c r="N1336" s="15">
        <v>0.87799955608027735</v>
      </c>
      <c r="O1336" s="15" t="s">
        <v>10</v>
      </c>
      <c r="P1336" s="15" t="s">
        <v>10</v>
      </c>
      <c r="Q1336" s="8"/>
      <c r="R1336" s="9" t="s">
        <v>1331</v>
      </c>
    </row>
    <row r="1337" spans="1:18" x14ac:dyDescent="0.25">
      <c r="A1337" s="6" t="str">
        <f>HYPERLINK("proteomic_fractions_linear_files/Yang_linear_img/210147539.jpg", "210147539")</f>
        <v>210147539</v>
      </c>
      <c r="B1337" s="7"/>
      <c r="C1337" s="6" t="str">
        <f>HYPERLINK("http://www.ncbi.nlm.nih.gov/protein/210147539","Cnot2")</f>
        <v>Cnot2</v>
      </c>
      <c r="D1337" s="8"/>
      <c r="E1337" s="8">
        <v>60748</v>
      </c>
      <c r="F1337" s="8"/>
      <c r="G1337" s="15" t="s">
        <v>10</v>
      </c>
      <c r="H1337" s="15" t="s">
        <v>10</v>
      </c>
      <c r="I1337" s="15" t="s">
        <v>10</v>
      </c>
      <c r="J1337" s="15" t="s">
        <v>10</v>
      </c>
      <c r="K1337" s="15">
        <v>1.0730043168941694</v>
      </c>
      <c r="L1337" s="15">
        <v>1.0730043168941694</v>
      </c>
      <c r="M1337" s="15">
        <v>0.61215289218237035</v>
      </c>
      <c r="N1337" s="15">
        <v>0.61215289218237035</v>
      </c>
      <c r="O1337" s="15" t="s">
        <v>10</v>
      </c>
      <c r="P1337" s="15" t="s">
        <v>10</v>
      </c>
      <c r="Q1337" s="8"/>
      <c r="R1337" s="9" t="s">
        <v>1332</v>
      </c>
    </row>
    <row r="1338" spans="1:18" x14ac:dyDescent="0.25">
      <c r="A1338" s="6" t="str">
        <f>HYPERLINK("proteomic_fractions_linear_files/Yang_linear_img/210147541.jpg", "210147541")</f>
        <v>210147541</v>
      </c>
      <c r="B1338" s="7"/>
      <c r="C1338" s="6" t="str">
        <f>HYPERLINK("http://www.ncbi.nlm.nih.gov/protein/210147541","Cnot2")</f>
        <v>Cnot2</v>
      </c>
      <c r="D1338" s="8"/>
      <c r="E1338" s="8">
        <v>54790</v>
      </c>
      <c r="F1338" s="8"/>
      <c r="G1338" s="15" t="s">
        <v>10</v>
      </c>
      <c r="H1338" s="15" t="s">
        <v>10</v>
      </c>
      <c r="I1338" s="15" t="s">
        <v>10</v>
      </c>
      <c r="J1338" s="15" t="s">
        <v>10</v>
      </c>
      <c r="K1338" s="15">
        <v>1.1900593332826241</v>
      </c>
      <c r="L1338" s="15">
        <v>1.1900593332826241</v>
      </c>
      <c r="M1338" s="15">
        <v>0.67893320769317445</v>
      </c>
      <c r="N1338" s="15">
        <v>0.67893320769317445</v>
      </c>
      <c r="O1338" s="15" t="s">
        <v>10</v>
      </c>
      <c r="P1338" s="15" t="s">
        <v>10</v>
      </c>
      <c r="Q1338" s="8"/>
      <c r="R1338" s="9" t="s">
        <v>1333</v>
      </c>
    </row>
    <row r="1339" spans="1:18" x14ac:dyDescent="0.25">
      <c r="A1339" s="6" t="str">
        <f>HYPERLINK("proteomic_fractions_linear_files/Yang_linear_img/211065515.jpg", "211065515")</f>
        <v>211065515</v>
      </c>
      <c r="B1339" s="7"/>
      <c r="C1339" s="6" t="str">
        <f>HYPERLINK("http://www.ncbi.nlm.nih.gov/protein/211065515","Cnot2")</f>
        <v>Cnot2</v>
      </c>
      <c r="D1339" s="8"/>
      <c r="E1339" s="8">
        <v>59580</v>
      </c>
      <c r="F1339" s="8"/>
      <c r="G1339" s="15" t="s">
        <v>10</v>
      </c>
      <c r="H1339" s="15" t="s">
        <v>10</v>
      </c>
      <c r="I1339" s="15" t="s">
        <v>10</v>
      </c>
      <c r="J1339" s="15" t="s">
        <v>10</v>
      </c>
      <c r="K1339" s="15">
        <v>1.0908877221757389</v>
      </c>
      <c r="L1339" s="15">
        <v>1.0908877221757389</v>
      </c>
      <c r="M1339" s="15">
        <v>0.62235544038540991</v>
      </c>
      <c r="N1339" s="15">
        <v>0.62235544038540991</v>
      </c>
      <c r="O1339" s="15" t="s">
        <v>10</v>
      </c>
      <c r="P1339" s="15" t="s">
        <v>10</v>
      </c>
      <c r="Q1339" s="8"/>
      <c r="R1339" s="9" t="s">
        <v>1334</v>
      </c>
    </row>
    <row r="1340" spans="1:18" x14ac:dyDescent="0.25">
      <c r="A1340" s="6" t="str">
        <f>HYPERLINK("proteomic_fractions_linear_files/Yang_linear_img/22122717.jpg", "22122717")</f>
        <v>22122717</v>
      </c>
      <c r="B1340" s="7"/>
      <c r="C1340" s="6" t="str">
        <f>HYPERLINK("http://www.ncbi.nlm.nih.gov/protein/22122717","Cnot3")</f>
        <v>Cnot3</v>
      </c>
      <c r="D1340" s="8"/>
      <c r="E1340" s="8">
        <v>81815</v>
      </c>
      <c r="F1340" s="8"/>
      <c r="G1340" s="15" t="s">
        <v>10</v>
      </c>
      <c r="H1340" s="15" t="s">
        <v>10</v>
      </c>
      <c r="I1340" s="15" t="s">
        <v>10</v>
      </c>
      <c r="J1340" s="15" t="s">
        <v>10</v>
      </c>
      <c r="K1340" s="15">
        <v>1.5697759529892312</v>
      </c>
      <c r="L1340" s="15">
        <v>1.5697759529892312</v>
      </c>
      <c r="M1340" s="15" t="s">
        <v>10</v>
      </c>
      <c r="N1340" s="15" t="s">
        <v>10</v>
      </c>
      <c r="O1340" s="15" t="s">
        <v>10</v>
      </c>
      <c r="P1340" s="15" t="s">
        <v>10</v>
      </c>
      <c r="Q1340" s="8"/>
      <c r="R1340" s="9" t="s">
        <v>1335</v>
      </c>
    </row>
    <row r="1341" spans="1:18" x14ac:dyDescent="0.25">
      <c r="A1341" s="6" t="str">
        <f>HYPERLINK("proteomic_fractions_linear_files/Yang_linear_img/47059015.jpg", "47059015")</f>
        <v>47059015</v>
      </c>
      <c r="B1341" s="7"/>
      <c r="C1341" s="6" t="str">
        <f>HYPERLINK("http://www.ncbi.nlm.nih.gov/protein/47059015","Cnot6")</f>
        <v>Cnot6</v>
      </c>
      <c r="D1341" s="8"/>
      <c r="E1341" s="8">
        <v>62645</v>
      </c>
      <c r="F1341" s="8"/>
      <c r="G1341" s="15" t="s">
        <v>10</v>
      </c>
      <c r="H1341" s="15" t="s">
        <v>10</v>
      </c>
      <c r="I1341" s="15" t="s">
        <v>10</v>
      </c>
      <c r="J1341" s="15" t="s">
        <v>10</v>
      </c>
      <c r="K1341" s="15">
        <v>0.9329080569141881</v>
      </c>
      <c r="L1341" s="15">
        <v>0.9329080569141881</v>
      </c>
      <c r="M1341" s="15" t="s">
        <v>10</v>
      </c>
      <c r="N1341" s="15" t="s">
        <v>10</v>
      </c>
      <c r="O1341" s="15" t="s">
        <v>10</v>
      </c>
      <c r="P1341" s="15" t="s">
        <v>10</v>
      </c>
      <c r="Q1341" s="8"/>
      <c r="R1341" s="9" t="s">
        <v>1336</v>
      </c>
    </row>
    <row r="1342" spans="1:18" x14ac:dyDescent="0.25">
      <c r="A1342" s="6" t="str">
        <f>HYPERLINK("proteomic_fractions_linear_files/Yang_linear_img/121674807.jpg", "121674807")</f>
        <v>121674807</v>
      </c>
      <c r="B1342" s="7"/>
      <c r="C1342" s="6" t="str">
        <f>HYPERLINK("http://www.ncbi.nlm.nih.gov/protein/121674807","Cnot6l")</f>
        <v>Cnot6l</v>
      </c>
      <c r="D1342" s="8"/>
      <c r="E1342" s="8">
        <v>62892</v>
      </c>
      <c r="F1342" s="8"/>
      <c r="G1342" s="15" t="s">
        <v>10</v>
      </c>
      <c r="H1342" s="15" t="s">
        <v>10</v>
      </c>
      <c r="I1342" s="15" t="s">
        <v>10</v>
      </c>
      <c r="J1342" s="15" t="s">
        <v>10</v>
      </c>
      <c r="K1342" s="15">
        <v>1.038940687786418</v>
      </c>
      <c r="L1342" s="15">
        <v>1.038940687786418</v>
      </c>
      <c r="M1342" s="15" t="s">
        <v>10</v>
      </c>
      <c r="N1342" s="15" t="s">
        <v>10</v>
      </c>
      <c r="O1342" s="15" t="s">
        <v>10</v>
      </c>
      <c r="P1342" s="15" t="s">
        <v>10</v>
      </c>
      <c r="Q1342" s="8"/>
      <c r="R1342" s="9" t="s">
        <v>1337</v>
      </c>
    </row>
    <row r="1343" spans="1:18" x14ac:dyDescent="0.25">
      <c r="A1343" s="6" t="str">
        <f>HYPERLINK("proteomic_fractions_linear_files/Yang_linear_img/21450299.jpg", "21450299")</f>
        <v>21450299</v>
      </c>
      <c r="B1343" s="7"/>
      <c r="C1343" s="6" t="str">
        <f>HYPERLINK("http://www.ncbi.nlm.nih.gov/protein/21450299","Cnot6l")</f>
        <v>Cnot6l</v>
      </c>
      <c r="D1343" s="8"/>
      <c r="E1343" s="8">
        <v>62322</v>
      </c>
      <c r="F1343" s="8"/>
      <c r="G1343" s="15" t="s">
        <v>10</v>
      </c>
      <c r="H1343" s="15" t="s">
        <v>10</v>
      </c>
      <c r="I1343" s="15" t="s">
        <v>10</v>
      </c>
      <c r="J1343" s="15" t="s">
        <v>10</v>
      </c>
      <c r="K1343" s="15">
        <v>1.0556977956539408</v>
      </c>
      <c r="L1343" s="15">
        <v>1.0556977956539408</v>
      </c>
      <c r="M1343" s="15" t="s">
        <v>10</v>
      </c>
      <c r="N1343" s="15" t="s">
        <v>10</v>
      </c>
      <c r="O1343" s="15" t="s">
        <v>10</v>
      </c>
      <c r="P1343" s="15" t="s">
        <v>10</v>
      </c>
      <c r="Q1343" s="8"/>
      <c r="R1343" s="9" t="s">
        <v>1338</v>
      </c>
    </row>
    <row r="1344" spans="1:18" x14ac:dyDescent="0.25">
      <c r="A1344" s="6" t="str">
        <f>HYPERLINK("proteomic_fractions_linear_files/Yang_linear_img/408968125.jpg", "408968125")</f>
        <v>408968125</v>
      </c>
      <c r="B1344" s="7"/>
      <c r="C1344" s="6" t="str">
        <f>HYPERLINK("http://www.ncbi.nlm.nih.gov/protein/408968125","Cnot7")</f>
        <v>Cnot7</v>
      </c>
      <c r="D1344" s="8"/>
      <c r="E1344" s="8">
        <v>28531</v>
      </c>
      <c r="F1344" s="8"/>
      <c r="G1344" s="15">
        <v>0.90173303846293107</v>
      </c>
      <c r="H1344" s="15">
        <v>0.90173303846293107</v>
      </c>
      <c r="I1344" s="15">
        <v>0.96269694129938133</v>
      </c>
      <c r="J1344" s="15">
        <v>0.96269694129938133</v>
      </c>
      <c r="K1344" s="15">
        <v>0.96269694129938133</v>
      </c>
      <c r="L1344" s="15">
        <v>0.96269694129938133</v>
      </c>
      <c r="M1344" s="15">
        <v>0.96269694129938133</v>
      </c>
      <c r="N1344" s="15">
        <v>0.96269694129938133</v>
      </c>
      <c r="O1344" s="15" t="s">
        <v>10</v>
      </c>
      <c r="P1344" s="15" t="s">
        <v>10</v>
      </c>
      <c r="Q1344" s="8"/>
      <c r="R1344" s="9" t="s">
        <v>1339</v>
      </c>
    </row>
    <row r="1345" spans="1:18" x14ac:dyDescent="0.25">
      <c r="A1345" s="6" t="str">
        <f>HYPERLINK("proteomic_fractions_linear_files/Yang_linear_img/6755126.jpg", "6755126")</f>
        <v>6755126</v>
      </c>
      <c r="B1345" s="7"/>
      <c r="C1345" s="6" t="str">
        <f>HYPERLINK("http://www.ncbi.nlm.nih.gov/protein/6755126","Cnot7")</f>
        <v>Cnot7</v>
      </c>
      <c r="D1345" s="8"/>
      <c r="E1345" s="8">
        <v>32587</v>
      </c>
      <c r="F1345" s="8"/>
      <c r="G1345" s="15">
        <v>0.79243206410378786</v>
      </c>
      <c r="H1345" s="15">
        <v>0.79243206410378786</v>
      </c>
      <c r="I1345" s="15">
        <v>0.84600640296006246</v>
      </c>
      <c r="J1345" s="15">
        <v>0.84600640296006246</v>
      </c>
      <c r="K1345" s="15">
        <v>0.84600640296006246</v>
      </c>
      <c r="L1345" s="15">
        <v>0.84600640296006246</v>
      </c>
      <c r="M1345" s="15">
        <v>0.84600640296006246</v>
      </c>
      <c r="N1345" s="15">
        <v>0.84600640296006246</v>
      </c>
      <c r="O1345" s="15" t="s">
        <v>10</v>
      </c>
      <c r="P1345" s="15" t="s">
        <v>10</v>
      </c>
      <c r="Q1345" s="8"/>
      <c r="R1345" s="9" t="s">
        <v>1340</v>
      </c>
    </row>
    <row r="1346" spans="1:18" x14ac:dyDescent="0.25">
      <c r="A1346" s="6" t="str">
        <f>HYPERLINK("proteomic_fractions_linear_files/Yang_linear_img/13386186.jpg", "13386186")</f>
        <v>13386186</v>
      </c>
      <c r="B1346" s="7"/>
      <c r="C1346" s="6" t="str">
        <f>HYPERLINK("http://www.ncbi.nlm.nih.gov/protein/13386186","Cnot8")</f>
        <v>Cnot8</v>
      </c>
      <c r="D1346" s="8"/>
      <c r="E1346" s="8">
        <v>33443</v>
      </c>
      <c r="F1346" s="8"/>
      <c r="G1346" s="15" t="s">
        <v>10</v>
      </c>
      <c r="H1346" s="15" t="s">
        <v>10</v>
      </c>
      <c r="I1346" s="15" t="s">
        <v>10</v>
      </c>
      <c r="J1346" s="15" t="s">
        <v>10</v>
      </c>
      <c r="K1346" s="15">
        <v>0.84600640296006246</v>
      </c>
      <c r="L1346" s="15">
        <v>0.84600640296006246</v>
      </c>
      <c r="M1346" s="15">
        <v>0.79243206410378786</v>
      </c>
      <c r="N1346" s="15">
        <v>0.79243206410378786</v>
      </c>
      <c r="O1346" s="15" t="s">
        <v>10</v>
      </c>
      <c r="P1346" s="15" t="s">
        <v>10</v>
      </c>
      <c r="Q1346" s="8"/>
      <c r="R1346" s="9" t="s">
        <v>1341</v>
      </c>
    </row>
    <row r="1347" spans="1:18" x14ac:dyDescent="0.25">
      <c r="A1347" s="6" t="str">
        <f>HYPERLINK("proteomic_fractions_linear_files/Yang_linear_img/226423907.jpg", "226423907")</f>
        <v>226423907</v>
      </c>
      <c r="B1347" s="7"/>
      <c r="C1347" s="6" t="str">
        <f>HYPERLINK("http://www.ncbi.nlm.nih.gov/protein/226423907","Cnp")</f>
        <v>Cnp</v>
      </c>
      <c r="D1347" s="8"/>
      <c r="E1347" s="8">
        <v>46992</v>
      </c>
      <c r="F1347" s="8"/>
      <c r="G1347" s="15" t="s">
        <v>10</v>
      </c>
      <c r="H1347" s="15" t="s">
        <v>10</v>
      </c>
      <c r="I1347" s="15">
        <v>0.86185783411112227</v>
      </c>
      <c r="J1347" s="15">
        <v>0.86185783411112227</v>
      </c>
      <c r="K1347" s="15">
        <v>0.93884232440352056</v>
      </c>
      <c r="L1347" s="15">
        <v>0.93884232440352056</v>
      </c>
      <c r="M1347" s="15" t="s">
        <v>10</v>
      </c>
      <c r="N1347" s="15" t="s">
        <v>10</v>
      </c>
      <c r="O1347" s="15" t="s">
        <v>10</v>
      </c>
      <c r="P1347" s="15" t="s">
        <v>10</v>
      </c>
      <c r="Q1347" s="8"/>
      <c r="R1347" s="9" t="s">
        <v>1342</v>
      </c>
    </row>
    <row r="1348" spans="1:18" x14ac:dyDescent="0.25">
      <c r="A1348" s="6" t="str">
        <f>HYPERLINK("proteomic_fractions_linear_files/Yang_linear_img/226423909.jpg", "226423909")</f>
        <v>226423909</v>
      </c>
      <c r="B1348" s="7"/>
      <c r="C1348" s="6" t="str">
        <f>HYPERLINK("http://www.ncbi.nlm.nih.gov/protein/226423909","Cnp")</f>
        <v>Cnp</v>
      </c>
      <c r="D1348" s="8"/>
      <c r="E1348" s="8">
        <v>44523</v>
      </c>
      <c r="F1348" s="8"/>
      <c r="G1348" s="15" t="s">
        <v>10</v>
      </c>
      <c r="H1348" s="15" t="s">
        <v>10</v>
      </c>
      <c r="I1348" s="15">
        <v>0.90016262673828318</v>
      </c>
      <c r="J1348" s="15">
        <v>0.90016262673828318</v>
      </c>
      <c r="K1348" s="15">
        <v>0.98056864993256598</v>
      </c>
      <c r="L1348" s="15">
        <v>0.98056864993256598</v>
      </c>
      <c r="M1348" s="15" t="s">
        <v>10</v>
      </c>
      <c r="N1348" s="15" t="s">
        <v>10</v>
      </c>
      <c r="O1348" s="15" t="s">
        <v>10</v>
      </c>
      <c r="P1348" s="15" t="s">
        <v>10</v>
      </c>
      <c r="Q1348" s="8"/>
      <c r="R1348" s="9" t="s">
        <v>1343</v>
      </c>
    </row>
    <row r="1349" spans="1:18" x14ac:dyDescent="0.25">
      <c r="A1349" s="6" t="str">
        <f>HYPERLINK("proteomic_fractions_linear_files/Yang_linear_img/9903607.jpg", "9903607")</f>
        <v>9903607</v>
      </c>
      <c r="B1349" s="7"/>
      <c r="C1349" s="6" t="str">
        <f>HYPERLINK("http://www.ncbi.nlm.nih.gov/protein/9903607","Cnpy2")</f>
        <v>Cnpy2</v>
      </c>
      <c r="D1349" s="8"/>
      <c r="E1349" s="8">
        <v>18629</v>
      </c>
      <c r="F1349" s="8"/>
      <c r="G1349" s="15">
        <v>1.2923589796461534</v>
      </c>
      <c r="H1349" s="15">
        <v>1.2923589796461534</v>
      </c>
      <c r="I1349" s="15">
        <v>0.92473367186099831</v>
      </c>
      <c r="J1349" s="15">
        <v>0.92473367186099831</v>
      </c>
      <c r="K1349" s="15">
        <v>0.92473367186099831</v>
      </c>
      <c r="L1349" s="15">
        <v>0.92473367186099831</v>
      </c>
      <c r="M1349" s="15" t="s">
        <v>10</v>
      </c>
      <c r="N1349" s="15" t="s">
        <v>10</v>
      </c>
      <c r="O1349" s="15">
        <v>0.92473367186099831</v>
      </c>
      <c r="P1349" s="15">
        <v>0.92473367186099831</v>
      </c>
      <c r="Q1349" s="8"/>
      <c r="R1349" s="9" t="s">
        <v>1344</v>
      </c>
    </row>
    <row r="1350" spans="1:18" x14ac:dyDescent="0.25">
      <c r="A1350" s="6" t="str">
        <f>HYPERLINK("proteomic_fractions_linear_files/Yang_linear_img/21312510.jpg", "21312510")</f>
        <v>21312510</v>
      </c>
      <c r="B1350" s="7"/>
      <c r="C1350" s="6" t="str">
        <f>HYPERLINK("http://www.ncbi.nlm.nih.gov/protein/21312510","Cnpy3")</f>
        <v>Cnpy3</v>
      </c>
      <c r="D1350" s="8"/>
      <c r="E1350" s="8">
        <v>27619</v>
      </c>
      <c r="F1350" s="8"/>
      <c r="G1350" s="15">
        <v>1.5759139016773382</v>
      </c>
      <c r="H1350" s="15">
        <v>1.5759139016773382</v>
      </c>
      <c r="I1350" s="15">
        <v>1.1458597448476282</v>
      </c>
      <c r="J1350" s="15">
        <v>1.1458597448476282</v>
      </c>
      <c r="K1350" s="15" t="s">
        <v>10</v>
      </c>
      <c r="L1350" s="15" t="s">
        <v>10</v>
      </c>
      <c r="M1350" s="15" t="s">
        <v>10</v>
      </c>
      <c r="N1350" s="15" t="s">
        <v>10</v>
      </c>
      <c r="O1350" s="15" t="s">
        <v>10</v>
      </c>
      <c r="P1350" s="15" t="s">
        <v>10</v>
      </c>
      <c r="Q1350" s="8"/>
      <c r="R1350" s="9" t="s">
        <v>1345</v>
      </c>
    </row>
    <row r="1351" spans="1:18" x14ac:dyDescent="0.25">
      <c r="A1351" s="6" t="str">
        <f>HYPERLINK("proteomic_fractions_linear_files/Yang_linear_img/30519939.jpg", "30519939")</f>
        <v>30519939</v>
      </c>
      <c r="B1351" s="7"/>
      <c r="C1351" s="6" t="str">
        <f>HYPERLINK("http://www.ncbi.nlm.nih.gov/protein/30519939","Cnpy4")</f>
        <v>Cnpy4</v>
      </c>
      <c r="D1351" s="8"/>
      <c r="E1351" s="8">
        <v>25086</v>
      </c>
      <c r="F1351" s="8"/>
      <c r="G1351" s="15">
        <v>1.4936530569249837</v>
      </c>
      <c r="H1351" s="15">
        <v>1.4936530569249837</v>
      </c>
      <c r="I1351" s="15">
        <v>1.0460103246170001</v>
      </c>
      <c r="J1351" s="15">
        <v>1.0460103246170001</v>
      </c>
      <c r="K1351" s="15">
        <v>1.1167284519072824</v>
      </c>
      <c r="L1351" s="15">
        <v>1.1167284519072824</v>
      </c>
      <c r="M1351" s="15" t="s">
        <v>10</v>
      </c>
      <c r="N1351" s="15" t="s">
        <v>10</v>
      </c>
      <c r="O1351" s="15">
        <v>0.9821928245310767</v>
      </c>
      <c r="P1351" s="15">
        <v>0.9821928245310767</v>
      </c>
      <c r="Q1351" s="8"/>
      <c r="R1351" s="9" t="s">
        <v>1346</v>
      </c>
    </row>
    <row r="1352" spans="1:18" x14ac:dyDescent="0.25">
      <c r="A1352" s="6" t="str">
        <f>HYPERLINK("proteomic_fractions_linear_files/Yang_linear_img/21311867.jpg", "21311867")</f>
        <v>21311867</v>
      </c>
      <c r="B1352" s="7"/>
      <c r="C1352" s="6" t="str">
        <f>HYPERLINK("http://www.ncbi.nlm.nih.gov/protein/21311867","Coa3")</f>
        <v>Coa3</v>
      </c>
      <c r="D1352" s="8"/>
      <c r="E1352" s="8">
        <v>11856</v>
      </c>
      <c r="F1352" s="8"/>
      <c r="G1352" s="15">
        <v>1.716453432221356</v>
      </c>
      <c r="H1352" s="15">
        <v>1.716453432221356</v>
      </c>
      <c r="I1352" s="15">
        <v>1.1571542083280542</v>
      </c>
      <c r="J1352" s="15">
        <v>1.1571542083280542</v>
      </c>
      <c r="K1352" s="15">
        <v>1.209789476822529</v>
      </c>
      <c r="L1352" s="15">
        <v>1.209789476822529</v>
      </c>
      <c r="M1352" s="15" t="s">
        <v>10</v>
      </c>
      <c r="N1352" s="15" t="s">
        <v>10</v>
      </c>
      <c r="O1352" s="15" t="s">
        <v>10</v>
      </c>
      <c r="P1352" s="15" t="s">
        <v>10</v>
      </c>
      <c r="Q1352" s="8"/>
      <c r="R1352" s="9" t="s">
        <v>1347</v>
      </c>
    </row>
    <row r="1353" spans="1:18" x14ac:dyDescent="0.25">
      <c r="A1353" s="6" t="str">
        <f>HYPERLINK("proteomic_fractions_linear_files/Yang_linear_img/30424683.jpg", "30424683")</f>
        <v>30424683</v>
      </c>
      <c r="B1353" s="7"/>
      <c r="C1353" s="6" t="str">
        <f>HYPERLINK("http://www.ncbi.nlm.nih.gov/protein/30424683","Coa6")</f>
        <v>Coa6</v>
      </c>
      <c r="D1353" s="8"/>
      <c r="E1353" s="8">
        <v>9167</v>
      </c>
      <c r="F1353" s="8"/>
      <c r="G1353" s="15">
        <v>1.3592068102590398</v>
      </c>
      <c r="H1353" s="15">
        <v>1.3592068102590398</v>
      </c>
      <c r="I1353" s="15">
        <v>1.4163577046597362</v>
      </c>
      <c r="J1353" s="15">
        <v>1.4163577046597362</v>
      </c>
      <c r="K1353" s="15" t="s">
        <v>10</v>
      </c>
      <c r="L1353" s="15" t="s">
        <v>10</v>
      </c>
      <c r="M1353" s="15" t="s">
        <v>10</v>
      </c>
      <c r="N1353" s="15" t="s">
        <v>10</v>
      </c>
      <c r="O1353" s="15">
        <v>1.3592068102590398</v>
      </c>
      <c r="P1353" s="15">
        <v>1.3592068102590398</v>
      </c>
      <c r="Q1353" s="8"/>
      <c r="R1353" s="9" t="s">
        <v>1348</v>
      </c>
    </row>
    <row r="1354" spans="1:18" x14ac:dyDescent="0.25">
      <c r="A1354" s="6" t="str">
        <f>HYPERLINK("proteomic_fractions_linear_files/Yang_linear_img/27229125.jpg", "27229125")</f>
        <v>27229125</v>
      </c>
      <c r="B1354" s="7"/>
      <c r="C1354" s="6" t="str">
        <f>HYPERLINK("http://www.ncbi.nlm.nih.gov/protein/27229125","Coasy")</f>
        <v>Coasy</v>
      </c>
      <c r="D1354" s="8"/>
      <c r="E1354" s="8">
        <v>60067</v>
      </c>
      <c r="F1354" s="8"/>
      <c r="G1354" s="15" t="s">
        <v>10</v>
      </c>
      <c r="H1354" s="15" t="s">
        <v>10</v>
      </c>
      <c r="I1354" s="15">
        <v>0.97955345975989749</v>
      </c>
      <c r="J1354" s="15">
        <v>0.97955345975989749</v>
      </c>
      <c r="K1354" s="15">
        <v>1.0908877221757389</v>
      </c>
      <c r="L1354" s="15">
        <v>1.0908877221757389</v>
      </c>
      <c r="M1354" s="15">
        <v>0.97955345975989749</v>
      </c>
      <c r="N1354" s="15">
        <v>0.97955345975989749</v>
      </c>
      <c r="O1354" s="15">
        <v>0.97955345975989749</v>
      </c>
      <c r="P1354" s="15">
        <v>0.97955345975989749</v>
      </c>
      <c r="Q1354" s="8"/>
      <c r="R1354" s="9" t="s">
        <v>1349</v>
      </c>
    </row>
    <row r="1355" spans="1:18" x14ac:dyDescent="0.25">
      <c r="A1355" s="6" t="str">
        <f>HYPERLINK("proteomic_fractions_linear_files/Yang_linear_img/162135966.jpg", "162135966")</f>
        <v>162135966</v>
      </c>
      <c r="B1355" s="7"/>
      <c r="C1355" s="6" t="str">
        <f>HYPERLINK("http://www.ncbi.nlm.nih.gov/protein/162135966","Cobl")</f>
        <v>Cobl</v>
      </c>
      <c r="D1355" s="8"/>
      <c r="E1355" s="8">
        <v>143734</v>
      </c>
      <c r="F1355" s="8"/>
      <c r="G1355" s="15" t="s">
        <v>10</v>
      </c>
      <c r="H1355" s="15" t="s">
        <v>10</v>
      </c>
      <c r="I1355" s="15" t="s">
        <v>10</v>
      </c>
      <c r="J1355" s="15" t="s">
        <v>10</v>
      </c>
      <c r="K1355" s="15">
        <v>1.6205614418600629</v>
      </c>
      <c r="L1355" s="15">
        <v>1.6205614418600629</v>
      </c>
      <c r="M1355" s="15" t="s">
        <v>10</v>
      </c>
      <c r="N1355" s="15" t="s">
        <v>10</v>
      </c>
      <c r="O1355" s="15" t="s">
        <v>10</v>
      </c>
      <c r="P1355" s="15" t="s">
        <v>10</v>
      </c>
      <c r="Q1355" s="8"/>
      <c r="R1355" s="9" t="s">
        <v>1350</v>
      </c>
    </row>
    <row r="1356" spans="1:18" x14ac:dyDescent="0.25">
      <c r="A1356" s="6" t="str">
        <f>HYPERLINK("proteomic_fractions_linear_files/Yang_linear_img/189458847.jpg", "189458847")</f>
        <v>189458847</v>
      </c>
      <c r="B1356" s="7"/>
      <c r="C1356" s="6" t="str">
        <f>HYPERLINK("http://www.ncbi.nlm.nih.gov/protein/189458847","Cobll1")</f>
        <v>Cobll1</v>
      </c>
      <c r="D1356" s="8"/>
      <c r="E1356" s="8">
        <v>129478</v>
      </c>
      <c r="F1356" s="8"/>
      <c r="G1356" s="15" t="s">
        <v>10</v>
      </c>
      <c r="H1356" s="15" t="s">
        <v>10</v>
      </c>
      <c r="I1356" s="15">
        <v>0.64417564707863451</v>
      </c>
      <c r="J1356" s="15">
        <v>0.64417564707863451</v>
      </c>
      <c r="K1356" s="15">
        <v>1.8089988188205355</v>
      </c>
      <c r="L1356" s="15">
        <v>1.8089988188205355</v>
      </c>
      <c r="M1356" s="15">
        <v>0.99784207864431762</v>
      </c>
      <c r="N1356" s="15">
        <v>0.99784207864431762</v>
      </c>
      <c r="O1356" s="15">
        <v>0.99784207864431762</v>
      </c>
      <c r="P1356" s="15">
        <v>0.50738963822127392</v>
      </c>
      <c r="Q1356" s="8"/>
      <c r="R1356" s="9" t="s">
        <v>1351</v>
      </c>
    </row>
    <row r="1357" spans="1:18" x14ac:dyDescent="0.25">
      <c r="A1357" s="6" t="str">
        <f>HYPERLINK("proteomic_fractions_linear_files/Yang_linear_img/32441279.jpg", "32441279")</f>
        <v>32441279</v>
      </c>
      <c r="B1357" s="7"/>
      <c r="C1357" s="6" t="str">
        <f>HYPERLINK("http://www.ncbi.nlm.nih.gov/protein/32441279","Cobll1")</f>
        <v>Cobll1</v>
      </c>
      <c r="D1357" s="8"/>
      <c r="E1357" s="8">
        <v>133144</v>
      </c>
      <c r="F1357" s="8"/>
      <c r="G1357" s="15" t="s">
        <v>10</v>
      </c>
      <c r="H1357" s="15" t="s">
        <v>10</v>
      </c>
      <c r="I1357" s="15">
        <v>0.62480194340709672</v>
      </c>
      <c r="J1357" s="15">
        <v>0.62480194340709672</v>
      </c>
      <c r="K1357" s="15">
        <v>1.7545928393071359</v>
      </c>
      <c r="L1357" s="15">
        <v>1.7545928393071359</v>
      </c>
      <c r="M1357" s="15">
        <v>0.96783179056478919</v>
      </c>
      <c r="N1357" s="15">
        <v>0.96783179056478919</v>
      </c>
      <c r="O1357" s="15">
        <v>0.96783179056478919</v>
      </c>
      <c r="P1357" s="15">
        <v>0.49212979947777691</v>
      </c>
      <c r="Q1357" s="8"/>
      <c r="R1357" s="9" t="s">
        <v>1352</v>
      </c>
    </row>
    <row r="1358" spans="1:18" x14ac:dyDescent="0.25">
      <c r="A1358" s="6" t="str">
        <f>HYPERLINK("proteomic_fractions_linear_files/Yang_linear_img/159110754.jpg", "159110754")</f>
        <v>159110754</v>
      </c>
      <c r="B1358" s="7"/>
      <c r="C1358" s="6" t="str">
        <f>HYPERLINK("http://www.ncbi.nlm.nih.gov/protein/159110754","Cog1")</f>
        <v>Cog1</v>
      </c>
      <c r="D1358" s="8"/>
      <c r="E1358" s="8">
        <v>108920</v>
      </c>
      <c r="F1358" s="8"/>
      <c r="G1358" s="15" t="s">
        <v>10</v>
      </c>
      <c r="H1358" s="15" t="s">
        <v>10</v>
      </c>
      <c r="I1358" s="15">
        <v>1.0073537965241419</v>
      </c>
      <c r="J1358" s="15">
        <v>1.0073537965241419</v>
      </c>
      <c r="K1358" s="15">
        <v>1.1809323683038253</v>
      </c>
      <c r="L1358" s="15">
        <v>1.1809323683038253</v>
      </c>
      <c r="M1358" s="15">
        <v>1.0073537965241419</v>
      </c>
      <c r="N1358" s="15">
        <v>1.0073537965241419</v>
      </c>
      <c r="O1358" s="15" t="s">
        <v>10</v>
      </c>
      <c r="P1358" s="15" t="s">
        <v>10</v>
      </c>
      <c r="Q1358" s="8"/>
      <c r="R1358" s="9" t="s">
        <v>1353</v>
      </c>
    </row>
    <row r="1359" spans="1:18" x14ac:dyDescent="0.25">
      <c r="A1359" s="6" t="str">
        <f>HYPERLINK("proteomic_fractions_linear_files/Yang_linear_img/256985208.jpg", "256985208")</f>
        <v>256985208</v>
      </c>
      <c r="B1359" s="7"/>
      <c r="C1359" s="6" t="str">
        <f>HYPERLINK("http://www.ncbi.nlm.nih.gov/protein/256985208","Cog2")</f>
        <v>Cog2</v>
      </c>
      <c r="D1359" s="8"/>
      <c r="E1359" s="8">
        <v>81909</v>
      </c>
      <c r="F1359" s="8"/>
      <c r="G1359" s="15" t="s">
        <v>10</v>
      </c>
      <c r="H1359" s="15" t="s">
        <v>10</v>
      </c>
      <c r="I1359" s="15">
        <v>1.0133982740627299</v>
      </c>
      <c r="J1359" s="15">
        <v>1.0133982740627299</v>
      </c>
      <c r="K1359" s="15">
        <v>1.1581461119827379</v>
      </c>
      <c r="L1359" s="15">
        <v>1.1581461119827379</v>
      </c>
      <c r="M1359" s="15">
        <v>1.0133982740627299</v>
      </c>
      <c r="N1359" s="15">
        <v>1.0133982740627299</v>
      </c>
      <c r="O1359" s="15">
        <v>1.0133982740627299</v>
      </c>
      <c r="P1359" s="15">
        <v>1.0133982740627299</v>
      </c>
      <c r="Q1359" s="8"/>
      <c r="R1359" s="9" t="s">
        <v>1354</v>
      </c>
    </row>
    <row r="1360" spans="1:18" x14ac:dyDescent="0.25">
      <c r="A1360" s="6" t="str">
        <f>HYPERLINK("proteomic_fractions_linear_files/Yang_linear_img/119392070.jpg", "119392070")</f>
        <v>119392070</v>
      </c>
      <c r="B1360" s="7"/>
      <c r="C1360" s="6" t="str">
        <f>HYPERLINK("http://www.ncbi.nlm.nih.gov/protein/119392070","Cog3")</f>
        <v>Cog3</v>
      </c>
      <c r="D1360" s="8"/>
      <c r="E1360" s="8">
        <v>94014</v>
      </c>
      <c r="F1360" s="8"/>
      <c r="G1360" s="15" t="s">
        <v>10</v>
      </c>
      <c r="H1360" s="15" t="s">
        <v>10</v>
      </c>
      <c r="I1360" s="15">
        <v>1.0102976721551544</v>
      </c>
      <c r="J1360" s="15">
        <v>1.0102976721551544</v>
      </c>
      <c r="K1360" s="15" t="s">
        <v>10</v>
      </c>
      <c r="L1360" s="15" t="s">
        <v>10</v>
      </c>
      <c r="M1360" s="15">
        <v>1.0102976721551544</v>
      </c>
      <c r="N1360" s="15">
        <v>1.0102976721551544</v>
      </c>
      <c r="O1360" s="15">
        <v>1.0102976721551544</v>
      </c>
      <c r="P1360" s="15">
        <v>1.0102976721551544</v>
      </c>
      <c r="Q1360" s="8"/>
      <c r="R1360" s="9" t="s">
        <v>1355</v>
      </c>
    </row>
    <row r="1361" spans="1:18" x14ac:dyDescent="0.25">
      <c r="A1361" s="6" t="str">
        <f>HYPERLINK("proteomic_fractions_linear_files/Yang_linear_img/19527194.jpg", "19527194")</f>
        <v>19527194</v>
      </c>
      <c r="B1361" s="7"/>
      <c r="C1361" s="6" t="str">
        <f>HYPERLINK("http://www.ncbi.nlm.nih.gov/protein/19527194","Cog4")</f>
        <v>Cog4</v>
      </c>
      <c r="D1361" s="8"/>
      <c r="E1361" s="8">
        <v>88530</v>
      </c>
      <c r="F1361" s="8"/>
      <c r="G1361" s="15" t="s">
        <v>10</v>
      </c>
      <c r="H1361" s="15" t="s">
        <v>10</v>
      </c>
      <c r="I1361" s="15">
        <v>1.0670559683436462</v>
      </c>
      <c r="J1361" s="15">
        <v>1.0670559683436462</v>
      </c>
      <c r="K1361" s="15">
        <v>0.29382312489241574</v>
      </c>
      <c r="L1361" s="15">
        <v>0.29382312489241574</v>
      </c>
      <c r="M1361" s="15">
        <v>1.0670559683436462</v>
      </c>
      <c r="N1361" s="15">
        <v>1.0670559683436462</v>
      </c>
      <c r="O1361" s="15">
        <v>0.93369279183307707</v>
      </c>
      <c r="P1361" s="15">
        <v>0.93369279183307707</v>
      </c>
      <c r="Q1361" s="8"/>
      <c r="R1361" s="9" t="s">
        <v>1356</v>
      </c>
    </row>
    <row r="1362" spans="1:18" x14ac:dyDescent="0.25">
      <c r="A1362" s="6" t="str">
        <f>HYPERLINK("proteomic_fractions_linear_files/Yang_linear_img/253314464.jpg", "253314464")</f>
        <v>253314464</v>
      </c>
      <c r="B1362" s="7"/>
      <c r="C1362" s="6" t="str">
        <f>HYPERLINK("http://www.ncbi.nlm.nih.gov/protein/253314464","Cog5")</f>
        <v>Cog5</v>
      </c>
      <c r="D1362" s="8"/>
      <c r="E1362" s="8">
        <v>91261</v>
      </c>
      <c r="F1362" s="8"/>
      <c r="G1362" s="15">
        <v>0.58374252340660526</v>
      </c>
      <c r="H1362" s="15">
        <v>0.58374252340660526</v>
      </c>
      <c r="I1362" s="15">
        <v>1.0436041888196099</v>
      </c>
      <c r="J1362" s="15">
        <v>1.0436041888196099</v>
      </c>
      <c r="K1362" s="15">
        <v>0.44513536487057964</v>
      </c>
      <c r="L1362" s="15">
        <v>0.44513536487057964</v>
      </c>
      <c r="M1362" s="15">
        <v>1.0436041888196099</v>
      </c>
      <c r="N1362" s="15">
        <v>1.0436041888196099</v>
      </c>
      <c r="O1362" s="15">
        <v>1.0436041888196099</v>
      </c>
      <c r="P1362" s="15">
        <v>1.0436041888196099</v>
      </c>
      <c r="Q1362" s="8"/>
      <c r="R1362" s="9" t="s">
        <v>1357</v>
      </c>
    </row>
    <row r="1363" spans="1:18" x14ac:dyDescent="0.25">
      <c r="A1363" s="6" t="str">
        <f>HYPERLINK("proteomic_fractions_linear_files/Yang_linear_img/160333744.jpg", "160333744")</f>
        <v>160333744</v>
      </c>
      <c r="B1363" s="7"/>
      <c r="C1363" s="6" t="str">
        <f>HYPERLINK("http://www.ncbi.nlm.nih.gov/protein/160333744","Cog6")</f>
        <v>Cog6</v>
      </c>
      <c r="D1363" s="8"/>
      <c r="E1363" s="8">
        <v>72882</v>
      </c>
      <c r="F1363" s="8"/>
      <c r="G1363" s="15" t="s">
        <v>10</v>
      </c>
      <c r="H1363" s="15" t="s">
        <v>10</v>
      </c>
      <c r="I1363" s="15">
        <v>1.0059747978312636</v>
      </c>
      <c r="J1363" s="15">
        <v>1.0059747978312636</v>
      </c>
      <c r="K1363" s="15">
        <v>1.0059747978312636</v>
      </c>
      <c r="L1363" s="15">
        <v>1.0059747978312636</v>
      </c>
      <c r="M1363" s="15">
        <v>1.0059747978312636</v>
      </c>
      <c r="N1363" s="15">
        <v>1.0059747978312636</v>
      </c>
      <c r="O1363" s="15">
        <v>1.0059747978312636</v>
      </c>
      <c r="P1363" s="15">
        <v>1.0059747978312636</v>
      </c>
      <c r="Q1363" s="8"/>
      <c r="R1363" s="9" t="s">
        <v>1358</v>
      </c>
    </row>
    <row r="1364" spans="1:18" x14ac:dyDescent="0.25">
      <c r="A1364" s="6" t="str">
        <f>HYPERLINK("proteomic_fractions_linear_files/Yang_linear_img/110625631.jpg", "110625631")</f>
        <v>110625631</v>
      </c>
      <c r="B1364" s="7"/>
      <c r="C1364" s="6" t="str">
        <f>HYPERLINK("http://www.ncbi.nlm.nih.gov/protein/110625631","Cog7")</f>
        <v>Cog7</v>
      </c>
      <c r="D1364" s="8"/>
      <c r="E1364" s="8">
        <v>85944</v>
      </c>
      <c r="F1364" s="8"/>
      <c r="G1364" s="15" t="s">
        <v>10</v>
      </c>
      <c r="H1364" s="15" t="s">
        <v>10</v>
      </c>
      <c r="I1364" s="15">
        <v>0.96626347061795181</v>
      </c>
      <c r="J1364" s="15">
        <v>0.96626347061795181</v>
      </c>
      <c r="K1364" s="15">
        <v>1.104278850960285</v>
      </c>
      <c r="L1364" s="15">
        <v>1.104278850960285</v>
      </c>
      <c r="M1364" s="15">
        <v>0.96626347061795181</v>
      </c>
      <c r="N1364" s="15">
        <v>0.96626347061795181</v>
      </c>
      <c r="O1364" s="15">
        <v>0.96626347061795181</v>
      </c>
      <c r="P1364" s="15">
        <v>0.96626347061795181</v>
      </c>
      <c r="Q1364" s="8"/>
      <c r="R1364" s="9" t="s">
        <v>1359</v>
      </c>
    </row>
    <row r="1365" spans="1:18" x14ac:dyDescent="0.25">
      <c r="A1365" s="6" t="str">
        <f>HYPERLINK("proteomic_fractions_linear_files/Yang_linear_img/66392581.jpg", "66392581")</f>
        <v>66392581</v>
      </c>
      <c r="B1365" s="7"/>
      <c r="C1365" s="6" t="str">
        <f>HYPERLINK("http://www.ncbi.nlm.nih.gov/protein/66392581","Cog8")</f>
        <v>Cog8</v>
      </c>
      <c r="D1365" s="8"/>
      <c r="E1365" s="8">
        <v>71471</v>
      </c>
      <c r="F1365" s="8"/>
      <c r="G1365" s="15" t="s">
        <v>10</v>
      </c>
      <c r="H1365" s="15" t="s">
        <v>10</v>
      </c>
      <c r="I1365" s="15" t="s">
        <v>10</v>
      </c>
      <c r="J1365" s="15" t="s">
        <v>10</v>
      </c>
      <c r="K1365" s="15" t="s">
        <v>10</v>
      </c>
      <c r="L1365" s="15" t="s">
        <v>10</v>
      </c>
      <c r="M1365" s="15">
        <v>1.1704036404668148</v>
      </c>
      <c r="N1365" s="15">
        <v>1.1704036404668148</v>
      </c>
      <c r="O1365" s="15" t="s">
        <v>10</v>
      </c>
      <c r="P1365" s="15" t="s">
        <v>10</v>
      </c>
      <c r="Q1365" s="8"/>
      <c r="R1365" s="9" t="s">
        <v>1360</v>
      </c>
    </row>
    <row r="1366" spans="1:18" x14ac:dyDescent="0.25">
      <c r="A1366" s="6" t="str">
        <f>HYPERLINK("proteomic_fractions_linear_files/Yang_linear_img/134053929.jpg", "134053929")</f>
        <v>134053929</v>
      </c>
      <c r="B1366" s="7"/>
      <c r="C1366" s="6" t="str">
        <f>HYPERLINK("http://www.ncbi.nlm.nih.gov/protein/134053929","Coil")</f>
        <v>Coil</v>
      </c>
      <c r="D1366" s="8"/>
      <c r="E1366" s="8">
        <v>62132</v>
      </c>
      <c r="F1366" s="8"/>
      <c r="G1366" s="15" t="s">
        <v>10</v>
      </c>
      <c r="H1366" s="15" t="s">
        <v>10</v>
      </c>
      <c r="I1366" s="15" t="s">
        <v>10</v>
      </c>
      <c r="J1366" s="15" t="s">
        <v>10</v>
      </c>
      <c r="K1366" s="15">
        <v>1.3403009431152235</v>
      </c>
      <c r="L1366" s="15">
        <v>1.3403009431152235</v>
      </c>
      <c r="M1366" s="15" t="s">
        <v>10</v>
      </c>
      <c r="N1366" s="15" t="s">
        <v>10</v>
      </c>
      <c r="O1366" s="15" t="s">
        <v>10</v>
      </c>
      <c r="P1366" s="15" t="s">
        <v>10</v>
      </c>
      <c r="Q1366" s="8"/>
      <c r="R1366" s="9" t="s">
        <v>1361</v>
      </c>
    </row>
    <row r="1367" spans="1:18" x14ac:dyDescent="0.25">
      <c r="A1367" s="6" t="str">
        <f>HYPERLINK("proteomic_fractions_linear_files/Yang_linear_img/158508560.jpg", "158508560")</f>
        <v>158508560</v>
      </c>
      <c r="B1367" s="7"/>
      <c r="C1367" s="6" t="str">
        <f>HYPERLINK("http://www.ncbi.nlm.nih.gov/protein/158508560","Col18a1")</f>
        <v>Col18a1</v>
      </c>
      <c r="D1367" s="8"/>
      <c r="E1367" s="8">
        <v>153146</v>
      </c>
      <c r="F1367" s="8"/>
      <c r="G1367" s="15" t="s">
        <v>10</v>
      </c>
      <c r="H1367" s="15" t="s">
        <v>10</v>
      </c>
      <c r="I1367" s="15">
        <v>2.6734873054865345</v>
      </c>
      <c r="J1367" s="15">
        <v>2.6734873054865345</v>
      </c>
      <c r="K1367" s="15">
        <v>0.47997490354040684</v>
      </c>
      <c r="L1367" s="15">
        <v>0.47997490354040684</v>
      </c>
      <c r="M1367" s="15" t="s">
        <v>10</v>
      </c>
      <c r="N1367" s="15" t="s">
        <v>10</v>
      </c>
      <c r="O1367" s="15" t="s">
        <v>10</v>
      </c>
      <c r="P1367" s="15" t="s">
        <v>10</v>
      </c>
      <c r="Q1367" s="8"/>
      <c r="R1367" s="9" t="s">
        <v>1362</v>
      </c>
    </row>
    <row r="1368" spans="1:18" x14ac:dyDescent="0.25">
      <c r="A1368" s="6" t="str">
        <f>HYPERLINK("proteomic_fractions_linear_files/Yang_linear_img/40789282.jpg", "40789282")</f>
        <v>40789282</v>
      </c>
      <c r="B1368" s="7"/>
      <c r="C1368" s="6" t="str">
        <f>HYPERLINK("http://www.ncbi.nlm.nih.gov/protein/40789282","Col18a1")</f>
        <v>Col18a1</v>
      </c>
      <c r="D1368" s="8"/>
      <c r="E1368" s="8">
        <v>131362</v>
      </c>
      <c r="F1368" s="8"/>
      <c r="G1368" s="15" t="s">
        <v>10</v>
      </c>
      <c r="H1368" s="15" t="s">
        <v>10</v>
      </c>
      <c r="I1368" s="15">
        <v>3.1224699064079373</v>
      </c>
      <c r="J1368" s="15">
        <v>3.1224699064079373</v>
      </c>
      <c r="K1368" s="15">
        <v>0.56058137589070411</v>
      </c>
      <c r="L1368" s="15">
        <v>0.56058137589070411</v>
      </c>
      <c r="M1368" s="15" t="s">
        <v>10</v>
      </c>
      <c r="N1368" s="15" t="s">
        <v>10</v>
      </c>
      <c r="O1368" s="15" t="s">
        <v>10</v>
      </c>
      <c r="P1368" s="15" t="s">
        <v>10</v>
      </c>
      <c r="Q1368" s="8"/>
      <c r="R1368" s="9" t="s">
        <v>1363</v>
      </c>
    </row>
    <row r="1369" spans="1:18" x14ac:dyDescent="0.25">
      <c r="A1369" s="6" t="str">
        <f>HYPERLINK("proteomic_fractions_linear_files/Yang_linear_img/12963671.jpg", "12963671")</f>
        <v>12963671</v>
      </c>
      <c r="B1369" s="7"/>
      <c r="C1369" s="6" t="str">
        <f>HYPERLINK("http://www.ncbi.nlm.nih.gov/protein/12963671","Col4a3bp")</f>
        <v>Col4a3bp</v>
      </c>
      <c r="D1369" s="8"/>
      <c r="E1369" s="8">
        <v>70980</v>
      </c>
      <c r="F1369" s="8"/>
      <c r="G1369" s="15" t="s">
        <v>10</v>
      </c>
      <c r="H1369" s="15" t="s">
        <v>10</v>
      </c>
      <c r="I1369" s="15" t="s">
        <v>10</v>
      </c>
      <c r="J1369" s="15" t="s">
        <v>10</v>
      </c>
      <c r="K1369" s="15" t="s">
        <v>10</v>
      </c>
      <c r="L1369" s="15" t="s">
        <v>10</v>
      </c>
      <c r="M1369" s="15" t="s">
        <v>10</v>
      </c>
      <c r="N1369" s="15" t="s">
        <v>10</v>
      </c>
      <c r="O1369" s="15">
        <v>1.0343121160800317</v>
      </c>
      <c r="P1369" s="15">
        <v>1.0343121160800317</v>
      </c>
      <c r="Q1369" s="8"/>
      <c r="R1369" s="9" t="s">
        <v>1364</v>
      </c>
    </row>
    <row r="1370" spans="1:18" x14ac:dyDescent="0.25">
      <c r="A1370" s="6" t="str">
        <f>HYPERLINK("proteomic_fractions_linear_files/Yang_linear_img/255982524.jpg", "255982524")</f>
        <v>255982524</v>
      </c>
      <c r="B1370" s="7"/>
      <c r="C1370" s="6" t="str">
        <f>HYPERLINK("http://www.ncbi.nlm.nih.gov/protein/255982524","Col4a3bp")</f>
        <v>Col4a3bp</v>
      </c>
      <c r="D1370" s="8"/>
      <c r="E1370" s="8">
        <v>68152</v>
      </c>
      <c r="F1370" s="8"/>
      <c r="G1370" s="15" t="s">
        <v>10</v>
      </c>
      <c r="H1370" s="15" t="s">
        <v>10</v>
      </c>
      <c r="I1370" s="15" t="s">
        <v>10</v>
      </c>
      <c r="J1370" s="15" t="s">
        <v>10</v>
      </c>
      <c r="K1370" s="15" t="s">
        <v>10</v>
      </c>
      <c r="L1370" s="15" t="s">
        <v>10</v>
      </c>
      <c r="M1370" s="15" t="s">
        <v>10</v>
      </c>
      <c r="N1370" s="15" t="s">
        <v>10</v>
      </c>
      <c r="O1370" s="15">
        <v>1.0799435329659153</v>
      </c>
      <c r="P1370" s="15">
        <v>1.0799435329659153</v>
      </c>
      <c r="Q1370" s="8"/>
      <c r="R1370" s="9" t="s">
        <v>1365</v>
      </c>
    </row>
    <row r="1371" spans="1:18" x14ac:dyDescent="0.25">
      <c r="A1371" s="6" t="str">
        <f>HYPERLINK("proteomic_fractions_linear_files/Yang_linear_img/84452161.jpg", "84452161")</f>
        <v>84452161</v>
      </c>
      <c r="B1371" s="7"/>
      <c r="C1371" s="6" t="str">
        <f>HYPERLINK("http://www.ncbi.nlm.nih.gov/protein/84452161","Commd1")</f>
        <v>Commd1</v>
      </c>
      <c r="D1371" s="8"/>
      <c r="E1371" s="8">
        <v>20865</v>
      </c>
      <c r="F1371" s="8"/>
      <c r="G1371" s="15" t="s">
        <v>10</v>
      </c>
      <c r="H1371" s="15" t="s">
        <v>10</v>
      </c>
      <c r="I1371" s="15">
        <v>0.92862618228739402</v>
      </c>
      <c r="J1371" s="15">
        <v>0.92862618228739402</v>
      </c>
      <c r="K1371" s="15">
        <v>0.92862618228739402</v>
      </c>
      <c r="L1371" s="15">
        <v>0.92862618228739402</v>
      </c>
      <c r="M1371" s="15">
        <v>0.98083053269791776</v>
      </c>
      <c r="N1371" s="15">
        <v>0.98083053269791776</v>
      </c>
      <c r="O1371" s="15">
        <v>0.92862618228739402</v>
      </c>
      <c r="P1371" s="15">
        <v>0.92862618228739402</v>
      </c>
      <c r="Q1371" s="8"/>
      <c r="R1371" s="9" t="s">
        <v>1366</v>
      </c>
    </row>
    <row r="1372" spans="1:18" x14ac:dyDescent="0.25">
      <c r="A1372" s="6" t="str">
        <f>HYPERLINK("proteomic_fractions_linear_files/Yang_linear_img/30410016.jpg", "30410016")</f>
        <v>30410016</v>
      </c>
      <c r="B1372" s="7"/>
      <c r="C1372" s="6" t="str">
        <f>HYPERLINK("http://www.ncbi.nlm.nih.gov/protein/30410016","Commd10")</f>
        <v>Commd10</v>
      </c>
      <c r="D1372" s="8"/>
      <c r="E1372" s="8">
        <v>22681</v>
      </c>
      <c r="F1372" s="8"/>
      <c r="G1372" s="15" t="s">
        <v>10</v>
      </c>
      <c r="H1372" s="15" t="s">
        <v>10</v>
      </c>
      <c r="I1372" s="15">
        <v>0.94764096829038047</v>
      </c>
      <c r="J1372" s="15">
        <v>0.94764096829038047</v>
      </c>
      <c r="K1372" s="15">
        <v>1.0047640597703238</v>
      </c>
      <c r="L1372" s="15">
        <v>1.0047640597703238</v>
      </c>
      <c r="M1372" s="15">
        <v>0.94764096829038047</v>
      </c>
      <c r="N1372" s="15">
        <v>0.94764096829038047</v>
      </c>
      <c r="O1372" s="15">
        <v>0.94764096829038047</v>
      </c>
      <c r="P1372" s="15">
        <v>0.94764096829038047</v>
      </c>
      <c r="Q1372" s="8"/>
      <c r="R1372" s="9" t="s">
        <v>1367</v>
      </c>
    </row>
    <row r="1373" spans="1:18" x14ac:dyDescent="0.25">
      <c r="A1373" s="6" t="str">
        <f>HYPERLINK("proteomic_fractions_linear_files/Yang_linear_img/110626003.jpg", "110626003")</f>
        <v>110626003</v>
      </c>
      <c r="B1373" s="7"/>
      <c r="C1373" s="6" t="str">
        <f>HYPERLINK("http://www.ncbi.nlm.nih.gov/protein/110626003","Commd2")</f>
        <v>Commd2</v>
      </c>
      <c r="D1373" s="8"/>
      <c r="E1373" s="8">
        <v>22717</v>
      </c>
      <c r="F1373" s="8"/>
      <c r="G1373" s="15" t="s">
        <v>10</v>
      </c>
      <c r="H1373" s="15" t="s">
        <v>10</v>
      </c>
      <c r="I1373" s="15">
        <v>0.94764096829038047</v>
      </c>
      <c r="J1373" s="15">
        <v>0.94764096829038047</v>
      </c>
      <c r="K1373" s="15">
        <v>0.94764096829038047</v>
      </c>
      <c r="L1373" s="15">
        <v>0.94764096829038047</v>
      </c>
      <c r="M1373" s="15">
        <v>0.89554092115896833</v>
      </c>
      <c r="N1373" s="15">
        <v>0.89554092115896833</v>
      </c>
      <c r="O1373" s="15">
        <v>0.89554092115896833</v>
      </c>
      <c r="P1373" s="15">
        <v>0.89554092115896833</v>
      </c>
      <c r="Q1373" s="8"/>
      <c r="R1373" s="9" t="s">
        <v>1368</v>
      </c>
    </row>
    <row r="1374" spans="1:18" x14ac:dyDescent="0.25">
      <c r="A1374" s="6" t="str">
        <f>HYPERLINK("proteomic_fractions_linear_files/Yang_linear_img/22296603.jpg", "22296603")</f>
        <v>22296603</v>
      </c>
      <c r="B1374" s="7"/>
      <c r="C1374" s="6" t="str">
        <f>HYPERLINK("http://www.ncbi.nlm.nih.gov/protein/22296603","Commd3")</f>
        <v>Commd3</v>
      </c>
      <c r="D1374" s="8"/>
      <c r="E1374" s="8">
        <v>21906</v>
      </c>
      <c r="F1374" s="8"/>
      <c r="G1374" s="15">
        <v>1.3584275859869606</v>
      </c>
      <c r="H1374" s="15">
        <v>1.3584275859869606</v>
      </c>
      <c r="I1374" s="15">
        <v>0.93624732666619426</v>
      </c>
      <c r="J1374" s="15">
        <v>0.93624732666619426</v>
      </c>
      <c r="K1374" s="15">
        <v>0.99071555775812503</v>
      </c>
      <c r="L1374" s="15">
        <v>0.99071555775812503</v>
      </c>
      <c r="M1374" s="15">
        <v>0.93624732666619426</v>
      </c>
      <c r="N1374" s="15">
        <v>0.93624732666619426</v>
      </c>
      <c r="O1374" s="15">
        <v>0.93624732666619426</v>
      </c>
      <c r="P1374" s="15">
        <v>0.93624732666619426</v>
      </c>
      <c r="Q1374" s="8"/>
      <c r="R1374" s="9" t="s">
        <v>1369</v>
      </c>
    </row>
    <row r="1375" spans="1:18" x14ac:dyDescent="0.25">
      <c r="A1375" s="6" t="str">
        <f>HYPERLINK("proteomic_fractions_linear_files/Yang_linear_img/13384806.jpg", "13384806")</f>
        <v>13384806</v>
      </c>
      <c r="B1375" s="7"/>
      <c r="C1375" s="6" t="str">
        <f>HYPERLINK("http://www.ncbi.nlm.nih.gov/protein/13384806","Commd4")</f>
        <v>Commd4</v>
      </c>
      <c r="D1375" s="8"/>
      <c r="E1375" s="8">
        <v>21729</v>
      </c>
      <c r="F1375" s="8"/>
      <c r="G1375" s="15" t="s">
        <v>10</v>
      </c>
      <c r="H1375" s="15" t="s">
        <v>10</v>
      </c>
      <c r="I1375" s="15">
        <v>0.99071555775812503</v>
      </c>
      <c r="J1375" s="15">
        <v>0.99071555775812503</v>
      </c>
      <c r="K1375" s="15">
        <v>0.99071555775812503</v>
      </c>
      <c r="L1375" s="15">
        <v>0.99071555775812503</v>
      </c>
      <c r="M1375" s="15">
        <v>0.99071555775812503</v>
      </c>
      <c r="N1375" s="15">
        <v>0.99071555775812503</v>
      </c>
      <c r="O1375" s="15">
        <v>0.99071555775812503</v>
      </c>
      <c r="P1375" s="15">
        <v>0.99071555775812503</v>
      </c>
      <c r="Q1375" s="8"/>
      <c r="R1375" s="9" t="s">
        <v>1370</v>
      </c>
    </row>
    <row r="1376" spans="1:18" x14ac:dyDescent="0.25">
      <c r="A1376" s="6" t="str">
        <f>HYPERLINK("proteomic_fractions_linear_files/Yang_linear_img/21313478.jpg", "21313478")</f>
        <v>21313478</v>
      </c>
      <c r="B1376" s="7"/>
      <c r="C1376" s="6" t="str">
        <f>HYPERLINK("http://www.ncbi.nlm.nih.gov/protein/21313478","Commd5")</f>
        <v>Commd5</v>
      </c>
      <c r="D1376" s="8"/>
      <c r="E1376" s="8">
        <v>24336</v>
      </c>
      <c r="F1376" s="8"/>
      <c r="G1376" s="15" t="s">
        <v>10</v>
      </c>
      <c r="H1376" s="15" t="s">
        <v>10</v>
      </c>
      <c r="I1376" s="15">
        <v>0.96289889061322687</v>
      </c>
      <c r="J1376" s="15">
        <v>0.96289889061322687</v>
      </c>
      <c r="K1376" s="15">
        <v>1.0231175255532048</v>
      </c>
      <c r="L1376" s="15">
        <v>1.0231175255532048</v>
      </c>
      <c r="M1376" s="15">
        <v>0.96289889061322687</v>
      </c>
      <c r="N1376" s="15">
        <v>0.96289889061322687</v>
      </c>
      <c r="O1376" s="15">
        <v>0.85822671611067802</v>
      </c>
      <c r="P1376" s="15">
        <v>0.85822671611067802</v>
      </c>
      <c r="Q1376" s="8"/>
      <c r="R1376" s="9" t="s">
        <v>1371</v>
      </c>
    </row>
    <row r="1377" spans="1:18" x14ac:dyDescent="0.25">
      <c r="A1377" s="6" t="str">
        <f>HYPERLINK("proteomic_fractions_linear_files/Yang_linear_img/274319665.jpg", "274319665")</f>
        <v>274319665</v>
      </c>
      <c r="B1377" s="7"/>
      <c r="C1377" s="6" t="str">
        <f>HYPERLINK("http://www.ncbi.nlm.nih.gov/protein/274319665","Commd6")</f>
        <v>Commd6</v>
      </c>
      <c r="D1377" s="8"/>
      <c r="E1377" s="8">
        <v>9279</v>
      </c>
      <c r="F1377" s="8"/>
      <c r="G1377" s="15" t="s">
        <v>10</v>
      </c>
      <c r="H1377" s="15" t="s">
        <v>10</v>
      </c>
      <c r="I1377" s="15">
        <v>1.4163577046597362</v>
      </c>
      <c r="J1377" s="15">
        <v>1.4163577046597362</v>
      </c>
      <c r="K1377" s="15">
        <v>1.4163577046597362</v>
      </c>
      <c r="L1377" s="15">
        <v>1.4163577046597362</v>
      </c>
      <c r="M1377" s="15">
        <v>1.4163577046597362</v>
      </c>
      <c r="N1377" s="15">
        <v>1.4163577046597362</v>
      </c>
      <c r="O1377" s="15">
        <v>1.3592068102590398</v>
      </c>
      <c r="P1377" s="15">
        <v>1.3592068102590398</v>
      </c>
      <c r="Q1377" s="8"/>
      <c r="R1377" s="9" t="s">
        <v>1372</v>
      </c>
    </row>
    <row r="1378" spans="1:18" x14ac:dyDescent="0.25">
      <c r="A1378" s="6" t="str">
        <f>HYPERLINK("proteomic_fractions_linear_files/Yang_linear_img/84370278.jpg", "84370278")</f>
        <v>84370278</v>
      </c>
      <c r="B1378" s="7"/>
      <c r="C1378" s="6" t="str">
        <f>HYPERLINK("http://www.ncbi.nlm.nih.gov/protein/84370278","Commd6")</f>
        <v>Commd6</v>
      </c>
      <c r="D1378" s="8"/>
      <c r="E1378" s="8">
        <v>9664</v>
      </c>
      <c r="F1378" s="8"/>
      <c r="G1378" s="15" t="s">
        <v>10</v>
      </c>
      <c r="H1378" s="15" t="s">
        <v>10</v>
      </c>
      <c r="I1378" s="15">
        <v>1.2747219341937626</v>
      </c>
      <c r="J1378" s="15">
        <v>1.2747219341937626</v>
      </c>
      <c r="K1378" s="15">
        <v>1.2747219341937626</v>
      </c>
      <c r="L1378" s="15">
        <v>1.2747219341937626</v>
      </c>
      <c r="M1378" s="15">
        <v>1.2747219341937626</v>
      </c>
      <c r="N1378" s="15">
        <v>1.2747219341937626</v>
      </c>
      <c r="O1378" s="15">
        <v>1.2232861292331356</v>
      </c>
      <c r="P1378" s="15">
        <v>1.2232861292331356</v>
      </c>
      <c r="Q1378" s="8"/>
      <c r="R1378" s="9" t="s">
        <v>1373</v>
      </c>
    </row>
    <row r="1379" spans="1:18" x14ac:dyDescent="0.25">
      <c r="A1379" s="6" t="str">
        <f>HYPERLINK("proteomic_fractions_linear_files/Yang_linear_img/306035198.jpg", "306035198")</f>
        <v>306035198</v>
      </c>
      <c r="B1379" s="7"/>
      <c r="C1379" s="6" t="str">
        <f>HYPERLINK("http://www.ncbi.nlm.nih.gov/protein/306035198","Commd7")</f>
        <v>Commd7</v>
      </c>
      <c r="D1379" s="8"/>
      <c r="E1379" s="8">
        <v>22521</v>
      </c>
      <c r="F1379" s="8"/>
      <c r="G1379" s="15" t="s">
        <v>10</v>
      </c>
      <c r="H1379" s="15" t="s">
        <v>10</v>
      </c>
      <c r="I1379" s="15">
        <v>0.89554092115896833</v>
      </c>
      <c r="J1379" s="15">
        <v>0.89554092115896833</v>
      </c>
      <c r="K1379" s="15">
        <v>0.89554092115896833</v>
      </c>
      <c r="L1379" s="15">
        <v>0.89554092115896833</v>
      </c>
      <c r="M1379" s="15">
        <v>0.89554092115896833</v>
      </c>
      <c r="N1379" s="15">
        <v>0.89554092115896833</v>
      </c>
      <c r="O1379" s="15">
        <v>0.89554092115896833</v>
      </c>
      <c r="P1379" s="15">
        <v>0.89554092115896833</v>
      </c>
      <c r="Q1379" s="8"/>
      <c r="R1379" s="9" t="s">
        <v>1374</v>
      </c>
    </row>
    <row r="1380" spans="1:18" x14ac:dyDescent="0.25">
      <c r="A1380" s="6" t="str">
        <f>HYPERLINK("proteomic_fractions_linear_files/Yang_linear_img/306035200.jpg", "306035200")</f>
        <v>306035200</v>
      </c>
      <c r="B1380" s="7"/>
      <c r="C1380" s="6" t="str">
        <f>HYPERLINK("http://www.ncbi.nlm.nih.gov/protein/306035200","Commd7")</f>
        <v>Commd7</v>
      </c>
      <c r="D1380" s="8"/>
      <c r="E1380" s="8">
        <v>14552</v>
      </c>
      <c r="F1380" s="8"/>
      <c r="G1380" s="15" t="s">
        <v>10</v>
      </c>
      <c r="H1380" s="15" t="s">
        <v>10</v>
      </c>
      <c r="I1380" s="15">
        <v>1.3731627457770847</v>
      </c>
      <c r="J1380" s="15">
        <v>1.3731627457770847</v>
      </c>
      <c r="K1380" s="15">
        <v>1.3731627457770847</v>
      </c>
      <c r="L1380" s="15">
        <v>1.3731627457770847</v>
      </c>
      <c r="M1380" s="15">
        <v>1.3731627457770847</v>
      </c>
      <c r="N1380" s="15">
        <v>1.3731627457770847</v>
      </c>
      <c r="O1380" s="15">
        <v>1.3731627457770847</v>
      </c>
      <c r="P1380" s="15">
        <v>1.3731627457770847</v>
      </c>
      <c r="Q1380" s="8"/>
      <c r="R1380" s="9" t="s">
        <v>1375</v>
      </c>
    </row>
    <row r="1381" spans="1:18" x14ac:dyDescent="0.25">
      <c r="A1381" s="6" t="str">
        <f>HYPERLINK("proteomic_fractions_linear_files/Yang_linear_img/21313224.jpg", "21313224")</f>
        <v>21313224</v>
      </c>
      <c r="B1381" s="7"/>
      <c r="C1381" s="6" t="str">
        <f>HYPERLINK("http://www.ncbi.nlm.nih.gov/protein/21313224","Commd9")</f>
        <v>Commd9</v>
      </c>
      <c r="D1381" s="8"/>
      <c r="E1381" s="8">
        <v>21719</v>
      </c>
      <c r="F1381" s="8"/>
      <c r="G1381" s="15" t="s">
        <v>10</v>
      </c>
      <c r="H1381" s="15" t="s">
        <v>10</v>
      </c>
      <c r="I1381" s="15">
        <v>0.93624732666619426</v>
      </c>
      <c r="J1381" s="15">
        <v>0.93624732666619426</v>
      </c>
      <c r="K1381" s="15">
        <v>0.93624732666619426</v>
      </c>
      <c r="L1381" s="15">
        <v>0.93624732666619426</v>
      </c>
      <c r="M1381" s="15">
        <v>0.93624732666619426</v>
      </c>
      <c r="N1381" s="15">
        <v>0.93624732666619426</v>
      </c>
      <c r="O1381" s="15">
        <v>0.93624732666619426</v>
      </c>
      <c r="P1381" s="15">
        <v>0.93624732666619426</v>
      </c>
      <c r="Q1381" s="8"/>
      <c r="R1381" s="9" t="s">
        <v>1376</v>
      </c>
    </row>
    <row r="1382" spans="1:18" x14ac:dyDescent="0.25">
      <c r="A1382" s="6" t="str">
        <f>HYPERLINK("proteomic_fractions_linear_files/Yang_linear_img/161484634.jpg", "161484634")</f>
        <v>161484634</v>
      </c>
      <c r="B1382" s="7"/>
      <c r="C1382" s="6" t="str">
        <f>HYPERLINK("http://www.ncbi.nlm.nih.gov/protein/161484634","Comt")</f>
        <v>Comt</v>
      </c>
      <c r="D1382" s="8"/>
      <c r="E1382" s="8">
        <v>29355</v>
      </c>
      <c r="F1382" s="8"/>
      <c r="G1382" s="15">
        <v>8.0469257802706569</v>
      </c>
      <c r="H1382" s="15">
        <v>8.0469257802706569</v>
      </c>
      <c r="I1382" s="15">
        <v>0.84671795218196266</v>
      </c>
      <c r="J1382" s="15">
        <v>0.84671795218196266</v>
      </c>
      <c r="K1382" s="15">
        <v>0.90173303846293107</v>
      </c>
      <c r="L1382" s="15">
        <v>0.90173303846293107</v>
      </c>
      <c r="M1382" s="15">
        <v>0.75157731967857766</v>
      </c>
      <c r="N1382" s="15">
        <v>0.75157731967857766</v>
      </c>
      <c r="O1382" s="15">
        <v>0.75157731967857766</v>
      </c>
      <c r="P1382" s="15">
        <v>0.75157731967857766</v>
      </c>
      <c r="Q1382" s="8"/>
      <c r="R1382" s="9" t="s">
        <v>1377</v>
      </c>
    </row>
    <row r="1383" spans="1:18" x14ac:dyDescent="0.25">
      <c r="A1383" s="6" t="str">
        <f>HYPERLINK("proteomic_fractions_linear_files/Yang_linear_img/33468999.jpg", "33468999")</f>
        <v>33468999</v>
      </c>
      <c r="B1383" s="7"/>
      <c r="C1383" s="6" t="str">
        <f>HYPERLINK("http://www.ncbi.nlm.nih.gov/protein/33468999","Comtd1")</f>
        <v>Comtd1</v>
      </c>
      <c r="D1383" s="8"/>
      <c r="E1383" s="8">
        <v>28830</v>
      </c>
      <c r="F1383" s="8"/>
      <c r="G1383" s="15">
        <v>1.2876319456249858</v>
      </c>
      <c r="H1383" s="15">
        <v>1.2876319456249858</v>
      </c>
      <c r="I1383" s="15">
        <v>0.90173303846293107</v>
      </c>
      <c r="J1383" s="15">
        <v>0.90173303846293107</v>
      </c>
      <c r="K1383" s="15">
        <v>0.90173303846293107</v>
      </c>
      <c r="L1383" s="15">
        <v>0.90173303846293107</v>
      </c>
      <c r="M1383" s="15" t="s">
        <v>10</v>
      </c>
      <c r="N1383" s="15" t="s">
        <v>10</v>
      </c>
      <c r="O1383" s="15" t="s">
        <v>10</v>
      </c>
      <c r="P1383" s="15" t="s">
        <v>10</v>
      </c>
      <c r="Q1383" s="8"/>
      <c r="R1383" s="9" t="s">
        <v>1378</v>
      </c>
    </row>
    <row r="1384" spans="1:18" x14ac:dyDescent="0.25">
      <c r="A1384" s="6" t="str">
        <f>HYPERLINK("proteomic_fractions_linear_files/Yang_linear_img/226823359.jpg", "226823359")</f>
        <v>226823359</v>
      </c>
      <c r="B1384" s="7"/>
      <c r="C1384" s="6" t="str">
        <f>HYPERLINK("http://www.ncbi.nlm.nih.gov/protein/226823359","Copa")</f>
        <v>Copa</v>
      </c>
      <c r="D1384" s="8"/>
      <c r="E1384" s="8">
        <v>138302</v>
      </c>
      <c r="F1384" s="8"/>
      <c r="G1384" s="15">
        <v>1.3533755915937706</v>
      </c>
      <c r="H1384" s="15">
        <v>1.3533755915937706</v>
      </c>
      <c r="I1384" s="15">
        <v>1.1119773270742161</v>
      </c>
      <c r="J1384" s="15">
        <v>1.1119773270742161</v>
      </c>
      <c r="K1384" s="15">
        <v>1.3533755915937706</v>
      </c>
      <c r="L1384" s="15">
        <v>1.3533755915937706</v>
      </c>
      <c r="M1384" s="15">
        <v>1.3533755915937706</v>
      </c>
      <c r="N1384" s="15">
        <v>1.3533755915937706</v>
      </c>
      <c r="O1384" s="15">
        <v>1.3533755915937706</v>
      </c>
      <c r="P1384" s="15">
        <v>1.3533755915937706</v>
      </c>
      <c r="Q1384" s="8"/>
      <c r="R1384" s="9" t="s">
        <v>1379</v>
      </c>
    </row>
    <row r="1385" spans="1:18" x14ac:dyDescent="0.25">
      <c r="A1385" s="6" t="str">
        <f>HYPERLINK("proteomic_fractions_linear_files/Yang_linear_img/15426055.jpg", "15426055")</f>
        <v>15426055</v>
      </c>
      <c r="B1385" s="7"/>
      <c r="C1385" s="6" t="str">
        <f>HYPERLINK("http://www.ncbi.nlm.nih.gov/protein/15426055","Copb1")</f>
        <v>Copb1</v>
      </c>
      <c r="D1385" s="8"/>
      <c r="E1385" s="8">
        <v>106935</v>
      </c>
      <c r="F1385" s="8"/>
      <c r="G1385" s="15">
        <v>1.2030058705151119</v>
      </c>
      <c r="H1385" s="15">
        <v>1.2030058705151119</v>
      </c>
      <c r="I1385" s="15">
        <v>1.0261828394498267</v>
      </c>
      <c r="J1385" s="15">
        <v>1.0261828394498267</v>
      </c>
      <c r="K1385" s="15">
        <v>1.0261828394498267</v>
      </c>
      <c r="L1385" s="15">
        <v>1.0261828394498267</v>
      </c>
      <c r="M1385" s="15">
        <v>1.0261828394498267</v>
      </c>
      <c r="N1385" s="15">
        <v>1.0261828394498267</v>
      </c>
      <c r="O1385" s="15">
        <v>1.0261828394498267</v>
      </c>
      <c r="P1385" s="15">
        <v>1.0261828394498267</v>
      </c>
      <c r="Q1385" s="8"/>
      <c r="R1385" s="9" t="s">
        <v>1380</v>
      </c>
    </row>
    <row r="1386" spans="1:18" x14ac:dyDescent="0.25">
      <c r="A1386" s="6" t="str">
        <f>HYPERLINK("proteomic_fractions_linear_files/Yang_linear_img/29789080.jpg", "29789080")</f>
        <v>29789080</v>
      </c>
      <c r="B1386" s="7"/>
      <c r="C1386" s="6" t="str">
        <f>HYPERLINK("http://www.ncbi.nlm.nih.gov/protein/29789080","Copb2")</f>
        <v>Copb2</v>
      </c>
      <c r="D1386" s="8"/>
      <c r="E1386" s="8">
        <v>102319</v>
      </c>
      <c r="F1386" s="8"/>
      <c r="G1386" s="15">
        <v>1.2619767465207545</v>
      </c>
      <c r="H1386" s="15">
        <v>1.2619767465207545</v>
      </c>
      <c r="I1386" s="15">
        <v>1.0764859198150143</v>
      </c>
      <c r="J1386" s="15">
        <v>1.0764859198150143</v>
      </c>
      <c r="K1386" s="15">
        <v>1.0764859198150143</v>
      </c>
      <c r="L1386" s="15">
        <v>1.0764859198150143</v>
      </c>
      <c r="M1386" s="15">
        <v>1.0764859198150143</v>
      </c>
      <c r="N1386" s="15">
        <v>1.0764859198150143</v>
      </c>
      <c r="O1386" s="15">
        <v>1.0764859198150143</v>
      </c>
      <c r="P1386" s="15">
        <v>1.0764859198150143</v>
      </c>
      <c r="Q1386" s="8"/>
      <c r="R1386" s="9" t="s">
        <v>1381</v>
      </c>
    </row>
    <row r="1387" spans="1:18" x14ac:dyDescent="0.25">
      <c r="A1387" s="6" t="str">
        <f>HYPERLINK("proteomic_fractions_linear_files/Yang_linear_img/10946972.jpg", "10946972")</f>
        <v>10946972</v>
      </c>
      <c r="B1387" s="7"/>
      <c r="C1387" s="6" t="str">
        <f>HYPERLINK("http://www.ncbi.nlm.nih.gov/protein/10946972","Cope")</f>
        <v>Cope</v>
      </c>
      <c r="D1387" s="8"/>
      <c r="E1387" s="8">
        <v>34436</v>
      </c>
      <c r="F1387" s="8"/>
      <c r="G1387" s="15">
        <v>1.1913917118594926</v>
      </c>
      <c r="H1387" s="15">
        <v>1.1913917118594926</v>
      </c>
      <c r="I1387" s="15">
        <v>0.87898255563862149</v>
      </c>
      <c r="J1387" s="15">
        <v>0.87898255563862149</v>
      </c>
      <c r="K1387" s="15">
        <v>0.87898255563862149</v>
      </c>
      <c r="L1387" s="15">
        <v>0.87898255563862149</v>
      </c>
      <c r="M1387" s="15">
        <v>0.94364920163922317</v>
      </c>
      <c r="N1387" s="15">
        <v>0.94364920163922317</v>
      </c>
      <c r="O1387" s="15">
        <v>0.82112386169653118</v>
      </c>
      <c r="P1387" s="15">
        <v>0.82112386169653118</v>
      </c>
      <c r="Q1387" s="8"/>
      <c r="R1387" s="9" t="s">
        <v>1382</v>
      </c>
    </row>
    <row r="1388" spans="1:18" x14ac:dyDescent="0.25">
      <c r="A1388" s="6" t="str">
        <f>HYPERLINK("proteomic_fractions_linear_files/Yang_linear_img/47059163.jpg", "47059163")</f>
        <v>47059163</v>
      </c>
      <c r="B1388" s="7"/>
      <c r="C1388" s="6" t="str">
        <f>HYPERLINK("http://www.ncbi.nlm.nih.gov/protein/47059163","Copg1")</f>
        <v>Copg1</v>
      </c>
      <c r="D1388" s="8"/>
      <c r="E1388" s="8">
        <v>13329</v>
      </c>
      <c r="F1388" s="8"/>
      <c r="G1388" s="15" t="s">
        <v>10</v>
      </c>
      <c r="H1388" s="15" t="s">
        <v>10</v>
      </c>
      <c r="I1388" s="15">
        <v>8.446274140087036</v>
      </c>
      <c r="J1388" s="15">
        <v>8.446274140087036</v>
      </c>
      <c r="K1388" s="15">
        <v>8.446274140087036</v>
      </c>
      <c r="L1388" s="15">
        <v>8.446274140087036</v>
      </c>
      <c r="M1388" s="15">
        <v>8.446274140087036</v>
      </c>
      <c r="N1388" s="15">
        <v>8.446274140087036</v>
      </c>
      <c r="O1388" s="15">
        <v>8.446274140087036</v>
      </c>
      <c r="P1388" s="15">
        <v>8.446274140087036</v>
      </c>
      <c r="Q1388" s="8"/>
      <c r="R1388" s="9" t="s">
        <v>1383</v>
      </c>
    </row>
    <row r="1389" spans="1:18" x14ac:dyDescent="0.25">
      <c r="A1389" s="6" t="str">
        <f>HYPERLINK("proteomic_fractions_linear_files/Yang_linear_img/8567338.jpg", "8567338")</f>
        <v>8567338</v>
      </c>
      <c r="B1389" s="7"/>
      <c r="C1389" s="6" t="str">
        <f>HYPERLINK("http://www.ncbi.nlm.nih.gov/protein/8567338","Copg1")</f>
        <v>Copg1</v>
      </c>
      <c r="D1389" s="8"/>
      <c r="E1389" s="8">
        <v>97382</v>
      </c>
      <c r="F1389" s="8"/>
      <c r="G1389" s="15">
        <v>1.1319748847539326</v>
      </c>
      <c r="H1389" s="15">
        <v>1.1319748847539326</v>
      </c>
      <c r="I1389" s="15">
        <v>1.1319748847539326</v>
      </c>
      <c r="J1389" s="15">
        <v>1.1319748847539326</v>
      </c>
      <c r="K1389" s="15">
        <v>1.1319748847539326</v>
      </c>
      <c r="L1389" s="15">
        <v>1.1319748847539326</v>
      </c>
      <c r="M1389" s="15">
        <v>1.1319748847539326</v>
      </c>
      <c r="N1389" s="15">
        <v>1.1319748847539326</v>
      </c>
      <c r="O1389" s="15">
        <v>1.1319748847539326</v>
      </c>
      <c r="P1389" s="15">
        <v>1.1319748847539326</v>
      </c>
      <c r="Q1389" s="8"/>
      <c r="R1389" s="9" t="s">
        <v>1384</v>
      </c>
    </row>
    <row r="1390" spans="1:18" x14ac:dyDescent="0.25">
      <c r="A1390" s="6" t="str">
        <f>HYPERLINK("proteomic_fractions_linear_files/Yang_linear_img/8567340.jpg", "8567340")</f>
        <v>8567340</v>
      </c>
      <c r="B1390" s="7"/>
      <c r="C1390" s="6" t="str">
        <f>HYPERLINK("http://www.ncbi.nlm.nih.gov/protein/8567340","Copg2")</f>
        <v>Copg2</v>
      </c>
      <c r="D1390" s="8"/>
      <c r="E1390" s="8">
        <v>97550</v>
      </c>
      <c r="F1390" s="8"/>
      <c r="G1390" s="15">
        <v>1.1204241206237904</v>
      </c>
      <c r="H1390" s="15">
        <v>1.1204241206237904</v>
      </c>
      <c r="I1390" s="15">
        <v>0.96906103247535214</v>
      </c>
      <c r="J1390" s="15">
        <v>0.96906103247535214</v>
      </c>
      <c r="K1390" s="15">
        <v>1.1204241206237904</v>
      </c>
      <c r="L1390" s="15">
        <v>1.1204241206237904</v>
      </c>
      <c r="M1390" s="15">
        <v>1.1204241206237904</v>
      </c>
      <c r="N1390" s="15">
        <v>1.1204241206237904</v>
      </c>
      <c r="O1390" s="15">
        <v>0.96906103247535214</v>
      </c>
      <c r="P1390" s="15">
        <v>0.96906103247535214</v>
      </c>
      <c r="Q1390" s="8"/>
      <c r="R1390" s="9" t="s">
        <v>1385</v>
      </c>
    </row>
    <row r="1391" spans="1:18" x14ac:dyDescent="0.25">
      <c r="A1391" s="6" t="str">
        <f>HYPERLINK("proteomic_fractions_linear_files/Yang_linear_img/70909327.jpg", "70909327")</f>
        <v>70909327</v>
      </c>
      <c r="B1391" s="7"/>
      <c r="C1391" s="6" t="str">
        <f>HYPERLINK("http://www.ncbi.nlm.nih.gov/protein/70909327","Cops2")</f>
        <v>Cops2</v>
      </c>
      <c r="D1391" s="8"/>
      <c r="E1391" s="8">
        <v>51466</v>
      </c>
      <c r="F1391" s="8"/>
      <c r="G1391" s="15" t="s">
        <v>10</v>
      </c>
      <c r="H1391" s="15" t="s">
        <v>10</v>
      </c>
      <c r="I1391" s="15">
        <v>0.94686226636108339</v>
      </c>
      <c r="J1391" s="15">
        <v>0.94686226636108339</v>
      </c>
      <c r="K1391" s="15">
        <v>0.94686226636108339</v>
      </c>
      <c r="L1391" s="15">
        <v>0.94686226636108339</v>
      </c>
      <c r="M1391" s="15">
        <v>0.94686226636108339</v>
      </c>
      <c r="N1391" s="15">
        <v>0.94686226636108339</v>
      </c>
      <c r="O1391" s="15">
        <v>0.86520763229344055</v>
      </c>
      <c r="P1391" s="15">
        <v>0.86520763229344055</v>
      </c>
      <c r="Q1391" s="8"/>
      <c r="R1391" s="9" t="s">
        <v>1386</v>
      </c>
    </row>
    <row r="1392" spans="1:18" x14ac:dyDescent="0.25">
      <c r="A1392" s="6" t="str">
        <f>HYPERLINK("proteomic_fractions_linear_files/Yang_linear_img/6753488.jpg", "6753488")</f>
        <v>6753488</v>
      </c>
      <c r="B1392" s="7"/>
      <c r="C1392" s="6" t="str">
        <f>HYPERLINK("http://www.ncbi.nlm.nih.gov/protein/6753488","Cops3")</f>
        <v>Cops3</v>
      </c>
      <c r="D1392" s="8"/>
      <c r="E1392" s="8">
        <v>47701</v>
      </c>
      <c r="F1392" s="8"/>
      <c r="G1392" s="15" t="s">
        <v>10</v>
      </c>
      <c r="H1392" s="15" t="s">
        <v>10</v>
      </c>
      <c r="I1392" s="15">
        <v>0.84390246256714052</v>
      </c>
      <c r="J1392" s="15">
        <v>0.84390246256714052</v>
      </c>
      <c r="K1392" s="15">
        <v>0.84390246256714052</v>
      </c>
      <c r="L1392" s="15">
        <v>0.84390246256714052</v>
      </c>
      <c r="M1392" s="15">
        <v>0.84390246256714052</v>
      </c>
      <c r="N1392" s="15">
        <v>0.84390246256714052</v>
      </c>
      <c r="O1392" s="15">
        <v>0.77794430048176233</v>
      </c>
      <c r="P1392" s="15">
        <v>0.77794430048176233</v>
      </c>
      <c r="Q1392" s="8"/>
      <c r="R1392" s="9" t="s">
        <v>1387</v>
      </c>
    </row>
    <row r="1393" spans="1:18" x14ac:dyDescent="0.25">
      <c r="A1393" s="6" t="str">
        <f>HYPERLINK("proteomic_fractions_linear_files/Yang_linear_img/6753490.jpg", "6753490")</f>
        <v>6753490</v>
      </c>
      <c r="B1393" s="7"/>
      <c r="C1393" s="6" t="str">
        <f>HYPERLINK("http://www.ncbi.nlm.nih.gov/protein/6753490","Cops4")</f>
        <v>Cops4</v>
      </c>
      <c r="D1393" s="8"/>
      <c r="E1393" s="8">
        <v>46154</v>
      </c>
      <c r="F1393" s="8"/>
      <c r="G1393" s="15" t="s">
        <v>10</v>
      </c>
      <c r="H1393" s="15" t="s">
        <v>10</v>
      </c>
      <c r="I1393" s="15">
        <v>0.88059387398310318</v>
      </c>
      <c r="J1393" s="15">
        <v>0.88059387398310318</v>
      </c>
      <c r="K1393" s="15">
        <v>0.88059387398310318</v>
      </c>
      <c r="L1393" s="15">
        <v>0.88059387398310318</v>
      </c>
      <c r="M1393" s="15">
        <v>0.88059387398310318</v>
      </c>
      <c r="N1393" s="15">
        <v>0.88059387398310318</v>
      </c>
      <c r="O1393" s="15">
        <v>0.81176796572009979</v>
      </c>
      <c r="P1393" s="15">
        <v>0.81176796572009979</v>
      </c>
      <c r="Q1393" s="8"/>
      <c r="R1393" s="9" t="s">
        <v>1388</v>
      </c>
    </row>
    <row r="1394" spans="1:18" x14ac:dyDescent="0.25">
      <c r="A1394" s="6" t="str">
        <f>HYPERLINK("proteomic_fractions_linear_files/Yang_linear_img/459447369.jpg", "459447369")</f>
        <v>459447369</v>
      </c>
      <c r="B1394" s="7"/>
      <c r="C1394" s="6" t="str">
        <f>HYPERLINK("http://www.ncbi.nlm.nih.gov/protein/459447369","Cops5")</f>
        <v>Cops5</v>
      </c>
      <c r="D1394" s="8"/>
      <c r="E1394" s="8">
        <v>35428</v>
      </c>
      <c r="F1394" s="8"/>
      <c r="G1394" s="15" t="s">
        <v>10</v>
      </c>
      <c r="H1394" s="15" t="s">
        <v>10</v>
      </c>
      <c r="I1394" s="15">
        <v>0.98723932944214809</v>
      </c>
      <c r="J1394" s="15">
        <v>0.98723932944214809</v>
      </c>
      <c r="K1394" s="15">
        <v>0.98723932944214809</v>
      </c>
      <c r="L1394" s="15">
        <v>0.98723932944214809</v>
      </c>
      <c r="M1394" s="15" t="s">
        <v>10</v>
      </c>
      <c r="N1394" s="15" t="s">
        <v>10</v>
      </c>
      <c r="O1394" s="15" t="s">
        <v>10</v>
      </c>
      <c r="P1394" s="15" t="s">
        <v>10</v>
      </c>
      <c r="Q1394" s="8"/>
      <c r="R1394" s="9" t="s">
        <v>1389</v>
      </c>
    </row>
    <row r="1395" spans="1:18" x14ac:dyDescent="0.25">
      <c r="A1395" s="6" t="str">
        <f>HYPERLINK("proteomic_fractions_linear_files/Yang_linear_img/7304971.jpg", "7304971")</f>
        <v>7304971</v>
      </c>
      <c r="B1395" s="7"/>
      <c r="C1395" s="6" t="str">
        <f>HYPERLINK("http://www.ncbi.nlm.nih.gov/protein/7304971","Cops5")</f>
        <v>Cops5</v>
      </c>
      <c r="D1395" s="8"/>
      <c r="E1395" s="8">
        <v>37418</v>
      </c>
      <c r="F1395" s="8"/>
      <c r="G1395" s="15" t="s">
        <v>10</v>
      </c>
      <c r="H1395" s="15" t="s">
        <v>10</v>
      </c>
      <c r="I1395" s="15">
        <v>0.93387504136419419</v>
      </c>
      <c r="J1395" s="15">
        <v>0.93387504136419419</v>
      </c>
      <c r="K1395" s="15">
        <v>0.93387504136419419</v>
      </c>
      <c r="L1395" s="15">
        <v>0.93387504136419419</v>
      </c>
      <c r="M1395" s="15">
        <v>0.93387504136419419</v>
      </c>
      <c r="N1395" s="15">
        <v>0.93387504136419419</v>
      </c>
      <c r="O1395" s="15">
        <v>0.86713710420901591</v>
      </c>
      <c r="P1395" s="15">
        <v>0.86713710420901591</v>
      </c>
      <c r="Q1395" s="8"/>
      <c r="R1395" s="9" t="s">
        <v>1390</v>
      </c>
    </row>
    <row r="1396" spans="1:18" x14ac:dyDescent="0.25">
      <c r="A1396" s="6" t="str">
        <f>HYPERLINK("proteomic_fractions_linear_files/Yang_linear_img/33563284.jpg", "33563284")</f>
        <v>33563284</v>
      </c>
      <c r="B1396" s="7"/>
      <c r="C1396" s="6" t="str">
        <f>HYPERLINK("http://www.ncbi.nlm.nih.gov/protein/33563284","Cops6")</f>
        <v>Cops6</v>
      </c>
      <c r="D1396" s="8"/>
      <c r="E1396" s="8">
        <v>35749</v>
      </c>
      <c r="F1396" s="8"/>
      <c r="G1396" s="15" t="s">
        <v>10</v>
      </c>
      <c r="H1396" s="15" t="s">
        <v>10</v>
      </c>
      <c r="I1396" s="15">
        <v>0.89122424599259964</v>
      </c>
      <c r="J1396" s="15">
        <v>0.89122424599259964</v>
      </c>
      <c r="K1396" s="15">
        <v>0.95981601473542177</v>
      </c>
      <c r="L1396" s="15">
        <v>0.95981601473542177</v>
      </c>
      <c r="M1396" s="15">
        <v>0.89122424599259964</v>
      </c>
      <c r="N1396" s="15">
        <v>0.89122424599259964</v>
      </c>
      <c r="O1396" s="15">
        <v>0.83015019143647584</v>
      </c>
      <c r="P1396" s="15">
        <v>0.83015019143647584</v>
      </c>
      <c r="Q1396" s="8"/>
      <c r="R1396" s="9" t="s">
        <v>1391</v>
      </c>
    </row>
    <row r="1397" spans="1:18" x14ac:dyDescent="0.25">
      <c r="A1397" s="6" t="str">
        <f>HYPERLINK("proteomic_fractions_linear_files/Yang_linear_img/255760052.jpg", "255760052")</f>
        <v>255760052</v>
      </c>
      <c r="B1397" s="7"/>
      <c r="C1397" s="6" t="str">
        <f>HYPERLINK("http://www.ncbi.nlm.nih.gov/protein/255760052","Cops7a")</f>
        <v>Cops7a</v>
      </c>
      <c r="D1397" s="8"/>
      <c r="E1397" s="8">
        <v>30274</v>
      </c>
      <c r="F1397" s="8"/>
      <c r="G1397" s="15" t="s">
        <v>10</v>
      </c>
      <c r="H1397" s="15" t="s">
        <v>10</v>
      </c>
      <c r="I1397" s="15">
        <v>0.87167527051416671</v>
      </c>
      <c r="J1397" s="15">
        <v>0.87167527051416671</v>
      </c>
      <c r="K1397" s="15">
        <v>0.93060704325606869</v>
      </c>
      <c r="L1397" s="15">
        <v>0.93060704325606869</v>
      </c>
      <c r="M1397" s="15">
        <v>0.87167527051416671</v>
      </c>
      <c r="N1397" s="15">
        <v>0.87167527051416671</v>
      </c>
      <c r="O1397" s="15">
        <v>0.77031911249058149</v>
      </c>
      <c r="P1397" s="15">
        <v>0.77031911249058149</v>
      </c>
      <c r="Q1397" s="8"/>
      <c r="R1397" s="9" t="s">
        <v>1392</v>
      </c>
    </row>
    <row r="1398" spans="1:18" x14ac:dyDescent="0.25">
      <c r="A1398" s="6" t="str">
        <f>HYPERLINK("proteomic_fractions_linear_files/Yang_linear_img/7242142.jpg", "7242142")</f>
        <v>7242142</v>
      </c>
      <c r="B1398" s="7"/>
      <c r="C1398" s="6" t="str">
        <f>HYPERLINK("http://www.ncbi.nlm.nih.gov/protein/7242142","Cops7a")</f>
        <v>Cops7a</v>
      </c>
      <c r="D1398" s="8"/>
      <c r="E1398" s="8">
        <v>30093</v>
      </c>
      <c r="F1398" s="8"/>
      <c r="G1398" s="15" t="s">
        <v>10</v>
      </c>
      <c r="H1398" s="15" t="s">
        <v>10</v>
      </c>
      <c r="I1398" s="15">
        <v>0.87167527051416671</v>
      </c>
      <c r="J1398" s="15">
        <v>0.87167527051416671</v>
      </c>
      <c r="K1398" s="15">
        <v>0.93060704325606869</v>
      </c>
      <c r="L1398" s="15">
        <v>0.93060704325606869</v>
      </c>
      <c r="M1398" s="15">
        <v>0.87167527051416671</v>
      </c>
      <c r="N1398" s="15">
        <v>0.87167527051416671</v>
      </c>
      <c r="O1398" s="15">
        <v>0.77031911249058149</v>
      </c>
      <c r="P1398" s="15">
        <v>0.77031911249058149</v>
      </c>
      <c r="Q1398" s="8"/>
      <c r="R1398" s="9" t="s">
        <v>1393</v>
      </c>
    </row>
    <row r="1399" spans="1:18" x14ac:dyDescent="0.25">
      <c r="A1399" s="6" t="str">
        <f>HYPERLINK("proteomic_fractions_linear_files/Yang_linear_img/27764886.jpg", "27764886")</f>
        <v>27764886</v>
      </c>
      <c r="B1399" s="7"/>
      <c r="C1399" s="6" t="str">
        <f>HYPERLINK("http://www.ncbi.nlm.nih.gov/protein/27764886","Cops7b")</f>
        <v>Cops7b</v>
      </c>
      <c r="D1399" s="8"/>
      <c r="E1399" s="8">
        <v>29558</v>
      </c>
      <c r="F1399" s="8"/>
      <c r="G1399" s="15" t="s">
        <v>10</v>
      </c>
      <c r="H1399" s="15" t="s">
        <v>10</v>
      </c>
      <c r="I1399" s="15">
        <v>0.87167527051416671</v>
      </c>
      <c r="J1399" s="15">
        <v>0.87167527051416671</v>
      </c>
      <c r="K1399" s="15" t="s">
        <v>10</v>
      </c>
      <c r="L1399" s="15" t="s">
        <v>10</v>
      </c>
      <c r="M1399" s="15">
        <v>0.93060704325606869</v>
      </c>
      <c r="N1399" s="15">
        <v>0.87167527051416671</v>
      </c>
      <c r="O1399" s="15">
        <v>0.77031911249058149</v>
      </c>
      <c r="P1399" s="15">
        <v>0.77031911249058149</v>
      </c>
      <c r="Q1399" s="8"/>
      <c r="R1399" s="9" t="s">
        <v>1394</v>
      </c>
    </row>
    <row r="1400" spans="1:18" x14ac:dyDescent="0.25">
      <c r="A1400" s="6" t="str">
        <f>HYPERLINK("proteomic_fractions_linear_files/Yang_linear_img/114158691.jpg", "114158691")</f>
        <v>114158691</v>
      </c>
      <c r="B1400" s="7"/>
      <c r="C1400" s="6" t="str">
        <f>HYPERLINK("http://www.ncbi.nlm.nih.gov/protein/114158691","Cops8")</f>
        <v>Cops8</v>
      </c>
      <c r="D1400" s="8"/>
      <c r="E1400" s="8">
        <v>23125</v>
      </c>
      <c r="F1400" s="8"/>
      <c r="G1400" s="15">
        <v>0.80414344193756893</v>
      </c>
      <c r="H1400" s="15">
        <v>0.80414344193756893</v>
      </c>
      <c r="I1400" s="15">
        <v>0.84787607947979449</v>
      </c>
      <c r="J1400" s="15">
        <v>0.84787607947979449</v>
      </c>
      <c r="K1400" s="15">
        <v>0.84787607947979449</v>
      </c>
      <c r="L1400" s="15">
        <v>0.84787607947979449</v>
      </c>
      <c r="M1400" s="15">
        <v>0.89554092115896833</v>
      </c>
      <c r="N1400" s="15">
        <v>0.89554092115896833</v>
      </c>
      <c r="O1400" s="15">
        <v>0.84787607947979449</v>
      </c>
      <c r="P1400" s="15">
        <v>0.84787607947979449</v>
      </c>
      <c r="Q1400" s="8"/>
      <c r="R1400" s="9" t="s">
        <v>1395</v>
      </c>
    </row>
    <row r="1401" spans="1:18" x14ac:dyDescent="0.25">
      <c r="A1401" s="6" t="str">
        <f>HYPERLINK("proteomic_fractions_linear_files/Yang_linear_img/9789913.jpg", "9789913")</f>
        <v>9789913</v>
      </c>
      <c r="B1401" s="7"/>
      <c r="C1401" s="6" t="str">
        <f>HYPERLINK("http://www.ncbi.nlm.nih.gov/protein/9789913","Copz1")</f>
        <v>Copz1</v>
      </c>
      <c r="D1401" s="8"/>
      <c r="E1401" s="8">
        <v>20067</v>
      </c>
      <c r="F1401" s="8"/>
      <c r="G1401" s="15">
        <v>0.83582372603035116</v>
      </c>
      <c r="H1401" s="15">
        <v>0.83582372603035116</v>
      </c>
      <c r="I1401" s="15">
        <v>0.87849698826794831</v>
      </c>
      <c r="J1401" s="15">
        <v>0.87849698826794831</v>
      </c>
      <c r="K1401" s="15">
        <v>0.87849698826794831</v>
      </c>
      <c r="L1401" s="15">
        <v>0.87849698826794831</v>
      </c>
      <c r="M1401" s="15">
        <v>0.87849698826794831</v>
      </c>
      <c r="N1401" s="15">
        <v>0.87849698826794831</v>
      </c>
      <c r="O1401" s="15">
        <v>0.87849698826794831</v>
      </c>
      <c r="P1401" s="15">
        <v>0.87849698826794831</v>
      </c>
      <c r="Q1401" s="8"/>
      <c r="R1401" s="9" t="s">
        <v>1396</v>
      </c>
    </row>
    <row r="1402" spans="1:18" x14ac:dyDescent="0.25">
      <c r="A1402" s="6" t="str">
        <f>HYPERLINK("proteomic_fractions_linear_files/Yang_linear_img/9845242.jpg", "9845242")</f>
        <v>9845242</v>
      </c>
      <c r="B1402" s="7"/>
      <c r="C1402" s="6" t="str">
        <f>HYPERLINK("http://www.ncbi.nlm.nih.gov/protein/9845242","Copz2")</f>
        <v>Copz2</v>
      </c>
      <c r="D1402" s="8"/>
      <c r="E1402" s="8">
        <v>22803</v>
      </c>
      <c r="F1402" s="8"/>
      <c r="G1402" s="15" t="s">
        <v>10</v>
      </c>
      <c r="H1402" s="15" t="s">
        <v>10</v>
      </c>
      <c r="I1402" s="15" t="s">
        <v>10</v>
      </c>
      <c r="J1402" s="15" t="s">
        <v>10</v>
      </c>
      <c r="K1402" s="15">
        <v>0.94764096829038047</v>
      </c>
      <c r="L1402" s="15">
        <v>0.94764096829038047</v>
      </c>
      <c r="M1402" s="15">
        <v>0.94764096829038047</v>
      </c>
      <c r="N1402" s="15">
        <v>0.94764096829038047</v>
      </c>
      <c r="O1402" s="15">
        <v>0.94764096829038047</v>
      </c>
      <c r="P1402" s="15">
        <v>0.94764096829038047</v>
      </c>
      <c r="Q1402" s="8"/>
      <c r="R1402" s="9" t="s">
        <v>1397</v>
      </c>
    </row>
    <row r="1403" spans="1:18" x14ac:dyDescent="0.25">
      <c r="A1403" s="6" t="str">
        <f>HYPERLINK("proteomic_fractions_linear_files/Yang_linear_img/27369992.jpg", "27369992")</f>
        <v>27369992</v>
      </c>
      <c r="B1403" s="7"/>
      <c r="C1403" s="6" t="str">
        <f>HYPERLINK("http://www.ncbi.nlm.nih.gov/protein/27369992","Coq3")</f>
        <v>Coq3</v>
      </c>
      <c r="D1403" s="8"/>
      <c r="E1403" s="8">
        <v>31123</v>
      </c>
      <c r="F1403" s="8"/>
      <c r="G1403" s="15" t="s">
        <v>10</v>
      </c>
      <c r="H1403" s="15" t="s">
        <v>10</v>
      </c>
      <c r="I1403" s="15">
        <v>0.7289123632125154</v>
      </c>
      <c r="J1403" s="15">
        <v>0.7289123632125154</v>
      </c>
      <c r="K1403" s="15" t="s">
        <v>10</v>
      </c>
      <c r="L1403" s="15" t="s">
        <v>10</v>
      </c>
      <c r="M1403" s="15" t="s">
        <v>10</v>
      </c>
      <c r="N1403" s="15" t="s">
        <v>10</v>
      </c>
      <c r="O1403" s="15" t="s">
        <v>10</v>
      </c>
      <c r="P1403" s="15" t="s">
        <v>10</v>
      </c>
      <c r="Q1403" s="8"/>
      <c r="R1403" s="9" t="s">
        <v>1398</v>
      </c>
    </row>
    <row r="1404" spans="1:18" x14ac:dyDescent="0.25">
      <c r="A1404" s="6" t="str">
        <f>HYPERLINK("proteomic_fractions_linear_files/Yang_linear_img/30520093.jpg", "30520093")</f>
        <v>30520093</v>
      </c>
      <c r="B1404" s="7"/>
      <c r="C1404" s="6" t="str">
        <f>HYPERLINK("http://www.ncbi.nlm.nih.gov/protein/30520093","Coq4")</f>
        <v>Coq4</v>
      </c>
      <c r="D1404" s="8"/>
      <c r="E1404" s="8">
        <v>26623</v>
      </c>
      <c r="F1404" s="8"/>
      <c r="G1404" s="15" t="s">
        <v>10</v>
      </c>
      <c r="H1404" s="15" t="s">
        <v>10</v>
      </c>
      <c r="I1404" s="15">
        <v>0.855910124989535</v>
      </c>
      <c r="J1404" s="15">
        <v>0.855910124989535</v>
      </c>
      <c r="K1404" s="15" t="s">
        <v>10</v>
      </c>
      <c r="L1404" s="15" t="s">
        <v>10</v>
      </c>
      <c r="M1404" s="15" t="s">
        <v>10</v>
      </c>
      <c r="N1404" s="15" t="s">
        <v>10</v>
      </c>
      <c r="O1404" s="15" t="s">
        <v>10</v>
      </c>
      <c r="P1404" s="15" t="s">
        <v>10</v>
      </c>
      <c r="Q1404" s="8"/>
      <c r="R1404" s="9" t="s">
        <v>1399</v>
      </c>
    </row>
    <row r="1405" spans="1:18" x14ac:dyDescent="0.25">
      <c r="A1405" s="6" t="str">
        <f>HYPERLINK("proteomic_fractions_linear_files/Yang_linear_img/13385992.jpg", "13385992")</f>
        <v>13385992</v>
      </c>
      <c r="B1405" s="7"/>
      <c r="C1405" s="6" t="str">
        <f>HYPERLINK("http://www.ncbi.nlm.nih.gov/protein/13385992","Coq5")</f>
        <v>Coq5</v>
      </c>
      <c r="D1405" s="8"/>
      <c r="E1405" s="8">
        <v>31701</v>
      </c>
      <c r="F1405" s="8"/>
      <c r="G1405" s="15" t="s">
        <v>10</v>
      </c>
      <c r="H1405" s="15" t="s">
        <v>10</v>
      </c>
      <c r="I1405" s="15">
        <v>0.81719556610703126</v>
      </c>
      <c r="J1405" s="15">
        <v>0.81719556610703126</v>
      </c>
      <c r="K1405" s="15" t="s">
        <v>10</v>
      </c>
      <c r="L1405" s="15" t="s">
        <v>10</v>
      </c>
      <c r="M1405" s="15" t="s">
        <v>10</v>
      </c>
      <c r="N1405" s="15" t="s">
        <v>10</v>
      </c>
      <c r="O1405" s="15" t="s">
        <v>10</v>
      </c>
      <c r="P1405" s="15" t="s">
        <v>10</v>
      </c>
      <c r="Q1405" s="8"/>
      <c r="R1405" s="9" t="s">
        <v>1400</v>
      </c>
    </row>
    <row r="1406" spans="1:18" x14ac:dyDescent="0.25">
      <c r="A1406" s="6" t="str">
        <f>HYPERLINK("proteomic_fractions_linear_files/Yang_linear_img/283135186.jpg", "283135186")</f>
        <v>283135186</v>
      </c>
      <c r="B1406" s="7"/>
      <c r="C1406" s="6" t="str">
        <f>HYPERLINK("http://www.ncbi.nlm.nih.gov/protein/283135186","Coq6")</f>
        <v>Coq6</v>
      </c>
      <c r="D1406" s="8"/>
      <c r="E1406" s="8">
        <v>47652</v>
      </c>
      <c r="F1406" s="8"/>
      <c r="G1406" s="15" t="s">
        <v>10</v>
      </c>
      <c r="H1406" s="15" t="s">
        <v>10</v>
      </c>
      <c r="I1406" s="15" t="s">
        <v>10</v>
      </c>
      <c r="J1406" s="15" t="s">
        <v>10</v>
      </c>
      <c r="K1406" s="15">
        <v>0.34115254123687799</v>
      </c>
      <c r="L1406" s="15">
        <v>0.34115254123687799</v>
      </c>
      <c r="M1406" s="15" t="s">
        <v>10</v>
      </c>
      <c r="N1406" s="15" t="s">
        <v>10</v>
      </c>
      <c r="O1406" s="15" t="s">
        <v>10</v>
      </c>
      <c r="P1406" s="15" t="s">
        <v>10</v>
      </c>
      <c r="Q1406" s="8"/>
      <c r="R1406" s="9" t="s">
        <v>1401</v>
      </c>
    </row>
    <row r="1407" spans="1:18" x14ac:dyDescent="0.25">
      <c r="A1407" s="6" t="str">
        <f>HYPERLINK("proteomic_fractions_linear_files/Yang_linear_img/20587962.jpg", "20587962")</f>
        <v>20587962</v>
      </c>
      <c r="B1407" s="7"/>
      <c r="C1407" s="6" t="str">
        <f>HYPERLINK("http://www.ncbi.nlm.nih.gov/protein/20587962","Coq7")</f>
        <v>Coq7</v>
      </c>
      <c r="D1407" s="8"/>
      <c r="E1407" s="8">
        <v>21744</v>
      </c>
      <c r="F1407" s="8"/>
      <c r="G1407" s="15" t="s">
        <v>10</v>
      </c>
      <c r="H1407" s="15" t="s">
        <v>10</v>
      </c>
      <c r="I1407" s="15">
        <v>0.92476495822820426</v>
      </c>
      <c r="J1407" s="15">
        <v>0.92476495822820426</v>
      </c>
      <c r="K1407" s="15" t="s">
        <v>10</v>
      </c>
      <c r="L1407" s="15" t="s">
        <v>10</v>
      </c>
      <c r="M1407" s="15" t="s">
        <v>10</v>
      </c>
      <c r="N1407" s="15" t="s">
        <v>10</v>
      </c>
      <c r="O1407" s="15" t="s">
        <v>10</v>
      </c>
      <c r="P1407" s="15" t="s">
        <v>10</v>
      </c>
      <c r="Q1407" s="8"/>
      <c r="R1407" s="9" t="s">
        <v>1402</v>
      </c>
    </row>
    <row r="1408" spans="1:18" x14ac:dyDescent="0.25">
      <c r="A1408" s="6" t="str">
        <f>HYPERLINK("proteomic_fractions_linear_files/Yang_linear_img/33859690.jpg", "33859690")</f>
        <v>33859690</v>
      </c>
      <c r="B1408" s="7"/>
      <c r="C1408" s="6" t="str">
        <f>HYPERLINK("http://www.ncbi.nlm.nih.gov/protein/33859690","Coq9")</f>
        <v>Coq9</v>
      </c>
      <c r="D1408" s="8"/>
      <c r="E1408" s="8">
        <v>30241</v>
      </c>
      <c r="F1408" s="8"/>
      <c r="G1408" s="15">
        <v>0.93060704325606869</v>
      </c>
      <c r="H1408" s="15">
        <v>0.93060704325606869</v>
      </c>
      <c r="I1408" s="15">
        <v>0.93060704325606869</v>
      </c>
      <c r="J1408" s="15">
        <v>0.93060704325606869</v>
      </c>
      <c r="K1408" s="15" t="s">
        <v>10</v>
      </c>
      <c r="L1408" s="15" t="s">
        <v>10</v>
      </c>
      <c r="M1408" s="15" t="s">
        <v>10</v>
      </c>
      <c r="N1408" s="15" t="s">
        <v>10</v>
      </c>
      <c r="O1408" s="15">
        <v>0.87167527051416671</v>
      </c>
      <c r="P1408" s="15">
        <v>0.87167527051416671</v>
      </c>
      <c r="Q1408" s="8"/>
      <c r="R1408" s="9" t="s">
        <v>1403</v>
      </c>
    </row>
    <row r="1409" spans="1:18" x14ac:dyDescent="0.25">
      <c r="A1409" s="6" t="str">
        <f>HYPERLINK("proteomic_fractions_linear_files/Yang_linear_img/6753494.jpg", "6753494")</f>
        <v>6753494</v>
      </c>
      <c r="B1409" s="7"/>
      <c r="C1409" s="6" t="str">
        <f>HYPERLINK("http://www.ncbi.nlm.nih.gov/protein/6753494","Coro1b")</f>
        <v>Coro1b</v>
      </c>
      <c r="D1409" s="8"/>
      <c r="E1409" s="8">
        <v>53781</v>
      </c>
      <c r="F1409" s="8"/>
      <c r="G1409" s="15">
        <v>1.5388640457989604</v>
      </c>
      <c r="H1409" s="15">
        <v>1.359928893364486</v>
      </c>
      <c r="I1409" s="15">
        <v>1.2120974690841544</v>
      </c>
      <c r="J1409" s="15">
        <v>1.2120974690841544</v>
      </c>
      <c r="K1409" s="15">
        <v>1.2120974690841544</v>
      </c>
      <c r="L1409" s="15">
        <v>1.2120974690841544</v>
      </c>
      <c r="M1409" s="15">
        <v>1.2120974690841544</v>
      </c>
      <c r="N1409" s="15">
        <v>1.2120974690841544</v>
      </c>
      <c r="O1409" s="15">
        <v>1.0883927330665528</v>
      </c>
      <c r="P1409" s="15">
        <v>1.0883927330665528</v>
      </c>
      <c r="Q1409" s="8"/>
      <c r="R1409" s="9" t="s">
        <v>1404</v>
      </c>
    </row>
    <row r="1410" spans="1:18" x14ac:dyDescent="0.25">
      <c r="A1410" s="6" t="str">
        <f>HYPERLINK("proteomic_fractions_linear_files/Yang_linear_img/31542413.jpg", "31542413")</f>
        <v>31542413</v>
      </c>
      <c r="B1410" s="7"/>
      <c r="C1410" s="6" t="str">
        <f>HYPERLINK("http://www.ncbi.nlm.nih.gov/protein/31542413","Coro1c")</f>
        <v>Coro1c</v>
      </c>
      <c r="D1410" s="8"/>
      <c r="E1410" s="8">
        <v>52990</v>
      </c>
      <c r="F1410" s="8"/>
      <c r="G1410" s="15">
        <v>1.2349672326517798</v>
      </c>
      <c r="H1410" s="15">
        <v>1.2349672326517798</v>
      </c>
      <c r="I1410" s="15">
        <v>1.0022748986792656</v>
      </c>
      <c r="J1410" s="15">
        <v>1.0022748986792656</v>
      </c>
      <c r="K1410" s="15">
        <v>1.1089284450112047</v>
      </c>
      <c r="L1410" s="15">
        <v>1.1089284450112047</v>
      </c>
      <c r="M1410" s="15">
        <v>1.0022748986792656</v>
      </c>
      <c r="N1410" s="15">
        <v>1.0022748986792656</v>
      </c>
      <c r="O1410" s="15">
        <v>0.91113161480028781</v>
      </c>
      <c r="P1410" s="15">
        <v>0.91113161480028781</v>
      </c>
      <c r="Q1410" s="8"/>
      <c r="R1410" s="9" t="s">
        <v>1405</v>
      </c>
    </row>
    <row r="1411" spans="1:18" x14ac:dyDescent="0.25">
      <c r="A1411" s="6" t="str">
        <f>HYPERLINK("proteomic_fractions_linear_files/Yang_linear_img/258645152.jpg", "258645152")</f>
        <v>258645152</v>
      </c>
      <c r="B1411" s="7"/>
      <c r="C1411" s="6" t="str">
        <f>HYPERLINK("http://www.ncbi.nlm.nih.gov/protein/258645152","Coro2a")</f>
        <v>Coro2a</v>
      </c>
      <c r="D1411" s="8"/>
      <c r="E1411" s="8">
        <v>59442</v>
      </c>
      <c r="F1411" s="8"/>
      <c r="G1411" s="15" t="s">
        <v>10</v>
      </c>
      <c r="H1411" s="15" t="s">
        <v>10</v>
      </c>
      <c r="I1411" s="15">
        <v>0.99615606077277719</v>
      </c>
      <c r="J1411" s="15">
        <v>0.99615606077277719</v>
      </c>
      <c r="K1411" s="15">
        <v>1.1093773445854971</v>
      </c>
      <c r="L1411" s="15">
        <v>1.1093773445854971</v>
      </c>
      <c r="M1411" s="15">
        <v>0.99615606077277719</v>
      </c>
      <c r="N1411" s="15">
        <v>0.99615606077277719</v>
      </c>
      <c r="O1411" s="15" t="s">
        <v>10</v>
      </c>
      <c r="P1411" s="15" t="s">
        <v>10</v>
      </c>
      <c r="Q1411" s="8"/>
      <c r="R1411" s="9" t="s">
        <v>1406</v>
      </c>
    </row>
    <row r="1412" spans="1:18" x14ac:dyDescent="0.25">
      <c r="A1412" s="6" t="str">
        <f>HYPERLINK("proteomic_fractions_linear_files/Yang_linear_img/404501474.jpg", "404501474")</f>
        <v>404501474</v>
      </c>
      <c r="B1412" s="7"/>
      <c r="C1412" s="6" t="str">
        <f>HYPERLINK("http://www.ncbi.nlm.nih.gov/protein/404501474","Coro2a")</f>
        <v>Coro2a</v>
      </c>
      <c r="D1412" s="8"/>
      <c r="E1412" s="8">
        <v>61578</v>
      </c>
      <c r="F1412" s="8"/>
      <c r="G1412" s="15" t="s">
        <v>10</v>
      </c>
      <c r="H1412" s="15" t="s">
        <v>10</v>
      </c>
      <c r="I1412" s="15">
        <v>0.9479549610579654</v>
      </c>
      <c r="J1412" s="15">
        <v>0.9479549610579654</v>
      </c>
      <c r="K1412" s="15">
        <v>1.0556977956539408</v>
      </c>
      <c r="L1412" s="15">
        <v>1.0556977956539408</v>
      </c>
      <c r="M1412" s="15">
        <v>0.9479549610579654</v>
      </c>
      <c r="N1412" s="15">
        <v>0.9479549610579654</v>
      </c>
      <c r="O1412" s="15" t="s">
        <v>10</v>
      </c>
      <c r="P1412" s="15" t="s">
        <v>10</v>
      </c>
      <c r="Q1412" s="8"/>
      <c r="R1412" s="9" t="s">
        <v>1407</v>
      </c>
    </row>
    <row r="1413" spans="1:18" x14ac:dyDescent="0.25">
      <c r="A1413" s="6" t="str">
        <f>HYPERLINK("proteomic_fractions_linear_files/Yang_linear_img/148747331.jpg", "148747331")</f>
        <v>148747331</v>
      </c>
      <c r="B1413" s="7"/>
      <c r="C1413" s="6" t="str">
        <f>HYPERLINK("http://www.ncbi.nlm.nih.gov/protein/148747331","Coro7")</f>
        <v>Coro7</v>
      </c>
      <c r="D1413" s="8"/>
      <c r="E1413" s="8">
        <v>100682</v>
      </c>
      <c r="F1413" s="8"/>
      <c r="G1413" s="15" t="s">
        <v>10</v>
      </c>
      <c r="H1413" s="15" t="s">
        <v>10</v>
      </c>
      <c r="I1413" s="15">
        <v>1.0871441962488264</v>
      </c>
      <c r="J1413" s="15">
        <v>1.0871441962488264</v>
      </c>
      <c r="K1413" s="15">
        <v>1.2744715657932373</v>
      </c>
      <c r="L1413" s="15">
        <v>1.2744715657932373</v>
      </c>
      <c r="M1413" s="15">
        <v>1.2744715657932373</v>
      </c>
      <c r="N1413" s="15">
        <v>1.2744715657932373</v>
      </c>
      <c r="O1413" s="15">
        <v>1.2744715657932373</v>
      </c>
      <c r="P1413" s="15">
        <v>1.2744715657932373</v>
      </c>
      <c r="Q1413" s="8"/>
      <c r="R1413" s="9" t="s">
        <v>1408</v>
      </c>
    </row>
    <row r="1414" spans="1:18" x14ac:dyDescent="0.25">
      <c r="A1414" s="6" t="str">
        <f>HYPERLINK("proteomic_fractions_linear_files/Yang_linear_img/19482160.jpg", "19482160")</f>
        <v>19482160</v>
      </c>
      <c r="B1414" s="7"/>
      <c r="C1414" s="6" t="str">
        <f>HYPERLINK("http://www.ncbi.nlm.nih.gov/protein/19482160","Cotl1")</f>
        <v>Cotl1</v>
      </c>
      <c r="D1414" s="8"/>
      <c r="E1414" s="8">
        <v>15813</v>
      </c>
      <c r="F1414" s="8"/>
      <c r="G1414" s="15" t="s">
        <v>10</v>
      </c>
      <c r="H1414" s="15" t="s">
        <v>10</v>
      </c>
      <c r="I1414" s="15">
        <v>0.90734210761689671</v>
      </c>
      <c r="J1414" s="15">
        <v>0.90734210761689671</v>
      </c>
      <c r="K1414" s="15">
        <v>0.94977114336339286</v>
      </c>
      <c r="L1414" s="15">
        <v>0.94977114336339286</v>
      </c>
      <c r="M1414" s="15">
        <v>0.94977114336339286</v>
      </c>
      <c r="N1414" s="15">
        <v>0.94977114336339286</v>
      </c>
      <c r="O1414" s="15">
        <v>0.90734210761689671</v>
      </c>
      <c r="P1414" s="15">
        <v>0.90734210761689671</v>
      </c>
      <c r="Q1414" s="8"/>
      <c r="R1414" s="9" t="s">
        <v>1409</v>
      </c>
    </row>
    <row r="1415" spans="1:18" x14ac:dyDescent="0.25">
      <c r="A1415" s="6" t="str">
        <f>HYPERLINK("proteomic_fractions_linear_files/Yang_linear_img/167716839.jpg", "167716839")</f>
        <v>167716839</v>
      </c>
      <c r="B1415" s="7"/>
      <c r="C1415" s="6" t="str">
        <f>HYPERLINK("http://www.ncbi.nlm.nih.gov/protein/167716839","COX1")</f>
        <v>COX1</v>
      </c>
      <c r="D1415" s="8"/>
      <c r="E1415" s="8">
        <v>56809</v>
      </c>
      <c r="F1415" s="8"/>
      <c r="G1415" s="15">
        <v>0.77413314468360472</v>
      </c>
      <c r="H1415" s="15">
        <v>0.77413314468360472</v>
      </c>
      <c r="I1415" s="15">
        <v>0.56287847115322087</v>
      </c>
      <c r="J1415" s="15">
        <v>0.56287847115322087</v>
      </c>
      <c r="K1415" s="15" t="s">
        <v>10</v>
      </c>
      <c r="L1415" s="15" t="s">
        <v>10</v>
      </c>
      <c r="M1415" s="15" t="s">
        <v>10</v>
      </c>
      <c r="N1415" s="15" t="s">
        <v>10</v>
      </c>
      <c r="O1415" s="15" t="s">
        <v>10</v>
      </c>
      <c r="P1415" s="15" t="s">
        <v>10</v>
      </c>
      <c r="Q1415" s="8"/>
      <c r="R1415" s="9" t="s">
        <v>1410</v>
      </c>
    </row>
    <row r="1416" spans="1:18" x14ac:dyDescent="0.25">
      <c r="A1416" s="6" t="str">
        <f>HYPERLINK("proteomic_fractions_linear_files/Yang_linear_img/34538600.jpg", "34538600")</f>
        <v>34538600</v>
      </c>
      <c r="B1416" s="7"/>
      <c r="C1416" s="6" t="str">
        <f>HYPERLINK("http://www.ncbi.nlm.nih.gov/protein/34538600","COX1")</f>
        <v>COX1</v>
      </c>
      <c r="D1416" s="8"/>
      <c r="E1416" s="8">
        <v>56779</v>
      </c>
      <c r="F1416" s="8"/>
      <c r="G1416" s="15">
        <v>0.77413314468360472</v>
      </c>
      <c r="H1416" s="15">
        <v>0.77413314468360472</v>
      </c>
      <c r="I1416" s="15">
        <v>0.56287847115322087</v>
      </c>
      <c r="J1416" s="15">
        <v>0.56287847115322087</v>
      </c>
      <c r="K1416" s="15" t="s">
        <v>10</v>
      </c>
      <c r="L1416" s="15" t="s">
        <v>10</v>
      </c>
      <c r="M1416" s="15" t="s">
        <v>10</v>
      </c>
      <c r="N1416" s="15" t="s">
        <v>10</v>
      </c>
      <c r="O1416" s="15" t="s">
        <v>10</v>
      </c>
      <c r="P1416" s="15" t="s">
        <v>10</v>
      </c>
      <c r="Q1416" s="8"/>
      <c r="R1416" s="9" t="s">
        <v>1411</v>
      </c>
    </row>
    <row r="1417" spans="1:18" x14ac:dyDescent="0.25">
      <c r="A1417" s="6" t="str">
        <f>HYPERLINK("proteomic_fractions_linear_files/Yang_linear_img/39841021.jpg", "39841021")</f>
        <v>39841021</v>
      </c>
      <c r="B1417" s="7"/>
      <c r="C1417" s="6" t="str">
        <f>HYPERLINK("http://www.ncbi.nlm.nih.gov/protein/39841021","Cox11")</f>
        <v>Cox11</v>
      </c>
      <c r="D1417" s="8"/>
      <c r="E1417" s="8">
        <v>30718</v>
      </c>
      <c r="F1417" s="8"/>
      <c r="G1417" s="15" t="s">
        <v>10</v>
      </c>
      <c r="H1417" s="15" t="s">
        <v>10</v>
      </c>
      <c r="I1417" s="15">
        <v>0.70308846034447581</v>
      </c>
      <c r="J1417" s="15">
        <v>0.70308846034447581</v>
      </c>
      <c r="K1417" s="15" t="s">
        <v>10</v>
      </c>
      <c r="L1417" s="15" t="s">
        <v>10</v>
      </c>
      <c r="M1417" s="15" t="s">
        <v>10</v>
      </c>
      <c r="N1417" s="15" t="s">
        <v>10</v>
      </c>
      <c r="O1417" s="15" t="s">
        <v>10</v>
      </c>
      <c r="P1417" s="15" t="s">
        <v>10</v>
      </c>
      <c r="Q1417" s="8"/>
      <c r="R1417" s="9" t="s">
        <v>1412</v>
      </c>
    </row>
    <row r="1418" spans="1:18" x14ac:dyDescent="0.25">
      <c r="A1418" s="6" t="str">
        <f>HYPERLINK("proteomic_fractions_linear_files/Yang_linear_img/31541932.jpg", "31541932")</f>
        <v>31541932</v>
      </c>
      <c r="B1418" s="7"/>
      <c r="C1418" s="6" t="str">
        <f>HYPERLINK("http://www.ncbi.nlm.nih.gov/protein/31541932","Cox15")</f>
        <v>Cox15</v>
      </c>
      <c r="D1418" s="8"/>
      <c r="E1418" s="8">
        <v>45722</v>
      </c>
      <c r="F1418" s="8"/>
      <c r="G1418" s="15" t="s">
        <v>10</v>
      </c>
      <c r="H1418" s="15" t="s">
        <v>10</v>
      </c>
      <c r="I1418" s="15">
        <v>0.69747984468986057</v>
      </c>
      <c r="J1418" s="15">
        <v>0.69747984468986057</v>
      </c>
      <c r="K1418" s="15" t="s">
        <v>10</v>
      </c>
      <c r="L1418" s="15" t="s">
        <v>10</v>
      </c>
      <c r="M1418" s="15" t="s">
        <v>10</v>
      </c>
      <c r="N1418" s="15" t="s">
        <v>10</v>
      </c>
      <c r="O1418" s="15" t="s">
        <v>10</v>
      </c>
      <c r="P1418" s="15" t="s">
        <v>10</v>
      </c>
      <c r="Q1418" s="8"/>
      <c r="R1418" s="9" t="s">
        <v>1413</v>
      </c>
    </row>
    <row r="1419" spans="1:18" x14ac:dyDescent="0.25">
      <c r="A1419" s="6" t="str">
        <f>HYPERLINK("proteomic_fractions_linear_files/Yang_linear_img/13384872.jpg", "13384872")</f>
        <v>13384872</v>
      </c>
      <c r="B1419" s="7"/>
      <c r="C1419" s="6" t="str">
        <f>HYPERLINK("http://www.ncbi.nlm.nih.gov/protein/13384872","Cox16")</f>
        <v>Cox16</v>
      </c>
      <c r="D1419" s="8"/>
      <c r="E1419" s="8">
        <v>12135</v>
      </c>
      <c r="F1419" s="8"/>
      <c r="G1419" s="15">
        <v>1.1080886685834612</v>
      </c>
      <c r="H1419" s="15">
        <v>1.1080886685834612</v>
      </c>
      <c r="I1419" s="15" t="s">
        <v>10</v>
      </c>
      <c r="J1419" s="15" t="s">
        <v>10</v>
      </c>
      <c r="K1419" s="15" t="s">
        <v>10</v>
      </c>
      <c r="L1419" s="15" t="s">
        <v>10</v>
      </c>
      <c r="M1419" s="15" t="s">
        <v>10</v>
      </c>
      <c r="N1419" s="15" t="s">
        <v>10</v>
      </c>
      <c r="O1419" s="15" t="s">
        <v>10</v>
      </c>
      <c r="P1419" s="15" t="s">
        <v>10</v>
      </c>
      <c r="Q1419" s="8"/>
      <c r="R1419" s="9" t="s">
        <v>1414</v>
      </c>
    </row>
    <row r="1420" spans="1:18" x14ac:dyDescent="0.25">
      <c r="A1420" s="6" t="str">
        <f>HYPERLINK("proteomic_fractions_linear_files/Yang_linear_img/62945234.jpg", "62945234")</f>
        <v>62945234</v>
      </c>
      <c r="B1420" s="7"/>
      <c r="C1420" s="6" t="str">
        <f>HYPERLINK("http://www.ncbi.nlm.nih.gov/protein/62945234","Cox17")</f>
        <v>Cox17</v>
      </c>
      <c r="D1420" s="8"/>
      <c r="E1420" s="8">
        <v>6653</v>
      </c>
      <c r="F1420" s="8"/>
      <c r="G1420" s="15">
        <v>2.7858785468621821</v>
      </c>
      <c r="H1420" s="15">
        <v>2.7858785468621821</v>
      </c>
      <c r="I1420" s="15">
        <v>1.821031334562518</v>
      </c>
      <c r="J1420" s="15">
        <v>1.821031334562518</v>
      </c>
      <c r="K1420" s="15">
        <v>1.7475516131901938</v>
      </c>
      <c r="L1420" s="15">
        <v>1.7475516131901938</v>
      </c>
      <c r="M1420" s="15" t="s">
        <v>10</v>
      </c>
      <c r="N1420" s="15" t="s">
        <v>10</v>
      </c>
      <c r="O1420" s="15">
        <v>1.7475516131901938</v>
      </c>
      <c r="P1420" s="15">
        <v>1.7475516131901938</v>
      </c>
      <c r="Q1420" s="8"/>
      <c r="R1420" s="9" t="s">
        <v>1415</v>
      </c>
    </row>
    <row r="1421" spans="1:18" x14ac:dyDescent="0.25">
      <c r="A1421" s="6" t="str">
        <f>HYPERLINK("proteomic_fractions_linear_files/Yang_linear_img/167716840.jpg", "167716840")</f>
        <v>167716840</v>
      </c>
      <c r="B1421" s="7"/>
      <c r="C1421" s="6" t="str">
        <f>HYPERLINK("http://www.ncbi.nlm.nih.gov/protein/167716840","COX2")</f>
        <v>COX2</v>
      </c>
      <c r="D1421" s="8"/>
      <c r="E1421" s="8">
        <v>25815</v>
      </c>
      <c r="F1421" s="8"/>
      <c r="G1421" s="15">
        <v>1.0737773576031562</v>
      </c>
      <c r="H1421" s="15">
        <v>1.0737773576031562</v>
      </c>
      <c r="I1421" s="15">
        <v>0.79220927640985661</v>
      </c>
      <c r="J1421" s="15">
        <v>0.79220927640985661</v>
      </c>
      <c r="K1421" s="15">
        <v>0.79220927640985661</v>
      </c>
      <c r="L1421" s="15">
        <v>0.79220927640985661</v>
      </c>
      <c r="M1421" s="15">
        <v>0.79220927640985661</v>
      </c>
      <c r="N1421" s="15">
        <v>0.79220927640985661</v>
      </c>
      <c r="O1421" s="15" t="s">
        <v>10</v>
      </c>
      <c r="P1421" s="15" t="s">
        <v>10</v>
      </c>
      <c r="Q1421" s="8"/>
      <c r="R1421" s="9" t="s">
        <v>1416</v>
      </c>
    </row>
    <row r="1422" spans="1:18" x14ac:dyDescent="0.25">
      <c r="A1422" s="6" t="str">
        <f>HYPERLINK("proteomic_fractions_linear_files/Yang_linear_img/34538601.jpg", "34538601")</f>
        <v>34538601</v>
      </c>
      <c r="B1422" s="7"/>
      <c r="C1422" s="6" t="str">
        <f>HYPERLINK("http://www.ncbi.nlm.nih.gov/protein/34538601","COX2")</f>
        <v>COX2</v>
      </c>
      <c r="D1422" s="8"/>
      <c r="E1422" s="8">
        <v>25845</v>
      </c>
      <c r="F1422" s="8"/>
      <c r="G1422" s="15">
        <v>1.0737773576031562</v>
      </c>
      <c r="H1422" s="15">
        <v>1.0737773576031562</v>
      </c>
      <c r="I1422" s="15">
        <v>0.79220927640985661</v>
      </c>
      <c r="J1422" s="15">
        <v>0.79220927640985661</v>
      </c>
      <c r="K1422" s="15">
        <v>0.79220927640985661</v>
      </c>
      <c r="L1422" s="15">
        <v>0.79220927640985661</v>
      </c>
      <c r="M1422" s="15">
        <v>0.79220927640985661</v>
      </c>
      <c r="N1422" s="15">
        <v>0.79220927640985661</v>
      </c>
      <c r="O1422" s="15" t="s">
        <v>10</v>
      </c>
      <c r="P1422" s="15" t="s">
        <v>10</v>
      </c>
      <c r="Q1422" s="8"/>
      <c r="R1422" s="9" t="s">
        <v>1417</v>
      </c>
    </row>
    <row r="1423" spans="1:18" x14ac:dyDescent="0.25">
      <c r="A1423" s="6" t="str">
        <f>HYPERLINK("proteomic_fractions_linear_files/Yang_linear_img/21313516.jpg", "21313516")</f>
        <v>21313516</v>
      </c>
      <c r="B1423" s="7"/>
      <c r="C1423" s="6" t="str">
        <f>HYPERLINK("http://www.ncbi.nlm.nih.gov/protein/21313516","Cox20")</f>
        <v>Cox20</v>
      </c>
      <c r="D1423" s="8"/>
      <c r="E1423" s="8">
        <v>13032</v>
      </c>
      <c r="F1423" s="8"/>
      <c r="G1423" s="15">
        <v>1.7776594903628804</v>
      </c>
      <c r="H1423" s="15">
        <v>1.6765955592829809</v>
      </c>
      <c r="I1423" s="15">
        <v>1.1689490995241758</v>
      </c>
      <c r="J1423" s="15">
        <v>1.1689490995241758</v>
      </c>
      <c r="K1423" s="15">
        <v>1.2251878294755212</v>
      </c>
      <c r="L1423" s="15">
        <v>1.2251878294755212</v>
      </c>
      <c r="M1423" s="15" t="s">
        <v>10</v>
      </c>
      <c r="N1423" s="15" t="s">
        <v>10</v>
      </c>
      <c r="O1423" s="15" t="s">
        <v>10</v>
      </c>
      <c r="P1423" s="15" t="s">
        <v>10</v>
      </c>
      <c r="Q1423" s="8"/>
      <c r="R1423" s="9" t="s">
        <v>1418</v>
      </c>
    </row>
    <row r="1424" spans="1:18" x14ac:dyDescent="0.25">
      <c r="A1424" s="6" t="str">
        <f>HYPERLINK("proteomic_fractions_linear_files/Yang_linear_img/226453481.jpg", "226453481")</f>
        <v>226453481</v>
      </c>
      <c r="B1424" s="7"/>
      <c r="C1424" s="6" t="str">
        <f>HYPERLINK("http://www.ncbi.nlm.nih.gov/protein/226453481","COX3")</f>
        <v>COX3</v>
      </c>
      <c r="D1424" s="8"/>
      <c r="E1424" s="8">
        <v>29765</v>
      </c>
      <c r="F1424" s="8"/>
      <c r="G1424" s="15">
        <v>7.7786949209283023</v>
      </c>
      <c r="H1424" s="15">
        <v>7.7786949209283023</v>
      </c>
      <c r="I1424" s="15">
        <v>0.65003832760117575</v>
      </c>
      <c r="J1424" s="15">
        <v>0.65003832760117575</v>
      </c>
      <c r="K1424" s="15">
        <v>0.68658137288854237</v>
      </c>
      <c r="L1424" s="15">
        <v>0.68658137288854237</v>
      </c>
      <c r="M1424" s="15" t="s">
        <v>10</v>
      </c>
      <c r="N1424" s="15" t="s">
        <v>10</v>
      </c>
      <c r="O1424" s="15" t="s">
        <v>10</v>
      </c>
      <c r="P1424" s="15" t="s">
        <v>10</v>
      </c>
      <c r="Q1424" s="8"/>
      <c r="R1424" s="9" t="s">
        <v>1419</v>
      </c>
    </row>
    <row r="1425" spans="1:18" x14ac:dyDescent="0.25">
      <c r="A1425" s="6" t="str">
        <f>HYPERLINK("proteomic_fractions_linear_files/Yang_linear_img/34538604.jpg", "34538604")</f>
        <v>34538604</v>
      </c>
      <c r="B1425" s="7"/>
      <c r="C1425" s="6" t="str">
        <f>HYPERLINK("http://www.ncbi.nlm.nih.gov/protein/34538604","COX3")</f>
        <v>COX3</v>
      </c>
      <c r="D1425" s="8"/>
      <c r="E1425" s="8">
        <v>29792</v>
      </c>
      <c r="F1425" s="8"/>
      <c r="G1425" s="15">
        <v>7.7786949209283023</v>
      </c>
      <c r="H1425" s="15">
        <v>7.7786949209283023</v>
      </c>
      <c r="I1425" s="15">
        <v>0.65003832760117575</v>
      </c>
      <c r="J1425" s="15">
        <v>0.65003832760117575</v>
      </c>
      <c r="K1425" s="15">
        <v>0.68658137288854237</v>
      </c>
      <c r="L1425" s="15">
        <v>0.68658137288854237</v>
      </c>
      <c r="M1425" s="15" t="s">
        <v>10</v>
      </c>
      <c r="N1425" s="15" t="s">
        <v>10</v>
      </c>
      <c r="O1425" s="15" t="s">
        <v>10</v>
      </c>
      <c r="P1425" s="15" t="s">
        <v>10</v>
      </c>
      <c r="Q1425" s="8"/>
      <c r="R1425" s="9" t="s">
        <v>1420</v>
      </c>
    </row>
    <row r="1426" spans="1:18" x14ac:dyDescent="0.25">
      <c r="A1426" s="6" t="str">
        <f>HYPERLINK("proteomic_fractions_linear_files/Yang_linear_img/6753498.jpg", "6753498")</f>
        <v>6753498</v>
      </c>
      <c r="B1426" s="7"/>
      <c r="C1426" s="6" t="str">
        <f>HYPERLINK("http://www.ncbi.nlm.nih.gov/protein/6753498","Cox4i1")</f>
        <v>Cox4i1</v>
      </c>
      <c r="D1426" s="8"/>
      <c r="E1426" s="8">
        <v>17202</v>
      </c>
      <c r="F1426" s="8"/>
      <c r="G1426" s="15">
        <v>0.85396904246296157</v>
      </c>
      <c r="H1426" s="15">
        <v>0.85396904246296157</v>
      </c>
      <c r="I1426" s="15">
        <v>0.89390225257731093</v>
      </c>
      <c r="J1426" s="15">
        <v>0.89390225257731093</v>
      </c>
      <c r="K1426" s="15">
        <v>0.89390225257731093</v>
      </c>
      <c r="L1426" s="15">
        <v>0.89390225257731093</v>
      </c>
      <c r="M1426" s="15">
        <v>0.89390225257731093</v>
      </c>
      <c r="N1426" s="15">
        <v>0.89390225257731093</v>
      </c>
      <c r="O1426" s="15" t="s">
        <v>10</v>
      </c>
      <c r="P1426" s="15" t="s">
        <v>10</v>
      </c>
      <c r="Q1426" s="8"/>
      <c r="R1426" s="9" t="s">
        <v>1421</v>
      </c>
    </row>
    <row r="1427" spans="1:18" x14ac:dyDescent="0.25">
      <c r="A1427" s="6" t="str">
        <f>HYPERLINK("proteomic_fractions_linear_files/Yang_linear_img/112181182.jpg", "112181182")</f>
        <v>112181182</v>
      </c>
      <c r="B1427" s="7"/>
      <c r="C1427" s="6" t="str">
        <f>HYPERLINK("http://www.ncbi.nlm.nih.gov/protein/112181182","Cox5a")</f>
        <v>Cox5a</v>
      </c>
      <c r="D1427" s="8"/>
      <c r="E1427" s="8">
        <v>12436</v>
      </c>
      <c r="F1427" s="8"/>
      <c r="G1427" s="15">
        <v>1.6250958190029394</v>
      </c>
      <c r="H1427" s="15">
        <v>1.6250958190029394</v>
      </c>
      <c r="I1427" s="15">
        <v>1.1571542083280542</v>
      </c>
      <c r="J1427" s="15">
        <v>1.1571542083280542</v>
      </c>
      <c r="K1427" s="15">
        <v>1.1571542083280542</v>
      </c>
      <c r="L1427" s="15">
        <v>1.1571542083280542</v>
      </c>
      <c r="M1427" s="15" t="s">
        <v>10</v>
      </c>
      <c r="N1427" s="15" t="s">
        <v>10</v>
      </c>
      <c r="O1427" s="15" t="s">
        <v>10</v>
      </c>
      <c r="P1427" s="15" t="s">
        <v>10</v>
      </c>
      <c r="Q1427" s="8"/>
      <c r="R1427" s="9" t="s">
        <v>1422</v>
      </c>
    </row>
    <row r="1428" spans="1:18" x14ac:dyDescent="0.25">
      <c r="A1428" s="6" t="str">
        <f>HYPERLINK("proteomic_fractions_linear_files/Yang_linear_img/13385090.jpg", "13385090")</f>
        <v>13385090</v>
      </c>
      <c r="B1428" s="7"/>
      <c r="C1428" s="6" t="str">
        <f>HYPERLINK("http://www.ncbi.nlm.nih.gov/protein/13385090","Cox6b1")</f>
        <v>Cox6b1</v>
      </c>
      <c r="D1428" s="8"/>
      <c r="E1428" s="8">
        <v>9940</v>
      </c>
      <c r="F1428" s="8"/>
      <c r="G1428" s="15">
        <v>1.8495299164564085</v>
      </c>
      <c r="H1428" s="15">
        <v>1.8495299164564085</v>
      </c>
      <c r="I1428" s="15">
        <v>1.2747219341937626</v>
      </c>
      <c r="J1428" s="15">
        <v>1.2747219341937626</v>
      </c>
      <c r="K1428" s="15">
        <v>1.2747219341937626</v>
      </c>
      <c r="L1428" s="15">
        <v>1.2747219341937626</v>
      </c>
      <c r="M1428" s="15" t="s">
        <v>10</v>
      </c>
      <c r="N1428" s="15" t="s">
        <v>10</v>
      </c>
      <c r="O1428" s="15" t="s">
        <v>10</v>
      </c>
      <c r="P1428" s="15" t="s">
        <v>10</v>
      </c>
      <c r="Q1428" s="8"/>
      <c r="R1428" s="9" t="s">
        <v>1423</v>
      </c>
    </row>
    <row r="1429" spans="1:18" x14ac:dyDescent="0.25">
      <c r="A1429" s="6" t="str">
        <f>HYPERLINK("proteomic_fractions_linear_files/Yang_linear_img/16716343.jpg", "16716343")</f>
        <v>16716343</v>
      </c>
      <c r="B1429" s="7"/>
      <c r="C1429" s="6" t="str">
        <f>HYPERLINK("http://www.ncbi.nlm.nih.gov/protein/16716343","Cox6c")</f>
        <v>Cox6c</v>
      </c>
      <c r="D1429" s="8"/>
      <c r="E1429" s="8">
        <v>8338</v>
      </c>
      <c r="F1429" s="8"/>
      <c r="G1429" s="15">
        <v>1.5291076615414196</v>
      </c>
      <c r="H1429" s="15">
        <v>1.5291076615414196</v>
      </c>
      <c r="I1429" s="15">
        <v>1.5934024177422033</v>
      </c>
      <c r="J1429" s="15">
        <v>1.5934024177422033</v>
      </c>
      <c r="K1429" s="15">
        <v>1.7357313124920812</v>
      </c>
      <c r="L1429" s="15">
        <v>1.7357313124920812</v>
      </c>
      <c r="M1429" s="15" t="s">
        <v>10</v>
      </c>
      <c r="N1429" s="15" t="s">
        <v>10</v>
      </c>
      <c r="O1429" s="15" t="s">
        <v>10</v>
      </c>
      <c r="P1429" s="15" t="s">
        <v>10</v>
      </c>
      <c r="Q1429" s="8"/>
      <c r="R1429" s="9" t="s">
        <v>1424</v>
      </c>
    </row>
    <row r="1430" spans="1:18" x14ac:dyDescent="0.25">
      <c r="A1430" s="6" t="str">
        <f>HYPERLINK("proteomic_fractions_linear_files/Yang_linear_img/31981830.jpg", "31981830")</f>
        <v>31981830</v>
      </c>
      <c r="B1430" s="7"/>
      <c r="C1430" s="6" t="str">
        <f>HYPERLINK("http://www.ncbi.nlm.nih.gov/protein/31981830","Cox7a2")</f>
        <v>Cox7a2</v>
      </c>
      <c r="D1430" s="8"/>
      <c r="E1430" s="8">
        <v>6573</v>
      </c>
      <c r="F1430" s="8"/>
      <c r="G1430" s="15">
        <v>2.5099913950512809</v>
      </c>
      <c r="H1430" s="15">
        <v>2.5099913950512809</v>
      </c>
      <c r="I1430" s="15">
        <v>1.6787022322605194</v>
      </c>
      <c r="J1430" s="15">
        <v>1.6787022322605194</v>
      </c>
      <c r="K1430" s="15">
        <v>1.7475516131901938</v>
      </c>
      <c r="L1430" s="15">
        <v>1.7475516131901938</v>
      </c>
      <c r="M1430" s="15" t="s">
        <v>10</v>
      </c>
      <c r="N1430" s="15" t="s">
        <v>10</v>
      </c>
      <c r="O1430" s="15" t="s">
        <v>10</v>
      </c>
      <c r="P1430" s="15" t="s">
        <v>10</v>
      </c>
      <c r="Q1430" s="8"/>
      <c r="R1430" s="9" t="s">
        <v>1425</v>
      </c>
    </row>
    <row r="1431" spans="1:18" x14ac:dyDescent="0.25">
      <c r="A1431" s="6" t="str">
        <f>HYPERLINK("proteomic_fractions_linear_files/Yang_linear_img/226958512.jpg", "226958512")</f>
        <v>226958512</v>
      </c>
      <c r="B1431" s="7"/>
      <c r="C1431" s="6" t="str">
        <f>HYPERLINK("http://www.ncbi.nlm.nih.gov/protein/226958512","Cox7a2l")</f>
        <v>Cox7a2l</v>
      </c>
      <c r="D1431" s="8"/>
      <c r="E1431" s="8">
        <v>14782</v>
      </c>
      <c r="F1431" s="8"/>
      <c r="G1431" s="15">
        <v>0.88647093486676887</v>
      </c>
      <c r="H1431" s="15">
        <v>0.88647093486676887</v>
      </c>
      <c r="I1431" s="15">
        <v>0.84981462279584175</v>
      </c>
      <c r="J1431" s="15">
        <v>0.84981462279584175</v>
      </c>
      <c r="K1431" s="15">
        <v>0.92572336666244337</v>
      </c>
      <c r="L1431" s="15">
        <v>0.88647093486676887</v>
      </c>
      <c r="M1431" s="15" t="s">
        <v>10</v>
      </c>
      <c r="N1431" s="15" t="s">
        <v>10</v>
      </c>
      <c r="O1431" s="15" t="s">
        <v>10</v>
      </c>
      <c r="P1431" s="15" t="s">
        <v>10</v>
      </c>
      <c r="Q1431" s="8"/>
      <c r="R1431" s="9" t="s">
        <v>1426</v>
      </c>
    </row>
    <row r="1432" spans="1:18" x14ac:dyDescent="0.25">
      <c r="A1432" s="6" t="str">
        <f>HYPERLINK("proteomic_fractions_linear_files/Yang_linear_img/6677977.jpg", "6677977")</f>
        <v>6677977</v>
      </c>
      <c r="B1432" s="7"/>
      <c r="C1432" s="6" t="str">
        <f>HYPERLINK("http://www.ncbi.nlm.nih.gov/protein/6677977","Cox7a2l")</f>
        <v>Cox7a2l</v>
      </c>
      <c r="D1432" s="8"/>
      <c r="E1432" s="8">
        <v>6504</v>
      </c>
      <c r="F1432" s="8"/>
      <c r="G1432" s="15">
        <v>1.8995805747145049</v>
      </c>
      <c r="H1432" s="15">
        <v>1.8995805747145049</v>
      </c>
      <c r="I1432" s="15">
        <v>1.821031334562518</v>
      </c>
      <c r="J1432" s="15">
        <v>1.821031334562518</v>
      </c>
      <c r="K1432" s="15">
        <v>1.9836929285623786</v>
      </c>
      <c r="L1432" s="15">
        <v>1.8995805747145049</v>
      </c>
      <c r="M1432" s="15" t="s">
        <v>10</v>
      </c>
      <c r="N1432" s="15" t="s">
        <v>10</v>
      </c>
      <c r="O1432" s="15" t="s">
        <v>10</v>
      </c>
      <c r="P1432" s="15" t="s">
        <v>10</v>
      </c>
      <c r="Q1432" s="8"/>
      <c r="R1432" s="9" t="s">
        <v>1427</v>
      </c>
    </row>
    <row r="1433" spans="1:18" x14ac:dyDescent="0.25">
      <c r="A1433" s="6" t="str">
        <f>HYPERLINK("proteomic_fractions_linear_files/Yang_linear_img/13384754.jpg", "13384754")</f>
        <v>13384754</v>
      </c>
      <c r="B1433" s="7"/>
      <c r="C1433" s="6" t="str">
        <f>HYPERLINK("http://www.ncbi.nlm.nih.gov/protein/13384754","Cox7b")</f>
        <v>Cox7b</v>
      </c>
      <c r="D1433" s="8"/>
      <c r="E1433" s="8">
        <v>6309</v>
      </c>
      <c r="F1433" s="8"/>
      <c r="G1433" s="15" t="s">
        <v>10</v>
      </c>
      <c r="H1433" s="15" t="s">
        <v>10</v>
      </c>
      <c r="I1433" s="15" t="s">
        <v>10</v>
      </c>
      <c r="J1433" s="15" t="s">
        <v>10</v>
      </c>
      <c r="K1433" s="15">
        <v>1.9584859376372725</v>
      </c>
      <c r="L1433" s="15">
        <v>1.9584859376372725</v>
      </c>
      <c r="M1433" s="15" t="s">
        <v>10</v>
      </c>
      <c r="N1433" s="15" t="s">
        <v>10</v>
      </c>
      <c r="O1433" s="15" t="s">
        <v>10</v>
      </c>
      <c r="P1433" s="15" t="s">
        <v>10</v>
      </c>
      <c r="Q1433" s="8"/>
      <c r="R1433" s="9" t="s">
        <v>1428</v>
      </c>
    </row>
    <row r="1434" spans="1:18" x14ac:dyDescent="0.25">
      <c r="A1434" s="6" t="str">
        <f>HYPERLINK("proteomic_fractions_linear_files/Yang_linear_img/150378501.jpg", "150378501")</f>
        <v>150378501</v>
      </c>
      <c r="B1434" s="7"/>
      <c r="C1434" s="6" t="str">
        <f>HYPERLINK("http://www.ncbi.nlm.nih.gov/protein/150378501","Cpd")</f>
        <v>Cpd</v>
      </c>
      <c r="D1434" s="8"/>
      <c r="E1434" s="8">
        <v>148250</v>
      </c>
      <c r="F1434" s="8"/>
      <c r="G1434" s="15" t="s">
        <v>10</v>
      </c>
      <c r="H1434" s="15" t="s">
        <v>10</v>
      </c>
      <c r="I1434" s="15">
        <v>1.5767624839719532</v>
      </c>
      <c r="J1434" s="15">
        <v>1.5767624839719532</v>
      </c>
      <c r="K1434" s="15">
        <v>1.5767624839719532</v>
      </c>
      <c r="L1434" s="15">
        <v>1.5767624839719532</v>
      </c>
      <c r="M1434" s="15">
        <v>1.5767624839719532</v>
      </c>
      <c r="N1434" s="15">
        <v>1.5767624839719532</v>
      </c>
      <c r="O1434" s="15" t="s">
        <v>10</v>
      </c>
      <c r="P1434" s="15" t="s">
        <v>10</v>
      </c>
      <c r="Q1434" s="8"/>
      <c r="R1434" s="9" t="s">
        <v>1429</v>
      </c>
    </row>
    <row r="1435" spans="1:18" x14ac:dyDescent="0.25">
      <c r="A1435" s="6" t="str">
        <f>HYPERLINK("proteomic_fractions_linear_files/Yang_linear_img/22203763.jpg", "22203763")</f>
        <v>22203763</v>
      </c>
      <c r="B1435" s="7"/>
      <c r="C1435" s="6" t="str">
        <f>HYPERLINK("http://www.ncbi.nlm.nih.gov/protein/22203763","Cpe")</f>
        <v>Cpe</v>
      </c>
      <c r="D1435" s="8"/>
      <c r="E1435" s="8">
        <v>48942</v>
      </c>
      <c r="F1435" s="8"/>
      <c r="G1435" s="15" t="s">
        <v>10</v>
      </c>
      <c r="H1435" s="15" t="s">
        <v>10</v>
      </c>
      <c r="I1435" s="15" t="s">
        <v>10</v>
      </c>
      <c r="J1435" s="15" t="s">
        <v>10</v>
      </c>
      <c r="K1435" s="15">
        <v>1.1994532160325275</v>
      </c>
      <c r="L1435" s="15">
        <v>1.1994532160325275</v>
      </c>
      <c r="M1435" s="15" t="s">
        <v>10</v>
      </c>
      <c r="N1435" s="15" t="s">
        <v>10</v>
      </c>
      <c r="O1435" s="15" t="s">
        <v>10</v>
      </c>
      <c r="P1435" s="15" t="s">
        <v>10</v>
      </c>
      <c r="Q1435" s="8"/>
      <c r="R1435" s="9" t="s">
        <v>1430</v>
      </c>
    </row>
    <row r="1436" spans="1:18" x14ac:dyDescent="0.25">
      <c r="A1436" s="6" t="str">
        <f>HYPERLINK("proteomic_fractions_linear_files/Yang_linear_img/293651586.jpg", "293651586")</f>
        <v>293651586</v>
      </c>
      <c r="B1436" s="7"/>
      <c r="C1436" s="6" t="str">
        <f>HYPERLINK("http://www.ncbi.nlm.nih.gov/protein/293651586","Cpeb2")</f>
        <v>Cpeb2</v>
      </c>
      <c r="D1436" s="8"/>
      <c r="E1436" s="8">
        <v>107206</v>
      </c>
      <c r="F1436" s="8"/>
      <c r="G1436" s="15" t="s">
        <v>10</v>
      </c>
      <c r="H1436" s="15" t="s">
        <v>10</v>
      </c>
      <c r="I1436" s="15" t="s">
        <v>10</v>
      </c>
      <c r="J1436" s="15" t="s">
        <v>10</v>
      </c>
      <c r="K1436" s="15">
        <v>0.88755122600546266</v>
      </c>
      <c r="L1436" s="15">
        <v>0.88755122600546266</v>
      </c>
      <c r="M1436" s="15" t="s">
        <v>10</v>
      </c>
      <c r="N1436" s="15" t="s">
        <v>10</v>
      </c>
      <c r="O1436" s="15" t="s">
        <v>10</v>
      </c>
      <c r="P1436" s="15" t="s">
        <v>10</v>
      </c>
      <c r="Q1436" s="8"/>
      <c r="R1436" s="9" t="s">
        <v>1431</v>
      </c>
    </row>
    <row r="1437" spans="1:18" x14ac:dyDescent="0.25">
      <c r="A1437" s="6" t="str">
        <f>HYPERLINK("proteomic_fractions_linear_files/Yang_linear_img/293651589.jpg", "293651589")</f>
        <v>293651589</v>
      </c>
      <c r="B1437" s="7"/>
      <c r="C1437" s="6" t="str">
        <f>HYPERLINK("http://www.ncbi.nlm.nih.gov/protein/293651589","Cpeb2")</f>
        <v>Cpeb2</v>
      </c>
      <c r="D1437" s="8"/>
      <c r="E1437" s="8">
        <v>104990</v>
      </c>
      <c r="F1437" s="8"/>
      <c r="G1437" s="15" t="s">
        <v>10</v>
      </c>
      <c r="H1437" s="15" t="s">
        <v>10</v>
      </c>
      <c r="I1437" s="15" t="s">
        <v>10</v>
      </c>
      <c r="J1437" s="15" t="s">
        <v>10</v>
      </c>
      <c r="K1437" s="15">
        <v>0.90445696364366202</v>
      </c>
      <c r="L1437" s="15">
        <v>0.90445696364366202</v>
      </c>
      <c r="M1437" s="15" t="s">
        <v>10</v>
      </c>
      <c r="N1437" s="15" t="s">
        <v>10</v>
      </c>
      <c r="O1437" s="15" t="s">
        <v>10</v>
      </c>
      <c r="P1437" s="15" t="s">
        <v>10</v>
      </c>
      <c r="Q1437" s="8"/>
      <c r="R1437" s="9" t="s">
        <v>1432</v>
      </c>
    </row>
    <row r="1438" spans="1:18" x14ac:dyDescent="0.25">
      <c r="A1438" s="6" t="str">
        <f>HYPERLINK("proteomic_fractions_linear_files/Yang_linear_img/84370380.jpg", "84370380")</f>
        <v>84370380</v>
      </c>
      <c r="B1438" s="7"/>
      <c r="C1438" s="6" t="str">
        <f>HYPERLINK("http://www.ncbi.nlm.nih.gov/protein/84370380","Cpeb3")</f>
        <v>Cpeb3</v>
      </c>
      <c r="D1438" s="8"/>
      <c r="E1438" s="8">
        <v>78187</v>
      </c>
      <c r="F1438" s="8"/>
      <c r="G1438" s="15" t="s">
        <v>10</v>
      </c>
      <c r="H1438" s="15" t="s">
        <v>10</v>
      </c>
      <c r="I1438" s="15" t="s">
        <v>10</v>
      </c>
      <c r="J1438" s="15" t="s">
        <v>10</v>
      </c>
      <c r="K1438" s="15">
        <v>1.2175382202895451</v>
      </c>
      <c r="L1438" s="15">
        <v>1.2175382202895451</v>
      </c>
      <c r="M1438" s="15" t="s">
        <v>10</v>
      </c>
      <c r="N1438" s="15" t="s">
        <v>10</v>
      </c>
      <c r="O1438" s="15" t="s">
        <v>10</v>
      </c>
      <c r="P1438" s="15" t="s">
        <v>10</v>
      </c>
      <c r="Q1438" s="8"/>
      <c r="R1438" s="9" t="s">
        <v>1433</v>
      </c>
    </row>
    <row r="1439" spans="1:18" x14ac:dyDescent="0.25">
      <c r="A1439" s="6" t="str">
        <f>HYPERLINK("proteomic_fractions_linear_files/Yang_linear_img/52138749.jpg", "52138749")</f>
        <v>52138749</v>
      </c>
      <c r="B1439" s="7"/>
      <c r="C1439" s="6" t="str">
        <f>HYPERLINK("http://www.ncbi.nlm.nih.gov/protein/52138749","Cpeb4")</f>
        <v>Cpeb4</v>
      </c>
      <c r="D1439" s="8"/>
      <c r="E1439" s="8">
        <v>79991</v>
      </c>
      <c r="F1439" s="8"/>
      <c r="G1439" s="15" t="s">
        <v>10</v>
      </c>
      <c r="H1439" s="15" t="s">
        <v>10</v>
      </c>
      <c r="I1439" s="15" t="s">
        <v>10</v>
      </c>
      <c r="J1439" s="15" t="s">
        <v>10</v>
      </c>
      <c r="K1439" s="15">
        <v>1.1870997647823063</v>
      </c>
      <c r="L1439" s="15">
        <v>1.1870997647823063</v>
      </c>
      <c r="M1439" s="15" t="s">
        <v>10</v>
      </c>
      <c r="N1439" s="15" t="s">
        <v>10</v>
      </c>
      <c r="O1439" s="15" t="s">
        <v>10</v>
      </c>
      <c r="P1439" s="15" t="s">
        <v>10</v>
      </c>
      <c r="Q1439" s="8"/>
      <c r="R1439" s="9" t="s">
        <v>1434</v>
      </c>
    </row>
    <row r="1440" spans="1:18" x14ac:dyDescent="0.25">
      <c r="A1440" s="6" t="str">
        <f>HYPERLINK("proteomic_fractions_linear_files/Yang_linear_img/189458849.jpg", "189458849")</f>
        <v>189458849</v>
      </c>
      <c r="B1440" s="7"/>
      <c r="C1440" s="6" t="str">
        <f>HYPERLINK("http://www.ncbi.nlm.nih.gov/protein/189458849","Cpm")</f>
        <v>Cpm</v>
      </c>
      <c r="D1440" s="8"/>
      <c r="E1440" s="8">
        <v>46417</v>
      </c>
      <c r="F1440" s="8"/>
      <c r="G1440" s="15" t="s">
        <v>10</v>
      </c>
      <c r="H1440" s="15" t="s">
        <v>10</v>
      </c>
      <c r="I1440" s="15">
        <v>1.2776784257737794</v>
      </c>
      <c r="J1440" s="15">
        <v>1.2776784257737794</v>
      </c>
      <c r="K1440" s="15">
        <v>1.2776784257737794</v>
      </c>
      <c r="L1440" s="15">
        <v>1.2776784257737794</v>
      </c>
      <c r="M1440" s="15" t="s">
        <v>10</v>
      </c>
      <c r="N1440" s="15" t="s">
        <v>10</v>
      </c>
      <c r="O1440" s="15" t="s">
        <v>10</v>
      </c>
      <c r="P1440" s="15" t="s">
        <v>10</v>
      </c>
      <c r="Q1440" s="8"/>
      <c r="R1440" s="9" t="s">
        <v>1435</v>
      </c>
    </row>
    <row r="1441" spans="1:18" x14ac:dyDescent="0.25">
      <c r="A1441" s="6" t="str">
        <f>HYPERLINK("proteomic_fractions_linear_files/Yang_linear_img/25141330.jpg", "25141330")</f>
        <v>25141330</v>
      </c>
      <c r="B1441" s="7"/>
      <c r="C1441" s="6" t="str">
        <f>HYPERLINK("http://www.ncbi.nlm.nih.gov/protein/25141330","Cpne1")</f>
        <v>Cpne1</v>
      </c>
      <c r="D1441" s="8"/>
      <c r="E1441" s="8">
        <v>58756</v>
      </c>
      <c r="F1441" s="8"/>
      <c r="G1441" s="15">
        <v>1.244680682062411</v>
      </c>
      <c r="H1441" s="15">
        <v>1.244680682062411</v>
      </c>
      <c r="I1441" s="15">
        <v>1.1093773445854971</v>
      </c>
      <c r="J1441" s="15">
        <v>1.1093773445854971</v>
      </c>
      <c r="K1441" s="15">
        <v>1.1093773445854971</v>
      </c>
      <c r="L1441" s="15">
        <v>1.1093773445854971</v>
      </c>
      <c r="M1441" s="15">
        <v>1.1093773445854971</v>
      </c>
      <c r="N1441" s="15">
        <v>1.1093773445854971</v>
      </c>
      <c r="O1441" s="15">
        <v>0.99615606077277719</v>
      </c>
      <c r="P1441" s="15">
        <v>0.99615606077277719</v>
      </c>
      <c r="Q1441" s="8"/>
      <c r="R1441" s="9" t="s">
        <v>1436</v>
      </c>
    </row>
    <row r="1442" spans="1:18" x14ac:dyDescent="0.25">
      <c r="A1442" s="6" t="str">
        <f>HYPERLINK("proteomic_fractions_linear_files/Yang_linear_img/23943807.jpg", "23943807")</f>
        <v>23943807</v>
      </c>
      <c r="B1442" s="7"/>
      <c r="C1442" s="6" t="str">
        <f>HYPERLINK("http://www.ncbi.nlm.nih.gov/protein/23943807","Cpne2")</f>
        <v>Cpne2</v>
      </c>
      <c r="D1442" s="8"/>
      <c r="E1442" s="8">
        <v>60905</v>
      </c>
      <c r="F1442" s="8"/>
      <c r="G1442" s="15">
        <v>1.2038714793718401</v>
      </c>
      <c r="H1442" s="15">
        <v>1.2038714793718401</v>
      </c>
      <c r="I1442" s="15">
        <v>0.87082901032788651</v>
      </c>
      <c r="J1442" s="15">
        <v>0.87082901032788651</v>
      </c>
      <c r="K1442" s="15">
        <v>0.96349520632121066</v>
      </c>
      <c r="L1442" s="15">
        <v>0.96349520632121066</v>
      </c>
      <c r="M1442" s="15">
        <v>0.96349520632121066</v>
      </c>
      <c r="N1442" s="15">
        <v>0.96349520632121066</v>
      </c>
      <c r="O1442" s="15">
        <v>0.87082901032788651</v>
      </c>
      <c r="P1442" s="15">
        <v>0.87082901032788651</v>
      </c>
      <c r="Q1442" s="8"/>
      <c r="R1442" s="9" t="s">
        <v>1437</v>
      </c>
    </row>
    <row r="1443" spans="1:18" x14ac:dyDescent="0.25">
      <c r="A1443" s="6" t="str">
        <f>HYPERLINK("proteomic_fractions_linear_files/Yang_linear_img/25141335.jpg", "25141335")</f>
        <v>25141335</v>
      </c>
      <c r="B1443" s="7"/>
      <c r="C1443" s="6" t="str">
        <f>HYPERLINK("http://www.ncbi.nlm.nih.gov/protein/25141335","Cpne3")</f>
        <v>Cpne3</v>
      </c>
      <c r="D1443" s="8"/>
      <c r="E1443" s="8">
        <v>59454</v>
      </c>
      <c r="F1443" s="8"/>
      <c r="G1443" s="15">
        <v>1.244680682062411</v>
      </c>
      <c r="H1443" s="15">
        <v>1.244680682062411</v>
      </c>
      <c r="I1443" s="15">
        <v>0.99615606077277719</v>
      </c>
      <c r="J1443" s="15">
        <v>0.99615606077277719</v>
      </c>
      <c r="K1443" s="15">
        <v>1.1093773445854971</v>
      </c>
      <c r="L1443" s="15">
        <v>1.1093773445854971</v>
      </c>
      <c r="M1443" s="15">
        <v>0.99615606077277719</v>
      </c>
      <c r="N1443" s="15">
        <v>0.99615606077277719</v>
      </c>
      <c r="O1443" s="15">
        <v>0.99615606077277719</v>
      </c>
      <c r="P1443" s="15">
        <v>0.99615606077277719</v>
      </c>
      <c r="Q1443" s="8"/>
      <c r="R1443" s="9" t="s">
        <v>1438</v>
      </c>
    </row>
    <row r="1444" spans="1:18" x14ac:dyDescent="0.25">
      <c r="A1444" s="6" t="str">
        <f>HYPERLINK("proteomic_fractions_linear_files/Yang_linear_img/58037333.jpg", "58037333")</f>
        <v>58037333</v>
      </c>
      <c r="B1444" s="7"/>
      <c r="C1444" s="6" t="str">
        <f>HYPERLINK("http://www.ncbi.nlm.nih.gov/protein/58037333","Cpne4")</f>
        <v>Cpne4</v>
      </c>
      <c r="D1444" s="8"/>
      <c r="E1444" s="8">
        <v>62277</v>
      </c>
      <c r="F1444" s="8"/>
      <c r="G1444" s="15">
        <v>1.1844541974464877</v>
      </c>
      <c r="H1444" s="15">
        <v>1.1844541974464877</v>
      </c>
      <c r="I1444" s="15">
        <v>0.9479549610579654</v>
      </c>
      <c r="J1444" s="15">
        <v>0.9479549610579654</v>
      </c>
      <c r="K1444" s="15">
        <v>1.0556977956539408</v>
      </c>
      <c r="L1444" s="15">
        <v>1.0556977956539408</v>
      </c>
      <c r="M1444" s="15">
        <v>0.9479549610579654</v>
      </c>
      <c r="N1444" s="15">
        <v>0.9479549610579654</v>
      </c>
      <c r="O1444" s="15">
        <v>0.85678338112904961</v>
      </c>
      <c r="P1444" s="15">
        <v>0.85678338112904961</v>
      </c>
      <c r="Q1444" s="8"/>
      <c r="R1444" s="9" t="s">
        <v>1439</v>
      </c>
    </row>
    <row r="1445" spans="1:18" x14ac:dyDescent="0.25">
      <c r="A1445" s="6" t="str">
        <f>HYPERLINK("proteomic_fractions_linear_files/Yang_linear_img/23346611.jpg", "23346611")</f>
        <v>23346611</v>
      </c>
      <c r="B1445" s="7"/>
      <c r="C1445" s="6" t="str">
        <f>HYPERLINK("http://www.ncbi.nlm.nih.gov/protein/23346611","Cpne5")</f>
        <v>Cpne5</v>
      </c>
      <c r="D1445" s="8"/>
      <c r="E1445" s="8">
        <v>65461</v>
      </c>
      <c r="F1445" s="8"/>
      <c r="G1445" s="15">
        <v>1.1297870806412653</v>
      </c>
      <c r="H1445" s="15">
        <v>1.1297870806412653</v>
      </c>
      <c r="I1445" s="15">
        <v>0.90420319362452084</v>
      </c>
      <c r="J1445" s="15">
        <v>0.90420319362452084</v>
      </c>
      <c r="K1445" s="15">
        <v>1.0069732820083743</v>
      </c>
      <c r="L1445" s="15">
        <v>1.0069732820083743</v>
      </c>
      <c r="M1445" s="15">
        <v>0.90420319362452084</v>
      </c>
      <c r="N1445" s="15">
        <v>0.90420319362452084</v>
      </c>
      <c r="O1445" s="15">
        <v>0.81723953276924732</v>
      </c>
      <c r="P1445" s="15">
        <v>0.81723953276924732</v>
      </c>
      <c r="Q1445" s="8"/>
      <c r="R1445" s="9" t="s">
        <v>1440</v>
      </c>
    </row>
    <row r="1446" spans="1:18" x14ac:dyDescent="0.25">
      <c r="A1446" s="6" t="str">
        <f>HYPERLINK("proteomic_fractions_linear_files/Yang_linear_img/226052679.jpg", "226052679")</f>
        <v>226052679</v>
      </c>
      <c r="B1446" s="7"/>
      <c r="C1446" s="6" t="str">
        <f>HYPERLINK("http://www.ncbi.nlm.nih.gov/protein/226052679","Cpne6")</f>
        <v>Cpne6</v>
      </c>
      <c r="D1446" s="8"/>
      <c r="E1446" s="8">
        <v>61522</v>
      </c>
      <c r="F1446" s="8"/>
      <c r="G1446" s="15">
        <v>1.1844541974464877</v>
      </c>
      <c r="H1446" s="15">
        <v>1.1844541974464877</v>
      </c>
      <c r="I1446" s="15">
        <v>0.9479549610579654</v>
      </c>
      <c r="J1446" s="15">
        <v>0.9479549610579654</v>
      </c>
      <c r="K1446" s="15">
        <v>1.0556977956539408</v>
      </c>
      <c r="L1446" s="15">
        <v>1.0556977956539408</v>
      </c>
      <c r="M1446" s="15">
        <v>0.9479549610579654</v>
      </c>
      <c r="N1446" s="15">
        <v>0.9479549610579654</v>
      </c>
      <c r="O1446" s="15">
        <v>0.85678338112904961</v>
      </c>
      <c r="P1446" s="15">
        <v>0.85678338112904961</v>
      </c>
      <c r="Q1446" s="8"/>
      <c r="R1446" s="9" t="s">
        <v>1441</v>
      </c>
    </row>
    <row r="1447" spans="1:18" x14ac:dyDescent="0.25">
      <c r="A1447" s="6" t="str">
        <f>HYPERLINK("proteomic_fractions_linear_files/Yang_linear_img/6753510.jpg", "6753510")</f>
        <v>6753510</v>
      </c>
      <c r="B1447" s="7"/>
      <c r="C1447" s="6" t="str">
        <f>HYPERLINK("http://www.ncbi.nlm.nih.gov/protein/6753510","Cpne6")</f>
        <v>Cpne6</v>
      </c>
      <c r="D1447" s="8"/>
      <c r="E1447" s="8">
        <v>61650</v>
      </c>
      <c r="F1447" s="8"/>
      <c r="G1447" s="15">
        <v>1.1844541974464877</v>
      </c>
      <c r="H1447" s="15">
        <v>1.1844541974464877</v>
      </c>
      <c r="I1447" s="15">
        <v>0.9479549610579654</v>
      </c>
      <c r="J1447" s="15">
        <v>0.9479549610579654</v>
      </c>
      <c r="K1447" s="15">
        <v>1.0556977956539408</v>
      </c>
      <c r="L1447" s="15">
        <v>1.0556977956539408</v>
      </c>
      <c r="M1447" s="15">
        <v>0.9479549610579654</v>
      </c>
      <c r="N1447" s="15">
        <v>0.9479549610579654</v>
      </c>
      <c r="O1447" s="15">
        <v>0.85678338112904961</v>
      </c>
      <c r="P1447" s="15">
        <v>0.85678338112904961</v>
      </c>
      <c r="Q1447" s="8"/>
      <c r="R1447" s="9" t="s">
        <v>1442</v>
      </c>
    </row>
    <row r="1448" spans="1:18" x14ac:dyDescent="0.25">
      <c r="A1448" s="6" t="str">
        <f>HYPERLINK("proteomic_fractions_linear_files/Yang_linear_img/25470894.jpg", "25470894")</f>
        <v>25470894</v>
      </c>
      <c r="B1448" s="7"/>
      <c r="C1448" s="6" t="str">
        <f>HYPERLINK("http://www.ncbi.nlm.nih.gov/protein/25470894","Cpne7")</f>
        <v>Cpne7</v>
      </c>
      <c r="D1448" s="8"/>
      <c r="E1448" s="8">
        <v>61760</v>
      </c>
      <c r="F1448" s="8"/>
      <c r="G1448" s="15">
        <v>1.1844541974464877</v>
      </c>
      <c r="H1448" s="15">
        <v>1.1844541974464877</v>
      </c>
      <c r="I1448" s="15">
        <v>0.9479549610579654</v>
      </c>
      <c r="J1448" s="15">
        <v>0.9479549610579654</v>
      </c>
      <c r="K1448" s="15">
        <v>1.0556977956539408</v>
      </c>
      <c r="L1448" s="15">
        <v>1.0556977956539408</v>
      </c>
      <c r="M1448" s="15">
        <v>0.9479549610579654</v>
      </c>
      <c r="N1448" s="15">
        <v>0.9479549610579654</v>
      </c>
      <c r="O1448" s="15">
        <v>0.85678338112904961</v>
      </c>
      <c r="P1448" s="15">
        <v>0.85678338112904961</v>
      </c>
      <c r="Q1448" s="8"/>
      <c r="R1448" s="9" t="s">
        <v>1443</v>
      </c>
    </row>
    <row r="1449" spans="1:18" x14ac:dyDescent="0.25">
      <c r="A1449" s="6" t="str">
        <f>HYPERLINK("proteomic_fractions_linear_files/Yang_linear_img/76563928.jpg", "76563928")</f>
        <v>76563928</v>
      </c>
      <c r="B1449" s="7"/>
      <c r="C1449" s="6" t="str">
        <f>HYPERLINK("http://www.ncbi.nlm.nih.gov/protein/76563928","Cpne8")</f>
        <v>Cpne8</v>
      </c>
      <c r="D1449" s="8"/>
      <c r="E1449" s="8">
        <v>11654</v>
      </c>
      <c r="F1449" s="8"/>
      <c r="G1449" s="15" t="s">
        <v>10</v>
      </c>
      <c r="H1449" s="15" t="s">
        <v>10</v>
      </c>
      <c r="I1449" s="15">
        <v>5.454438610878694</v>
      </c>
      <c r="J1449" s="15">
        <v>5.454438610878694</v>
      </c>
      <c r="K1449" s="15">
        <v>5.454438610878694</v>
      </c>
      <c r="L1449" s="15">
        <v>5.454438610878694</v>
      </c>
      <c r="M1449" s="15" t="s">
        <v>10</v>
      </c>
      <c r="N1449" s="15" t="s">
        <v>10</v>
      </c>
      <c r="O1449" s="15" t="s">
        <v>10</v>
      </c>
      <c r="P1449" s="15" t="s">
        <v>10</v>
      </c>
      <c r="Q1449" s="8"/>
      <c r="R1449" s="9" t="s">
        <v>1444</v>
      </c>
    </row>
    <row r="1450" spans="1:18" x14ac:dyDescent="0.25">
      <c r="A1450" s="6" t="str">
        <f>HYPERLINK("proteomic_fractions_linear_files/Yang_linear_img/21630253.jpg", "21630253")</f>
        <v>21630253</v>
      </c>
      <c r="B1450" s="7"/>
      <c r="C1450" s="6" t="str">
        <f>HYPERLINK("http://www.ncbi.nlm.nih.gov/protein/21630253","Cpne8")</f>
        <v>Cpne8</v>
      </c>
      <c r="D1450" s="8"/>
      <c r="E1450" s="8">
        <v>64537</v>
      </c>
      <c r="F1450" s="8"/>
      <c r="G1450" s="15">
        <v>1.1297870806412653</v>
      </c>
      <c r="H1450" s="15">
        <v>1.1297870806412653</v>
      </c>
      <c r="I1450" s="15">
        <v>1.0069732820083743</v>
      </c>
      <c r="J1450" s="15">
        <v>1.0069732820083743</v>
      </c>
      <c r="K1450" s="15">
        <v>1.0069732820083743</v>
      </c>
      <c r="L1450" s="15">
        <v>1.0069732820083743</v>
      </c>
      <c r="M1450" s="15">
        <v>0.90420319362452084</v>
      </c>
      <c r="N1450" s="15">
        <v>0.90420319362452084</v>
      </c>
      <c r="O1450" s="15">
        <v>0.81723953276924732</v>
      </c>
      <c r="P1450" s="15">
        <v>0.81723953276924732</v>
      </c>
      <c r="Q1450" s="8"/>
      <c r="R1450" s="9" t="s">
        <v>1445</v>
      </c>
    </row>
    <row r="1451" spans="1:18" x14ac:dyDescent="0.25">
      <c r="A1451" s="6" t="str">
        <f>HYPERLINK("proteomic_fractions_linear_files/Yang_linear_img/28416905.jpg", "28416905")</f>
        <v>28416905</v>
      </c>
      <c r="B1451" s="7"/>
      <c r="C1451" s="6" t="str">
        <f>HYPERLINK("http://www.ncbi.nlm.nih.gov/protein/28416905","Cpne9")</f>
        <v>Cpne9</v>
      </c>
      <c r="D1451" s="8"/>
      <c r="E1451" s="8">
        <v>61693</v>
      </c>
      <c r="F1451" s="8"/>
      <c r="G1451" s="15">
        <v>1.1844541974464877</v>
      </c>
      <c r="H1451" s="15">
        <v>1.1844541974464877</v>
      </c>
      <c r="I1451" s="15">
        <v>0.9479549610579654</v>
      </c>
      <c r="J1451" s="15">
        <v>0.9479549610579654</v>
      </c>
      <c r="K1451" s="15">
        <v>1.0556977956539408</v>
      </c>
      <c r="L1451" s="15">
        <v>1.0556977956539408</v>
      </c>
      <c r="M1451" s="15">
        <v>0.9479549610579654</v>
      </c>
      <c r="N1451" s="15">
        <v>0.9479549610579654</v>
      </c>
      <c r="O1451" s="15">
        <v>0.85678338112904961</v>
      </c>
      <c r="P1451" s="15">
        <v>0.85678338112904961</v>
      </c>
      <c r="Q1451" s="8"/>
      <c r="R1451" s="9" t="s">
        <v>1446</v>
      </c>
    </row>
    <row r="1452" spans="1:18" x14ac:dyDescent="0.25">
      <c r="A1452" s="6" t="str">
        <f>HYPERLINK("proteomic_fractions_linear_files/Yang_linear_img/161484660.jpg", "161484660")</f>
        <v>161484660</v>
      </c>
      <c r="B1452" s="7"/>
      <c r="C1452" s="6" t="str">
        <f>HYPERLINK("http://www.ncbi.nlm.nih.gov/protein/161484660","Cpox")</f>
        <v>Cpox</v>
      </c>
      <c r="D1452" s="8"/>
      <c r="E1452" s="8">
        <v>39679</v>
      </c>
      <c r="F1452" s="8"/>
      <c r="G1452" s="15">
        <v>1.1031397311741367</v>
      </c>
      <c r="H1452" s="15">
        <v>1.1031397311741367</v>
      </c>
      <c r="I1452" s="15">
        <v>0.8638344132618796</v>
      </c>
      <c r="J1452" s="15">
        <v>0.8638344132618796</v>
      </c>
      <c r="K1452" s="15">
        <v>0.93353316057811475</v>
      </c>
      <c r="L1452" s="15">
        <v>0.93353316057811475</v>
      </c>
      <c r="M1452" s="15" t="s">
        <v>10</v>
      </c>
      <c r="N1452" s="15" t="s">
        <v>10</v>
      </c>
      <c r="O1452" s="15">
        <v>0.80210182139333974</v>
      </c>
      <c r="P1452" s="15">
        <v>0.80210182139333974</v>
      </c>
      <c r="Q1452" s="8"/>
      <c r="R1452" s="9" t="s">
        <v>1447</v>
      </c>
    </row>
    <row r="1453" spans="1:18" x14ac:dyDescent="0.25">
      <c r="A1453" s="6" t="str">
        <f>HYPERLINK("proteomic_fractions_linear_files/Yang_linear_img/31981882.jpg", "31981882")</f>
        <v>31981882</v>
      </c>
      <c r="B1453" s="7"/>
      <c r="C1453" s="6" t="str">
        <f>HYPERLINK("http://www.ncbi.nlm.nih.gov/protein/31981882","Cpped1")</f>
        <v>Cpped1</v>
      </c>
      <c r="D1453" s="8"/>
      <c r="E1453" s="8">
        <v>35117</v>
      </c>
      <c r="F1453" s="8"/>
      <c r="G1453" s="15" t="s">
        <v>10</v>
      </c>
      <c r="H1453" s="15" t="s">
        <v>10</v>
      </c>
      <c r="I1453" s="15" t="s">
        <v>10</v>
      </c>
      <c r="J1453" s="15" t="s">
        <v>10</v>
      </c>
      <c r="K1453" s="15" t="s">
        <v>10</v>
      </c>
      <c r="L1453" s="15" t="s">
        <v>10</v>
      </c>
      <c r="M1453" s="15" t="s">
        <v>10</v>
      </c>
      <c r="N1453" s="15" t="s">
        <v>10</v>
      </c>
      <c r="O1453" s="15">
        <v>0.79766317993377311</v>
      </c>
      <c r="P1453" s="15">
        <v>1.1573519486635071</v>
      </c>
      <c r="Q1453" s="8"/>
      <c r="R1453" s="9" t="s">
        <v>1448</v>
      </c>
    </row>
    <row r="1454" spans="1:18" x14ac:dyDescent="0.25">
      <c r="A1454" s="6" t="str">
        <f>HYPERLINK("proteomic_fractions_linear_files/Yang_linear_img/124248512.jpg", "124248512")</f>
        <v>124248512</v>
      </c>
      <c r="B1454" s="7"/>
      <c r="C1454" s="6" t="str">
        <f>HYPERLINK("http://www.ncbi.nlm.nih.gov/protein/124248512","Cps1")</f>
        <v>Cps1</v>
      </c>
      <c r="D1454" s="8"/>
      <c r="E1454" s="8">
        <v>160309</v>
      </c>
      <c r="F1454" s="8"/>
      <c r="G1454" s="15" t="s">
        <v>10</v>
      </c>
      <c r="H1454" s="15" t="s">
        <v>10</v>
      </c>
      <c r="I1454" s="15" t="s">
        <v>10</v>
      </c>
      <c r="J1454" s="15" t="s">
        <v>10</v>
      </c>
      <c r="K1454" s="15" t="s">
        <v>10</v>
      </c>
      <c r="L1454" s="15" t="s">
        <v>10</v>
      </c>
      <c r="M1454" s="15" t="s">
        <v>10</v>
      </c>
      <c r="N1454" s="15" t="s">
        <v>10</v>
      </c>
      <c r="O1454" s="15">
        <v>1.4585052976740567</v>
      </c>
      <c r="P1454" s="15">
        <v>1.4585052976740567</v>
      </c>
      <c r="Q1454" s="8"/>
      <c r="R1454" s="9" t="s">
        <v>1449</v>
      </c>
    </row>
    <row r="1455" spans="1:18" x14ac:dyDescent="0.25">
      <c r="A1455" s="6" t="str">
        <f>HYPERLINK("proteomic_fractions_linear_files/Yang_linear_img/16751835.jpg", "16751835")</f>
        <v>16751835</v>
      </c>
      <c r="B1455" s="7"/>
      <c r="C1455" s="6" t="str">
        <f>HYPERLINK("http://www.ncbi.nlm.nih.gov/protein/16751835","Cpsf1")</f>
        <v>Cpsf1</v>
      </c>
      <c r="D1455" s="8"/>
      <c r="E1455" s="8">
        <v>160688</v>
      </c>
      <c r="F1455" s="8"/>
      <c r="G1455" s="15">
        <v>1.1600362213660891</v>
      </c>
      <c r="H1455" s="15">
        <v>1.1600362213660891</v>
      </c>
      <c r="I1455" s="15" t="s">
        <v>10</v>
      </c>
      <c r="J1455" s="15" t="s">
        <v>10</v>
      </c>
      <c r="K1455" s="15">
        <v>9.0170644235219546E-2</v>
      </c>
      <c r="L1455" s="15">
        <v>9.0170644235219546E-2</v>
      </c>
      <c r="M1455" s="15" t="s">
        <v>10</v>
      </c>
      <c r="N1455" s="15" t="s">
        <v>10</v>
      </c>
      <c r="O1455" s="15" t="s">
        <v>10</v>
      </c>
      <c r="P1455" s="15" t="s">
        <v>10</v>
      </c>
      <c r="Q1455" s="8"/>
      <c r="R1455" s="9" t="s">
        <v>1450</v>
      </c>
    </row>
    <row r="1456" spans="1:18" x14ac:dyDescent="0.25">
      <c r="A1456" s="6" t="str">
        <f>HYPERLINK("proteomic_fractions_linear_files/Yang_linear_img/255918233.jpg", "255918233")</f>
        <v>255918233</v>
      </c>
      <c r="B1456" s="7"/>
      <c r="C1456" s="6" t="str">
        <f>HYPERLINK("http://www.ncbi.nlm.nih.gov/protein/255918233","Cpsf1")</f>
        <v>Cpsf1</v>
      </c>
      <c r="D1456" s="8"/>
      <c r="E1456" s="8">
        <v>161641</v>
      </c>
      <c r="F1456" s="8"/>
      <c r="G1456" s="15">
        <v>1.1528755039502492</v>
      </c>
      <c r="H1456" s="15">
        <v>1.1528755039502492</v>
      </c>
      <c r="I1456" s="15" t="s">
        <v>10</v>
      </c>
      <c r="J1456" s="15" t="s">
        <v>10</v>
      </c>
      <c r="K1456" s="15">
        <v>8.961403532018733E-2</v>
      </c>
      <c r="L1456" s="15">
        <v>8.961403532018733E-2</v>
      </c>
      <c r="M1456" s="15" t="s">
        <v>10</v>
      </c>
      <c r="N1456" s="15" t="s">
        <v>10</v>
      </c>
      <c r="O1456" s="15" t="s">
        <v>10</v>
      </c>
      <c r="P1456" s="15" t="s">
        <v>10</v>
      </c>
      <c r="Q1456" s="8"/>
      <c r="R1456" s="9" t="s">
        <v>1451</v>
      </c>
    </row>
    <row r="1457" spans="1:18" x14ac:dyDescent="0.25">
      <c r="A1457" s="6" t="str">
        <f>HYPERLINK("proteomic_fractions_linear_files/Yang_linear_img/8393762.jpg", "8393762")</f>
        <v>8393762</v>
      </c>
      <c r="B1457" s="7"/>
      <c r="C1457" s="6" t="str">
        <f>HYPERLINK("http://www.ncbi.nlm.nih.gov/protein/8393762","Cpsf2")</f>
        <v>Cpsf2</v>
      </c>
      <c r="D1457" s="8"/>
      <c r="E1457" s="8">
        <v>88252</v>
      </c>
      <c r="F1457" s="8"/>
      <c r="G1457" s="15">
        <v>1.4627457743763292</v>
      </c>
      <c r="H1457" s="15">
        <v>1.4627457743763292</v>
      </c>
      <c r="I1457" s="15" t="s">
        <v>10</v>
      </c>
      <c r="J1457" s="15" t="s">
        <v>10</v>
      </c>
      <c r="K1457" s="15">
        <v>1.4627457743763292</v>
      </c>
      <c r="L1457" s="15">
        <v>1.4627457743763292</v>
      </c>
      <c r="M1457" s="15">
        <v>1.2477450434219486</v>
      </c>
      <c r="N1457" s="15">
        <v>1.2477450434219486</v>
      </c>
      <c r="O1457" s="15">
        <v>1.2477450434219486</v>
      </c>
      <c r="P1457" s="15">
        <v>1.2477450434219486</v>
      </c>
      <c r="Q1457" s="8"/>
      <c r="R1457" s="9" t="s">
        <v>1452</v>
      </c>
    </row>
    <row r="1458" spans="1:18" x14ac:dyDescent="0.25">
      <c r="A1458" s="6" t="str">
        <f>HYPERLINK("proteomic_fractions_linear_files/Yang_linear_img/31980904.jpg", "31980904")</f>
        <v>31980904</v>
      </c>
      <c r="B1458" s="7"/>
      <c r="C1458" s="6" t="str">
        <f>HYPERLINK("http://www.ncbi.nlm.nih.gov/protein/31980904","Cpsf3")</f>
        <v>Cpsf3</v>
      </c>
      <c r="D1458" s="8"/>
      <c r="E1458" s="8">
        <v>77374</v>
      </c>
      <c r="F1458" s="8"/>
      <c r="G1458" s="15" t="s">
        <v>10</v>
      </c>
      <c r="H1458" s="15" t="s">
        <v>10</v>
      </c>
      <c r="I1458" s="15">
        <v>1.079203356794076</v>
      </c>
      <c r="J1458" s="15">
        <v>1.079203356794076</v>
      </c>
      <c r="K1458" s="15">
        <v>1.079203356794076</v>
      </c>
      <c r="L1458" s="15">
        <v>1.079203356794076</v>
      </c>
      <c r="M1458" s="15">
        <v>1.079203356794076</v>
      </c>
      <c r="N1458" s="15">
        <v>1.079203356794076</v>
      </c>
      <c r="O1458" s="15">
        <v>1.079203356794076</v>
      </c>
      <c r="P1458" s="15">
        <v>1.079203356794076</v>
      </c>
      <c r="Q1458" s="8"/>
      <c r="R1458" s="9" t="s">
        <v>1453</v>
      </c>
    </row>
    <row r="1459" spans="1:18" x14ac:dyDescent="0.25">
      <c r="A1459" s="6" t="str">
        <f>HYPERLINK("proteomic_fractions_linear_files/Yang_linear_img/21312614.jpg", "21312614")</f>
        <v>21312614</v>
      </c>
      <c r="B1459" s="7"/>
      <c r="C1459" s="6" t="str">
        <f>HYPERLINK("http://www.ncbi.nlm.nih.gov/protein/21312614","Cpsf3l")</f>
        <v>Cpsf3l</v>
      </c>
      <c r="D1459" s="8"/>
      <c r="E1459" s="8">
        <v>67713</v>
      </c>
      <c r="F1459" s="8"/>
      <c r="G1459" s="15" t="s">
        <v>10</v>
      </c>
      <c r="H1459" s="15" t="s">
        <v>10</v>
      </c>
      <c r="I1459" s="15" t="s">
        <v>10</v>
      </c>
      <c r="J1459" s="15" t="s">
        <v>10</v>
      </c>
      <c r="K1459" s="15" t="s">
        <v>10</v>
      </c>
      <c r="L1459" s="15" t="s">
        <v>10</v>
      </c>
      <c r="M1459" s="15">
        <v>0.96254799015506365</v>
      </c>
      <c r="N1459" s="15">
        <v>0.96254799015506365</v>
      </c>
      <c r="O1459" s="15" t="s">
        <v>10</v>
      </c>
      <c r="P1459" s="15" t="s">
        <v>10</v>
      </c>
      <c r="Q1459" s="8"/>
      <c r="R1459" s="9" t="s">
        <v>1454</v>
      </c>
    </row>
    <row r="1460" spans="1:18" x14ac:dyDescent="0.25">
      <c r="A1460" s="6" t="str">
        <f>HYPERLINK("proteomic_fractions_linear_files/Yang_linear_img/62909983.jpg", "62909983")</f>
        <v>62909983</v>
      </c>
      <c r="B1460" s="7"/>
      <c r="C1460" s="6" t="str">
        <f>HYPERLINK("http://www.ncbi.nlm.nih.gov/protein/62909983","Cpsf6")</f>
        <v>Cpsf6</v>
      </c>
      <c r="D1460" s="8"/>
      <c r="E1460" s="8">
        <v>59022</v>
      </c>
      <c r="F1460" s="8"/>
      <c r="G1460" s="15">
        <v>1.6096267997048221</v>
      </c>
      <c r="H1460" s="15">
        <v>1.6096267997048221</v>
      </c>
      <c r="I1460" s="15">
        <v>1.244680682062411</v>
      </c>
      <c r="J1460" s="15">
        <v>1.244680682062411</v>
      </c>
      <c r="K1460" s="15">
        <v>1.244680682062411</v>
      </c>
      <c r="L1460" s="15">
        <v>1.244680682062411</v>
      </c>
      <c r="M1460" s="15">
        <v>1.244680682062411</v>
      </c>
      <c r="N1460" s="15">
        <v>1.244680682062411</v>
      </c>
      <c r="O1460" s="15">
        <v>1.1093773445854971</v>
      </c>
      <c r="P1460" s="15">
        <v>1.1093773445854971</v>
      </c>
      <c r="Q1460" s="8"/>
      <c r="R1460" s="9" t="s">
        <v>1455</v>
      </c>
    </row>
    <row r="1461" spans="1:18" x14ac:dyDescent="0.25">
      <c r="A1461" s="6" t="str">
        <f>HYPERLINK("proteomic_fractions_linear_files/Yang_linear_img/256665243.jpg", "256665243")</f>
        <v>256665243</v>
      </c>
      <c r="B1461" s="7"/>
      <c r="C1461" s="6" t="str">
        <f>HYPERLINK("http://www.ncbi.nlm.nih.gov/protein/256665243","Cpsf7")</f>
        <v>Cpsf7</v>
      </c>
      <c r="D1461" s="8"/>
      <c r="E1461" s="8">
        <v>51880</v>
      </c>
      <c r="F1461" s="8"/>
      <c r="G1461" s="15">
        <v>1.4122338508015817</v>
      </c>
      <c r="H1461" s="15">
        <v>1.4122338508015817</v>
      </c>
      <c r="I1461" s="15" t="s">
        <v>10</v>
      </c>
      <c r="J1461" s="15" t="s">
        <v>10</v>
      </c>
      <c r="K1461" s="15">
        <v>1.1302539920306509</v>
      </c>
      <c r="L1461" s="15">
        <v>1.1302539920306509</v>
      </c>
      <c r="M1461" s="15">
        <v>1.1302539920306509</v>
      </c>
      <c r="N1461" s="15">
        <v>1.1302539920306509</v>
      </c>
      <c r="O1461" s="15" t="s">
        <v>10</v>
      </c>
      <c r="P1461" s="15" t="s">
        <v>10</v>
      </c>
      <c r="Q1461" s="8"/>
      <c r="R1461" s="9" t="s">
        <v>1456</v>
      </c>
    </row>
    <row r="1462" spans="1:18" x14ac:dyDescent="0.25">
      <c r="A1462" s="6" t="str">
        <f>HYPERLINK("proteomic_fractions_linear_files/Yang_linear_img/256665245.jpg", "256665245")</f>
        <v>256665245</v>
      </c>
      <c r="B1462" s="7"/>
      <c r="C1462" s="6" t="str">
        <f>HYPERLINK("http://www.ncbi.nlm.nih.gov/protein/256665245","Cpsf7")</f>
        <v>Cpsf7</v>
      </c>
      <c r="D1462" s="8"/>
      <c r="E1462" s="8">
        <v>50926</v>
      </c>
      <c r="F1462" s="8"/>
      <c r="G1462" s="15">
        <v>1.4399247106212205</v>
      </c>
      <c r="H1462" s="15">
        <v>1.4399247106212205</v>
      </c>
      <c r="I1462" s="15" t="s">
        <v>10</v>
      </c>
      <c r="J1462" s="15" t="s">
        <v>10</v>
      </c>
      <c r="K1462" s="15">
        <v>1.1524158350116442</v>
      </c>
      <c r="L1462" s="15">
        <v>1.1524158350116442</v>
      </c>
      <c r="M1462" s="15">
        <v>1.1524158350116442</v>
      </c>
      <c r="N1462" s="15">
        <v>1.1524158350116442</v>
      </c>
      <c r="O1462" s="15" t="s">
        <v>10</v>
      </c>
      <c r="P1462" s="15" t="s">
        <v>10</v>
      </c>
      <c r="Q1462" s="8"/>
      <c r="R1462" s="9" t="s">
        <v>1457</v>
      </c>
    </row>
    <row r="1463" spans="1:18" x14ac:dyDescent="0.25">
      <c r="A1463" s="6" t="str">
        <f>HYPERLINK("proteomic_fractions_linear_files/Yang_linear_img/162287142.jpg", "162287142")</f>
        <v>162287142</v>
      </c>
      <c r="B1463" s="7"/>
      <c r="C1463" s="6" t="str">
        <f>HYPERLINK("http://www.ncbi.nlm.nih.gov/protein/162287142","Cpt1a")</f>
        <v>Cpt1a</v>
      </c>
      <c r="D1463" s="8"/>
      <c r="E1463" s="8">
        <v>88121</v>
      </c>
      <c r="F1463" s="8"/>
      <c r="G1463" s="15">
        <v>1.2477450434219486</v>
      </c>
      <c r="H1463" s="15">
        <v>1.2477450434219486</v>
      </c>
      <c r="I1463" s="15">
        <v>0.94430293719481651</v>
      </c>
      <c r="J1463" s="15">
        <v>0.94430293719481651</v>
      </c>
      <c r="K1463" s="15">
        <v>1.0791816043475513</v>
      </c>
      <c r="L1463" s="15">
        <v>1.0791816043475513</v>
      </c>
      <c r="M1463" s="15">
        <v>0.94430293719481651</v>
      </c>
      <c r="N1463" s="15">
        <v>0.94430293719481651</v>
      </c>
      <c r="O1463" s="15" t="s">
        <v>10</v>
      </c>
      <c r="P1463" s="15" t="s">
        <v>10</v>
      </c>
      <c r="Q1463" s="8"/>
      <c r="R1463" s="9" t="s">
        <v>1458</v>
      </c>
    </row>
    <row r="1464" spans="1:18" x14ac:dyDescent="0.25">
      <c r="A1464" s="6" t="str">
        <f>HYPERLINK("proteomic_fractions_linear_files/Yang_linear_img/162287165.jpg", "162287165")</f>
        <v>162287165</v>
      </c>
      <c r="B1464" s="7"/>
      <c r="C1464" s="6" t="str">
        <f>HYPERLINK("http://www.ncbi.nlm.nih.gov/protein/162287165","Cpt1b")</f>
        <v>Cpt1b</v>
      </c>
      <c r="D1464" s="8"/>
      <c r="E1464" s="8">
        <v>88087</v>
      </c>
      <c r="F1464" s="8"/>
      <c r="G1464" s="15" t="s">
        <v>10</v>
      </c>
      <c r="H1464" s="15" t="s">
        <v>10</v>
      </c>
      <c r="I1464" s="15">
        <v>0.94430293719481651</v>
      </c>
      <c r="J1464" s="15">
        <v>0.94430293719481651</v>
      </c>
      <c r="K1464" s="15">
        <v>1.0791816043475513</v>
      </c>
      <c r="L1464" s="15">
        <v>1.0791816043475513</v>
      </c>
      <c r="M1464" s="15">
        <v>0.94430293719481651</v>
      </c>
      <c r="N1464" s="15">
        <v>0.94430293719481651</v>
      </c>
      <c r="O1464" s="15" t="s">
        <v>10</v>
      </c>
      <c r="P1464" s="15" t="s">
        <v>10</v>
      </c>
      <c r="Q1464" s="8"/>
      <c r="R1464" s="9" t="s">
        <v>1459</v>
      </c>
    </row>
    <row r="1465" spans="1:18" x14ac:dyDescent="0.25">
      <c r="A1465" s="6" t="str">
        <f>HYPERLINK("proteomic_fractions_linear_files/Yang_linear_img/162138915.jpg", "162138915")</f>
        <v>162138915</v>
      </c>
      <c r="B1465" s="7"/>
      <c r="C1465" s="6" t="str">
        <f>HYPERLINK("http://www.ncbi.nlm.nih.gov/protein/162138915","Cpt2")</f>
        <v>Cpt2</v>
      </c>
      <c r="D1465" s="8"/>
      <c r="E1465" s="8">
        <v>71123</v>
      </c>
      <c r="F1465" s="8"/>
      <c r="G1465" s="15">
        <v>1.1704036404668148</v>
      </c>
      <c r="H1465" s="15">
        <v>1.1704036404668148</v>
      </c>
      <c r="I1465" s="15">
        <v>1.0343121160800317</v>
      </c>
      <c r="J1465" s="15">
        <v>1.0343121160800317</v>
      </c>
      <c r="K1465" s="15" t="s">
        <v>10</v>
      </c>
      <c r="L1465" s="15" t="s">
        <v>10</v>
      </c>
      <c r="M1465" s="15" t="s">
        <v>10</v>
      </c>
      <c r="N1465" s="15" t="s">
        <v>10</v>
      </c>
      <c r="O1465" s="15" t="s">
        <v>10</v>
      </c>
      <c r="P1465" s="15" t="s">
        <v>10</v>
      </c>
      <c r="Q1465" s="8"/>
      <c r="R1465" s="9" t="s">
        <v>1460</v>
      </c>
    </row>
    <row r="1466" spans="1:18" x14ac:dyDescent="0.25">
      <c r="A1466" s="6" t="str">
        <f>HYPERLINK("proteomic_fractions_linear_files/Yang_linear_img/52426750.jpg", "52426750")</f>
        <v>52426750</v>
      </c>
      <c r="B1466" s="7"/>
      <c r="C1466" s="6" t="str">
        <f>HYPERLINK("http://www.ncbi.nlm.nih.gov/protein/52426750","Cr1l")</f>
        <v>Cr1l</v>
      </c>
      <c r="D1466" s="8"/>
      <c r="E1466" s="8">
        <v>48943</v>
      </c>
      <c r="F1466" s="8"/>
      <c r="G1466" s="15" t="s">
        <v>10</v>
      </c>
      <c r="H1466" s="15" t="s">
        <v>10</v>
      </c>
      <c r="I1466" s="15">
        <v>1.3357808842968231</v>
      </c>
      <c r="J1466" s="15">
        <v>1.3357808842968231</v>
      </c>
      <c r="K1466" s="15">
        <v>1.4986971477894335</v>
      </c>
      <c r="L1466" s="15">
        <v>1.4986971477894335</v>
      </c>
      <c r="M1466" s="15" t="s">
        <v>10</v>
      </c>
      <c r="N1466" s="15" t="s">
        <v>10</v>
      </c>
      <c r="O1466" s="15" t="s">
        <v>10</v>
      </c>
      <c r="P1466" s="15" t="s">
        <v>10</v>
      </c>
      <c r="Q1466" s="8"/>
      <c r="R1466" s="9" t="s">
        <v>1461</v>
      </c>
    </row>
    <row r="1467" spans="1:18" x14ac:dyDescent="0.25">
      <c r="A1467" s="6" t="str">
        <f>HYPERLINK("proteomic_fractions_linear_files/Yang_linear_img/7304975.jpg", "7304975")</f>
        <v>7304975</v>
      </c>
      <c r="B1467" s="7"/>
      <c r="C1467" s="6" t="str">
        <f>HYPERLINK("http://www.ncbi.nlm.nih.gov/protein/7304975","Crabp1")</f>
        <v>Crabp1</v>
      </c>
      <c r="D1467" s="8"/>
      <c r="E1467" s="8">
        <v>15460</v>
      </c>
      <c r="F1467" s="8"/>
      <c r="G1467" s="15" t="s">
        <v>10</v>
      </c>
      <c r="H1467" s="15" t="s">
        <v>10</v>
      </c>
      <c r="I1467" s="15" t="s">
        <v>10</v>
      </c>
      <c r="J1467" s="15" t="s">
        <v>10</v>
      </c>
      <c r="K1467" s="15" t="s">
        <v>10</v>
      </c>
      <c r="L1467" s="15" t="s">
        <v>10</v>
      </c>
      <c r="M1467" s="15" t="s">
        <v>10</v>
      </c>
      <c r="N1467" s="15" t="s">
        <v>10</v>
      </c>
      <c r="O1467" s="15">
        <v>0.92572336666244337</v>
      </c>
      <c r="P1467" s="15">
        <v>0.92572336666244337</v>
      </c>
      <c r="Q1467" s="8"/>
      <c r="R1467" s="9" t="s">
        <v>1462</v>
      </c>
    </row>
    <row r="1468" spans="1:18" x14ac:dyDescent="0.25">
      <c r="A1468" s="6" t="str">
        <f>HYPERLINK("proteomic_fractions_linear_files/Yang_linear_img/33469075.jpg", "33469075")</f>
        <v>33469075</v>
      </c>
      <c r="B1468" s="7"/>
      <c r="C1468" s="6" t="str">
        <f>HYPERLINK("http://www.ncbi.nlm.nih.gov/protein/33469075","Crabp2")</f>
        <v>Crabp2</v>
      </c>
      <c r="D1468" s="8"/>
      <c r="E1468" s="8">
        <v>15615</v>
      </c>
      <c r="F1468" s="8"/>
      <c r="G1468" s="15" t="s">
        <v>10</v>
      </c>
      <c r="H1468" s="15" t="s">
        <v>10</v>
      </c>
      <c r="I1468" s="15">
        <v>0.90734210761689671</v>
      </c>
      <c r="J1468" s="15">
        <v>0.90734210761689671</v>
      </c>
      <c r="K1468" s="15">
        <v>0.94977114336339286</v>
      </c>
      <c r="L1468" s="15">
        <v>0.94977114336339286</v>
      </c>
      <c r="M1468" s="15">
        <v>0.94977114336339286</v>
      </c>
      <c r="N1468" s="15">
        <v>0.94977114336339286</v>
      </c>
      <c r="O1468" s="15">
        <v>0.86786565624604062</v>
      </c>
      <c r="P1468" s="15">
        <v>0.86786565624604062</v>
      </c>
      <c r="Q1468" s="8"/>
      <c r="R1468" s="9" t="s">
        <v>1463</v>
      </c>
    </row>
    <row r="1469" spans="1:18" x14ac:dyDescent="0.25">
      <c r="A1469" s="6" t="str">
        <f>HYPERLINK("proteomic_fractions_linear_files/Yang_linear_img/85662408.jpg", "85662408")</f>
        <v>85662408</v>
      </c>
      <c r="B1469" s="7"/>
      <c r="C1469" s="6" t="str">
        <f>HYPERLINK("http://www.ncbi.nlm.nih.gov/protein/85662408","Crat")</f>
        <v>Crat</v>
      </c>
      <c r="D1469" s="8"/>
      <c r="E1469" s="8">
        <v>70709</v>
      </c>
      <c r="F1469" s="8"/>
      <c r="G1469" s="15" t="s">
        <v>10</v>
      </c>
      <c r="H1469" s="15" t="s">
        <v>10</v>
      </c>
      <c r="I1469" s="15">
        <v>0.92187694831752576</v>
      </c>
      <c r="J1469" s="15">
        <v>0.92187694831752576</v>
      </c>
      <c r="K1469" s="15" t="s">
        <v>10</v>
      </c>
      <c r="L1469" s="15" t="s">
        <v>10</v>
      </c>
      <c r="M1469" s="15" t="s">
        <v>10</v>
      </c>
      <c r="N1469" s="15" t="s">
        <v>10</v>
      </c>
      <c r="O1469" s="15" t="s">
        <v>10</v>
      </c>
      <c r="P1469" s="15" t="s">
        <v>10</v>
      </c>
      <c r="Q1469" s="8"/>
      <c r="R1469" s="9" t="s">
        <v>1464</v>
      </c>
    </row>
    <row r="1470" spans="1:18" x14ac:dyDescent="0.25">
      <c r="A1470" s="6" t="str">
        <f>HYPERLINK("proteomic_fractions_linear_files/Yang_linear_img/29244038.jpg", "29244038")</f>
        <v>29244038</v>
      </c>
      <c r="B1470" s="7"/>
      <c r="C1470" s="6" t="str">
        <f>HYPERLINK("http://www.ncbi.nlm.nih.gov/protein/29244038","Crb3")</f>
        <v>Crb3</v>
      </c>
      <c r="D1470" s="8"/>
      <c r="E1470" s="8">
        <v>9509</v>
      </c>
      <c r="F1470" s="8"/>
      <c r="G1470" s="15" t="s">
        <v>10</v>
      </c>
      <c r="H1470" s="15" t="s">
        <v>10</v>
      </c>
      <c r="I1470" s="15">
        <v>2.4554820613276918</v>
      </c>
      <c r="J1470" s="15">
        <v>2.4554820613276918</v>
      </c>
      <c r="K1470" s="15">
        <v>2.9885406891713133</v>
      </c>
      <c r="L1470" s="15">
        <v>2.9885406891713133</v>
      </c>
      <c r="M1470" s="15" t="s">
        <v>10</v>
      </c>
      <c r="N1470" s="15" t="s">
        <v>10</v>
      </c>
      <c r="O1470" s="15" t="s">
        <v>10</v>
      </c>
      <c r="P1470" s="15" t="s">
        <v>10</v>
      </c>
      <c r="Q1470" s="8"/>
      <c r="R1470" s="9" t="s">
        <v>1465</v>
      </c>
    </row>
    <row r="1471" spans="1:18" x14ac:dyDescent="0.25">
      <c r="A1471" s="6" t="str">
        <f>HYPERLINK("proteomic_fractions_linear_files/Yang_linear_img/28202023.jpg", "28202023")</f>
        <v>28202023</v>
      </c>
      <c r="B1471" s="7"/>
      <c r="C1471" s="6" t="str">
        <f>HYPERLINK("http://www.ncbi.nlm.nih.gov/protein/28202023","Crbn")</f>
        <v>Crbn</v>
      </c>
      <c r="D1471" s="8"/>
      <c r="E1471" s="8">
        <v>50749</v>
      </c>
      <c r="F1471" s="8"/>
      <c r="G1471" s="15">
        <v>0.73218287104165869</v>
      </c>
      <c r="H1471" s="15">
        <v>0.73218287104165869</v>
      </c>
      <c r="I1471" s="15">
        <v>0.51275015912598043</v>
      </c>
      <c r="J1471" s="15">
        <v>0.51275015912598043</v>
      </c>
      <c r="K1471" s="15">
        <v>0.51275015912598043</v>
      </c>
      <c r="L1471" s="15">
        <v>0.51275015912598043</v>
      </c>
      <c r="M1471" s="15">
        <v>0.51275015912598043</v>
      </c>
      <c r="N1471" s="15">
        <v>0.51275015912598043</v>
      </c>
      <c r="O1471" s="15">
        <v>0.42736749550350495</v>
      </c>
      <c r="P1471" s="15">
        <v>0.42736749550350495</v>
      </c>
      <c r="Q1471" s="8"/>
      <c r="R1471" s="9" t="s">
        <v>1466</v>
      </c>
    </row>
    <row r="1472" spans="1:18" x14ac:dyDescent="0.25">
      <c r="A1472" s="6" t="str">
        <f>HYPERLINK("proteomic_fractions_linear_files/Yang_linear_img/90403612.jpg", "90403612")</f>
        <v>90403612</v>
      </c>
      <c r="B1472" s="7"/>
      <c r="C1472" s="6" t="str">
        <f>HYPERLINK("http://www.ncbi.nlm.nih.gov/protein/90403612","Crbn")</f>
        <v>Crbn</v>
      </c>
      <c r="D1472" s="8"/>
      <c r="E1472" s="8">
        <v>50678</v>
      </c>
      <c r="F1472" s="8"/>
      <c r="G1472" s="15">
        <v>0.73218287104165869</v>
      </c>
      <c r="H1472" s="15">
        <v>0.73218287104165869</v>
      </c>
      <c r="I1472" s="15">
        <v>0.51275015912598043</v>
      </c>
      <c r="J1472" s="15">
        <v>0.51275015912598043</v>
      </c>
      <c r="K1472" s="15">
        <v>0.51275015912598043</v>
      </c>
      <c r="L1472" s="15">
        <v>0.51275015912598043</v>
      </c>
      <c r="M1472" s="15">
        <v>0.51275015912598043</v>
      </c>
      <c r="N1472" s="15">
        <v>0.51275015912598043</v>
      </c>
      <c r="O1472" s="15">
        <v>0.42736749550350495</v>
      </c>
      <c r="P1472" s="15">
        <v>0.42736749550350495</v>
      </c>
      <c r="Q1472" s="8"/>
      <c r="R1472" s="9" t="s">
        <v>1467</v>
      </c>
    </row>
    <row r="1473" spans="1:18" x14ac:dyDescent="0.25">
      <c r="A1473" s="6" t="str">
        <f>HYPERLINK("proteomic_fractions_linear_files/Yang_linear_img/70995311.jpg", "70995311")</f>
        <v>70995311</v>
      </c>
      <c r="B1473" s="7"/>
      <c r="C1473" s="6" t="str">
        <f>HYPERLINK("http://www.ncbi.nlm.nih.gov/protein/70995311","Crebbp")</f>
        <v>Crebbp</v>
      </c>
      <c r="D1473" s="8"/>
      <c r="E1473" s="8">
        <v>265438</v>
      </c>
      <c r="F1473" s="8"/>
      <c r="G1473" s="15" t="s">
        <v>10</v>
      </c>
      <c r="H1473" s="15" t="s">
        <v>10</v>
      </c>
      <c r="I1473" s="15">
        <v>0.8806069721805625</v>
      </c>
      <c r="J1473" s="15">
        <v>0.8806069721805625</v>
      </c>
      <c r="K1473" s="15">
        <v>1.1388049986282973</v>
      </c>
      <c r="L1473" s="15">
        <v>1.1388049986282973</v>
      </c>
      <c r="M1473" s="15">
        <v>0.8806069721805625</v>
      </c>
      <c r="N1473" s="15">
        <v>0.8806069721805625</v>
      </c>
      <c r="O1473" s="15">
        <v>0.8806069721805625</v>
      </c>
      <c r="P1473" s="15">
        <v>0.8806069721805625</v>
      </c>
      <c r="Q1473" s="8"/>
      <c r="R1473" s="9" t="s">
        <v>1468</v>
      </c>
    </row>
    <row r="1474" spans="1:18" x14ac:dyDescent="0.25">
      <c r="A1474" s="6" t="str">
        <f>HYPERLINK("proteomic_fractions_linear_files/Yang_linear_img/19527148.jpg", "19527148")</f>
        <v>19527148</v>
      </c>
      <c r="B1474" s="7"/>
      <c r="C1474" s="6" t="str">
        <f>HYPERLINK("http://www.ncbi.nlm.nih.gov/protein/19527148","Creld1")</f>
        <v>Creld1</v>
      </c>
      <c r="D1474" s="8"/>
      <c r="E1474" s="8">
        <v>42562</v>
      </c>
      <c r="F1474" s="8"/>
      <c r="G1474" s="15" t="s">
        <v>10</v>
      </c>
      <c r="H1474" s="15" t="s">
        <v>10</v>
      </c>
      <c r="I1474" s="15" t="s">
        <v>10</v>
      </c>
      <c r="J1474" s="15" t="s">
        <v>10</v>
      </c>
      <c r="K1474" s="15">
        <v>1.2353620844186297</v>
      </c>
      <c r="L1474" s="15">
        <v>1.2353620844186297</v>
      </c>
      <c r="M1474" s="15" t="s">
        <v>10</v>
      </c>
      <c r="N1474" s="15" t="s">
        <v>10</v>
      </c>
      <c r="O1474" s="15" t="s">
        <v>10</v>
      </c>
      <c r="P1474" s="15" t="s">
        <v>10</v>
      </c>
      <c r="Q1474" s="8"/>
      <c r="R1474" s="9" t="s">
        <v>1469</v>
      </c>
    </row>
    <row r="1475" spans="1:18" x14ac:dyDescent="0.25">
      <c r="A1475" s="6" t="str">
        <f>HYPERLINK("proteomic_fractions_linear_files/Yang_linear_img/21313278.jpg", "21313278")</f>
        <v>21313278</v>
      </c>
      <c r="B1475" s="7"/>
      <c r="C1475" s="6" t="str">
        <f>HYPERLINK("http://www.ncbi.nlm.nih.gov/protein/21313278","Creld2")</f>
        <v>Creld2</v>
      </c>
      <c r="D1475" s="8"/>
      <c r="E1475" s="8">
        <v>36039</v>
      </c>
      <c r="F1475" s="8"/>
      <c r="G1475" s="15">
        <v>2.0398933400467292</v>
      </c>
      <c r="H1475" s="15">
        <v>2.0398933400467292</v>
      </c>
      <c r="I1475" s="15">
        <v>1.4755713786111411</v>
      </c>
      <c r="J1475" s="15">
        <v>1.4755713786111411</v>
      </c>
      <c r="K1475" s="15">
        <v>1.6325890995998291</v>
      </c>
      <c r="L1475" s="15">
        <v>1.6325890995998291</v>
      </c>
      <c r="M1475" s="15" t="s">
        <v>10</v>
      </c>
      <c r="N1475" s="15" t="s">
        <v>10</v>
      </c>
      <c r="O1475" s="15">
        <v>1.4755713786111411</v>
      </c>
      <c r="P1475" s="15">
        <v>1.4755713786111411</v>
      </c>
      <c r="Q1475" s="8"/>
      <c r="R1475" s="9" t="s">
        <v>1470</v>
      </c>
    </row>
    <row r="1476" spans="1:18" x14ac:dyDescent="0.25">
      <c r="A1476" s="6" t="str">
        <f>HYPERLINK("proteomic_fractions_linear_files/Yang_linear_img/6681015.jpg", "6681015")</f>
        <v>6681015</v>
      </c>
      <c r="B1476" s="7"/>
      <c r="C1476" s="6" t="str">
        <f>HYPERLINK("http://www.ncbi.nlm.nih.gov/protein/6681015","Crip1")</f>
        <v>Crip1</v>
      </c>
      <c r="D1476" s="8"/>
      <c r="E1476" s="8">
        <v>8419</v>
      </c>
      <c r="F1476" s="8"/>
      <c r="G1476" s="15" t="s">
        <v>10</v>
      </c>
      <c r="H1476" s="15" t="s">
        <v>10</v>
      </c>
      <c r="I1476" s="15" t="s">
        <v>10</v>
      </c>
      <c r="J1476" s="15" t="s">
        <v>10</v>
      </c>
      <c r="K1476" s="15">
        <v>1.7357313124920812</v>
      </c>
      <c r="L1476" s="15">
        <v>1.8146842152337934</v>
      </c>
      <c r="M1476" s="15" t="s">
        <v>10</v>
      </c>
      <c r="N1476" s="15" t="s">
        <v>10</v>
      </c>
      <c r="O1476" s="15">
        <v>1.5291076615414196</v>
      </c>
      <c r="P1476" s="15">
        <v>1.5291076615414196</v>
      </c>
      <c r="Q1476" s="8"/>
      <c r="R1476" s="9" t="s">
        <v>1471</v>
      </c>
    </row>
    <row r="1477" spans="1:18" x14ac:dyDescent="0.25">
      <c r="A1477" s="6" t="str">
        <f>HYPERLINK("proteomic_fractions_linear_files/Yang_linear_img/13195646.jpg", "13195646")</f>
        <v>13195646</v>
      </c>
      <c r="B1477" s="7"/>
      <c r="C1477" s="6" t="str">
        <f>HYPERLINK("http://www.ncbi.nlm.nih.gov/protein/13195646","Crip2")</f>
        <v>Crip2</v>
      </c>
      <c r="D1477" s="8"/>
      <c r="E1477" s="8">
        <v>22596</v>
      </c>
      <c r="F1477" s="8"/>
      <c r="G1477" s="15" t="s">
        <v>10</v>
      </c>
      <c r="H1477" s="15" t="s">
        <v>10</v>
      </c>
      <c r="I1477" s="15">
        <v>1.136967744148913</v>
      </c>
      <c r="J1477" s="15">
        <v>1.136967744148913</v>
      </c>
      <c r="K1477" s="15">
        <v>1.136967744148913</v>
      </c>
      <c r="L1477" s="15">
        <v>1.136967744148913</v>
      </c>
      <c r="M1477" s="15" t="s">
        <v>10</v>
      </c>
      <c r="N1477" s="15" t="s">
        <v>10</v>
      </c>
      <c r="O1477" s="15">
        <v>1.0047640597703238</v>
      </c>
      <c r="P1477" s="15">
        <v>1.0047640597703238</v>
      </c>
      <c r="Q1477" s="8"/>
      <c r="R1477" s="9" t="s">
        <v>1472</v>
      </c>
    </row>
    <row r="1478" spans="1:18" x14ac:dyDescent="0.25">
      <c r="A1478" s="6" t="str">
        <f>HYPERLINK("proteomic_fractions_linear_files/Yang_linear_img/31559995.jpg", "31559995")</f>
        <v>31559995</v>
      </c>
      <c r="B1478" s="7"/>
      <c r="C1478" s="6" t="str">
        <f>HYPERLINK("http://www.ncbi.nlm.nih.gov/protein/31559995","Crk")</f>
        <v>Crk</v>
      </c>
      <c r="D1478" s="8"/>
      <c r="E1478" s="8">
        <v>33684</v>
      </c>
      <c r="F1478" s="8"/>
      <c r="G1478" s="15" t="s">
        <v>10</v>
      </c>
      <c r="H1478" s="15" t="s">
        <v>10</v>
      </c>
      <c r="I1478" s="15" t="s">
        <v>10</v>
      </c>
      <c r="J1478" s="15" t="s">
        <v>10</v>
      </c>
      <c r="K1478" s="15">
        <v>0.67969333455051306</v>
      </c>
      <c r="L1478" s="15">
        <v>0.67969333455051306</v>
      </c>
      <c r="M1478" s="15" t="s">
        <v>10</v>
      </c>
      <c r="N1478" s="15" t="s">
        <v>10</v>
      </c>
      <c r="O1478" s="15">
        <v>0.94364920163922317</v>
      </c>
      <c r="P1478" s="15">
        <v>0.94364920163922317</v>
      </c>
      <c r="Q1478" s="8"/>
      <c r="R1478" s="9" t="s">
        <v>1473</v>
      </c>
    </row>
    <row r="1479" spans="1:18" x14ac:dyDescent="0.25">
      <c r="A1479" s="6" t="str">
        <f>HYPERLINK("proteomic_fractions_linear_files/Yang_linear_img/31542421.jpg", "31542421")</f>
        <v>31542421</v>
      </c>
      <c r="B1479" s="7"/>
      <c r="C1479" s="6" t="str">
        <f>HYPERLINK("http://www.ncbi.nlm.nih.gov/protein/31542421","Crkl")</f>
        <v>Crkl</v>
      </c>
      <c r="D1479" s="8"/>
      <c r="E1479" s="8">
        <v>33699</v>
      </c>
      <c r="F1479" s="8"/>
      <c r="G1479" s="15" t="s">
        <v>10</v>
      </c>
      <c r="H1479" s="15" t="s">
        <v>10</v>
      </c>
      <c r="I1479" s="15" t="s">
        <v>10</v>
      </c>
      <c r="J1479" s="15" t="s">
        <v>10</v>
      </c>
      <c r="K1479" s="15">
        <v>1.098274306562488</v>
      </c>
      <c r="L1479" s="15">
        <v>1.098274306562488</v>
      </c>
      <c r="M1479" s="15" t="s">
        <v>10</v>
      </c>
      <c r="N1479" s="15" t="s">
        <v>10</v>
      </c>
      <c r="O1479" s="15">
        <v>1.0162757803080937</v>
      </c>
      <c r="P1479" s="15">
        <v>1.0162757803080937</v>
      </c>
      <c r="Q1479" s="8"/>
      <c r="R1479" s="9" t="s">
        <v>1474</v>
      </c>
    </row>
    <row r="1480" spans="1:18" x14ac:dyDescent="0.25">
      <c r="A1480" s="6" t="str">
        <f>HYPERLINK("proteomic_fractions_linear_files/Yang_linear_img/9055200.jpg", "9055200")</f>
        <v>9055200</v>
      </c>
      <c r="B1480" s="7"/>
      <c r="C1480" s="6" t="str">
        <f>HYPERLINK("http://www.ncbi.nlm.nih.gov/protein/9055200","Crlf3")</f>
        <v>Crlf3</v>
      </c>
      <c r="D1480" s="8"/>
      <c r="E1480" s="8">
        <v>49428</v>
      </c>
      <c r="F1480" s="8"/>
      <c r="G1480" s="15" t="s">
        <v>10</v>
      </c>
      <c r="H1480" s="15" t="s">
        <v>10</v>
      </c>
      <c r="I1480" s="15" t="s">
        <v>10</v>
      </c>
      <c r="J1480" s="15" t="s">
        <v>10</v>
      </c>
      <c r="K1480" s="15" t="s">
        <v>10</v>
      </c>
      <c r="L1480" s="15" t="s">
        <v>10</v>
      </c>
      <c r="M1480" s="15" t="s">
        <v>10</v>
      </c>
      <c r="N1480" s="15" t="s">
        <v>10</v>
      </c>
      <c r="O1480" s="15">
        <v>1.0840932577551241</v>
      </c>
      <c r="P1480" s="15">
        <v>1.0840932577551241</v>
      </c>
      <c r="Q1480" s="8"/>
      <c r="R1480" s="9" t="s">
        <v>1475</v>
      </c>
    </row>
    <row r="1481" spans="1:18" x14ac:dyDescent="0.25">
      <c r="A1481" s="6" t="str">
        <f>HYPERLINK("proteomic_fractions_linear_files/Yang_linear_img/66932980.jpg", "66932980")</f>
        <v>66932980</v>
      </c>
      <c r="B1481" s="7"/>
      <c r="C1481" s="6" t="str">
        <f>HYPERLINK("http://www.ncbi.nlm.nih.gov/protein/66932980","Crls1")</f>
        <v>Crls1</v>
      </c>
      <c r="D1481" s="8"/>
      <c r="E1481" s="8">
        <v>32371</v>
      </c>
      <c r="F1481" s="8"/>
      <c r="G1481" s="15" t="s">
        <v>10</v>
      </c>
      <c r="H1481" s="15" t="s">
        <v>10</v>
      </c>
      <c r="I1481" s="15">
        <v>0.68111694595871097</v>
      </c>
      <c r="J1481" s="15">
        <v>0.68111694595871097</v>
      </c>
      <c r="K1481" s="15" t="s">
        <v>10</v>
      </c>
      <c r="L1481" s="15" t="s">
        <v>10</v>
      </c>
      <c r="M1481" s="15" t="s">
        <v>10</v>
      </c>
      <c r="N1481" s="15" t="s">
        <v>10</v>
      </c>
      <c r="O1481" s="15" t="s">
        <v>10</v>
      </c>
      <c r="P1481" s="15" t="s">
        <v>10</v>
      </c>
      <c r="Q1481" s="8"/>
      <c r="R1481" s="9" t="s">
        <v>1476</v>
      </c>
    </row>
    <row r="1482" spans="1:18" x14ac:dyDescent="0.25">
      <c r="A1482" s="6" t="str">
        <f>HYPERLINK("proteomic_fractions_linear_files/Yang_linear_img/209862923.jpg", "209862923")</f>
        <v>209862923</v>
      </c>
      <c r="B1482" s="7"/>
      <c r="C1482" s="6" t="str">
        <f>HYPERLINK("http://www.ncbi.nlm.nih.gov/protein/209862923","Crmp1")</f>
        <v>Crmp1</v>
      </c>
      <c r="D1482" s="8"/>
      <c r="E1482" s="8">
        <v>74090</v>
      </c>
      <c r="F1482" s="8"/>
      <c r="G1482" s="15" t="s">
        <v>10</v>
      </c>
      <c r="H1482" s="15" t="s">
        <v>10</v>
      </c>
      <c r="I1482" s="15">
        <v>0.88450355852086937</v>
      </c>
      <c r="J1482" s="15">
        <v>0.88450355852086937</v>
      </c>
      <c r="K1482" s="15">
        <v>0.99238054380651686</v>
      </c>
      <c r="L1482" s="15">
        <v>0.99238054380651686</v>
      </c>
      <c r="M1482" s="15">
        <v>0.88450355852086937</v>
      </c>
      <c r="N1482" s="15">
        <v>0.88450355852086937</v>
      </c>
      <c r="O1482" s="15">
        <v>0.71784553554055508</v>
      </c>
      <c r="P1482" s="15">
        <v>0.71784553554055508</v>
      </c>
      <c r="Q1482" s="8"/>
      <c r="R1482" s="9" t="s">
        <v>1477</v>
      </c>
    </row>
    <row r="1483" spans="1:18" x14ac:dyDescent="0.25">
      <c r="A1483" s="6" t="str">
        <f>HYPERLINK("proteomic_fractions_linear_files/Yang_linear_img/40068507.jpg", "40068507")</f>
        <v>40068507</v>
      </c>
      <c r="B1483" s="7"/>
      <c r="C1483" s="6" t="str">
        <f>HYPERLINK("http://www.ncbi.nlm.nih.gov/protein/40068507","Crmp1")</f>
        <v>Crmp1</v>
      </c>
      <c r="D1483" s="8"/>
      <c r="E1483" s="8">
        <v>62037</v>
      </c>
      <c r="F1483" s="8"/>
      <c r="G1483" s="15" t="s">
        <v>10</v>
      </c>
      <c r="H1483" s="15" t="s">
        <v>10</v>
      </c>
      <c r="I1483" s="15">
        <v>1.0556977956539408</v>
      </c>
      <c r="J1483" s="15">
        <v>1.0556977956539408</v>
      </c>
      <c r="K1483" s="15">
        <v>1.1844541974464877</v>
      </c>
      <c r="L1483" s="15">
        <v>1.1844541974464877</v>
      </c>
      <c r="M1483" s="15">
        <v>1.0556977956539408</v>
      </c>
      <c r="N1483" s="15">
        <v>1.0556977956539408</v>
      </c>
      <c r="O1483" s="15">
        <v>0.85678338112904961</v>
      </c>
      <c r="P1483" s="15">
        <v>0.85678338112904961</v>
      </c>
      <c r="Q1483" s="8"/>
      <c r="R1483" s="9" t="s">
        <v>1478</v>
      </c>
    </row>
    <row r="1484" spans="1:18" x14ac:dyDescent="0.25">
      <c r="A1484" s="6" t="str">
        <f>HYPERLINK("proteomic_fractions_linear_files/Yang_linear_img/13385288.jpg", "13385288")</f>
        <v>13385288</v>
      </c>
      <c r="B1484" s="7"/>
      <c r="C1484" s="6" t="str">
        <f>HYPERLINK("http://www.ncbi.nlm.nih.gov/protein/13385288","Crnkl1")</f>
        <v>Crnkl1</v>
      </c>
      <c r="D1484" s="8"/>
      <c r="E1484" s="8">
        <v>83285</v>
      </c>
      <c r="F1484" s="8"/>
      <c r="G1484" s="15">
        <v>1.1441925443684882</v>
      </c>
      <c r="H1484" s="15">
        <v>1.1441925443684882</v>
      </c>
      <c r="I1484" s="15">
        <v>1.001188656302938</v>
      </c>
      <c r="J1484" s="15">
        <v>1.001188656302938</v>
      </c>
      <c r="K1484" s="15">
        <v>1.001188656302938</v>
      </c>
      <c r="L1484" s="15">
        <v>1.001188656302938</v>
      </c>
      <c r="M1484" s="15">
        <v>1.001188656302938</v>
      </c>
      <c r="N1484" s="15">
        <v>1.001188656302938</v>
      </c>
      <c r="O1484" s="15">
        <v>1.001188656302938</v>
      </c>
      <c r="P1484" s="15">
        <v>1.001188656302938</v>
      </c>
      <c r="Q1484" s="8"/>
      <c r="R1484" s="9" t="s">
        <v>1479</v>
      </c>
    </row>
    <row r="1485" spans="1:18" x14ac:dyDescent="0.25">
      <c r="A1485" s="6" t="str">
        <f>HYPERLINK("proteomic_fractions_linear_files/Yang_linear_img/225543191.jpg", "225543191")</f>
        <v>225543191</v>
      </c>
      <c r="B1485" s="7"/>
      <c r="C1485" s="6" t="str">
        <f>HYPERLINK("http://www.ncbi.nlm.nih.gov/protein/225543191","Crocc")</f>
        <v>Crocc</v>
      </c>
      <c r="D1485" s="8"/>
      <c r="E1485" s="8">
        <v>226814</v>
      </c>
      <c r="F1485" s="8"/>
      <c r="G1485" s="15">
        <v>0.41836115058407275</v>
      </c>
      <c r="H1485" s="15">
        <v>0.41836115058407275</v>
      </c>
      <c r="I1485" s="15">
        <v>0.32350731384000991</v>
      </c>
      <c r="J1485" s="15">
        <v>0.32350731384000991</v>
      </c>
      <c r="K1485" s="15">
        <v>0.41836115058407275</v>
      </c>
      <c r="L1485" s="15">
        <v>0.41836115058407275</v>
      </c>
      <c r="M1485" s="15">
        <v>0.36607338534424605</v>
      </c>
      <c r="N1485" s="15">
        <v>0.36607338534424605</v>
      </c>
      <c r="O1485" s="15">
        <v>0.12298771496776238</v>
      </c>
      <c r="P1485" s="15">
        <v>0.12298771496776238</v>
      </c>
      <c r="Q1485" s="8"/>
      <c r="R1485" s="9" t="s">
        <v>1480</v>
      </c>
    </row>
    <row r="1486" spans="1:18" x14ac:dyDescent="0.25">
      <c r="A1486" s="6" t="str">
        <f>HYPERLINK("proteomic_fractions_linear_files/Yang_linear_img/225543193.jpg", "225543193")</f>
        <v>225543193</v>
      </c>
      <c r="B1486" s="7"/>
      <c r="C1486" s="6" t="str">
        <f>HYPERLINK("http://www.ncbi.nlm.nih.gov/protein/225543193","Crocc")</f>
        <v>Crocc</v>
      </c>
      <c r="D1486" s="8"/>
      <c r="E1486" s="8">
        <v>208139</v>
      </c>
      <c r="F1486" s="8"/>
      <c r="G1486" s="15">
        <v>0.4565768326085794</v>
      </c>
      <c r="H1486" s="15">
        <v>0.4565768326085794</v>
      </c>
      <c r="I1486" s="15">
        <v>0.35305846270039543</v>
      </c>
      <c r="J1486" s="15">
        <v>0.35305846270039543</v>
      </c>
      <c r="K1486" s="15">
        <v>0.4565768326085794</v>
      </c>
      <c r="L1486" s="15">
        <v>0.4565768326085794</v>
      </c>
      <c r="M1486" s="15">
        <v>0.39951278112088395</v>
      </c>
      <c r="N1486" s="15">
        <v>0.39951278112088395</v>
      </c>
      <c r="O1486" s="15">
        <v>0.13422216970039452</v>
      </c>
      <c r="P1486" s="15">
        <v>0.13422216970039452</v>
      </c>
      <c r="Q1486" s="8"/>
      <c r="R1486" s="9" t="s">
        <v>1481</v>
      </c>
    </row>
    <row r="1487" spans="1:18" x14ac:dyDescent="0.25">
      <c r="A1487" s="6" t="str">
        <f>HYPERLINK("proteomic_fractions_linear_files/Yang_linear_img/17157983.jpg", "17157983")</f>
        <v>17157983</v>
      </c>
      <c r="B1487" s="7"/>
      <c r="C1487" s="6" t="str">
        <f>HYPERLINK("http://www.ncbi.nlm.nih.gov/protein/17157983","Crot")</f>
        <v>Crot</v>
      </c>
      <c r="D1487" s="8"/>
      <c r="E1487" s="8">
        <v>70134</v>
      </c>
      <c r="F1487" s="8"/>
      <c r="G1487" s="15">
        <v>1.1871236924734836</v>
      </c>
      <c r="H1487" s="15">
        <v>1.1871236924734836</v>
      </c>
      <c r="I1487" s="15">
        <v>0.93504661900777619</v>
      </c>
      <c r="J1487" s="15">
        <v>0.93504661900777619</v>
      </c>
      <c r="K1487" s="15">
        <v>1.0490880034526036</v>
      </c>
      <c r="L1487" s="15">
        <v>1.0490880034526036</v>
      </c>
      <c r="M1487" s="15">
        <v>0.93504661900777619</v>
      </c>
      <c r="N1487" s="15">
        <v>1.0490880034526036</v>
      </c>
      <c r="O1487" s="15">
        <v>0.93504661900777619</v>
      </c>
      <c r="P1487" s="15">
        <v>0.93504661900777619</v>
      </c>
      <c r="Q1487" s="8"/>
      <c r="R1487" s="9" t="s">
        <v>1482</v>
      </c>
    </row>
    <row r="1488" spans="1:18" x14ac:dyDescent="0.25">
      <c r="A1488" s="6" t="str">
        <f>HYPERLINK("proteomic_fractions_linear_files/Yang_linear_img/225543173.jpg", "225543173")</f>
        <v>225543173</v>
      </c>
      <c r="B1488" s="7"/>
      <c r="C1488" s="6" t="str">
        <f>HYPERLINK("http://www.ncbi.nlm.nih.gov/protein/225543173","Crtap")</f>
        <v>Crtap</v>
      </c>
      <c r="D1488" s="8"/>
      <c r="E1488" s="8">
        <v>43750</v>
      </c>
      <c r="F1488" s="8"/>
      <c r="G1488" s="15" t="s">
        <v>10</v>
      </c>
      <c r="H1488" s="15" t="s">
        <v>10</v>
      </c>
      <c r="I1488" s="15">
        <v>1.0974994451003466</v>
      </c>
      <c r="J1488" s="15">
        <v>1.0974994451003466</v>
      </c>
      <c r="K1488" s="15" t="s">
        <v>10</v>
      </c>
      <c r="L1488" s="15" t="s">
        <v>10</v>
      </c>
      <c r="M1488" s="15" t="s">
        <v>10</v>
      </c>
      <c r="N1488" s="15" t="s">
        <v>10</v>
      </c>
      <c r="O1488" s="15" t="s">
        <v>10</v>
      </c>
      <c r="P1488" s="15" t="s">
        <v>10</v>
      </c>
      <c r="Q1488" s="8"/>
      <c r="R1488" s="9" t="s">
        <v>1483</v>
      </c>
    </row>
    <row r="1489" spans="1:18" x14ac:dyDescent="0.25">
      <c r="A1489" s="6" t="str">
        <f>HYPERLINK("proteomic_fractions_linear_files/Yang_linear_img/6681031.jpg", "6681031")</f>
        <v>6681031</v>
      </c>
      <c r="B1489" s="7"/>
      <c r="C1489" s="6" t="str">
        <f>HYPERLINK("http://www.ncbi.nlm.nih.gov/protein/6681031","Cry1")</f>
        <v>Cry1</v>
      </c>
      <c r="D1489" s="8"/>
      <c r="E1489" s="8">
        <v>67871</v>
      </c>
      <c r="F1489" s="8"/>
      <c r="G1489" s="15">
        <v>1.6147288797225217</v>
      </c>
      <c r="H1489" s="15">
        <v>1.6147288797225217</v>
      </c>
      <c r="I1489" s="15" t="s">
        <v>10</v>
      </c>
      <c r="J1489" s="15" t="s">
        <v>10</v>
      </c>
      <c r="K1489" s="15">
        <v>1.3965879585674192</v>
      </c>
      <c r="L1489" s="15">
        <v>1.3965879585674192</v>
      </c>
      <c r="M1489" s="15" t="s">
        <v>10</v>
      </c>
      <c r="N1489" s="15" t="s">
        <v>10</v>
      </c>
      <c r="O1489" s="15" t="s">
        <v>10</v>
      </c>
      <c r="P1489" s="15" t="s">
        <v>10</v>
      </c>
      <c r="Q1489" s="8"/>
      <c r="R1489" s="9" t="s">
        <v>1484</v>
      </c>
    </row>
    <row r="1490" spans="1:18" x14ac:dyDescent="0.25">
      <c r="A1490" s="6" t="str">
        <f>HYPERLINK("proteomic_fractions_linear_files/Yang_linear_img/27312016.jpg", "27312016")</f>
        <v>27312016</v>
      </c>
      <c r="B1490" s="7"/>
      <c r="C1490" s="6" t="str">
        <f>HYPERLINK("http://www.ncbi.nlm.nih.gov/protein/27312016","Cry2")</f>
        <v>Cry2</v>
      </c>
      <c r="D1490" s="8"/>
      <c r="E1490" s="8">
        <v>66720</v>
      </c>
      <c r="F1490" s="8"/>
      <c r="G1490" s="15" t="s">
        <v>10</v>
      </c>
      <c r="H1490" s="15" t="s">
        <v>10</v>
      </c>
      <c r="I1490" s="15" t="s">
        <v>10</v>
      </c>
      <c r="J1490" s="15" t="s">
        <v>10</v>
      </c>
      <c r="K1490" s="15" t="s">
        <v>10</v>
      </c>
      <c r="L1490" s="15" t="s">
        <v>10</v>
      </c>
      <c r="M1490" s="15">
        <v>1.0960620931594365</v>
      </c>
      <c r="N1490" s="15">
        <v>1.0960620931594365</v>
      </c>
      <c r="O1490" s="15">
        <v>0.97691437806782588</v>
      </c>
      <c r="P1490" s="15">
        <v>0.97691437806782588</v>
      </c>
      <c r="Q1490" s="8"/>
      <c r="R1490" s="9" t="s">
        <v>1485</v>
      </c>
    </row>
    <row r="1491" spans="1:18" x14ac:dyDescent="0.25">
      <c r="A1491" s="6" t="str">
        <f>HYPERLINK("proteomic_fractions_linear_files/Yang_linear_img/6753530.jpg", "6753530")</f>
        <v>6753530</v>
      </c>
      <c r="B1491" s="7"/>
      <c r="C1491" s="6" t="str">
        <f>HYPERLINK("http://www.ncbi.nlm.nih.gov/protein/6753530","Cryab")</f>
        <v>Cryab</v>
      </c>
      <c r="D1491" s="8"/>
      <c r="E1491" s="8">
        <v>19938</v>
      </c>
      <c r="F1491" s="8"/>
      <c r="G1491" s="15" t="s">
        <v>10</v>
      </c>
      <c r="H1491" s="15" t="s">
        <v>10</v>
      </c>
      <c r="I1491" s="15">
        <v>1.0298720593328137</v>
      </c>
      <c r="J1491" s="15">
        <v>1.0298720593328137</v>
      </c>
      <c r="K1491" s="15">
        <v>1.0298720593328137</v>
      </c>
      <c r="L1491" s="15">
        <v>1.0298720593328137</v>
      </c>
      <c r="M1491" s="15">
        <v>1.0298720593328137</v>
      </c>
      <c r="N1491" s="15">
        <v>1.0298720593328137</v>
      </c>
      <c r="O1491" s="15">
        <v>1.0298720593328137</v>
      </c>
      <c r="P1491" s="15">
        <v>1.0298720593328137</v>
      </c>
      <c r="Q1491" s="8"/>
      <c r="R1491" s="9" t="s">
        <v>1486</v>
      </c>
    </row>
    <row r="1492" spans="1:18" x14ac:dyDescent="0.25">
      <c r="A1492" s="6" t="str">
        <f>HYPERLINK("proteomic_fractions_linear_files/Yang_linear_img/19525729.jpg", "19525729")</f>
        <v>19525729</v>
      </c>
      <c r="B1492" s="7"/>
      <c r="C1492" s="6" t="str">
        <f>HYPERLINK("http://www.ncbi.nlm.nih.gov/protein/19525729","Cryl1")</f>
        <v>Cryl1</v>
      </c>
      <c r="D1492" s="8"/>
      <c r="E1492" s="8">
        <v>35078</v>
      </c>
      <c r="F1492" s="8"/>
      <c r="G1492" s="15" t="s">
        <v>10</v>
      </c>
      <c r="H1492" s="15" t="s">
        <v>10</v>
      </c>
      <c r="I1492" s="15">
        <v>0.98723932944214809</v>
      </c>
      <c r="J1492" s="15">
        <v>0.98723932944214809</v>
      </c>
      <c r="K1492" s="15">
        <v>1.0668950406607027</v>
      </c>
      <c r="L1492" s="15">
        <v>1.0668950406607027</v>
      </c>
      <c r="M1492" s="15" t="s">
        <v>10</v>
      </c>
      <c r="N1492" s="15" t="s">
        <v>10</v>
      </c>
      <c r="O1492" s="15">
        <v>0.91668779587810256</v>
      </c>
      <c r="P1492" s="15">
        <v>0.91668779587810256</v>
      </c>
      <c r="Q1492" s="8"/>
      <c r="R1492" s="9" t="s">
        <v>1487</v>
      </c>
    </row>
    <row r="1493" spans="1:18" x14ac:dyDescent="0.25">
      <c r="A1493" s="6" t="str">
        <f>HYPERLINK("proteomic_fractions_linear_files/Yang_linear_img/33859530.jpg", "33859530")</f>
        <v>33859530</v>
      </c>
      <c r="B1493" s="7"/>
      <c r="C1493" s="6" t="str">
        <f>HYPERLINK("http://www.ncbi.nlm.nih.gov/protein/33859530","Cryz")</f>
        <v>Cryz</v>
      </c>
      <c r="D1493" s="8"/>
      <c r="E1493" s="8">
        <v>35138</v>
      </c>
      <c r="F1493" s="8"/>
      <c r="G1493" s="15" t="s">
        <v>10</v>
      </c>
      <c r="H1493" s="15" t="s">
        <v>10</v>
      </c>
      <c r="I1493" s="15">
        <v>0.98723932944214809</v>
      </c>
      <c r="J1493" s="15">
        <v>0.98723932944214809</v>
      </c>
      <c r="K1493" s="15">
        <v>1.0668950406607027</v>
      </c>
      <c r="L1493" s="15">
        <v>1.0668950406607027</v>
      </c>
      <c r="M1493" s="15">
        <v>0.98723932944214809</v>
      </c>
      <c r="N1493" s="15">
        <v>0.98723932944214809</v>
      </c>
      <c r="O1493" s="15">
        <v>0.91668779587810256</v>
      </c>
      <c r="P1493" s="15">
        <v>0.91668779587810256</v>
      </c>
      <c r="Q1493" s="8"/>
      <c r="R1493" s="9" t="s">
        <v>1488</v>
      </c>
    </row>
    <row r="1494" spans="1:18" x14ac:dyDescent="0.25">
      <c r="A1494" s="6" t="str">
        <f>HYPERLINK("proteomic_fractions_linear_files/Yang_linear_img/21617847.jpg", "21617847")</f>
        <v>21617847</v>
      </c>
      <c r="B1494" s="7"/>
      <c r="C1494" s="6" t="str">
        <f>HYPERLINK("http://www.ncbi.nlm.nih.gov/protein/21617847","Cryzl1")</f>
        <v>Cryzl1</v>
      </c>
      <c r="D1494" s="8"/>
      <c r="E1494" s="8">
        <v>38594</v>
      </c>
      <c r="F1494" s="8"/>
      <c r="G1494" s="15" t="s">
        <v>10</v>
      </c>
      <c r="H1494" s="15" t="s">
        <v>10</v>
      </c>
      <c r="I1494" s="15" t="s">
        <v>10</v>
      </c>
      <c r="J1494" s="15" t="s">
        <v>10</v>
      </c>
      <c r="K1494" s="15">
        <v>1.038649184698019</v>
      </c>
      <c r="L1494" s="15">
        <v>1.038649184698019</v>
      </c>
      <c r="M1494" s="15">
        <v>1.038649184698019</v>
      </c>
      <c r="N1494" s="15">
        <v>1.038649184698019</v>
      </c>
      <c r="O1494" s="15">
        <v>0.8859840136019278</v>
      </c>
      <c r="P1494" s="15">
        <v>0.8859840136019278</v>
      </c>
      <c r="Q1494" s="8"/>
      <c r="R1494" s="9" t="s">
        <v>1489</v>
      </c>
    </row>
    <row r="1495" spans="1:18" x14ac:dyDescent="0.25">
      <c r="A1495" s="6" t="str">
        <f>HYPERLINK("proteomic_fractions_linear_files/Yang_linear_img/323462200.jpg", "323462200")</f>
        <v>323462200</v>
      </c>
      <c r="B1495" s="7"/>
      <c r="C1495" s="6" t="str">
        <f>HYPERLINK("http://www.ncbi.nlm.nih.gov/protein/323462200","Cryzl1")</f>
        <v>Cryzl1</v>
      </c>
      <c r="D1495" s="8"/>
      <c r="E1495" s="8">
        <v>36877</v>
      </c>
      <c r="F1495" s="8"/>
      <c r="G1495" s="15" t="s">
        <v>10</v>
      </c>
      <c r="H1495" s="15" t="s">
        <v>10</v>
      </c>
      <c r="I1495" s="15" t="s">
        <v>10</v>
      </c>
      <c r="J1495" s="15" t="s">
        <v>10</v>
      </c>
      <c r="K1495" s="15">
        <v>1.0947923838708851</v>
      </c>
      <c r="L1495" s="15">
        <v>1.0947923838708851</v>
      </c>
      <c r="M1495" s="15">
        <v>1.0947923838708851</v>
      </c>
      <c r="N1495" s="15">
        <v>1.0947923838708851</v>
      </c>
      <c r="O1495" s="15">
        <v>0.93387504136419419</v>
      </c>
      <c r="P1495" s="15">
        <v>0.93387504136419419</v>
      </c>
      <c r="Q1495" s="8"/>
      <c r="R1495" s="9" t="s">
        <v>1490</v>
      </c>
    </row>
    <row r="1496" spans="1:18" x14ac:dyDescent="0.25">
      <c r="A1496" s="6" t="str">
        <f>HYPERLINK("proteomic_fractions_linear_files/Yang_linear_img/13385942.jpg", "13385942")</f>
        <v>13385942</v>
      </c>
      <c r="B1496" s="7"/>
      <c r="C1496" s="6" t="str">
        <f>HYPERLINK("http://www.ncbi.nlm.nih.gov/protein/13385942","Cs")</f>
        <v>Cs</v>
      </c>
      <c r="D1496" s="8"/>
      <c r="E1496" s="8">
        <v>49015</v>
      </c>
      <c r="F1496" s="8"/>
      <c r="G1496" s="15">
        <v>1.1994532160325275</v>
      </c>
      <c r="H1496" s="15">
        <v>1.1994532160325275</v>
      </c>
      <c r="I1496" s="15">
        <v>0.90052222952990757</v>
      </c>
      <c r="J1496" s="15">
        <v>0.90052222952990757</v>
      </c>
      <c r="K1496" s="15">
        <v>0.90052222952990757</v>
      </c>
      <c r="L1496" s="15">
        <v>0.90052222952990757</v>
      </c>
      <c r="M1496" s="15">
        <v>0.90052222952990757</v>
      </c>
      <c r="N1496" s="15">
        <v>0.90052222952990757</v>
      </c>
      <c r="O1496" s="15">
        <v>0.82667996333107641</v>
      </c>
      <c r="P1496" s="15">
        <v>0.82667996333107641</v>
      </c>
      <c r="Q1496" s="8"/>
      <c r="R1496" s="9" t="s">
        <v>1491</v>
      </c>
    </row>
    <row r="1497" spans="1:18" x14ac:dyDescent="0.25">
      <c r="A1497" s="6" t="str">
        <f>HYPERLINK("proteomic_fractions_linear_files/Yang_linear_img/21450351.jpg", "21450351")</f>
        <v>21450351</v>
      </c>
      <c r="B1497" s="7"/>
      <c r="C1497" s="6" t="str">
        <f>HYPERLINK("http://www.ncbi.nlm.nih.gov/protein/21450351","Csad")</f>
        <v>Csad</v>
      </c>
      <c r="D1497" s="8"/>
      <c r="E1497" s="8">
        <v>55014</v>
      </c>
      <c r="F1497" s="8"/>
      <c r="G1497" s="15" t="s">
        <v>10</v>
      </c>
      <c r="H1497" s="15" t="s">
        <v>10</v>
      </c>
      <c r="I1497" s="15" t="s">
        <v>10</v>
      </c>
      <c r="J1497" s="15" t="s">
        <v>10</v>
      </c>
      <c r="K1497" s="15" t="s">
        <v>10</v>
      </c>
      <c r="L1497" s="15" t="s">
        <v>10</v>
      </c>
      <c r="M1497" s="15" t="s">
        <v>10</v>
      </c>
      <c r="N1497" s="15" t="s">
        <v>10</v>
      </c>
      <c r="O1497" s="15">
        <v>0.87799955608027735</v>
      </c>
      <c r="P1497" s="15">
        <v>0.87799955608027735</v>
      </c>
      <c r="Q1497" s="8"/>
      <c r="R1497" s="9" t="s">
        <v>1492</v>
      </c>
    </row>
    <row r="1498" spans="1:18" x14ac:dyDescent="0.25">
      <c r="A1498" s="6" t="str">
        <f>HYPERLINK("proteomic_fractions_linear_files/Yang_linear_img/21450287.jpg", "21450287")</f>
        <v>21450287</v>
      </c>
      <c r="B1498" s="7"/>
      <c r="C1498" s="6" t="str">
        <f>HYPERLINK("http://www.ncbi.nlm.nih.gov/protein/21450287","Csde1")</f>
        <v>Csde1</v>
      </c>
      <c r="D1498" s="8"/>
      <c r="E1498" s="8">
        <v>88660</v>
      </c>
      <c r="F1498" s="8"/>
      <c r="G1498" s="15" t="s">
        <v>10</v>
      </c>
      <c r="H1498" s="15" t="s">
        <v>10</v>
      </c>
      <c r="I1498" s="15">
        <v>1.0670559683436462</v>
      </c>
      <c r="J1498" s="15">
        <v>1.0670559683436462</v>
      </c>
      <c r="K1498" s="15">
        <v>1.2337254361924883</v>
      </c>
      <c r="L1498" s="15">
        <v>1.2337254361924883</v>
      </c>
      <c r="M1498" s="15">
        <v>1.0670559683436462</v>
      </c>
      <c r="N1498" s="15">
        <v>1.0670559683436462</v>
      </c>
      <c r="O1498" s="15">
        <v>1.0670559683436462</v>
      </c>
      <c r="P1498" s="15">
        <v>1.0670559683436462</v>
      </c>
      <c r="Q1498" s="8"/>
      <c r="R1498" s="9" t="s">
        <v>1493</v>
      </c>
    </row>
    <row r="1499" spans="1:18" x14ac:dyDescent="0.25">
      <c r="A1499" s="6" t="str">
        <f>HYPERLINK("proteomic_fractions_linear_files/Yang_linear_img/240255574.jpg", "240255574")</f>
        <v>240255574</v>
      </c>
      <c r="B1499" s="7"/>
      <c r="C1499" s="6" t="str">
        <f>HYPERLINK("http://www.ncbi.nlm.nih.gov/protein/240255574","Csde1")</f>
        <v>Csde1</v>
      </c>
      <c r="D1499" s="8"/>
      <c r="E1499" s="8">
        <v>85522</v>
      </c>
      <c r="F1499" s="8"/>
      <c r="G1499" s="15" t="s">
        <v>10</v>
      </c>
      <c r="H1499" s="15" t="s">
        <v>10</v>
      </c>
      <c r="I1499" s="15">
        <v>1.104278850960285</v>
      </c>
      <c r="J1499" s="15">
        <v>1.104278850960285</v>
      </c>
      <c r="K1499" s="15">
        <v>1.2767623700131565</v>
      </c>
      <c r="L1499" s="15">
        <v>1.2767623700131565</v>
      </c>
      <c r="M1499" s="15">
        <v>1.104278850960285</v>
      </c>
      <c r="N1499" s="15">
        <v>1.104278850960285</v>
      </c>
      <c r="O1499" s="15">
        <v>1.104278850960285</v>
      </c>
      <c r="P1499" s="15">
        <v>1.104278850960285</v>
      </c>
      <c r="Q1499" s="8"/>
      <c r="R1499" s="9" t="s">
        <v>1494</v>
      </c>
    </row>
    <row r="1500" spans="1:18" x14ac:dyDescent="0.25">
      <c r="A1500" s="6" t="str">
        <f>HYPERLINK("proteomic_fractions_linear_files/Yang_linear_img/12963737.jpg", "12963737")</f>
        <v>12963737</v>
      </c>
      <c r="B1500" s="7"/>
      <c r="C1500" s="6" t="str">
        <f>HYPERLINK("http://www.ncbi.nlm.nih.gov/protein/12963737","Cse1l")</f>
        <v>Cse1l</v>
      </c>
      <c r="D1500" s="8"/>
      <c r="E1500" s="8">
        <v>110324</v>
      </c>
      <c r="F1500" s="8"/>
      <c r="G1500" s="15">
        <v>0.23772961923113636</v>
      </c>
      <c r="H1500" s="15">
        <v>0.23772961923113636</v>
      </c>
      <c r="I1500" s="15">
        <v>0.9981960347375588</v>
      </c>
      <c r="J1500" s="15">
        <v>0.9981960347375588</v>
      </c>
      <c r="K1500" s="15">
        <v>1.1701966195010634</v>
      </c>
      <c r="L1500" s="15">
        <v>1.1701966195010634</v>
      </c>
      <c r="M1500" s="15">
        <v>0.9981960347375588</v>
      </c>
      <c r="N1500" s="15">
        <v>0.9981960347375588</v>
      </c>
      <c r="O1500" s="15">
        <v>0.9981960347375588</v>
      </c>
      <c r="P1500" s="15">
        <v>0.9981960347375588</v>
      </c>
      <c r="Q1500" s="8"/>
      <c r="R1500" s="9" t="s">
        <v>1495</v>
      </c>
    </row>
    <row r="1501" spans="1:18" x14ac:dyDescent="0.25">
      <c r="A1501" s="6" t="str">
        <f>HYPERLINK("proteomic_fractions_linear_files/Yang_linear_img/6753536.jpg", "6753536")</f>
        <v>6753536</v>
      </c>
      <c r="B1501" s="7"/>
      <c r="C1501" s="6" t="str">
        <f>HYPERLINK("http://www.ncbi.nlm.nih.gov/protein/6753536","Csf3")</f>
        <v>Csf3</v>
      </c>
      <c r="D1501" s="8"/>
      <c r="E1501" s="8">
        <v>18951</v>
      </c>
      <c r="F1501" s="8"/>
      <c r="G1501" s="15">
        <v>2.5415776623376449</v>
      </c>
      <c r="H1501" s="15">
        <v>2.5415776623376449</v>
      </c>
      <c r="I1501" s="15" t="s">
        <v>10</v>
      </c>
      <c r="J1501" s="15" t="s">
        <v>10</v>
      </c>
      <c r="K1501" s="15" t="s">
        <v>10</v>
      </c>
      <c r="L1501" s="15" t="s">
        <v>10</v>
      </c>
      <c r="M1501" s="15" t="s">
        <v>10</v>
      </c>
      <c r="N1501" s="15" t="s">
        <v>10</v>
      </c>
      <c r="O1501" s="15" t="s">
        <v>10</v>
      </c>
      <c r="P1501" s="15" t="s">
        <v>10</v>
      </c>
      <c r="Q1501" s="8"/>
      <c r="R1501" s="9" t="s">
        <v>1496</v>
      </c>
    </row>
    <row r="1502" spans="1:18" x14ac:dyDescent="0.25">
      <c r="A1502" s="6" t="str">
        <f>HYPERLINK("proteomic_fractions_linear_files/Yang_linear_img/31560712.jpg", "31560712")</f>
        <v>31560712</v>
      </c>
      <c r="B1502" s="7"/>
      <c r="C1502" s="6" t="str">
        <f>HYPERLINK("http://www.ncbi.nlm.nih.gov/protein/31560712","Csk")</f>
        <v>Csk</v>
      </c>
      <c r="D1502" s="8"/>
      <c r="E1502" s="8">
        <v>50585</v>
      </c>
      <c r="F1502" s="8"/>
      <c r="G1502" s="15" t="s">
        <v>10</v>
      </c>
      <c r="H1502" s="15" t="s">
        <v>10</v>
      </c>
      <c r="I1502" s="15">
        <v>1.0415797966666878</v>
      </c>
      <c r="J1502" s="15">
        <v>1.0415797966666878</v>
      </c>
      <c r="K1502" s="15">
        <v>1.0415797966666878</v>
      </c>
      <c r="L1502" s="15">
        <v>1.0415797966666878</v>
      </c>
      <c r="M1502" s="15" t="s">
        <v>10</v>
      </c>
      <c r="N1502" s="15" t="s">
        <v>10</v>
      </c>
      <c r="O1502" s="15">
        <v>0.94686226636108339</v>
      </c>
      <c r="P1502" s="15">
        <v>0.94686226636108339</v>
      </c>
      <c r="Q1502" s="8"/>
      <c r="R1502" s="9" t="s">
        <v>1497</v>
      </c>
    </row>
    <row r="1503" spans="1:18" x14ac:dyDescent="0.25">
      <c r="A1503" s="6" t="str">
        <f>HYPERLINK("proteomic_fractions_linear_files/Yang_linear_img/269973935.jpg", "269973935")</f>
        <v>269973935</v>
      </c>
      <c r="B1503" s="7"/>
      <c r="C1503" s="6" t="str">
        <f>HYPERLINK("http://www.ncbi.nlm.nih.gov/protein/269973935","Csl")</f>
        <v>Csl</v>
      </c>
      <c r="D1503" s="8"/>
      <c r="E1503" s="8">
        <v>52194</v>
      </c>
      <c r="F1503" s="8"/>
      <c r="G1503" s="15">
        <v>1.1302539920306509</v>
      </c>
      <c r="H1503" s="15">
        <v>1.1302539920306509</v>
      </c>
      <c r="I1503" s="15">
        <v>0.84856902398010514</v>
      </c>
      <c r="J1503" s="15">
        <v>0.84856902398010514</v>
      </c>
      <c r="K1503" s="15">
        <v>0.84856902398010514</v>
      </c>
      <c r="L1503" s="15">
        <v>0.84856902398010514</v>
      </c>
      <c r="M1503" s="15">
        <v>0.84856902398010514</v>
      </c>
      <c r="N1503" s="15">
        <v>0.84856902398010514</v>
      </c>
      <c r="O1503" s="15">
        <v>0.77898688852351428</v>
      </c>
      <c r="P1503" s="15">
        <v>0.77898688852351428</v>
      </c>
      <c r="Q1503" s="8"/>
      <c r="R1503" s="9" t="s">
        <v>1498</v>
      </c>
    </row>
    <row r="1504" spans="1:18" x14ac:dyDescent="0.25">
      <c r="A1504" s="6" t="str">
        <f>HYPERLINK("proteomic_fractions_linear_files/Yang_linear_img/75677412.jpg", "75677412")</f>
        <v>75677412</v>
      </c>
      <c r="B1504" s="7"/>
      <c r="C1504" s="6" t="str">
        <f>HYPERLINK("http://www.ncbi.nlm.nih.gov/protein/75677412","Csn3")</f>
        <v>Csn3</v>
      </c>
      <c r="D1504" s="8"/>
      <c r="E1504" s="8">
        <v>17701</v>
      </c>
      <c r="F1504" s="8"/>
      <c r="G1504" s="15">
        <v>2.9511427572222821</v>
      </c>
      <c r="H1504" s="15">
        <v>2.9511427572222821</v>
      </c>
      <c r="I1504" s="15" t="s">
        <v>10</v>
      </c>
      <c r="J1504" s="15" t="s">
        <v>10</v>
      </c>
      <c r="K1504" s="15">
        <v>2.2504065668457081</v>
      </c>
      <c r="L1504" s="15">
        <v>2.2504065668457081</v>
      </c>
      <c r="M1504" s="15">
        <v>2.074518134618033</v>
      </c>
      <c r="N1504" s="15">
        <v>2.074518134618033</v>
      </c>
      <c r="O1504" s="15" t="s">
        <v>10</v>
      </c>
      <c r="P1504" s="15" t="s">
        <v>10</v>
      </c>
      <c r="Q1504" s="8"/>
      <c r="R1504" s="9" t="s">
        <v>1499</v>
      </c>
    </row>
    <row r="1505" spans="1:18" x14ac:dyDescent="0.25">
      <c r="A1505" s="6" t="str">
        <f>HYPERLINK("proteomic_fractions_linear_files/Yang_linear_img/22165382.jpg", "22165382")</f>
        <v>22165382</v>
      </c>
      <c r="B1505" s="7"/>
      <c r="C1505" s="6" t="str">
        <f>HYPERLINK("http://www.ncbi.nlm.nih.gov/protein/22165382","Csnk1a1")</f>
        <v>Csnk1a1</v>
      </c>
      <c r="D1505" s="8"/>
      <c r="E1505" s="8">
        <v>37436</v>
      </c>
      <c r="F1505" s="8"/>
      <c r="G1505" s="15" t="s">
        <v>10</v>
      </c>
      <c r="H1505" s="15" t="s">
        <v>10</v>
      </c>
      <c r="I1505" s="15">
        <v>0.86713710420901591</v>
      </c>
      <c r="J1505" s="15">
        <v>0.86713710420901591</v>
      </c>
      <c r="K1505" s="15">
        <v>0.86713710420901591</v>
      </c>
      <c r="L1505" s="15">
        <v>0.86713710420901591</v>
      </c>
      <c r="M1505" s="15">
        <v>0.86713710420901591</v>
      </c>
      <c r="N1505" s="15">
        <v>0.86713710420901591</v>
      </c>
      <c r="O1505" s="15">
        <v>0.80771369977603058</v>
      </c>
      <c r="P1505" s="15">
        <v>0.80771369977603058</v>
      </c>
      <c r="Q1505" s="8"/>
      <c r="R1505" s="9" t="s">
        <v>1500</v>
      </c>
    </row>
    <row r="1506" spans="1:18" x14ac:dyDescent="0.25">
      <c r="A1506" s="6" t="str">
        <f>HYPERLINK("proteomic_fractions_linear_files/Yang_linear_img/20544147.jpg", "20544147")</f>
        <v>20544147</v>
      </c>
      <c r="B1506" s="7"/>
      <c r="C1506" s="6" t="str">
        <f>HYPERLINK("http://www.ncbi.nlm.nih.gov/protein/20544147","Csnk1d")</f>
        <v>Csnk1d</v>
      </c>
      <c r="D1506" s="8"/>
      <c r="E1506" s="8">
        <v>46687</v>
      </c>
      <c r="F1506" s="8"/>
      <c r="G1506" s="15" t="s">
        <v>10</v>
      </c>
      <c r="H1506" s="15" t="s">
        <v>10</v>
      </c>
      <c r="I1506" s="15">
        <v>0.93884232440352056</v>
      </c>
      <c r="J1506" s="15">
        <v>0.93884232440352056</v>
      </c>
      <c r="K1506" s="15">
        <v>0.93884232440352056</v>
      </c>
      <c r="L1506" s="15">
        <v>0.93884232440352056</v>
      </c>
      <c r="M1506" s="15">
        <v>0.93884232440352056</v>
      </c>
      <c r="N1506" s="15">
        <v>0.93884232440352056</v>
      </c>
      <c r="O1506" s="15" t="s">
        <v>10</v>
      </c>
      <c r="P1506" s="15" t="s">
        <v>10</v>
      </c>
      <c r="Q1506" s="8"/>
      <c r="R1506" s="9" t="s">
        <v>1501</v>
      </c>
    </row>
    <row r="1507" spans="1:18" x14ac:dyDescent="0.25">
      <c r="A1507" s="6" t="str">
        <f>HYPERLINK("proteomic_fractions_linear_files/Yang_linear_img/20544149.jpg", "20544149")</f>
        <v>20544149</v>
      </c>
      <c r="B1507" s="7"/>
      <c r="C1507" s="6" t="str">
        <f>HYPERLINK("http://www.ncbi.nlm.nih.gov/protein/20544149","Csnk1d")</f>
        <v>Csnk1d</v>
      </c>
      <c r="D1507" s="8"/>
      <c r="E1507" s="8">
        <v>47185</v>
      </c>
      <c r="F1507" s="8"/>
      <c r="G1507" s="15" t="s">
        <v>10</v>
      </c>
      <c r="H1507" s="15" t="s">
        <v>10</v>
      </c>
      <c r="I1507" s="15">
        <v>0.93884232440352056</v>
      </c>
      <c r="J1507" s="15">
        <v>0.93884232440352056</v>
      </c>
      <c r="K1507" s="15">
        <v>0.93884232440352056</v>
      </c>
      <c r="L1507" s="15">
        <v>0.93884232440352056</v>
      </c>
      <c r="M1507" s="15">
        <v>0.93884232440352056</v>
      </c>
      <c r="N1507" s="15">
        <v>0.93884232440352056</v>
      </c>
      <c r="O1507" s="15" t="s">
        <v>10</v>
      </c>
      <c r="P1507" s="15" t="s">
        <v>10</v>
      </c>
      <c r="Q1507" s="8"/>
      <c r="R1507" s="9" t="s">
        <v>1502</v>
      </c>
    </row>
    <row r="1508" spans="1:18" x14ac:dyDescent="0.25">
      <c r="A1508" s="6" t="str">
        <f>HYPERLINK("proteomic_fractions_linear_files/Yang_linear_img/31542425.jpg", "31542425")</f>
        <v>31542425</v>
      </c>
      <c r="B1508" s="7"/>
      <c r="C1508" s="6" t="str">
        <f>HYPERLINK("http://www.ncbi.nlm.nih.gov/protein/31542425","Csnk1e")</f>
        <v>Csnk1e</v>
      </c>
      <c r="D1508" s="8"/>
      <c r="E1508" s="8">
        <v>47191</v>
      </c>
      <c r="F1508" s="8"/>
      <c r="G1508" s="15" t="s">
        <v>10</v>
      </c>
      <c r="H1508" s="15" t="s">
        <v>10</v>
      </c>
      <c r="I1508" s="15">
        <v>0.93884232440352056</v>
      </c>
      <c r="J1508" s="15">
        <v>0.93884232440352056</v>
      </c>
      <c r="K1508" s="15">
        <v>0.93884232440352056</v>
      </c>
      <c r="L1508" s="15">
        <v>0.93884232440352056</v>
      </c>
      <c r="M1508" s="15">
        <v>0.93884232440352056</v>
      </c>
      <c r="N1508" s="15">
        <v>0.93884232440352056</v>
      </c>
      <c r="O1508" s="15" t="s">
        <v>10</v>
      </c>
      <c r="P1508" s="15" t="s">
        <v>10</v>
      </c>
      <c r="Q1508" s="8"/>
      <c r="R1508" s="9" t="s">
        <v>1503</v>
      </c>
    </row>
    <row r="1509" spans="1:18" x14ac:dyDescent="0.25">
      <c r="A1509" s="6" t="str">
        <f>HYPERLINK("proteomic_fractions_linear_files/Yang_linear_img/31542427.jpg", "31542427")</f>
        <v>31542427</v>
      </c>
      <c r="B1509" s="7"/>
      <c r="C1509" s="6" t="str">
        <f>HYPERLINK("http://www.ncbi.nlm.nih.gov/protein/31542427","Csnk2a1")</f>
        <v>Csnk2a1</v>
      </c>
      <c r="D1509" s="8"/>
      <c r="E1509" s="8">
        <v>45003</v>
      </c>
      <c r="F1509" s="8"/>
      <c r="G1509" s="15">
        <v>1.3060712796798635</v>
      </c>
      <c r="H1509" s="15">
        <v>1.3060712796798635</v>
      </c>
      <c r="I1509" s="15">
        <v>0.90016262673828318</v>
      </c>
      <c r="J1509" s="15">
        <v>0.90016262673828318</v>
      </c>
      <c r="K1509" s="15">
        <v>0.90016262673828318</v>
      </c>
      <c r="L1509" s="15">
        <v>0.90016262673828318</v>
      </c>
      <c r="M1509" s="15">
        <v>0.90016262673828318</v>
      </c>
      <c r="N1509" s="15">
        <v>0.90016262673828318</v>
      </c>
      <c r="O1509" s="15">
        <v>0.76785281178833742</v>
      </c>
      <c r="P1509" s="15">
        <v>0.76785281178833742</v>
      </c>
      <c r="Q1509" s="8"/>
      <c r="R1509" s="9" t="s">
        <v>1504</v>
      </c>
    </row>
    <row r="1510" spans="1:18" x14ac:dyDescent="0.25">
      <c r="A1510" s="6" t="str">
        <f>HYPERLINK("proteomic_fractions_linear_files/Yang_linear_img/6753540.jpg", "6753540")</f>
        <v>6753540</v>
      </c>
      <c r="B1510" s="7"/>
      <c r="C1510" s="6" t="str">
        <f>HYPERLINK("http://www.ncbi.nlm.nih.gov/protein/6753540","Csnk2a2")</f>
        <v>Csnk2a2</v>
      </c>
      <c r="D1510" s="8"/>
      <c r="E1510" s="8">
        <v>41084</v>
      </c>
      <c r="F1510" s="8"/>
      <c r="G1510" s="15">
        <v>1.4334928679413135</v>
      </c>
      <c r="H1510" s="15">
        <v>1.4334928679413135</v>
      </c>
      <c r="I1510" s="15">
        <v>0.84276528123110206</v>
      </c>
      <c r="J1510" s="15">
        <v>0.84276528123110206</v>
      </c>
      <c r="K1510" s="15">
        <v>0.91076405910059977</v>
      </c>
      <c r="L1510" s="15">
        <v>0.91076405910059977</v>
      </c>
      <c r="M1510" s="15">
        <v>0.91076405910059977</v>
      </c>
      <c r="N1510" s="15">
        <v>0.91076405910059977</v>
      </c>
      <c r="O1510" s="15">
        <v>0.78253836233496554</v>
      </c>
      <c r="P1510" s="15">
        <v>0.78253836233496554</v>
      </c>
      <c r="Q1510" s="8"/>
      <c r="R1510" s="9" t="s">
        <v>1505</v>
      </c>
    </row>
    <row r="1511" spans="1:18" x14ac:dyDescent="0.25">
      <c r="A1511" s="6" t="str">
        <f>HYPERLINK("proteomic_fractions_linear_files/Yang_linear_img/7106277.jpg", "7106277")</f>
        <v>7106277</v>
      </c>
      <c r="B1511" s="7"/>
      <c r="C1511" s="6" t="str">
        <f>HYPERLINK("http://www.ncbi.nlm.nih.gov/protein/7106277","Csnk2b")</f>
        <v>Csnk2b</v>
      </c>
      <c r="D1511" s="8"/>
      <c r="E1511" s="8">
        <v>24811</v>
      </c>
      <c r="F1511" s="8"/>
      <c r="G1511" s="15">
        <v>1.3821350612190073</v>
      </c>
      <c r="H1511" s="15">
        <v>1.3821350612190073</v>
      </c>
      <c r="I1511" s="15">
        <v>0.9821928245310767</v>
      </c>
      <c r="J1511" s="15">
        <v>0.9821928245310767</v>
      </c>
      <c r="K1511" s="15">
        <v>0.9821928245310767</v>
      </c>
      <c r="L1511" s="15">
        <v>0.9821928245310767</v>
      </c>
      <c r="M1511" s="15">
        <v>0.9821928245310767</v>
      </c>
      <c r="N1511" s="15">
        <v>0.9821928245310767</v>
      </c>
      <c r="O1511" s="15">
        <v>0.87182969082715001</v>
      </c>
      <c r="P1511" s="15">
        <v>0.87182969082715001</v>
      </c>
      <c r="Q1511" s="8"/>
      <c r="R1511" s="9" t="s">
        <v>1506</v>
      </c>
    </row>
    <row r="1512" spans="1:18" x14ac:dyDescent="0.25">
      <c r="A1512" s="6" t="str">
        <f>HYPERLINK("proteomic_fractions_linear_files/Yang_linear_img/6681069.jpg", "6681069")</f>
        <v>6681069</v>
      </c>
      <c r="B1512" s="7"/>
      <c r="C1512" s="6" t="str">
        <f>HYPERLINK("http://www.ncbi.nlm.nih.gov/protein/6681069","Csrp1")</f>
        <v>Csrp1</v>
      </c>
      <c r="D1512" s="8"/>
      <c r="E1512" s="8">
        <v>20452</v>
      </c>
      <c r="F1512" s="8"/>
      <c r="G1512" s="15">
        <v>1.6042036427866795</v>
      </c>
      <c r="H1512" s="15">
        <v>1.0298720593328137</v>
      </c>
      <c r="I1512" s="15">
        <v>1.0897871135339376</v>
      </c>
      <c r="J1512" s="15">
        <v>1.0897871135339376</v>
      </c>
      <c r="K1512" s="15">
        <v>1.0897871135339376</v>
      </c>
      <c r="L1512" s="15">
        <v>1.0897871135339376</v>
      </c>
      <c r="M1512" s="15">
        <v>0.72587368609351732</v>
      </c>
      <c r="N1512" s="15">
        <v>0.72587368609351732</v>
      </c>
      <c r="O1512" s="15">
        <v>1.0897871135339376</v>
      </c>
      <c r="P1512" s="15">
        <v>1.0897871135339376</v>
      </c>
      <c r="Q1512" s="8"/>
      <c r="R1512" s="9" t="s">
        <v>1507</v>
      </c>
    </row>
    <row r="1513" spans="1:18" x14ac:dyDescent="0.25">
      <c r="A1513" s="6" t="str">
        <f>HYPERLINK("proteomic_fractions_linear_files/Yang_linear_img/160707987.jpg", "160707987")</f>
        <v>160707987</v>
      </c>
      <c r="B1513" s="7"/>
      <c r="C1513" s="6" t="str">
        <f>HYPERLINK("http://www.ncbi.nlm.nih.gov/protein/160707987","Csrp2")</f>
        <v>Csrp2</v>
      </c>
      <c r="D1513" s="8"/>
      <c r="E1513" s="8">
        <v>20795</v>
      </c>
      <c r="F1513" s="8"/>
      <c r="G1513" s="15" t="s">
        <v>10</v>
      </c>
      <c r="H1513" s="15" t="s">
        <v>10</v>
      </c>
      <c r="I1513" s="15" t="s">
        <v>10</v>
      </c>
      <c r="J1513" s="15" t="s">
        <v>10</v>
      </c>
      <c r="K1513" s="15">
        <v>0.98083053269791776</v>
      </c>
      <c r="L1513" s="15">
        <v>0.98083053269791776</v>
      </c>
      <c r="M1513" s="15">
        <v>0.66123097618745952</v>
      </c>
      <c r="N1513" s="15">
        <v>0.66123097618745952</v>
      </c>
      <c r="O1513" s="15">
        <v>1.0378924890799406</v>
      </c>
      <c r="P1513" s="15">
        <v>1.0378924890799406</v>
      </c>
      <c r="Q1513" s="8"/>
      <c r="R1513" s="9" t="s">
        <v>1508</v>
      </c>
    </row>
    <row r="1514" spans="1:18" x14ac:dyDescent="0.25">
      <c r="A1514" s="6" t="str">
        <f>HYPERLINK("proteomic_fractions_linear_files/Yang_linear_img/31981822.jpg", "31981822")</f>
        <v>31981822</v>
      </c>
      <c r="B1514" s="7"/>
      <c r="C1514" s="6" t="str">
        <f>HYPERLINK("http://www.ncbi.nlm.nih.gov/protein/31981822","Cst3")</f>
        <v>Cst3</v>
      </c>
      <c r="D1514" s="8"/>
      <c r="E1514" s="8">
        <v>13406</v>
      </c>
      <c r="F1514" s="8"/>
      <c r="G1514" s="15" t="s">
        <v>10</v>
      </c>
      <c r="H1514" s="15" t="s">
        <v>10</v>
      </c>
      <c r="I1514" s="15">
        <v>1.1167287478361805</v>
      </c>
      <c r="J1514" s="15">
        <v>1.1167287478361805</v>
      </c>
      <c r="K1514" s="15">
        <v>1.1689490995241758</v>
      </c>
      <c r="L1514" s="15">
        <v>1.1689490995241758</v>
      </c>
      <c r="M1514" s="15" t="s">
        <v>10</v>
      </c>
      <c r="N1514" s="15" t="s">
        <v>10</v>
      </c>
      <c r="O1514" s="15" t="s">
        <v>10</v>
      </c>
      <c r="P1514" s="15" t="s">
        <v>10</v>
      </c>
      <c r="Q1514" s="8"/>
      <c r="R1514" s="9" t="s">
        <v>1509</v>
      </c>
    </row>
    <row r="1515" spans="1:18" x14ac:dyDescent="0.25">
      <c r="A1515" s="6" t="str">
        <f>HYPERLINK("proteomic_fractions_linear_files/Yang_linear_img/33469017.jpg", "33469017")</f>
        <v>33469017</v>
      </c>
      <c r="B1515" s="7"/>
      <c r="C1515" s="6" t="str">
        <f>HYPERLINK("http://www.ncbi.nlm.nih.gov/protein/33469017","Cstad")</f>
        <v>Cstad</v>
      </c>
      <c r="D1515" s="8"/>
      <c r="E1515" s="8">
        <v>11552</v>
      </c>
      <c r="F1515" s="8"/>
      <c r="G1515" s="15" t="s">
        <v>10</v>
      </c>
      <c r="H1515" s="15" t="s">
        <v>10</v>
      </c>
      <c r="I1515" s="15" t="s">
        <v>10</v>
      </c>
      <c r="J1515" s="15" t="s">
        <v>10</v>
      </c>
      <c r="K1515" s="15" t="s">
        <v>10</v>
      </c>
      <c r="L1515" s="15" t="s">
        <v>10</v>
      </c>
      <c r="M1515" s="15">
        <v>7.9139984318820424</v>
      </c>
      <c r="N1515" s="15">
        <v>7.9139984318820424</v>
      </c>
      <c r="O1515" s="15">
        <v>7.9139984318820424</v>
      </c>
      <c r="P1515" s="15">
        <v>7.9139984318820424</v>
      </c>
      <c r="Q1515" s="8"/>
      <c r="R1515" s="9" t="s">
        <v>1510</v>
      </c>
    </row>
    <row r="1516" spans="1:18" x14ac:dyDescent="0.25">
      <c r="A1516" s="6" t="str">
        <f>HYPERLINK("proteomic_fractions_linear_files/Yang_linear_img/6681071.jpg", "6681071")</f>
        <v>6681071</v>
      </c>
      <c r="B1516" s="7"/>
      <c r="C1516" s="6" t="str">
        <f>HYPERLINK("http://www.ncbi.nlm.nih.gov/protein/6681071","Cstb")</f>
        <v>Cstb</v>
      </c>
      <c r="D1516" s="8"/>
      <c r="E1516" s="8">
        <v>10914</v>
      </c>
      <c r="F1516" s="8"/>
      <c r="G1516" s="15">
        <v>1.8724946533323885</v>
      </c>
      <c r="H1516" s="15">
        <v>1.8724946533323885</v>
      </c>
      <c r="I1516" s="15">
        <v>1.2088240020910486</v>
      </c>
      <c r="J1516" s="15">
        <v>1.2088240020910486</v>
      </c>
      <c r="K1516" s="15">
        <v>1.3197703383518498</v>
      </c>
      <c r="L1516" s="15">
        <v>1.3197703383518498</v>
      </c>
      <c r="M1516" s="15">
        <v>1.3197703383518498</v>
      </c>
      <c r="N1516" s="15">
        <v>1.3197703383518498</v>
      </c>
      <c r="O1516" s="15">
        <v>1.1588381219943296</v>
      </c>
      <c r="P1516" s="15">
        <v>1.1588381219943296</v>
      </c>
      <c r="Q1516" s="8"/>
      <c r="R1516" s="9" t="s">
        <v>1511</v>
      </c>
    </row>
    <row r="1517" spans="1:18" x14ac:dyDescent="0.25">
      <c r="A1517" s="6" t="str">
        <f>HYPERLINK("proteomic_fractions_linear_files/Yang_linear_img/13195628.jpg", "13195628")</f>
        <v>13195628</v>
      </c>
      <c r="B1517" s="7"/>
      <c r="C1517" s="6" t="str">
        <f>HYPERLINK("http://www.ncbi.nlm.nih.gov/protein/13195628","Cstf1")</f>
        <v>Cstf1</v>
      </c>
      <c r="D1517" s="8"/>
      <c r="E1517" s="8">
        <v>48251</v>
      </c>
      <c r="F1517" s="8"/>
      <c r="G1517" s="15" t="s">
        <v>10</v>
      </c>
      <c r="H1517" s="15" t="s">
        <v>10</v>
      </c>
      <c r="I1517" s="15" t="s">
        <v>10</v>
      </c>
      <c r="J1517" s="15" t="s">
        <v>10</v>
      </c>
      <c r="K1517" s="15" t="s">
        <v>10</v>
      </c>
      <c r="L1517" s="15" t="s">
        <v>10</v>
      </c>
      <c r="M1517" s="15">
        <v>1.006041158008651</v>
      </c>
      <c r="N1517" s="15">
        <v>1.006041158008651</v>
      </c>
      <c r="O1517" s="15">
        <v>0.91928310931178059</v>
      </c>
      <c r="P1517" s="15">
        <v>0.91928310931178059</v>
      </c>
      <c r="Q1517" s="8"/>
      <c r="R1517" s="9" t="s">
        <v>1512</v>
      </c>
    </row>
    <row r="1518" spans="1:18" x14ac:dyDescent="0.25">
      <c r="A1518" s="6" t="str">
        <f>HYPERLINK("proteomic_fractions_linear_files/Yang_linear_img/18875338.jpg", "18875338")</f>
        <v>18875338</v>
      </c>
      <c r="B1518" s="7"/>
      <c r="C1518" s="6" t="str">
        <f>HYPERLINK("http://www.ncbi.nlm.nih.gov/protein/18875338","Cstf2")</f>
        <v>Cstf2</v>
      </c>
      <c r="D1518" s="8"/>
      <c r="E1518" s="8">
        <v>61210</v>
      </c>
      <c r="F1518" s="8"/>
      <c r="G1518" s="15">
        <v>1.3622730897236699</v>
      </c>
      <c r="H1518" s="15">
        <v>1.3622730897236699</v>
      </c>
      <c r="I1518" s="15" t="s">
        <v>10</v>
      </c>
      <c r="J1518" s="15" t="s">
        <v>10</v>
      </c>
      <c r="K1518" s="15">
        <v>1.2038714793718401</v>
      </c>
      <c r="L1518" s="15">
        <v>1.2038714793718401</v>
      </c>
      <c r="M1518" s="15" t="s">
        <v>10</v>
      </c>
      <c r="N1518" s="15" t="s">
        <v>10</v>
      </c>
      <c r="O1518" s="15" t="s">
        <v>10</v>
      </c>
      <c r="P1518" s="15" t="s">
        <v>10</v>
      </c>
      <c r="Q1518" s="8"/>
      <c r="R1518" s="9" t="s">
        <v>1513</v>
      </c>
    </row>
    <row r="1519" spans="1:18" x14ac:dyDescent="0.25">
      <c r="A1519" s="6" t="str">
        <f>HYPERLINK("proteomic_fractions_linear_files/Yang_linear_img/21704042.jpg", "21704042")</f>
        <v>21704042</v>
      </c>
      <c r="B1519" s="7"/>
      <c r="C1519" s="6" t="str">
        <f>HYPERLINK("http://www.ncbi.nlm.nih.gov/protein/21704042","Cstf3")</f>
        <v>Cstf3</v>
      </c>
      <c r="D1519" s="8"/>
      <c r="E1519" s="8">
        <v>82746</v>
      </c>
      <c r="F1519" s="8"/>
      <c r="G1519" s="15">
        <v>1.3229104074835116</v>
      </c>
      <c r="H1519" s="15">
        <v>1.3229104074835116</v>
      </c>
      <c r="I1519" s="15">
        <v>1.001188656302938</v>
      </c>
      <c r="J1519" s="15">
        <v>1.001188656302938</v>
      </c>
      <c r="K1519" s="15" t="s">
        <v>10</v>
      </c>
      <c r="L1519" s="15" t="s">
        <v>10</v>
      </c>
      <c r="M1519" s="15">
        <v>1.001188656302938</v>
      </c>
      <c r="N1519" s="15">
        <v>1.001188656302938</v>
      </c>
      <c r="O1519" s="15" t="s">
        <v>10</v>
      </c>
      <c r="P1519" s="15" t="s">
        <v>10</v>
      </c>
      <c r="Q1519" s="8"/>
      <c r="R1519" s="9" t="s">
        <v>1514</v>
      </c>
    </row>
    <row r="1520" spans="1:18" x14ac:dyDescent="0.25">
      <c r="A1520" s="6" t="str">
        <f>HYPERLINK("proteomic_fractions_linear_files/Yang_linear_img/259155334.jpg", "259155334")</f>
        <v>259155334</v>
      </c>
      <c r="B1520" s="7"/>
      <c r="C1520" s="6" t="str">
        <f>HYPERLINK("http://www.ncbi.nlm.nih.gov/protein/259155334","Ctage5")</f>
        <v>Ctage5</v>
      </c>
      <c r="D1520" s="8"/>
      <c r="E1520" s="8">
        <v>89142</v>
      </c>
      <c r="F1520" s="8"/>
      <c r="G1520" s="15" t="s">
        <v>10</v>
      </c>
      <c r="H1520" s="15" t="s">
        <v>10</v>
      </c>
      <c r="I1520" s="15">
        <v>0.82512539597395784</v>
      </c>
      <c r="J1520" s="15">
        <v>0.82512539597395784</v>
      </c>
      <c r="K1520" s="15">
        <v>1.4463104285968198</v>
      </c>
      <c r="L1520" s="15">
        <v>1.4463104285968198</v>
      </c>
      <c r="M1520" s="15" t="s">
        <v>10</v>
      </c>
      <c r="N1520" s="15" t="s">
        <v>10</v>
      </c>
      <c r="O1520" s="15" t="s">
        <v>10</v>
      </c>
      <c r="P1520" s="15" t="s">
        <v>10</v>
      </c>
      <c r="Q1520" s="8"/>
      <c r="R1520" s="9" t="s">
        <v>1515</v>
      </c>
    </row>
    <row r="1521" spans="1:18" x14ac:dyDescent="0.25">
      <c r="A1521" s="6" t="str">
        <f>HYPERLINK("proteomic_fractions_linear_files/Yang_linear_img/259155336.jpg", "259155336")</f>
        <v>259155336</v>
      </c>
      <c r="B1521" s="7"/>
      <c r="C1521" s="6" t="str">
        <f>HYPERLINK("http://www.ncbi.nlm.nih.gov/protein/259155336","Ctage5")</f>
        <v>Ctage5</v>
      </c>
      <c r="D1521" s="8"/>
      <c r="E1521" s="8">
        <v>86599</v>
      </c>
      <c r="F1521" s="8"/>
      <c r="G1521" s="15" t="s">
        <v>10</v>
      </c>
      <c r="H1521" s="15" t="s">
        <v>10</v>
      </c>
      <c r="I1521" s="15">
        <v>0.8440937958814051</v>
      </c>
      <c r="J1521" s="15">
        <v>0.8440937958814051</v>
      </c>
      <c r="K1521" s="15">
        <v>1.4795589441967467</v>
      </c>
      <c r="L1521" s="15">
        <v>1.4795589441967467</v>
      </c>
      <c r="M1521" s="15" t="s">
        <v>10</v>
      </c>
      <c r="N1521" s="15" t="s">
        <v>10</v>
      </c>
      <c r="O1521" s="15" t="s">
        <v>10</v>
      </c>
      <c r="P1521" s="15" t="s">
        <v>10</v>
      </c>
      <c r="Q1521" s="8"/>
      <c r="R1521" s="9" t="s">
        <v>1516</v>
      </c>
    </row>
    <row r="1522" spans="1:18" x14ac:dyDescent="0.25">
      <c r="A1522" s="6" t="str">
        <f>HYPERLINK("proteomic_fractions_linear_files/Yang_linear_img/259155338.jpg", "259155338")</f>
        <v>259155338</v>
      </c>
      <c r="B1522" s="7"/>
      <c r="C1522" s="6" t="str">
        <f>HYPERLINK("http://www.ncbi.nlm.nih.gov/protein/259155338","Ctage5")</f>
        <v>Ctage5</v>
      </c>
      <c r="D1522" s="8"/>
      <c r="E1522" s="8">
        <v>85491</v>
      </c>
      <c r="F1522" s="8"/>
      <c r="G1522" s="15" t="s">
        <v>10</v>
      </c>
      <c r="H1522" s="15" t="s">
        <v>10</v>
      </c>
      <c r="I1522" s="15">
        <v>0.86395482637273224</v>
      </c>
      <c r="J1522" s="15">
        <v>0.86395482637273224</v>
      </c>
      <c r="K1522" s="15">
        <v>1.5143720958249054</v>
      </c>
      <c r="L1522" s="15">
        <v>1.5143720958249054</v>
      </c>
      <c r="M1522" s="15" t="s">
        <v>10</v>
      </c>
      <c r="N1522" s="15" t="s">
        <v>10</v>
      </c>
      <c r="O1522" s="15" t="s">
        <v>10</v>
      </c>
      <c r="P1522" s="15" t="s">
        <v>10</v>
      </c>
      <c r="Q1522" s="8"/>
      <c r="R1522" s="9" t="s">
        <v>1517</v>
      </c>
    </row>
    <row r="1523" spans="1:18" x14ac:dyDescent="0.25">
      <c r="A1523" s="6" t="str">
        <f>HYPERLINK("proteomic_fractions_linear_files/Yang_linear_img/311893324.jpg", "311893324")</f>
        <v>311893324</v>
      </c>
      <c r="B1523" s="7"/>
      <c r="C1523" s="6" t="str">
        <f>HYPERLINK("http://www.ncbi.nlm.nih.gov/protein/311893324","Ctbp1")</f>
        <v>Ctbp1</v>
      </c>
      <c r="D1523" s="8"/>
      <c r="E1523" s="8">
        <v>47527</v>
      </c>
      <c r="F1523" s="8"/>
      <c r="G1523" s="15">
        <v>0.91928310931178059</v>
      </c>
      <c r="H1523" s="15">
        <v>0.91928310931178059</v>
      </c>
      <c r="I1523" s="15">
        <v>0.91928310931178059</v>
      </c>
      <c r="J1523" s="15">
        <v>0.91928310931178059</v>
      </c>
      <c r="K1523" s="15">
        <v>1.006041158008651</v>
      </c>
      <c r="L1523" s="15">
        <v>1.006041158008651</v>
      </c>
      <c r="M1523" s="15" t="s">
        <v>10</v>
      </c>
      <c r="N1523" s="15" t="s">
        <v>10</v>
      </c>
      <c r="O1523" s="15">
        <v>0.84390246256714052</v>
      </c>
      <c r="P1523" s="15">
        <v>0.84390246256714052</v>
      </c>
      <c r="Q1523" s="8"/>
      <c r="R1523" s="9" t="s">
        <v>1518</v>
      </c>
    </row>
    <row r="1524" spans="1:18" x14ac:dyDescent="0.25">
      <c r="A1524" s="6" t="str">
        <f>HYPERLINK("proteomic_fractions_linear_files/Yang_linear_img/311893326.jpg", "311893326")</f>
        <v>311893326</v>
      </c>
      <c r="B1524" s="7"/>
      <c r="C1524" s="6" t="str">
        <f>HYPERLINK("http://www.ncbi.nlm.nih.gov/protein/311893326","Ctbp1")</f>
        <v>Ctbp1</v>
      </c>
      <c r="D1524" s="8"/>
      <c r="E1524" s="8">
        <v>46396</v>
      </c>
      <c r="F1524" s="8"/>
      <c r="G1524" s="15">
        <v>0.95925194015142323</v>
      </c>
      <c r="H1524" s="15">
        <v>0.95925194015142323</v>
      </c>
      <c r="I1524" s="15">
        <v>0.95925194015142323</v>
      </c>
      <c r="J1524" s="15">
        <v>0.95925194015142323</v>
      </c>
      <c r="K1524" s="15">
        <v>1.0497820779220708</v>
      </c>
      <c r="L1524" s="15">
        <v>1.0497820779220708</v>
      </c>
      <c r="M1524" s="15" t="s">
        <v>10</v>
      </c>
      <c r="N1524" s="15" t="s">
        <v>10</v>
      </c>
      <c r="O1524" s="15">
        <v>0.88059387398310318</v>
      </c>
      <c r="P1524" s="15">
        <v>0.88059387398310318</v>
      </c>
      <c r="Q1524" s="8"/>
      <c r="R1524" s="9" t="s">
        <v>1519</v>
      </c>
    </row>
    <row r="1525" spans="1:18" x14ac:dyDescent="0.25">
      <c r="A1525" s="6" t="str">
        <f>HYPERLINK("proteomic_fractions_linear_files/Yang_linear_img/311893328.jpg", "311893328")</f>
        <v>311893328</v>
      </c>
      <c r="B1525" s="7"/>
      <c r="C1525" s="6" t="str">
        <f>HYPERLINK("http://www.ncbi.nlm.nih.gov/protein/311893328","Ctbp1")</f>
        <v>Ctbp1</v>
      </c>
      <c r="D1525" s="8"/>
      <c r="E1525" s="8">
        <v>46483</v>
      </c>
      <c r="F1525" s="8"/>
      <c r="G1525" s="15">
        <v>0.95925194015142323</v>
      </c>
      <c r="H1525" s="15">
        <v>0.95925194015142323</v>
      </c>
      <c r="I1525" s="15">
        <v>0.95925194015142323</v>
      </c>
      <c r="J1525" s="15">
        <v>0.95925194015142323</v>
      </c>
      <c r="K1525" s="15">
        <v>1.0497820779220708</v>
      </c>
      <c r="L1525" s="15">
        <v>1.0497820779220708</v>
      </c>
      <c r="M1525" s="15" t="s">
        <v>10</v>
      </c>
      <c r="N1525" s="15" t="s">
        <v>10</v>
      </c>
      <c r="O1525" s="15">
        <v>0.88059387398310318</v>
      </c>
      <c r="P1525" s="15">
        <v>0.88059387398310318</v>
      </c>
      <c r="Q1525" s="8"/>
      <c r="R1525" s="9" t="s">
        <v>1520</v>
      </c>
    </row>
    <row r="1526" spans="1:18" x14ac:dyDescent="0.25">
      <c r="A1526" s="6" t="str">
        <f>HYPERLINK("proteomic_fractions_linear_files/Yang_linear_img/7304989.jpg", "7304989")</f>
        <v>7304989</v>
      </c>
      <c r="B1526" s="7"/>
      <c r="C1526" s="6" t="str">
        <f>HYPERLINK("http://www.ncbi.nlm.nih.gov/protein/7304989","Ctbp1")</f>
        <v>Ctbp1</v>
      </c>
      <c r="D1526" s="8"/>
      <c r="E1526" s="8">
        <v>47614</v>
      </c>
      <c r="F1526" s="8"/>
      <c r="G1526" s="15">
        <v>0.91928310931178059</v>
      </c>
      <c r="H1526" s="15">
        <v>0.91928310931178059</v>
      </c>
      <c r="I1526" s="15">
        <v>0.91928310931178059</v>
      </c>
      <c r="J1526" s="15">
        <v>0.91928310931178059</v>
      </c>
      <c r="K1526" s="15">
        <v>1.006041158008651</v>
      </c>
      <c r="L1526" s="15">
        <v>1.006041158008651</v>
      </c>
      <c r="M1526" s="15" t="s">
        <v>10</v>
      </c>
      <c r="N1526" s="15" t="s">
        <v>10</v>
      </c>
      <c r="O1526" s="15">
        <v>0.84390246256714052</v>
      </c>
      <c r="P1526" s="15">
        <v>0.84390246256714052</v>
      </c>
      <c r="Q1526" s="8"/>
      <c r="R1526" s="9" t="s">
        <v>1521</v>
      </c>
    </row>
    <row r="1527" spans="1:18" x14ac:dyDescent="0.25">
      <c r="A1527" s="6" t="str">
        <f>HYPERLINK("proteomic_fractions_linear_files/Yang_linear_img/282721029.jpg", "282721029")</f>
        <v>282721029</v>
      </c>
      <c r="B1527" s="7"/>
      <c r="C1527" s="6" t="str">
        <f>HYPERLINK("http://www.ncbi.nlm.nih.gov/protein/282721029","Ctbp2")</f>
        <v>Ctbp2</v>
      </c>
      <c r="D1527" s="8"/>
      <c r="E1527" s="8">
        <v>106996</v>
      </c>
      <c r="F1527" s="8"/>
      <c r="G1527" s="15">
        <v>0.41238868455107913</v>
      </c>
      <c r="H1527" s="15">
        <v>0.41238868455107913</v>
      </c>
      <c r="I1527" s="15">
        <v>0.41238868455107913</v>
      </c>
      <c r="J1527" s="15">
        <v>0.41238868455107913</v>
      </c>
      <c r="K1527" s="15">
        <v>0.45130818303191822</v>
      </c>
      <c r="L1527" s="15">
        <v>0.45130818303191822</v>
      </c>
      <c r="M1527" s="15" t="s">
        <v>10</v>
      </c>
      <c r="N1527" s="15" t="s">
        <v>10</v>
      </c>
      <c r="O1527" s="15">
        <v>0.37857306731983875</v>
      </c>
      <c r="P1527" s="15">
        <v>0.37857306731983875</v>
      </c>
      <c r="Q1527" s="8"/>
      <c r="R1527" s="9" t="s">
        <v>1522</v>
      </c>
    </row>
    <row r="1528" spans="1:18" x14ac:dyDescent="0.25">
      <c r="A1528" s="6" t="str">
        <f>HYPERLINK("proteomic_fractions_linear_files/Yang_linear_img/6753548.jpg", "6753548")</f>
        <v>6753548</v>
      </c>
      <c r="B1528" s="7"/>
      <c r="C1528" s="6" t="str">
        <f>HYPERLINK("http://www.ncbi.nlm.nih.gov/protein/6753548","Ctbp2")</f>
        <v>Ctbp2</v>
      </c>
      <c r="D1528" s="8"/>
      <c r="E1528" s="8">
        <v>48826</v>
      </c>
      <c r="F1528" s="8"/>
      <c r="G1528" s="15">
        <v>0.90052222952990757</v>
      </c>
      <c r="H1528" s="15">
        <v>0.90052222952990757</v>
      </c>
      <c r="I1528" s="15">
        <v>0.90052222952990757</v>
      </c>
      <c r="J1528" s="15">
        <v>0.90052222952990757</v>
      </c>
      <c r="K1528" s="15">
        <v>0.9855097058043929</v>
      </c>
      <c r="L1528" s="15">
        <v>0.9855097058043929</v>
      </c>
      <c r="M1528" s="15" t="s">
        <v>10</v>
      </c>
      <c r="N1528" s="15" t="s">
        <v>10</v>
      </c>
      <c r="O1528" s="15">
        <v>0.82667996333107641</v>
      </c>
      <c r="P1528" s="15">
        <v>0.82667996333107641</v>
      </c>
      <c r="Q1528" s="8"/>
      <c r="R1528" s="9" t="s">
        <v>1523</v>
      </c>
    </row>
    <row r="1529" spans="1:18" x14ac:dyDescent="0.25">
      <c r="A1529" s="6" t="str">
        <f>HYPERLINK("proteomic_fractions_linear_files/Yang_linear_img/27229204.jpg", "27229204")</f>
        <v>27229204</v>
      </c>
      <c r="B1529" s="7"/>
      <c r="C1529" s="6" t="str">
        <f>HYPERLINK("http://www.ncbi.nlm.nih.gov/protein/27229204","Ctbs")</f>
        <v>Ctbs</v>
      </c>
      <c r="D1529" s="8"/>
      <c r="E1529" s="8">
        <v>32913</v>
      </c>
      <c r="F1529" s="8"/>
      <c r="G1529" s="15" t="s">
        <v>10</v>
      </c>
      <c r="H1529" s="15" t="s">
        <v>10</v>
      </c>
      <c r="I1529" s="15">
        <v>1.3371390680898627</v>
      </c>
      <c r="J1529" s="15">
        <v>1.3371390680898627</v>
      </c>
      <c r="K1529" s="15" t="s">
        <v>10</v>
      </c>
      <c r="L1529" s="15" t="s">
        <v>10</v>
      </c>
      <c r="M1529" s="15" t="s">
        <v>10</v>
      </c>
      <c r="N1529" s="15" t="s">
        <v>10</v>
      </c>
      <c r="O1529" s="15" t="s">
        <v>10</v>
      </c>
      <c r="P1529" s="15" t="s">
        <v>10</v>
      </c>
      <c r="Q1529" s="8"/>
      <c r="R1529" s="9" t="s">
        <v>1524</v>
      </c>
    </row>
    <row r="1530" spans="1:18" x14ac:dyDescent="0.25">
      <c r="A1530" s="6" t="str">
        <f>HYPERLINK("proteomic_fractions_linear_files/Yang_linear_img/219689064.jpg", "219689064")</f>
        <v>219689064</v>
      </c>
      <c r="B1530" s="7"/>
      <c r="C1530" s="6" t="str">
        <f>HYPERLINK("http://www.ncbi.nlm.nih.gov/protein/219689064","Ctc1")</f>
        <v>Ctc1</v>
      </c>
      <c r="D1530" s="8"/>
      <c r="E1530" s="8">
        <v>133898</v>
      </c>
      <c r="F1530" s="8"/>
      <c r="G1530" s="15" t="s">
        <v>10</v>
      </c>
      <c r="H1530" s="15" t="s">
        <v>10</v>
      </c>
      <c r="I1530" s="15">
        <v>1.1451706801212078</v>
      </c>
      <c r="J1530" s="15">
        <v>1.1451706801212078</v>
      </c>
      <c r="K1530" s="15">
        <v>1.1451706801212078</v>
      </c>
      <c r="L1530" s="15">
        <v>1.1451706801212078</v>
      </c>
      <c r="M1530" s="15">
        <v>1.1451706801212078</v>
      </c>
      <c r="N1530" s="15">
        <v>1.1451706801212078</v>
      </c>
      <c r="O1530" s="15">
        <v>1.1451706801212078</v>
      </c>
      <c r="P1530" s="15">
        <v>1.1451706801212078</v>
      </c>
      <c r="Q1530" s="8"/>
      <c r="R1530" s="9" t="s">
        <v>1525</v>
      </c>
    </row>
    <row r="1531" spans="1:18" x14ac:dyDescent="0.25">
      <c r="A1531" s="6" t="str">
        <f>HYPERLINK("proteomic_fractions_linear_files/Yang_linear_img/219689066.jpg", "219689066")</f>
        <v>219689066</v>
      </c>
      <c r="B1531" s="7"/>
      <c r="C1531" s="6" t="str">
        <f>HYPERLINK("http://www.ncbi.nlm.nih.gov/protein/219689066","Ctc1")</f>
        <v>Ctc1</v>
      </c>
      <c r="D1531" s="8"/>
      <c r="E1531" s="8">
        <v>133770</v>
      </c>
      <c r="F1531" s="8"/>
      <c r="G1531" s="15" t="s">
        <v>10</v>
      </c>
      <c r="H1531" s="15" t="s">
        <v>10</v>
      </c>
      <c r="I1531" s="15">
        <v>1.1451706801212078</v>
      </c>
      <c r="J1531" s="15">
        <v>1.1451706801212078</v>
      </c>
      <c r="K1531" s="15">
        <v>1.1451706801212078</v>
      </c>
      <c r="L1531" s="15">
        <v>1.1451706801212078</v>
      </c>
      <c r="M1531" s="15">
        <v>1.1451706801212078</v>
      </c>
      <c r="N1531" s="15">
        <v>1.1451706801212078</v>
      </c>
      <c r="O1531" s="15">
        <v>1.1451706801212078</v>
      </c>
      <c r="P1531" s="15">
        <v>1.1451706801212078</v>
      </c>
      <c r="Q1531" s="8"/>
      <c r="R1531" s="9" t="s">
        <v>1526</v>
      </c>
    </row>
    <row r="1532" spans="1:18" x14ac:dyDescent="0.25">
      <c r="A1532" s="6" t="str">
        <f>HYPERLINK("proteomic_fractions_linear_files/Yang_linear_img/31044459.jpg", "31044459")</f>
        <v>31044459</v>
      </c>
      <c r="B1532" s="7"/>
      <c r="C1532" s="6" t="str">
        <f>HYPERLINK("http://www.ncbi.nlm.nih.gov/protein/31044459","Ctcf")</f>
        <v>Ctcf</v>
      </c>
      <c r="D1532" s="8"/>
      <c r="E1532" s="8">
        <v>83615</v>
      </c>
      <c r="F1532" s="8"/>
      <c r="G1532" s="15">
        <v>1.8268198944790695</v>
      </c>
      <c r="H1532" s="15">
        <v>1.8268198944790695</v>
      </c>
      <c r="I1532" s="15" t="s">
        <v>10</v>
      </c>
      <c r="J1532" s="15" t="s">
        <v>10</v>
      </c>
      <c r="K1532" s="15" t="s">
        <v>10</v>
      </c>
      <c r="L1532" s="15" t="s">
        <v>10</v>
      </c>
      <c r="M1532" s="15" t="s">
        <v>10</v>
      </c>
      <c r="N1532" s="15" t="s">
        <v>10</v>
      </c>
      <c r="O1532" s="15" t="s">
        <v>10</v>
      </c>
      <c r="P1532" s="15" t="s">
        <v>10</v>
      </c>
      <c r="Q1532" s="8"/>
      <c r="R1532" s="9" t="s">
        <v>1527</v>
      </c>
    </row>
    <row r="1533" spans="1:18" x14ac:dyDescent="0.25">
      <c r="A1533" s="6" t="str">
        <f>HYPERLINK("proteomic_fractions_linear_files/Yang_linear_img/34328280.jpg", "34328280")</f>
        <v>34328280</v>
      </c>
      <c r="B1533" s="7"/>
      <c r="C1533" s="6" t="str">
        <f>HYPERLINK("http://www.ncbi.nlm.nih.gov/protein/34328280","Ctdp1")</f>
        <v>Ctdp1</v>
      </c>
      <c r="D1533" s="8"/>
      <c r="E1533" s="8">
        <v>104424</v>
      </c>
      <c r="F1533" s="8"/>
      <c r="G1533" s="15" t="s">
        <v>10</v>
      </c>
      <c r="H1533" s="15" t="s">
        <v>10</v>
      </c>
      <c r="I1533" s="15" t="s">
        <v>10</v>
      </c>
      <c r="J1533" s="15" t="s">
        <v>10</v>
      </c>
      <c r="K1533" s="15" t="s">
        <v>10</v>
      </c>
      <c r="L1533" s="15" t="s">
        <v>10</v>
      </c>
      <c r="M1533" s="15">
        <v>1.7958253042301957</v>
      </c>
      <c r="N1533" s="15">
        <v>1.7958253042301957</v>
      </c>
      <c r="O1533" s="15">
        <v>1.4755083763100176</v>
      </c>
      <c r="P1533" s="15">
        <v>1.4755083763100176</v>
      </c>
      <c r="Q1533" s="8"/>
      <c r="R1533" s="9" t="s">
        <v>1528</v>
      </c>
    </row>
    <row r="1534" spans="1:18" x14ac:dyDescent="0.25">
      <c r="A1534" s="6" t="str">
        <f>HYPERLINK("proteomic_fractions_linear_files/Yang_linear_img/23346509.jpg", "23346509")</f>
        <v>23346509</v>
      </c>
      <c r="B1534" s="7"/>
      <c r="C1534" s="6" t="str">
        <f>HYPERLINK("http://www.ncbi.nlm.nih.gov/protein/23346509","Ctdsp1")</f>
        <v>Ctdsp1</v>
      </c>
      <c r="D1534" s="8"/>
      <c r="E1534" s="8">
        <v>29135</v>
      </c>
      <c r="F1534" s="8"/>
      <c r="G1534" s="15" t="s">
        <v>10</v>
      </c>
      <c r="H1534" s="15" t="s">
        <v>10</v>
      </c>
      <c r="I1534" s="15" t="s">
        <v>10</v>
      </c>
      <c r="J1534" s="15" t="s">
        <v>10</v>
      </c>
      <c r="K1534" s="15">
        <v>0.96269694129938133</v>
      </c>
      <c r="L1534" s="15">
        <v>0.96269694129938133</v>
      </c>
      <c r="M1534" s="15" t="s">
        <v>10</v>
      </c>
      <c r="N1534" s="15" t="s">
        <v>10</v>
      </c>
      <c r="O1534" s="15" t="s">
        <v>10</v>
      </c>
      <c r="P1534" s="15" t="s">
        <v>10</v>
      </c>
      <c r="Q1534" s="8"/>
      <c r="R1534" s="9" t="s">
        <v>1529</v>
      </c>
    </row>
    <row r="1535" spans="1:18" x14ac:dyDescent="0.25">
      <c r="A1535" s="6" t="str">
        <f>HYPERLINK("proteomic_fractions_linear_files/Yang_linear_img/164698411.jpg", "164698411")</f>
        <v>164698411</v>
      </c>
      <c r="B1535" s="7"/>
      <c r="C1535" s="6" t="str">
        <f>HYPERLINK("http://www.ncbi.nlm.nih.gov/protein/164698411","Ctdsp2")</f>
        <v>Ctdsp2</v>
      </c>
      <c r="D1535" s="8"/>
      <c r="E1535" s="8">
        <v>30415</v>
      </c>
      <c r="F1535" s="8"/>
      <c r="G1535" s="15" t="s">
        <v>10</v>
      </c>
      <c r="H1535" s="15" t="s">
        <v>10</v>
      </c>
      <c r="I1535" s="15" t="s">
        <v>10</v>
      </c>
      <c r="J1535" s="15" t="s">
        <v>10</v>
      </c>
      <c r="K1535" s="15">
        <v>0.93060704325606869</v>
      </c>
      <c r="L1535" s="15">
        <v>0.93060704325606869</v>
      </c>
      <c r="M1535" s="15" t="s">
        <v>10</v>
      </c>
      <c r="N1535" s="15" t="s">
        <v>10</v>
      </c>
      <c r="O1535" s="15" t="s">
        <v>10</v>
      </c>
      <c r="P1535" s="15" t="s">
        <v>10</v>
      </c>
      <c r="Q1535" s="8"/>
      <c r="R1535" s="9" t="s">
        <v>1530</v>
      </c>
    </row>
    <row r="1536" spans="1:18" x14ac:dyDescent="0.25">
      <c r="A1536" s="6" t="str">
        <f>HYPERLINK("proteomic_fractions_linear_files/Yang_linear_img/22122479.jpg", "22122479")</f>
        <v>22122479</v>
      </c>
      <c r="B1536" s="7"/>
      <c r="C1536" s="6" t="str">
        <f>HYPERLINK("http://www.ncbi.nlm.nih.gov/protein/22122479","Ctdsp2")</f>
        <v>Ctdsp2</v>
      </c>
      <c r="D1536" s="8"/>
      <c r="E1536" s="8">
        <v>13305</v>
      </c>
      <c r="F1536" s="8"/>
      <c r="G1536" s="15" t="s">
        <v>10</v>
      </c>
      <c r="H1536" s="15" t="s">
        <v>10</v>
      </c>
      <c r="I1536" s="15" t="s">
        <v>10</v>
      </c>
      <c r="J1536" s="15" t="s">
        <v>10</v>
      </c>
      <c r="K1536" s="15">
        <v>2.1475547152063124</v>
      </c>
      <c r="L1536" s="15">
        <v>2.1475547152063124</v>
      </c>
      <c r="M1536" s="15" t="s">
        <v>10</v>
      </c>
      <c r="N1536" s="15" t="s">
        <v>10</v>
      </c>
      <c r="O1536" s="15" t="s">
        <v>10</v>
      </c>
      <c r="P1536" s="15" t="s">
        <v>10</v>
      </c>
      <c r="Q1536" s="8"/>
      <c r="R1536" s="9" t="s">
        <v>1531</v>
      </c>
    </row>
    <row r="1537" spans="1:18" x14ac:dyDescent="0.25">
      <c r="A1537" s="6" t="str">
        <f>HYPERLINK("proteomic_fractions_linear_files/Yang_linear_img/171460950.jpg", "171460950")</f>
        <v>171460950</v>
      </c>
      <c r="B1537" s="7"/>
      <c r="C1537" s="6" t="str">
        <f>HYPERLINK("http://www.ncbi.nlm.nih.gov/protein/171460950","Ctdspl")</f>
        <v>Ctdspl</v>
      </c>
      <c r="D1537" s="8"/>
      <c r="E1537" s="8">
        <v>31025</v>
      </c>
      <c r="F1537" s="8"/>
      <c r="G1537" s="15" t="s">
        <v>10</v>
      </c>
      <c r="H1537" s="15" t="s">
        <v>10</v>
      </c>
      <c r="I1537" s="15">
        <v>0.90058746121555033</v>
      </c>
      <c r="J1537" s="15">
        <v>0.90058746121555033</v>
      </c>
      <c r="K1537" s="15">
        <v>0.96404538360364944</v>
      </c>
      <c r="L1537" s="15">
        <v>0.96404538360364944</v>
      </c>
      <c r="M1537" s="15" t="s">
        <v>10</v>
      </c>
      <c r="N1537" s="15" t="s">
        <v>10</v>
      </c>
      <c r="O1537" s="15" t="s">
        <v>10</v>
      </c>
      <c r="P1537" s="15" t="s">
        <v>10</v>
      </c>
      <c r="Q1537" s="8"/>
      <c r="R1537" s="9" t="s">
        <v>1532</v>
      </c>
    </row>
    <row r="1538" spans="1:18" x14ac:dyDescent="0.25">
      <c r="A1538" s="6" t="str">
        <f>HYPERLINK("proteomic_fractions_linear_files/Yang_linear_img/6681075.jpg", "6681075")</f>
        <v>6681075</v>
      </c>
      <c r="B1538" s="7"/>
      <c r="C1538" s="6" t="str">
        <f>HYPERLINK("http://www.ncbi.nlm.nih.gov/protein/6681075","Ctf1")</f>
        <v>Ctf1</v>
      </c>
      <c r="D1538" s="8"/>
      <c r="E1538" s="8">
        <v>21378</v>
      </c>
      <c r="F1538" s="8"/>
      <c r="G1538" s="15" t="s">
        <v>10</v>
      </c>
      <c r="H1538" s="15" t="s">
        <v>10</v>
      </c>
      <c r="I1538" s="15">
        <v>0.98083053269791776</v>
      </c>
      <c r="J1538" s="15">
        <v>0.98083053269791776</v>
      </c>
      <c r="K1538" s="15" t="s">
        <v>10</v>
      </c>
      <c r="L1538" s="15" t="s">
        <v>10</v>
      </c>
      <c r="M1538" s="15">
        <v>0.98083053269791776</v>
      </c>
      <c r="N1538" s="15">
        <v>0.98083053269791776</v>
      </c>
      <c r="O1538" s="15" t="s">
        <v>10</v>
      </c>
      <c r="P1538" s="15" t="s">
        <v>10</v>
      </c>
      <c r="Q1538" s="8"/>
      <c r="R1538" s="9" t="s">
        <v>1533</v>
      </c>
    </row>
    <row r="1539" spans="1:18" x14ac:dyDescent="0.25">
      <c r="A1539" s="6" t="str">
        <f>HYPERLINK("proteomic_fractions_linear_files/Yang_linear_img/38524598.jpg", "38524598")</f>
        <v>38524598</v>
      </c>
      <c r="B1539" s="7"/>
      <c r="C1539" s="6" t="str">
        <f>HYPERLINK("http://www.ncbi.nlm.nih.gov/protein/38524598","Ctf2")</f>
        <v>Ctf2</v>
      </c>
      <c r="D1539" s="8"/>
      <c r="E1539" s="8">
        <v>19676</v>
      </c>
      <c r="F1539" s="8"/>
      <c r="G1539" s="15" t="s">
        <v>10</v>
      </c>
      <c r="H1539" s="15" t="s">
        <v>10</v>
      </c>
      <c r="I1539" s="15" t="s">
        <v>10</v>
      </c>
      <c r="J1539" s="15" t="s">
        <v>10</v>
      </c>
      <c r="K1539" s="15" t="s">
        <v>10</v>
      </c>
      <c r="L1539" s="15" t="s">
        <v>10</v>
      </c>
      <c r="M1539" s="15">
        <v>2.2062794623482733</v>
      </c>
      <c r="N1539" s="15">
        <v>2.2062794623482733</v>
      </c>
      <c r="O1539" s="15" t="s">
        <v>10</v>
      </c>
      <c r="P1539" s="15" t="s">
        <v>10</v>
      </c>
      <c r="Q1539" s="8"/>
      <c r="R1539" s="9" t="s">
        <v>1534</v>
      </c>
    </row>
    <row r="1540" spans="1:18" x14ac:dyDescent="0.25">
      <c r="A1540" s="6" t="str">
        <f>HYPERLINK("proteomic_fractions_linear_files/Yang_linear_img/22122387.jpg", "22122387")</f>
        <v>22122387</v>
      </c>
      <c r="B1540" s="7"/>
      <c r="C1540" s="6" t="str">
        <f>HYPERLINK("http://www.ncbi.nlm.nih.gov/protein/22122387","Cth")</f>
        <v>Cth</v>
      </c>
      <c r="D1540" s="8"/>
      <c r="E1540" s="8">
        <v>43436</v>
      </c>
      <c r="F1540" s="8"/>
      <c r="G1540" s="15" t="s">
        <v>10</v>
      </c>
      <c r="H1540" s="15" t="s">
        <v>10</v>
      </c>
      <c r="I1540" s="15">
        <v>0.942030655888901</v>
      </c>
      <c r="J1540" s="15">
        <v>0.942030655888901</v>
      </c>
      <c r="K1540" s="15">
        <v>0.942030655888901</v>
      </c>
      <c r="L1540" s="15">
        <v>0.942030655888901</v>
      </c>
      <c r="M1540" s="15">
        <v>0.942030655888901</v>
      </c>
      <c r="N1540" s="15">
        <v>0.942030655888901</v>
      </c>
      <c r="O1540" s="15">
        <v>0.86840294007266494</v>
      </c>
      <c r="P1540" s="15">
        <v>0.86840294007266494</v>
      </c>
      <c r="Q1540" s="8"/>
      <c r="R1540" s="9" t="s">
        <v>1535</v>
      </c>
    </row>
    <row r="1541" spans="1:18" x14ac:dyDescent="0.25">
      <c r="A1541" s="6" t="str">
        <f>HYPERLINK("proteomic_fractions_linear_files/Yang_linear_img/6753294.jpg", "6753294")</f>
        <v>6753294</v>
      </c>
      <c r="B1541" s="7"/>
      <c r="C1541" s="6" t="str">
        <f>HYPERLINK("http://www.ncbi.nlm.nih.gov/protein/6753294","Ctnna1")</f>
        <v>Ctnna1</v>
      </c>
      <c r="D1541" s="8"/>
      <c r="E1541" s="8">
        <v>99976</v>
      </c>
      <c r="F1541" s="8"/>
      <c r="G1541" s="15">
        <v>1.2872162814511696</v>
      </c>
      <c r="H1541" s="15">
        <v>1.2872162814511696</v>
      </c>
      <c r="I1541" s="15">
        <v>1.0980156382113146</v>
      </c>
      <c r="J1541" s="15">
        <v>1.0980156382113146</v>
      </c>
      <c r="K1541" s="15">
        <v>1.0980156382113146</v>
      </c>
      <c r="L1541" s="15">
        <v>1.0980156382113146</v>
      </c>
      <c r="M1541" s="15">
        <v>1.0980156382113146</v>
      </c>
      <c r="N1541" s="15">
        <v>1.0980156382113146</v>
      </c>
      <c r="O1541" s="15">
        <v>1.0980156382113146</v>
      </c>
      <c r="P1541" s="15">
        <v>1.0980156382113146</v>
      </c>
      <c r="Q1541" s="8"/>
      <c r="R1541" s="9" t="s">
        <v>1536</v>
      </c>
    </row>
    <row r="1542" spans="1:18" x14ac:dyDescent="0.25">
      <c r="A1542" s="6" t="str">
        <f>HYPERLINK("proteomic_fractions_linear_files/Yang_linear_img/157951725.jpg", "157951725")</f>
        <v>157951725</v>
      </c>
      <c r="B1542" s="7"/>
      <c r="C1542" s="6" t="str">
        <f>HYPERLINK("http://www.ncbi.nlm.nih.gov/protein/157951725","Ctnna2")</f>
        <v>Ctnna2</v>
      </c>
      <c r="D1542" s="8"/>
      <c r="E1542" s="8">
        <v>105155</v>
      </c>
      <c r="F1542" s="8"/>
      <c r="G1542" s="15">
        <v>3.8956529308518077</v>
      </c>
      <c r="H1542" s="15">
        <v>3.8956529308518077</v>
      </c>
      <c r="I1542" s="15">
        <v>1.0457291792488712</v>
      </c>
      <c r="J1542" s="15">
        <v>1.0457291792488712</v>
      </c>
      <c r="K1542" s="15">
        <v>1.0457291792488712</v>
      </c>
      <c r="L1542" s="15">
        <v>1.0457291792488712</v>
      </c>
      <c r="M1542" s="15">
        <v>1.0457291792488712</v>
      </c>
      <c r="N1542" s="15">
        <v>1.0457291792488712</v>
      </c>
      <c r="O1542" s="15">
        <v>1.0457291792488712</v>
      </c>
      <c r="P1542" s="15">
        <v>1.0457291792488712</v>
      </c>
      <c r="Q1542" s="8"/>
      <c r="R1542" s="9" t="s">
        <v>1537</v>
      </c>
    </row>
    <row r="1543" spans="1:18" x14ac:dyDescent="0.25">
      <c r="A1543" s="6" t="str">
        <f>HYPERLINK("proteomic_fractions_linear_files/Yang_linear_img/157951727.jpg", "157951727")</f>
        <v>157951727</v>
      </c>
      <c r="B1543" s="7"/>
      <c r="C1543" s="6" t="str">
        <f>HYPERLINK("http://www.ncbi.nlm.nih.gov/protein/157951727","Ctnna2")</f>
        <v>Ctnna2</v>
      </c>
      <c r="D1543" s="8"/>
      <c r="E1543" s="8">
        <v>100289</v>
      </c>
      <c r="F1543" s="8"/>
      <c r="G1543" s="15">
        <v>4.0904355773943983</v>
      </c>
      <c r="H1543" s="15">
        <v>4.0904355773943983</v>
      </c>
      <c r="I1543" s="15">
        <v>1.0980156382113146</v>
      </c>
      <c r="J1543" s="15">
        <v>1.0980156382113146</v>
      </c>
      <c r="K1543" s="15">
        <v>1.0980156382113146</v>
      </c>
      <c r="L1543" s="15">
        <v>1.0980156382113146</v>
      </c>
      <c r="M1543" s="15">
        <v>1.0980156382113146</v>
      </c>
      <c r="N1543" s="15">
        <v>1.0980156382113146</v>
      </c>
      <c r="O1543" s="15">
        <v>1.0980156382113146</v>
      </c>
      <c r="P1543" s="15">
        <v>1.0980156382113146</v>
      </c>
      <c r="Q1543" s="8"/>
      <c r="R1543" s="9" t="s">
        <v>1538</v>
      </c>
    </row>
    <row r="1544" spans="1:18" x14ac:dyDescent="0.25">
      <c r="A1544" s="6" t="str">
        <f>HYPERLINK("proteomic_fractions_linear_files/Yang_linear_img/256985121.jpg", "256985121")</f>
        <v>256985121</v>
      </c>
      <c r="B1544" s="7"/>
      <c r="C1544" s="6" t="str">
        <f>HYPERLINK("http://www.ncbi.nlm.nih.gov/protein/256985121","Ctnna3")</f>
        <v>Ctnna3</v>
      </c>
      <c r="D1544" s="8"/>
      <c r="E1544" s="8">
        <v>99672</v>
      </c>
      <c r="F1544" s="8"/>
      <c r="G1544" s="15">
        <v>1.2872162814511696</v>
      </c>
      <c r="H1544" s="15">
        <v>1.2872162814511696</v>
      </c>
      <c r="I1544" s="15" t="s">
        <v>10</v>
      </c>
      <c r="J1544" s="15" t="s">
        <v>10</v>
      </c>
      <c r="K1544" s="15" t="s">
        <v>10</v>
      </c>
      <c r="L1544" s="15" t="s">
        <v>10</v>
      </c>
      <c r="M1544" s="15" t="s">
        <v>10</v>
      </c>
      <c r="N1544" s="15" t="s">
        <v>10</v>
      </c>
      <c r="O1544" s="15" t="s">
        <v>10</v>
      </c>
      <c r="P1544" s="15" t="s">
        <v>10</v>
      </c>
      <c r="Q1544" s="8"/>
      <c r="R1544" s="9" t="s">
        <v>1539</v>
      </c>
    </row>
    <row r="1545" spans="1:18" x14ac:dyDescent="0.25">
      <c r="A1545" s="6" t="str">
        <f>HYPERLINK("proteomic_fractions_linear_files/Yang_linear_img/256985121;256985119.jpg", "256985121;256985119")</f>
        <v>256985121;256985119</v>
      </c>
      <c r="B1545" s="8"/>
      <c r="C1545" s="6" t="str">
        <f>HYPERLINK("http://www.ncbi.nlm.nih.gov/protein/256985121;256985119","Ctnna3")</f>
        <v>Ctnna3</v>
      </c>
      <c r="D1545" s="8"/>
      <c r="E1545" s="8">
        <v>99672</v>
      </c>
      <c r="F1545" s="8"/>
      <c r="G1545" s="15" t="s">
        <v>10</v>
      </c>
      <c r="H1545" s="15" t="s">
        <v>10</v>
      </c>
      <c r="I1545" s="15" t="s">
        <v>10</v>
      </c>
      <c r="J1545" s="15" t="s">
        <v>10</v>
      </c>
      <c r="K1545" s="15">
        <v>1.2872162814511696</v>
      </c>
      <c r="L1545" s="15">
        <v>1.2872162814511696</v>
      </c>
      <c r="M1545" s="15" t="s">
        <v>10</v>
      </c>
      <c r="N1545" s="15" t="s">
        <v>10</v>
      </c>
      <c r="O1545" s="15" t="s">
        <v>10</v>
      </c>
      <c r="P1545" s="15" t="s">
        <v>10</v>
      </c>
      <c r="Q1545" s="8"/>
      <c r="R1545" s="9" t="s">
        <v>1539</v>
      </c>
    </row>
    <row r="1546" spans="1:18" x14ac:dyDescent="0.25">
      <c r="A1546" s="6" t="str">
        <f>HYPERLINK("proteomic_fractions_linear_files/Yang_linear_img/256985119;256985121.jpg", "256985119;256985121")</f>
        <v>256985119;256985121</v>
      </c>
      <c r="B1546" s="8"/>
      <c r="C1546" s="6" t="str">
        <f>HYPERLINK("http://www.ncbi.nlm.nih.gov/protein/256985119;256985121","Ctnna3")</f>
        <v>Ctnna3</v>
      </c>
      <c r="D1546" s="8"/>
      <c r="E1546" s="8">
        <v>99672</v>
      </c>
      <c r="F1546" s="8"/>
      <c r="G1546" s="15" t="s">
        <v>10</v>
      </c>
      <c r="H1546" s="15" t="s">
        <v>10</v>
      </c>
      <c r="I1546" s="15">
        <v>1.0980156382113146</v>
      </c>
      <c r="J1546" s="15">
        <v>1.0980156382113146</v>
      </c>
      <c r="K1546" s="15" t="s">
        <v>10</v>
      </c>
      <c r="L1546" s="15" t="s">
        <v>10</v>
      </c>
      <c r="M1546" s="15">
        <v>1.0980156382113146</v>
      </c>
      <c r="N1546" s="15">
        <v>1.0980156382113146</v>
      </c>
      <c r="O1546" s="15">
        <v>1.0980156382113146</v>
      </c>
      <c r="P1546" s="15">
        <v>1.0980156382113146</v>
      </c>
      <c r="Q1546" s="8"/>
      <c r="R1546" s="9" t="s">
        <v>1539</v>
      </c>
    </row>
    <row r="1547" spans="1:18" x14ac:dyDescent="0.25">
      <c r="A1547" s="6" t="str">
        <f>HYPERLINK("proteomic_fractions_linear_files/Yang_linear_img/256985152.jpg", "256985152")</f>
        <v>256985152</v>
      </c>
      <c r="B1547" s="7"/>
      <c r="C1547" s="6" t="str">
        <f>HYPERLINK("http://www.ncbi.nlm.nih.gov/protein/256985152","Ctnna3")</f>
        <v>Ctnna3</v>
      </c>
      <c r="D1547" s="8"/>
      <c r="E1547" s="8">
        <v>70284</v>
      </c>
      <c r="F1547" s="8"/>
      <c r="G1547" s="15">
        <v>1.8388804020730996</v>
      </c>
      <c r="H1547" s="15">
        <v>1.8388804020730996</v>
      </c>
      <c r="I1547" s="15">
        <v>1.5685937688733067</v>
      </c>
      <c r="J1547" s="15">
        <v>1.5685937688733067</v>
      </c>
      <c r="K1547" s="15">
        <v>1.8388804020730996</v>
      </c>
      <c r="L1547" s="15">
        <v>1.8388804020730996</v>
      </c>
      <c r="M1547" s="15">
        <v>1.5685937688733067</v>
      </c>
      <c r="N1547" s="15">
        <v>1.5685937688733067</v>
      </c>
      <c r="O1547" s="15">
        <v>1.5685937688733067</v>
      </c>
      <c r="P1547" s="15">
        <v>1.5685937688733067</v>
      </c>
      <c r="Q1547" s="8"/>
      <c r="R1547" s="9" t="s">
        <v>1540</v>
      </c>
    </row>
    <row r="1548" spans="1:18" x14ac:dyDescent="0.25">
      <c r="A1548" s="6" t="str">
        <f>HYPERLINK("proteomic_fractions_linear_files/Yang_linear_img/227330565.jpg", "227330565")</f>
        <v>227330565</v>
      </c>
      <c r="B1548" s="7"/>
      <c r="C1548" s="6" t="str">
        <f>HYPERLINK("http://www.ncbi.nlm.nih.gov/protein/227330565","Ctnnal1")</f>
        <v>Ctnnal1</v>
      </c>
      <c r="D1548" s="8"/>
      <c r="E1548" s="8">
        <v>81332</v>
      </c>
      <c r="F1548" s="8"/>
      <c r="G1548" s="15" t="s">
        <v>10</v>
      </c>
      <c r="H1548" s="15" t="s">
        <v>10</v>
      </c>
      <c r="I1548" s="15" t="s">
        <v>10</v>
      </c>
      <c r="J1548" s="15" t="s">
        <v>10</v>
      </c>
      <c r="K1548" s="15">
        <v>1.1724442121306728</v>
      </c>
      <c r="L1548" s="15">
        <v>1.1724442121306728</v>
      </c>
      <c r="M1548" s="15" t="s">
        <v>10</v>
      </c>
      <c r="N1548" s="15" t="s">
        <v>10</v>
      </c>
      <c r="O1548" s="15" t="s">
        <v>10</v>
      </c>
      <c r="P1548" s="15" t="s">
        <v>10</v>
      </c>
      <c r="Q1548" s="8"/>
      <c r="R1548" s="9" t="s">
        <v>1541</v>
      </c>
    </row>
    <row r="1549" spans="1:18" x14ac:dyDescent="0.25">
      <c r="A1549" s="6" t="str">
        <f>HYPERLINK("proteomic_fractions_linear_files/Yang_linear_img/260166642.jpg", "260166642")</f>
        <v>260166642</v>
      </c>
      <c r="B1549" s="7"/>
      <c r="C1549" s="6" t="str">
        <f>HYPERLINK("http://www.ncbi.nlm.nih.gov/protein/260166642","Ctnnb1")</f>
        <v>Ctnnb1</v>
      </c>
      <c r="D1549" s="8"/>
      <c r="E1549" s="8">
        <v>85340</v>
      </c>
      <c r="F1549" s="8"/>
      <c r="G1549" s="15">
        <v>1.2917831037780172</v>
      </c>
      <c r="H1549" s="15">
        <v>1.2917831037780172</v>
      </c>
      <c r="I1549" s="15">
        <v>1.1172703668539354</v>
      </c>
      <c r="J1549" s="15">
        <v>1.1172703668539354</v>
      </c>
      <c r="K1549" s="15">
        <v>1.2917831037780172</v>
      </c>
      <c r="L1549" s="15">
        <v>1.2917831037780172</v>
      </c>
      <c r="M1549" s="15">
        <v>1.1172703668539354</v>
      </c>
      <c r="N1549" s="15">
        <v>1.1172703668539354</v>
      </c>
      <c r="O1549" s="15">
        <v>1.1172703668539354</v>
      </c>
      <c r="P1549" s="15">
        <v>1.1172703668539354</v>
      </c>
      <c r="Q1549" s="8"/>
      <c r="R1549" s="9" t="s">
        <v>1542</v>
      </c>
    </row>
    <row r="1550" spans="1:18" x14ac:dyDescent="0.25">
      <c r="A1550" s="6" t="str">
        <f>HYPERLINK("proteomic_fractions_linear_files/Yang_linear_img/254540032.jpg", "254540032")</f>
        <v>254540032</v>
      </c>
      <c r="B1550" s="7"/>
      <c r="C1550" s="6" t="str">
        <f>HYPERLINK("http://www.ncbi.nlm.nih.gov/protein/254540032","Ctnnbl1")</f>
        <v>Ctnnbl1</v>
      </c>
      <c r="D1550" s="8"/>
      <c r="E1550" s="8">
        <v>64849</v>
      </c>
      <c r="F1550" s="8"/>
      <c r="G1550" s="15">
        <v>1.2784408995868286</v>
      </c>
      <c r="H1550" s="15">
        <v>1.2784408995868286</v>
      </c>
      <c r="I1550" s="15">
        <v>1.1297870806412653</v>
      </c>
      <c r="J1550" s="15">
        <v>1.1297870806412653</v>
      </c>
      <c r="K1550" s="15">
        <v>1.1297870806412653</v>
      </c>
      <c r="L1550" s="15">
        <v>1.1297870806412653</v>
      </c>
      <c r="M1550" s="15">
        <v>1.1297870806412653</v>
      </c>
      <c r="N1550" s="15">
        <v>1.1297870806412653</v>
      </c>
      <c r="O1550" s="15">
        <v>1.0069732820083743</v>
      </c>
      <c r="P1550" s="15">
        <v>1.0069732820083743</v>
      </c>
      <c r="Q1550" s="8"/>
      <c r="R1550" s="9" t="s">
        <v>1543</v>
      </c>
    </row>
    <row r="1551" spans="1:18" x14ac:dyDescent="0.25">
      <c r="A1551" s="6" t="str">
        <f>HYPERLINK("proteomic_fractions_linear_files/Yang_linear_img/146219835.jpg", "146219835")</f>
        <v>146219835</v>
      </c>
      <c r="B1551" s="7"/>
      <c r="C1551" s="6" t="str">
        <f>HYPERLINK("http://www.ncbi.nlm.nih.gov/protein/146219835","Ctnnd1")</f>
        <v>Ctnnd1</v>
      </c>
      <c r="D1551" s="8"/>
      <c r="E1551" s="8">
        <v>102434</v>
      </c>
      <c r="F1551" s="8"/>
      <c r="G1551" s="15">
        <v>4.0102309582298021</v>
      </c>
      <c r="H1551" s="15">
        <v>4.0102309582298021</v>
      </c>
      <c r="I1551" s="15">
        <v>1.0764859198150143</v>
      </c>
      <c r="J1551" s="15">
        <v>1.0764859198150143</v>
      </c>
      <c r="K1551" s="15">
        <v>1.0764859198150143</v>
      </c>
      <c r="L1551" s="15">
        <v>1.0764859198150143</v>
      </c>
      <c r="M1551" s="15" t="s">
        <v>10</v>
      </c>
      <c r="N1551" s="15" t="s">
        <v>10</v>
      </c>
      <c r="O1551" s="15" t="s">
        <v>10</v>
      </c>
      <c r="P1551" s="15" t="s">
        <v>10</v>
      </c>
      <c r="Q1551" s="8"/>
      <c r="R1551" s="9" t="s">
        <v>1544</v>
      </c>
    </row>
    <row r="1552" spans="1:18" x14ac:dyDescent="0.25">
      <c r="A1552" s="6" t="str">
        <f>HYPERLINK("proteomic_fractions_linear_files/Yang_linear_img/146219849.jpg", "146219849")</f>
        <v>146219849</v>
      </c>
      <c r="B1552" s="7"/>
      <c r="C1552" s="6" t="str">
        <f>HYPERLINK("http://www.ncbi.nlm.nih.gov/protein/146219849","Ctnnd1")</f>
        <v>Ctnnd1</v>
      </c>
      <c r="D1552" s="8"/>
      <c r="E1552" s="8">
        <v>92347</v>
      </c>
      <c r="F1552" s="8"/>
      <c r="G1552" s="15">
        <v>4.4461256276026067</v>
      </c>
      <c r="H1552" s="15">
        <v>4.4461256276026067</v>
      </c>
      <c r="I1552" s="15">
        <v>1.193495258925342</v>
      </c>
      <c r="J1552" s="15">
        <v>1.193495258925342</v>
      </c>
      <c r="K1552" s="15">
        <v>1.193495258925342</v>
      </c>
      <c r="L1552" s="15">
        <v>1.193495258925342</v>
      </c>
      <c r="M1552" s="15" t="s">
        <v>10</v>
      </c>
      <c r="N1552" s="15" t="s">
        <v>10</v>
      </c>
      <c r="O1552" s="15" t="s">
        <v>10</v>
      </c>
      <c r="P1552" s="15" t="s">
        <v>10</v>
      </c>
      <c r="Q1552" s="8"/>
      <c r="R1552" s="9" t="s">
        <v>1545</v>
      </c>
    </row>
    <row r="1553" spans="1:18" x14ac:dyDescent="0.25">
      <c r="A1553" s="6" t="str">
        <f>HYPERLINK("proteomic_fractions_linear_files/Yang_linear_img/146231979.jpg", "146231979")</f>
        <v>146231979</v>
      </c>
      <c r="B1553" s="7"/>
      <c r="C1553" s="6" t="str">
        <f>HYPERLINK("http://www.ncbi.nlm.nih.gov/protein/146231979","Ctnnd1")</f>
        <v>Ctnnd1</v>
      </c>
      <c r="D1553" s="8"/>
      <c r="E1553" s="8">
        <v>101614</v>
      </c>
      <c r="F1553" s="8"/>
      <c r="G1553" s="15">
        <v>4.0102309582298021</v>
      </c>
      <c r="H1553" s="15">
        <v>4.0102309582298021</v>
      </c>
      <c r="I1553" s="15">
        <v>1.0764859198150143</v>
      </c>
      <c r="J1553" s="15">
        <v>1.0764859198150143</v>
      </c>
      <c r="K1553" s="15">
        <v>1.0764859198150143</v>
      </c>
      <c r="L1553" s="15">
        <v>1.0764859198150143</v>
      </c>
      <c r="M1553" s="15" t="s">
        <v>10</v>
      </c>
      <c r="N1553" s="15" t="s">
        <v>10</v>
      </c>
      <c r="O1553" s="15" t="s">
        <v>10</v>
      </c>
      <c r="P1553" s="15" t="s">
        <v>10</v>
      </c>
      <c r="Q1553" s="8"/>
      <c r="R1553" s="9" t="s">
        <v>1546</v>
      </c>
    </row>
    <row r="1554" spans="1:18" x14ac:dyDescent="0.25">
      <c r="A1554" s="6" t="str">
        <f>HYPERLINK("proteomic_fractions_linear_files/Yang_linear_img/83745122.jpg", "83745122")</f>
        <v>83745122</v>
      </c>
      <c r="B1554" s="7"/>
      <c r="C1554" s="6" t="str">
        <f>HYPERLINK("http://www.ncbi.nlm.nih.gov/protein/83745122","Ctnnd1")</f>
        <v>Ctnnd1</v>
      </c>
      <c r="D1554" s="8"/>
      <c r="E1554" s="8">
        <v>104794</v>
      </c>
      <c r="F1554" s="8"/>
      <c r="G1554" s="15">
        <v>3.8956529308518077</v>
      </c>
      <c r="H1554" s="15">
        <v>3.8956529308518077</v>
      </c>
      <c r="I1554" s="15">
        <v>1.0457291792488712</v>
      </c>
      <c r="J1554" s="15">
        <v>1.0457291792488712</v>
      </c>
      <c r="K1554" s="15">
        <v>1.0457291792488712</v>
      </c>
      <c r="L1554" s="15">
        <v>1.0457291792488712</v>
      </c>
      <c r="M1554" s="15" t="s">
        <v>10</v>
      </c>
      <c r="N1554" s="15" t="s">
        <v>10</v>
      </c>
      <c r="O1554" s="15" t="s">
        <v>10</v>
      </c>
      <c r="P1554" s="15" t="s">
        <v>10</v>
      </c>
      <c r="Q1554" s="8"/>
      <c r="R1554" s="9" t="s">
        <v>1547</v>
      </c>
    </row>
    <row r="1555" spans="1:18" x14ac:dyDescent="0.25">
      <c r="A1555" s="6" t="str">
        <f>HYPERLINK("proteomic_fractions_linear_files/Yang_linear_img/172072613.jpg", "172072613")</f>
        <v>172072613</v>
      </c>
      <c r="B1555" s="7"/>
      <c r="C1555" s="6" t="str">
        <f>HYPERLINK("http://www.ncbi.nlm.nih.gov/protein/172072613","Ctps")</f>
        <v>Ctps</v>
      </c>
      <c r="D1555" s="8"/>
      <c r="E1555" s="8">
        <v>66552</v>
      </c>
      <c r="F1555" s="8"/>
      <c r="G1555" s="15" t="s">
        <v>10</v>
      </c>
      <c r="H1555" s="15" t="s">
        <v>10</v>
      </c>
      <c r="I1555" s="15">
        <v>1.2402784846737889</v>
      </c>
      <c r="J1555" s="15">
        <v>1.2402784846737889</v>
      </c>
      <c r="K1555" s="15">
        <v>1.2402784846737889</v>
      </c>
      <c r="L1555" s="15">
        <v>1.2402784846737889</v>
      </c>
      <c r="M1555" s="15">
        <v>1.2402784846737889</v>
      </c>
      <c r="N1555" s="15">
        <v>1.2402784846737889</v>
      </c>
      <c r="O1555" s="15">
        <v>1.0960620931594365</v>
      </c>
      <c r="P1555" s="15">
        <v>1.0960620931594365</v>
      </c>
      <c r="Q1555" s="8"/>
      <c r="R1555" s="9" t="s">
        <v>1548</v>
      </c>
    </row>
    <row r="1556" spans="1:18" x14ac:dyDescent="0.25">
      <c r="A1556" s="6" t="str">
        <f>HYPERLINK("proteomic_fractions_linear_files/Yang_linear_img/270483773;270483771.jpg", "270483773;270483771")</f>
        <v>270483773;270483771</v>
      </c>
      <c r="B1556" s="8"/>
      <c r="C1556" s="6" t="str">
        <f>HYPERLINK("http://www.ncbi.nlm.nih.gov/protein/270483773;270483771","Ctps2")</f>
        <v>Ctps2</v>
      </c>
      <c r="D1556" s="8"/>
      <c r="E1556" s="8">
        <v>65384</v>
      </c>
      <c r="F1556" s="8"/>
      <c r="G1556" s="15" t="s">
        <v>10</v>
      </c>
      <c r="H1556" s="15" t="s">
        <v>10</v>
      </c>
      <c r="I1556" s="15">
        <v>1.1297870806412653</v>
      </c>
      <c r="J1556" s="15">
        <v>1.1297870806412653</v>
      </c>
      <c r="K1556" s="15">
        <v>1.1297870806412653</v>
      </c>
      <c r="L1556" s="15">
        <v>1.1297870806412653</v>
      </c>
      <c r="M1556" s="15">
        <v>1.1297870806412653</v>
      </c>
      <c r="N1556" s="15">
        <v>1.1297870806412653</v>
      </c>
      <c r="O1556" s="15">
        <v>1.0069732820083743</v>
      </c>
      <c r="P1556" s="15">
        <v>1.0069732820083743</v>
      </c>
      <c r="Q1556" s="8"/>
      <c r="R1556" s="9" t="s">
        <v>1549</v>
      </c>
    </row>
    <row r="1557" spans="1:18" x14ac:dyDescent="0.25">
      <c r="A1557" s="6" t="str">
        <f>HYPERLINK("proteomic_fractions_linear_files/Yang_linear_img/270483776.jpg", "270483776")</f>
        <v>270483776</v>
      </c>
      <c r="B1557" s="7"/>
      <c r="C1557" s="6" t="str">
        <f>HYPERLINK("http://www.ncbi.nlm.nih.gov/protein/270483776","Ctps2")</f>
        <v>Ctps2</v>
      </c>
      <c r="D1557" s="8"/>
      <c r="E1557" s="8">
        <v>59251</v>
      </c>
      <c r="F1557" s="8"/>
      <c r="G1557" s="15" t="s">
        <v>10</v>
      </c>
      <c r="H1557" s="15" t="s">
        <v>10</v>
      </c>
      <c r="I1557" s="15">
        <v>1.244680682062411</v>
      </c>
      <c r="J1557" s="15">
        <v>1.244680682062411</v>
      </c>
      <c r="K1557" s="15">
        <v>1.244680682062411</v>
      </c>
      <c r="L1557" s="15">
        <v>1.244680682062411</v>
      </c>
      <c r="M1557" s="15">
        <v>1.244680682062411</v>
      </c>
      <c r="N1557" s="15">
        <v>1.244680682062411</v>
      </c>
      <c r="O1557" s="15">
        <v>1.1093773445854971</v>
      </c>
      <c r="P1557" s="15">
        <v>1.1093773445854971</v>
      </c>
      <c r="Q1557" s="8"/>
      <c r="R1557" s="9" t="s">
        <v>1550</v>
      </c>
    </row>
    <row r="1558" spans="1:18" x14ac:dyDescent="0.25">
      <c r="A1558" s="6" t="str">
        <f>HYPERLINK("proteomic_fractions_linear_files/Yang_linear_img/84042523.jpg", "84042523")</f>
        <v>84042523</v>
      </c>
      <c r="B1558" s="7"/>
      <c r="C1558" s="6" t="str">
        <f>HYPERLINK("http://www.ncbi.nlm.nih.gov/protein/84042523","Ctsa")</f>
        <v>Ctsa</v>
      </c>
      <c r="D1558" s="8"/>
      <c r="E1558" s="8">
        <v>33467</v>
      </c>
      <c r="F1558" s="8"/>
      <c r="G1558" s="15">
        <v>1.1315553461552907</v>
      </c>
      <c r="H1558" s="15">
        <v>1.1315553461552907</v>
      </c>
      <c r="I1558" s="15">
        <v>0.59094393418288704</v>
      </c>
      <c r="J1558" s="15">
        <v>0.59094393418288704</v>
      </c>
      <c r="K1558" s="15">
        <v>0.5604636110473965</v>
      </c>
      <c r="L1558" s="15">
        <v>0.5604636110473965</v>
      </c>
      <c r="M1558" s="15">
        <v>0.59094393418288704</v>
      </c>
      <c r="N1558" s="15">
        <v>0.59094393418288704</v>
      </c>
      <c r="O1558" s="15">
        <v>0.53242241713208993</v>
      </c>
      <c r="P1558" s="15">
        <v>0.53242241713208993</v>
      </c>
      <c r="Q1558" s="8"/>
      <c r="R1558" s="9" t="s">
        <v>1551</v>
      </c>
    </row>
    <row r="1559" spans="1:18" x14ac:dyDescent="0.25">
      <c r="A1559" s="6" t="str">
        <f>HYPERLINK("proteomic_fractions_linear_files/Yang_linear_img/84042525.jpg", "84042525")</f>
        <v>84042525</v>
      </c>
      <c r="B1559" s="7"/>
      <c r="C1559" s="6" t="str">
        <f>HYPERLINK("http://www.ncbi.nlm.nih.gov/protein/84042525","Ctsa")</f>
        <v>Ctsa</v>
      </c>
      <c r="D1559" s="8"/>
      <c r="E1559" s="8">
        <v>33467</v>
      </c>
      <c r="F1559" s="8"/>
      <c r="G1559" s="15">
        <v>1.1315553461552907</v>
      </c>
      <c r="H1559" s="15">
        <v>1.1315553461552907</v>
      </c>
      <c r="I1559" s="15">
        <v>0.59094393418288704</v>
      </c>
      <c r="J1559" s="15">
        <v>0.59094393418288704</v>
      </c>
      <c r="K1559" s="15">
        <v>0.5604636110473965</v>
      </c>
      <c r="L1559" s="15">
        <v>0.5604636110473965</v>
      </c>
      <c r="M1559" s="15">
        <v>0.59094393418288704</v>
      </c>
      <c r="N1559" s="15">
        <v>0.59094393418288704</v>
      </c>
      <c r="O1559" s="15">
        <v>0.53242241713208993</v>
      </c>
      <c r="P1559" s="15">
        <v>0.53242241713208993</v>
      </c>
      <c r="Q1559" s="8"/>
      <c r="R1559" s="9" t="s">
        <v>1552</v>
      </c>
    </row>
    <row r="1560" spans="1:18" x14ac:dyDescent="0.25">
      <c r="A1560" s="6" t="str">
        <f>HYPERLINK("proteomic_fractions_linear_files/Yang_linear_img/6681079.jpg", "6681079")</f>
        <v>6681079</v>
      </c>
      <c r="B1560" s="7"/>
      <c r="C1560" s="6" t="str">
        <f>HYPERLINK("http://www.ncbi.nlm.nih.gov/protein/6681079","Ctsb")</f>
        <v>Ctsb</v>
      </c>
      <c r="D1560" s="8"/>
      <c r="E1560" s="8">
        <v>27578</v>
      </c>
      <c r="F1560" s="8"/>
      <c r="G1560" s="15">
        <v>1.3336188008258782</v>
      </c>
      <c r="H1560" s="15">
        <v>1.3336188008258782</v>
      </c>
      <c r="I1560" s="15">
        <v>0.99707897491721642</v>
      </c>
      <c r="J1560" s="15">
        <v>0.99707897491721642</v>
      </c>
      <c r="K1560" s="15">
        <v>0.99707897491721642</v>
      </c>
      <c r="L1560" s="15">
        <v>0.99707897491721642</v>
      </c>
      <c r="M1560" s="15">
        <v>0.87695787904560418</v>
      </c>
      <c r="N1560" s="15">
        <v>0.87695787904560418</v>
      </c>
      <c r="O1560" s="15">
        <v>0.82534190623990877</v>
      </c>
      <c r="P1560" s="15">
        <v>0.82534190623990877</v>
      </c>
      <c r="Q1560" s="8"/>
      <c r="R1560" s="9" t="s">
        <v>1553</v>
      </c>
    </row>
    <row r="1561" spans="1:18" x14ac:dyDescent="0.25">
      <c r="A1561" s="6" t="str">
        <f>HYPERLINK("proteomic_fractions_linear_files/Yang_linear_img/160707990.jpg", "160707990")</f>
        <v>160707990</v>
      </c>
      <c r="B1561" s="7"/>
      <c r="C1561" s="6" t="str">
        <f>HYPERLINK("http://www.ncbi.nlm.nih.gov/protein/160707990","Ctsc")</f>
        <v>Ctsc</v>
      </c>
      <c r="D1561" s="8"/>
      <c r="E1561" s="8">
        <v>49772</v>
      </c>
      <c r="F1561" s="8"/>
      <c r="G1561" s="15">
        <v>0.59770813783426258</v>
      </c>
      <c r="H1561" s="15">
        <v>0.59770813783426258</v>
      </c>
      <c r="I1561" s="15">
        <v>0.39002299656070549</v>
      </c>
      <c r="J1561" s="15">
        <v>0.39002299656070549</v>
      </c>
      <c r="K1561" s="15">
        <v>0.41194882373312547</v>
      </c>
      <c r="L1561" s="15">
        <v>0.41194882373312547</v>
      </c>
      <c r="M1561" s="15">
        <v>0.41194882373312547</v>
      </c>
      <c r="N1561" s="15">
        <v>0.41194882373312547</v>
      </c>
      <c r="O1561" s="15">
        <v>0.41194882373312547</v>
      </c>
      <c r="P1561" s="15">
        <v>0.41194882373312547</v>
      </c>
      <c r="Q1561" s="8"/>
      <c r="R1561" s="9" t="s">
        <v>1554</v>
      </c>
    </row>
    <row r="1562" spans="1:18" x14ac:dyDescent="0.25">
      <c r="A1562" s="6" t="str">
        <f>HYPERLINK("proteomic_fractions_linear_files/Yang_linear_img/6753556.jpg", "6753556")</f>
        <v>6753556</v>
      </c>
      <c r="B1562" s="7"/>
      <c r="C1562" s="6" t="str">
        <f>HYPERLINK("http://www.ncbi.nlm.nih.gov/protein/6753556","Ctsd")</f>
        <v>Ctsd</v>
      </c>
      <c r="D1562" s="8"/>
      <c r="E1562" s="8">
        <v>38008</v>
      </c>
      <c r="F1562" s="8"/>
      <c r="G1562" s="15">
        <v>0.98266648481906815</v>
      </c>
      <c r="H1562" s="15">
        <v>0.98266648481906815</v>
      </c>
      <c r="I1562" s="15">
        <v>1.0659820579795458</v>
      </c>
      <c r="J1562" s="15">
        <v>1.0659820579795458</v>
      </c>
      <c r="K1562" s="15">
        <v>1.1611997170254071</v>
      </c>
      <c r="L1562" s="15">
        <v>1.1611997170254071</v>
      </c>
      <c r="M1562" s="15">
        <v>0.39990363931090228</v>
      </c>
      <c r="N1562" s="15">
        <v>1.0659820579795458</v>
      </c>
      <c r="O1562" s="15">
        <v>0.98266648481906815</v>
      </c>
      <c r="P1562" s="15">
        <v>0.98266648481906815</v>
      </c>
      <c r="Q1562" s="8"/>
      <c r="R1562" s="9" t="s">
        <v>1555</v>
      </c>
    </row>
    <row r="1563" spans="1:18" x14ac:dyDescent="0.25">
      <c r="A1563" s="6" t="str">
        <f>HYPERLINK("proteomic_fractions_linear_files/Yang_linear_img/166235890.jpg", "166235890")</f>
        <v>166235890</v>
      </c>
      <c r="B1563" s="7"/>
      <c r="C1563" s="6" t="str">
        <f>HYPERLINK("http://www.ncbi.nlm.nih.gov/protein/166235890","Ctsh")</f>
        <v>Ctsh</v>
      </c>
      <c r="D1563" s="8"/>
      <c r="E1563" s="8">
        <v>25944</v>
      </c>
      <c r="F1563" s="8"/>
      <c r="G1563" s="15">
        <v>1.4362048624278689</v>
      </c>
      <c r="H1563" s="15">
        <v>8.9754172164557335</v>
      </c>
      <c r="I1563" s="15">
        <v>0.94441617743372752</v>
      </c>
      <c r="J1563" s="15">
        <v>0.83829777964149044</v>
      </c>
      <c r="K1563" s="15">
        <v>0.83829777964149044</v>
      </c>
      <c r="L1563" s="15">
        <v>0.83829777964149044</v>
      </c>
      <c r="M1563" s="15" t="s">
        <v>10</v>
      </c>
      <c r="N1563" s="15" t="s">
        <v>10</v>
      </c>
      <c r="O1563" s="15">
        <v>0.83829777964149044</v>
      </c>
      <c r="P1563" s="15">
        <v>0.83829777964149044</v>
      </c>
      <c r="Q1563" s="8"/>
      <c r="R1563" s="9" t="s">
        <v>1556</v>
      </c>
    </row>
    <row r="1564" spans="1:18" x14ac:dyDescent="0.25">
      <c r="A1564" s="6" t="str">
        <f>HYPERLINK("proteomic_fractions_linear_files/Yang_linear_img/6753558.jpg", "6753558")</f>
        <v>6753558</v>
      </c>
      <c r="B1564" s="7"/>
      <c r="C1564" s="6" t="str">
        <f>HYPERLINK("http://www.ncbi.nlm.nih.gov/protein/6753558","Ctsl")</f>
        <v>Ctsl</v>
      </c>
      <c r="D1564" s="8"/>
      <c r="E1564" s="8">
        <v>35823</v>
      </c>
      <c r="F1564" s="8"/>
      <c r="G1564" s="15" t="s">
        <v>10</v>
      </c>
      <c r="H1564" s="15" t="s">
        <v>10</v>
      </c>
      <c r="I1564" s="15">
        <v>0.60543728529663199</v>
      </c>
      <c r="J1564" s="15">
        <v>0.60543728529663199</v>
      </c>
      <c r="K1564" s="15" t="s">
        <v>10</v>
      </c>
      <c r="L1564" s="15" t="s">
        <v>10</v>
      </c>
      <c r="M1564" s="15" t="s">
        <v>10</v>
      </c>
      <c r="N1564" s="15" t="s">
        <v>10</v>
      </c>
      <c r="O1564" s="15">
        <v>0.57215114407378531</v>
      </c>
      <c r="P1564" s="15">
        <v>0.57215114407378531</v>
      </c>
      <c r="Q1564" s="8"/>
      <c r="R1564" s="9" t="s">
        <v>1557</v>
      </c>
    </row>
    <row r="1565" spans="1:18" x14ac:dyDescent="0.25">
      <c r="A1565" s="6" t="str">
        <f>HYPERLINK("proteomic_fractions_linear_files/Yang_linear_img/11968166.jpg", "11968166")</f>
        <v>11968166</v>
      </c>
      <c r="B1565" s="7"/>
      <c r="C1565" s="6" t="str">
        <f>HYPERLINK("http://www.ncbi.nlm.nih.gov/protein/11968166","Ctsz")</f>
        <v>Ctsz</v>
      </c>
      <c r="D1565" s="8"/>
      <c r="E1565" s="8">
        <v>26986</v>
      </c>
      <c r="F1565" s="8"/>
      <c r="G1565" s="15" t="s">
        <v>10</v>
      </c>
      <c r="H1565" s="15" t="s">
        <v>10</v>
      </c>
      <c r="I1565" s="15">
        <v>1.1882989946567994</v>
      </c>
      <c r="J1565" s="15">
        <v>1.1882989946567994</v>
      </c>
      <c r="K1565" s="15">
        <v>1.1882989946567994</v>
      </c>
      <c r="L1565" s="15">
        <v>1.1882989946567994</v>
      </c>
      <c r="M1565" s="15">
        <v>1.1068669219153011</v>
      </c>
      <c r="N1565" s="15">
        <v>1.1068669219153011</v>
      </c>
      <c r="O1565" s="15">
        <v>1.0340078258400762</v>
      </c>
      <c r="P1565" s="15">
        <v>1.0340078258400762</v>
      </c>
      <c r="Q1565" s="8"/>
      <c r="R1565" s="9" t="s">
        <v>1558</v>
      </c>
    </row>
    <row r="1566" spans="1:18" x14ac:dyDescent="0.25">
      <c r="A1566" s="6" t="str">
        <f>HYPERLINK("proteomic_fractions_linear_files/Yang_linear_img/357588432.jpg", "357588432")</f>
        <v>357588432</v>
      </c>
      <c r="B1566" s="7"/>
      <c r="C1566" s="6" t="str">
        <f>HYPERLINK("http://www.ncbi.nlm.nih.gov/protein/357588432","Cttn")</f>
        <v>Cttn</v>
      </c>
      <c r="D1566" s="8"/>
      <c r="E1566" s="8">
        <v>56955</v>
      </c>
      <c r="F1566" s="8"/>
      <c r="G1566" s="15">
        <v>1.9263432249321311</v>
      </c>
      <c r="H1566" s="15">
        <v>1.9263432249321311</v>
      </c>
      <c r="I1566" s="15">
        <v>1.6661049330277984</v>
      </c>
      <c r="J1566" s="15">
        <v>1.6661049330277984</v>
      </c>
      <c r="K1566" s="15">
        <v>1.9263432249321311</v>
      </c>
      <c r="L1566" s="15">
        <v>1.9263432249321311</v>
      </c>
      <c r="M1566" s="15">
        <v>0.27942880321371538</v>
      </c>
      <c r="N1566" s="15">
        <v>0.26660242620726815</v>
      </c>
      <c r="O1566" s="15">
        <v>1.6661049330277984</v>
      </c>
      <c r="P1566" s="15">
        <v>1.6661049330277984</v>
      </c>
      <c r="Q1566" s="8"/>
      <c r="R1566" s="9" t="s">
        <v>1559</v>
      </c>
    </row>
    <row r="1567" spans="1:18" x14ac:dyDescent="0.25">
      <c r="A1567" s="6" t="str">
        <f>HYPERLINK("proteomic_fractions_linear_files/Yang_linear_img/75677414.jpg", "75677414")</f>
        <v>75677414</v>
      </c>
      <c r="B1567" s="7"/>
      <c r="C1567" s="6" t="str">
        <f>HYPERLINK("http://www.ncbi.nlm.nih.gov/protein/75677414","Cttn")</f>
        <v>Cttn</v>
      </c>
      <c r="D1567" s="8"/>
      <c r="E1567" s="8">
        <v>61119</v>
      </c>
      <c r="F1567" s="8"/>
      <c r="G1567" s="15">
        <v>1.8000256364119913</v>
      </c>
      <c r="H1567" s="15">
        <v>1.8000256364119913</v>
      </c>
      <c r="I1567" s="15">
        <v>1.5568521505341724</v>
      </c>
      <c r="J1567" s="15">
        <v>1.5568521505341724</v>
      </c>
      <c r="K1567" s="15">
        <v>1.8000256364119913</v>
      </c>
      <c r="L1567" s="15">
        <v>1.8000256364119913</v>
      </c>
      <c r="M1567" s="15">
        <v>0.26110560300297991</v>
      </c>
      <c r="N1567" s="15">
        <v>0.24912029989859485</v>
      </c>
      <c r="O1567" s="15">
        <v>1.5568521505341724</v>
      </c>
      <c r="P1567" s="15">
        <v>1.5568521505341724</v>
      </c>
      <c r="Q1567" s="8"/>
      <c r="R1567" s="9" t="s">
        <v>1560</v>
      </c>
    </row>
    <row r="1568" spans="1:18" x14ac:dyDescent="0.25">
      <c r="A1568" s="6" t="str">
        <f>HYPERLINK("proteomic_fractions_linear_files/Yang_linear_img/254039644.jpg", "254039644")</f>
        <v>254039644</v>
      </c>
      <c r="B1568" s="7"/>
      <c r="C1568" s="6" t="str">
        <f>HYPERLINK("http://www.ncbi.nlm.nih.gov/protein/254039644","Cttnbp2nl")</f>
        <v>Cttnbp2nl</v>
      </c>
      <c r="D1568" s="8"/>
      <c r="E1568" s="8">
        <v>69710</v>
      </c>
      <c r="F1568" s="8"/>
      <c r="G1568" s="15" t="s">
        <v>10</v>
      </c>
      <c r="H1568" s="15" t="s">
        <v>10</v>
      </c>
      <c r="I1568" s="15" t="s">
        <v>10</v>
      </c>
      <c r="J1568" s="15" t="s">
        <v>10</v>
      </c>
      <c r="K1568" s="15">
        <v>5.8434793962777114</v>
      </c>
      <c r="L1568" s="15">
        <v>5.8434793962777114</v>
      </c>
      <c r="M1568" s="15">
        <v>0.93504661900777619</v>
      </c>
      <c r="N1568" s="15">
        <v>0.93504661900777619</v>
      </c>
      <c r="O1568" s="15">
        <v>5.8434793962777114</v>
      </c>
      <c r="P1568" s="15">
        <v>5.8434793962777114</v>
      </c>
      <c r="Q1568" s="8"/>
      <c r="R1568" s="9" t="s">
        <v>1561</v>
      </c>
    </row>
    <row r="1569" spans="1:18" x14ac:dyDescent="0.25">
      <c r="A1569" s="6" t="str">
        <f>HYPERLINK("proteomic_fractions_linear_files/Yang_linear_img/21704170.jpg", "21704170")</f>
        <v>21704170</v>
      </c>
      <c r="B1569" s="7"/>
      <c r="C1569" s="6" t="str">
        <f>HYPERLINK("http://www.ncbi.nlm.nih.gov/protein/21704170","Ctu1")</f>
        <v>Ctu1</v>
      </c>
      <c r="D1569" s="8"/>
      <c r="E1569" s="8">
        <v>43692</v>
      </c>
      <c r="F1569" s="8"/>
      <c r="G1569" s="15" t="s">
        <v>10</v>
      </c>
      <c r="H1569" s="15" t="s">
        <v>10</v>
      </c>
      <c r="I1569" s="15" t="s">
        <v>10</v>
      </c>
      <c r="J1569" s="15" t="s">
        <v>10</v>
      </c>
      <c r="K1569" s="15" t="s">
        <v>10</v>
      </c>
      <c r="L1569" s="15" t="s">
        <v>10</v>
      </c>
      <c r="M1569" s="15" t="s">
        <v>10</v>
      </c>
      <c r="N1569" s="15" t="s">
        <v>10</v>
      </c>
      <c r="O1569" s="15">
        <v>0.9206208682550624</v>
      </c>
      <c r="P1569" s="15">
        <v>0.9206208682550624</v>
      </c>
      <c r="Q1569" s="8"/>
      <c r="R1569" s="9" t="s">
        <v>1562</v>
      </c>
    </row>
    <row r="1570" spans="1:18" x14ac:dyDescent="0.25">
      <c r="A1570" s="6" t="str">
        <f>HYPERLINK("proteomic_fractions_linear_files/Yang_linear_img/225735586.jpg", "225735586")</f>
        <v>225735586</v>
      </c>
      <c r="B1570" s="7"/>
      <c r="C1570" s="6" t="str">
        <f>HYPERLINK("http://www.ncbi.nlm.nih.gov/protein/225735586","Ctu2")</f>
        <v>Ctu2</v>
      </c>
      <c r="D1570" s="8"/>
      <c r="E1570" s="8">
        <v>55974</v>
      </c>
      <c r="F1570" s="8"/>
      <c r="G1570" s="15" t="s">
        <v>10</v>
      </c>
      <c r="H1570" s="15" t="s">
        <v>10</v>
      </c>
      <c r="I1570" s="15" t="s">
        <v>10</v>
      </c>
      <c r="J1570" s="15" t="s">
        <v>10</v>
      </c>
      <c r="K1570" s="15">
        <v>1.1688082737597203</v>
      </c>
      <c r="L1570" s="15">
        <v>1.1688082737597203</v>
      </c>
      <c r="M1570" s="15">
        <v>1.1688082737597203</v>
      </c>
      <c r="N1570" s="15">
        <v>1.1688082737597203</v>
      </c>
      <c r="O1570" s="15">
        <v>1.1688082737597203</v>
      </c>
      <c r="P1570" s="15">
        <v>1.1688082737597203</v>
      </c>
      <c r="Q1570" s="8"/>
      <c r="R1570" s="9" t="s">
        <v>1563</v>
      </c>
    </row>
    <row r="1571" spans="1:18" x14ac:dyDescent="0.25">
      <c r="A1571" s="6" t="str">
        <f>HYPERLINK("proteomic_fractions_linear_files/Yang_linear_img/124487348.jpg", "124487348")</f>
        <v>124487348</v>
      </c>
      <c r="B1571" s="7"/>
      <c r="C1571" s="6" t="str">
        <f>HYPERLINK("http://www.ncbi.nlm.nih.gov/protein/124487348","Cubn")</f>
        <v>Cubn</v>
      </c>
      <c r="D1571" s="8"/>
      <c r="E1571" s="8">
        <v>395529</v>
      </c>
      <c r="F1571" s="8"/>
      <c r="G1571" s="15">
        <v>0.13414285260101283</v>
      </c>
      <c r="H1571" s="15">
        <v>0.13414285260101283</v>
      </c>
      <c r="I1571" s="15" t="s">
        <v>10</v>
      </c>
      <c r="J1571" s="15" t="s">
        <v>10</v>
      </c>
      <c r="K1571" s="15">
        <v>0.10229120758389582</v>
      </c>
      <c r="L1571" s="15">
        <v>0.10229120758389582</v>
      </c>
      <c r="M1571" s="15">
        <v>9.4296278846274229E-2</v>
      </c>
      <c r="N1571" s="15">
        <v>9.4296278846274229E-2</v>
      </c>
      <c r="O1571" s="15" t="s">
        <v>10</v>
      </c>
      <c r="P1571" s="15" t="s">
        <v>10</v>
      </c>
      <c r="Q1571" s="8"/>
      <c r="R1571" s="9" t="s">
        <v>1564</v>
      </c>
    </row>
    <row r="1572" spans="1:18" x14ac:dyDescent="0.25">
      <c r="A1572" s="6" t="str">
        <f>HYPERLINK("proteomic_fractions_linear_files/Yang_linear_img/256773254.jpg", "256773254")</f>
        <v>256773254</v>
      </c>
      <c r="B1572" s="7"/>
      <c r="C1572" s="6" t="str">
        <f>HYPERLINK("http://www.ncbi.nlm.nih.gov/protein/256773254","Cuedc2")</f>
        <v>Cuedc2</v>
      </c>
      <c r="D1572" s="8"/>
      <c r="E1572" s="8">
        <v>31721</v>
      </c>
      <c r="F1572" s="8"/>
      <c r="G1572" s="15" t="s">
        <v>10</v>
      </c>
      <c r="H1572" s="15" t="s">
        <v>10</v>
      </c>
      <c r="I1572" s="15" t="s">
        <v>10</v>
      </c>
      <c r="J1572" s="15" t="s">
        <v>10</v>
      </c>
      <c r="K1572" s="15">
        <v>1.0797930165773495</v>
      </c>
      <c r="L1572" s="15">
        <v>1.0797930165773495</v>
      </c>
      <c r="M1572" s="15" t="s">
        <v>10</v>
      </c>
      <c r="N1572" s="15" t="s">
        <v>10</v>
      </c>
      <c r="O1572" s="15">
        <v>0.81719556610703126</v>
      </c>
      <c r="P1572" s="15">
        <v>0.81719556610703126</v>
      </c>
      <c r="Q1572" s="8"/>
      <c r="R1572" s="9" t="s">
        <v>1565</v>
      </c>
    </row>
    <row r="1573" spans="1:18" x14ac:dyDescent="0.25">
      <c r="A1573" s="6" t="str">
        <f>HYPERLINK("proteomic_fractions_linear_files/Yang_linear_img/256773258.jpg", "256773258")</f>
        <v>256773258</v>
      </c>
      <c r="B1573" s="7"/>
      <c r="C1573" s="6" t="str">
        <f>HYPERLINK("http://www.ncbi.nlm.nih.gov/protein/256773258","Cuedc2")</f>
        <v>Cuedc2</v>
      </c>
      <c r="D1573" s="8"/>
      <c r="E1573" s="8">
        <v>30498</v>
      </c>
      <c r="F1573" s="8"/>
      <c r="G1573" s="15" t="s">
        <v>10</v>
      </c>
      <c r="H1573" s="15" t="s">
        <v>10</v>
      </c>
      <c r="I1573" s="15" t="s">
        <v>10</v>
      </c>
      <c r="J1573" s="15" t="s">
        <v>10</v>
      </c>
      <c r="K1573" s="15">
        <v>1.1517792176825061</v>
      </c>
      <c r="L1573" s="15">
        <v>1.1517792176825061</v>
      </c>
      <c r="M1573" s="15" t="s">
        <v>10</v>
      </c>
      <c r="N1573" s="15" t="s">
        <v>10</v>
      </c>
      <c r="O1573" s="15">
        <v>0.87167527051416671</v>
      </c>
      <c r="P1573" s="15">
        <v>0.87167527051416671</v>
      </c>
      <c r="Q1573" s="8"/>
      <c r="R1573" s="9" t="s">
        <v>1566</v>
      </c>
    </row>
    <row r="1574" spans="1:18" x14ac:dyDescent="0.25">
      <c r="A1574" s="6" t="str">
        <f>HYPERLINK("proteomic_fractions_linear_files/Yang_linear_img/256773262.jpg", "256773262")</f>
        <v>256773262</v>
      </c>
      <c r="B1574" s="7"/>
      <c r="C1574" s="6" t="str">
        <f>HYPERLINK("http://www.ncbi.nlm.nih.gov/protein/256773262","Cuedc2")</f>
        <v>Cuedc2</v>
      </c>
      <c r="D1574" s="8"/>
      <c r="E1574" s="8">
        <v>29759</v>
      </c>
      <c r="F1574" s="8"/>
      <c r="G1574" s="15" t="s">
        <v>10</v>
      </c>
      <c r="H1574" s="15" t="s">
        <v>10</v>
      </c>
      <c r="I1574" s="15" t="s">
        <v>10</v>
      </c>
      <c r="J1574" s="15" t="s">
        <v>10</v>
      </c>
      <c r="K1574" s="15">
        <v>1.1517792176825061</v>
      </c>
      <c r="L1574" s="15">
        <v>1.1517792176825061</v>
      </c>
      <c r="M1574" s="15" t="s">
        <v>10</v>
      </c>
      <c r="N1574" s="15" t="s">
        <v>10</v>
      </c>
      <c r="O1574" s="15">
        <v>0.87167527051416671</v>
      </c>
      <c r="P1574" s="15">
        <v>0.87167527051416671</v>
      </c>
      <c r="Q1574" s="8"/>
      <c r="R1574" s="9" t="s">
        <v>1567</v>
      </c>
    </row>
    <row r="1575" spans="1:18" x14ac:dyDescent="0.25">
      <c r="A1575" s="6" t="str">
        <f>HYPERLINK("proteomic_fractions_linear_files/Yang_linear_img/7549752.jpg", "7549752")</f>
        <v>7549752</v>
      </c>
      <c r="B1575" s="7"/>
      <c r="C1575" s="6" t="str">
        <f>HYPERLINK("http://www.ncbi.nlm.nih.gov/protein/7549752","Cul1")</f>
        <v>Cul1</v>
      </c>
      <c r="D1575" s="8"/>
      <c r="E1575" s="8">
        <v>89561</v>
      </c>
      <c r="F1575" s="8"/>
      <c r="G1575" s="15" t="s">
        <v>10</v>
      </c>
      <c r="H1575" s="15" t="s">
        <v>10</v>
      </c>
      <c r="I1575" s="15">
        <v>1.0551997909176056</v>
      </c>
      <c r="J1575" s="15">
        <v>1.0551997909176056</v>
      </c>
      <c r="K1575" s="15">
        <v>1.0551997909176056</v>
      </c>
      <c r="L1575" s="15">
        <v>1.0551997909176056</v>
      </c>
      <c r="M1575" s="15">
        <v>1.0551997909176056</v>
      </c>
      <c r="N1575" s="15">
        <v>1.0551997909176056</v>
      </c>
      <c r="O1575" s="15">
        <v>0.9233184274793762</v>
      </c>
      <c r="P1575" s="15">
        <v>0.9233184274793762</v>
      </c>
      <c r="Q1575" s="8"/>
      <c r="R1575" s="9" t="s">
        <v>1568</v>
      </c>
    </row>
    <row r="1576" spans="1:18" x14ac:dyDescent="0.25">
      <c r="A1576" s="6" t="str">
        <f>HYPERLINK("proteomic_fractions_linear_files/Yang_linear_img/170014698.jpg", "170014698")</f>
        <v>170014698</v>
      </c>
      <c r="B1576" s="7"/>
      <c r="C1576" s="6" t="str">
        <f>HYPERLINK("http://www.ncbi.nlm.nih.gov/protein/170014698","Cul2")</f>
        <v>Cul2</v>
      </c>
      <c r="D1576" s="8"/>
      <c r="E1576" s="8">
        <v>86746</v>
      </c>
      <c r="F1576" s="8"/>
      <c r="G1576" s="15" t="s">
        <v>10</v>
      </c>
      <c r="H1576" s="15" t="s">
        <v>10</v>
      </c>
      <c r="I1576" s="15">
        <v>1.0915859906044196</v>
      </c>
      <c r="J1576" s="15">
        <v>1.0915859906044196</v>
      </c>
      <c r="K1576" s="15">
        <v>1.0915859906044196</v>
      </c>
      <c r="L1576" s="15">
        <v>1.0915859906044196</v>
      </c>
      <c r="M1576" s="15">
        <v>1.0915859906044196</v>
      </c>
      <c r="N1576" s="15">
        <v>1.0915859906044196</v>
      </c>
      <c r="O1576" s="15">
        <v>0.9551569939441823</v>
      </c>
      <c r="P1576" s="15">
        <v>0.9551569939441823</v>
      </c>
      <c r="Q1576" s="8"/>
      <c r="R1576" s="9" t="s">
        <v>1569</v>
      </c>
    </row>
    <row r="1577" spans="1:18" x14ac:dyDescent="0.25">
      <c r="A1577" s="6" t="str">
        <f>HYPERLINK("proteomic_fractions_linear_files/Yang_linear_img/7710014.jpg", "7710014")</f>
        <v>7710014</v>
      </c>
      <c r="B1577" s="7"/>
      <c r="C1577" s="6" t="str">
        <f>HYPERLINK("http://www.ncbi.nlm.nih.gov/protein/7710014","Cul3")</f>
        <v>Cul3</v>
      </c>
      <c r="D1577" s="8"/>
      <c r="E1577" s="8">
        <v>88818</v>
      </c>
      <c r="F1577" s="8"/>
      <c r="G1577" s="15" t="s">
        <v>10</v>
      </c>
      <c r="H1577" s="15" t="s">
        <v>10</v>
      </c>
      <c r="I1577" s="15">
        <v>1.0670559683436462</v>
      </c>
      <c r="J1577" s="15">
        <v>1.0670559683436462</v>
      </c>
      <c r="K1577" s="15">
        <v>1.0670559683436462</v>
      </c>
      <c r="L1577" s="15">
        <v>1.0670559683436462</v>
      </c>
      <c r="M1577" s="15">
        <v>1.0670559683436462</v>
      </c>
      <c r="N1577" s="15">
        <v>1.0670559683436462</v>
      </c>
      <c r="O1577" s="15">
        <v>0.93369279183307707</v>
      </c>
      <c r="P1577" s="15">
        <v>0.93369279183307707</v>
      </c>
      <c r="Q1577" s="8"/>
      <c r="R1577" s="9" t="s">
        <v>1570</v>
      </c>
    </row>
    <row r="1578" spans="1:18" x14ac:dyDescent="0.25">
      <c r="A1578" s="6" t="str">
        <f>HYPERLINK("proteomic_fractions_linear_files/Yang_linear_img/167466258.jpg", "167466258")</f>
        <v>167466258</v>
      </c>
      <c r="B1578" s="7"/>
      <c r="C1578" s="6" t="str">
        <f>HYPERLINK("http://www.ncbi.nlm.nih.gov/protein/167466258","Cul4a")</f>
        <v>Cul4a</v>
      </c>
      <c r="D1578" s="8"/>
      <c r="E1578" s="8">
        <v>87623</v>
      </c>
      <c r="F1578" s="8"/>
      <c r="G1578" s="15" t="s">
        <v>10</v>
      </c>
      <c r="H1578" s="15" t="s">
        <v>10</v>
      </c>
      <c r="I1578" s="15" t="s">
        <v>10</v>
      </c>
      <c r="J1578" s="15" t="s">
        <v>10</v>
      </c>
      <c r="K1578" s="15">
        <v>1.0791816043475513</v>
      </c>
      <c r="L1578" s="15">
        <v>1.0791816043475513</v>
      </c>
      <c r="M1578" s="15">
        <v>1.0791816043475513</v>
      </c>
      <c r="N1578" s="15">
        <v>1.0791816043475513</v>
      </c>
      <c r="O1578" s="15">
        <v>0.94430293719481651</v>
      </c>
      <c r="P1578" s="15">
        <v>0.94430293719481651</v>
      </c>
      <c r="Q1578" s="8"/>
      <c r="R1578" s="9" t="s">
        <v>1571</v>
      </c>
    </row>
    <row r="1579" spans="1:18" x14ac:dyDescent="0.25">
      <c r="A1579" s="6" t="str">
        <f>HYPERLINK("proteomic_fractions_linear_files/Yang_linear_img/158711665.jpg", "158711665")</f>
        <v>158711665</v>
      </c>
      <c r="B1579" s="7"/>
      <c r="C1579" s="6" t="str">
        <f>HYPERLINK("http://www.ncbi.nlm.nih.gov/protein/158711665","Cul4b")</f>
        <v>Cul4b</v>
      </c>
      <c r="D1579" s="8"/>
      <c r="E1579" s="8">
        <v>110569</v>
      </c>
      <c r="F1579" s="8"/>
      <c r="G1579" s="15" t="s">
        <v>10</v>
      </c>
      <c r="H1579" s="15" t="s">
        <v>10</v>
      </c>
      <c r="I1579" s="15" t="s">
        <v>10</v>
      </c>
      <c r="J1579" s="15" t="s">
        <v>10</v>
      </c>
      <c r="K1579" s="15">
        <v>0.85556739804130189</v>
      </c>
      <c r="L1579" s="15">
        <v>0.85556739804130189</v>
      </c>
      <c r="M1579" s="15">
        <v>0.85556739804130189</v>
      </c>
      <c r="N1579" s="15">
        <v>0.85556739804130189</v>
      </c>
      <c r="O1579" s="15">
        <v>0.74863656282111579</v>
      </c>
      <c r="P1579" s="15">
        <v>0.85556739804130189</v>
      </c>
      <c r="Q1579" s="8"/>
      <c r="R1579" s="9" t="s">
        <v>1572</v>
      </c>
    </row>
    <row r="1580" spans="1:18" x14ac:dyDescent="0.25">
      <c r="A1580" s="6" t="str">
        <f>HYPERLINK("proteomic_fractions_linear_files/Yang_linear_img/239051067.jpg", "239051067")</f>
        <v>239051067</v>
      </c>
      <c r="B1580" s="7"/>
      <c r="C1580" s="6" t="str">
        <f>HYPERLINK("http://www.ncbi.nlm.nih.gov/protein/239051067","Cul5")</f>
        <v>Cul5</v>
      </c>
      <c r="D1580" s="8"/>
      <c r="E1580" s="8">
        <v>98911</v>
      </c>
      <c r="F1580" s="8"/>
      <c r="G1580" s="15" t="s">
        <v>10</v>
      </c>
      <c r="H1580" s="15" t="s">
        <v>10</v>
      </c>
      <c r="I1580" s="15">
        <v>0.83938038861761477</v>
      </c>
      <c r="J1580" s="15">
        <v>0.83938038861761477</v>
      </c>
      <c r="K1580" s="15">
        <v>0.95927253719782335</v>
      </c>
      <c r="L1580" s="15">
        <v>0.95927253719782335</v>
      </c>
      <c r="M1580" s="15">
        <v>0.95927253719782335</v>
      </c>
      <c r="N1580" s="15">
        <v>0.95927253719782335</v>
      </c>
      <c r="O1580" s="15">
        <v>0.83938038861761477</v>
      </c>
      <c r="P1580" s="15">
        <v>0.83938038861761477</v>
      </c>
      <c r="Q1580" s="8"/>
      <c r="R1580" s="9" t="s">
        <v>1573</v>
      </c>
    </row>
    <row r="1581" spans="1:18" x14ac:dyDescent="0.25">
      <c r="A1581" s="6" t="str">
        <f>HYPERLINK("proteomic_fractions_linear_files/Yang_linear_img/239051082.jpg", "239051082")</f>
        <v>239051082</v>
      </c>
      <c r="B1581" s="7"/>
      <c r="C1581" s="6" t="str">
        <f>HYPERLINK("http://www.ncbi.nlm.nih.gov/protein/239051082","Cul5")</f>
        <v>Cul5</v>
      </c>
      <c r="D1581" s="8"/>
      <c r="E1581" s="8">
        <v>95720</v>
      </c>
      <c r="F1581" s="8"/>
      <c r="G1581" s="15" t="s">
        <v>10</v>
      </c>
      <c r="H1581" s="15" t="s">
        <v>10</v>
      </c>
      <c r="I1581" s="15">
        <v>0.86561102576191518</v>
      </c>
      <c r="J1581" s="15">
        <v>0.86561102576191518</v>
      </c>
      <c r="K1581" s="15">
        <v>0.9892498039852553</v>
      </c>
      <c r="L1581" s="15">
        <v>0.9892498039852553</v>
      </c>
      <c r="M1581" s="15">
        <v>0.9892498039852553</v>
      </c>
      <c r="N1581" s="15">
        <v>0.9892498039852553</v>
      </c>
      <c r="O1581" s="15">
        <v>0.86561102576191518</v>
      </c>
      <c r="P1581" s="15">
        <v>0.86561102576191518</v>
      </c>
      <c r="Q1581" s="8"/>
      <c r="R1581" s="9" t="s">
        <v>1574</v>
      </c>
    </row>
    <row r="1582" spans="1:18" x14ac:dyDescent="0.25">
      <c r="A1582" s="6" t="str">
        <f>HYPERLINK("proteomic_fractions_linear_files/Yang_linear_img/57013279.jpg", "57013279")</f>
        <v>57013279</v>
      </c>
      <c r="B1582" s="7"/>
      <c r="C1582" s="6" t="str">
        <f>HYPERLINK("http://www.ncbi.nlm.nih.gov/protein/57013279","Cul7")</f>
        <v>Cul7</v>
      </c>
      <c r="D1582" s="8"/>
      <c r="E1582" s="8">
        <v>192162</v>
      </c>
      <c r="F1582" s="8"/>
      <c r="G1582" s="15" t="s">
        <v>10</v>
      </c>
      <c r="H1582" s="15" t="s">
        <v>10</v>
      </c>
      <c r="I1582" s="15" t="s">
        <v>10</v>
      </c>
      <c r="J1582" s="15" t="s">
        <v>10</v>
      </c>
      <c r="K1582" s="15" t="s">
        <v>10</v>
      </c>
      <c r="L1582" s="15" t="s">
        <v>10</v>
      </c>
      <c r="M1582" s="15">
        <v>1.5717881491484311</v>
      </c>
      <c r="N1582" s="15">
        <v>1.5717881491484311</v>
      </c>
      <c r="O1582" s="15" t="s">
        <v>10</v>
      </c>
      <c r="P1582" s="15" t="s">
        <v>10</v>
      </c>
      <c r="Q1582" s="8"/>
      <c r="R1582" s="9" t="s">
        <v>1575</v>
      </c>
    </row>
    <row r="1583" spans="1:18" x14ac:dyDescent="0.25">
      <c r="A1583" s="6" t="str">
        <f>HYPERLINK("proteomic_fractions_linear_files/Yang_linear_img/62198210.jpg", "62198210")</f>
        <v>62198210</v>
      </c>
      <c r="B1583" s="7"/>
      <c r="C1583" s="6" t="str">
        <f>HYPERLINK("http://www.ncbi.nlm.nih.gov/protein/62198210","Cuta")</f>
        <v>Cuta</v>
      </c>
      <c r="D1583" s="8"/>
      <c r="E1583" s="8">
        <v>15573</v>
      </c>
      <c r="F1583" s="8"/>
      <c r="G1583" s="15">
        <v>1.2188218642522046</v>
      </c>
      <c r="H1583" s="15">
        <v>1.2188218642522046</v>
      </c>
      <c r="I1583" s="15">
        <v>0.94977114336339286</v>
      </c>
      <c r="J1583" s="15">
        <v>0.94977114336339286</v>
      </c>
      <c r="K1583" s="15">
        <v>0.94977114336339286</v>
      </c>
      <c r="L1583" s="15">
        <v>0.94977114336339286</v>
      </c>
      <c r="M1583" s="15">
        <v>0.94977114336339286</v>
      </c>
      <c r="N1583" s="15">
        <v>0.94977114336339286</v>
      </c>
      <c r="O1583" s="15">
        <v>0.90734210761689671</v>
      </c>
      <c r="P1583" s="15">
        <v>0.90734210761689671</v>
      </c>
      <c r="Q1583" s="8"/>
      <c r="R1583" s="9" t="s">
        <v>1576</v>
      </c>
    </row>
    <row r="1584" spans="1:18" x14ac:dyDescent="0.25">
      <c r="A1584" s="6" t="str">
        <f>HYPERLINK("proteomic_fractions_linear_files/Yang_linear_img/62198239.jpg", "62198239")</f>
        <v>62198239</v>
      </c>
      <c r="B1584" s="7"/>
      <c r="C1584" s="6" t="str">
        <f>HYPERLINK("http://www.ncbi.nlm.nih.gov/protein/62198239","Cuta")</f>
        <v>Cuta</v>
      </c>
      <c r="D1584" s="8"/>
      <c r="E1584" s="8">
        <v>13980</v>
      </c>
      <c r="F1584" s="8"/>
      <c r="G1584" s="15">
        <v>1.392939273431091</v>
      </c>
      <c r="H1584" s="15">
        <v>1.392939273431091</v>
      </c>
      <c r="I1584" s="15">
        <v>1.085452735272449</v>
      </c>
      <c r="J1584" s="15">
        <v>1.085452735272449</v>
      </c>
      <c r="K1584" s="15">
        <v>1.085452735272449</v>
      </c>
      <c r="L1584" s="15">
        <v>1.085452735272449</v>
      </c>
      <c r="M1584" s="15">
        <v>1.085452735272449</v>
      </c>
      <c r="N1584" s="15">
        <v>1.085452735272449</v>
      </c>
      <c r="O1584" s="15">
        <v>1.0369624087050249</v>
      </c>
      <c r="P1584" s="15">
        <v>1.0369624087050249</v>
      </c>
      <c r="Q1584" s="8"/>
      <c r="R1584" s="9" t="s">
        <v>1577</v>
      </c>
    </row>
    <row r="1585" spans="1:18" x14ac:dyDescent="0.25">
      <c r="A1585" s="6" t="str">
        <f>HYPERLINK("proteomic_fractions_linear_files/Yang_linear_img/165932339.jpg", "165932339")</f>
        <v>165932339</v>
      </c>
      <c r="B1585" s="7"/>
      <c r="C1585" s="6" t="str">
        <f>HYPERLINK("http://www.ncbi.nlm.nih.gov/protein/165932339","Cutc")</f>
        <v>Cutc</v>
      </c>
      <c r="D1585" s="8"/>
      <c r="E1585" s="8">
        <v>27757</v>
      </c>
      <c r="F1585" s="8"/>
      <c r="G1585" s="15" t="s">
        <v>10</v>
      </c>
      <c r="H1585" s="15" t="s">
        <v>10</v>
      </c>
      <c r="I1585" s="15" t="s">
        <v>10</v>
      </c>
      <c r="J1585" s="15" t="s">
        <v>10</v>
      </c>
      <c r="K1585" s="15" t="s">
        <v>10</v>
      </c>
      <c r="L1585" s="15" t="s">
        <v>10</v>
      </c>
      <c r="M1585" s="15">
        <v>0.87695787904560418</v>
      </c>
      <c r="N1585" s="15">
        <v>0.87695787904560418</v>
      </c>
      <c r="O1585" s="15" t="s">
        <v>10</v>
      </c>
      <c r="P1585" s="15" t="s">
        <v>10</v>
      </c>
      <c r="Q1585" s="8"/>
      <c r="R1585" s="9" t="s">
        <v>1578</v>
      </c>
    </row>
    <row r="1586" spans="1:18" x14ac:dyDescent="0.25">
      <c r="A1586" s="6" t="str">
        <f>HYPERLINK("proteomic_fractions_linear_files/Yang_linear_img/165932350.jpg", "165932350")</f>
        <v>165932350</v>
      </c>
      <c r="B1586" s="7"/>
      <c r="C1586" s="6" t="str">
        <f>HYPERLINK("http://www.ncbi.nlm.nih.gov/protein/165932350","Cutc")</f>
        <v>Cutc</v>
      </c>
      <c r="D1586" s="8"/>
      <c r="E1586" s="8">
        <v>28873</v>
      </c>
      <c r="F1586" s="8"/>
      <c r="G1586" s="15" t="s">
        <v>10</v>
      </c>
      <c r="H1586" s="15" t="s">
        <v>10</v>
      </c>
      <c r="I1586" s="15" t="s">
        <v>10</v>
      </c>
      <c r="J1586" s="15" t="s">
        <v>10</v>
      </c>
      <c r="K1586" s="15" t="s">
        <v>10</v>
      </c>
      <c r="L1586" s="15" t="s">
        <v>10</v>
      </c>
      <c r="M1586" s="15">
        <v>0.84671795218196266</v>
      </c>
      <c r="N1586" s="15">
        <v>0.84671795218196266</v>
      </c>
      <c r="O1586" s="15" t="s">
        <v>10</v>
      </c>
      <c r="P1586" s="15" t="s">
        <v>10</v>
      </c>
      <c r="Q1586" s="8"/>
      <c r="R1586" s="9" t="s">
        <v>1579</v>
      </c>
    </row>
    <row r="1587" spans="1:18" x14ac:dyDescent="0.25">
      <c r="A1587" s="6" t="str">
        <f>HYPERLINK("proteomic_fractions_linear_files/Yang_linear_img/110835729.jpg", "110835729")</f>
        <v>110835729</v>
      </c>
      <c r="B1587" s="7"/>
      <c r="C1587" s="6" t="str">
        <f>HYPERLINK("http://www.ncbi.nlm.nih.gov/protein/110835729","Cux1")</f>
        <v>Cux1</v>
      </c>
      <c r="D1587" s="8"/>
      <c r="E1587" s="8">
        <v>156269</v>
      </c>
      <c r="F1587" s="8"/>
      <c r="G1587" s="15" t="s">
        <v>10</v>
      </c>
      <c r="H1587" s="15" t="s">
        <v>10</v>
      </c>
      <c r="I1587" s="15" t="s">
        <v>10</v>
      </c>
      <c r="J1587" s="15" t="s">
        <v>10</v>
      </c>
      <c r="K1587" s="15">
        <v>0.5326837081611786</v>
      </c>
      <c r="L1587" s="15">
        <v>0.5326837081611786</v>
      </c>
      <c r="M1587" s="15" t="s">
        <v>10</v>
      </c>
      <c r="N1587" s="15" t="s">
        <v>10</v>
      </c>
      <c r="O1587" s="15" t="s">
        <v>10</v>
      </c>
      <c r="P1587" s="15" t="s">
        <v>10</v>
      </c>
      <c r="Q1587" s="8"/>
      <c r="R1587" s="9" t="s">
        <v>1580</v>
      </c>
    </row>
    <row r="1588" spans="1:18" x14ac:dyDescent="0.25">
      <c r="A1588" s="6" t="str">
        <f>HYPERLINK("proteomic_fractions_linear_files/Yang_linear_img/110815859.jpg", "110815859")</f>
        <v>110815859</v>
      </c>
      <c r="B1588" s="7"/>
      <c r="C1588" s="6" t="str">
        <f>HYPERLINK("http://www.ncbi.nlm.nih.gov/protein/110815859","Cux1")</f>
        <v>Cux1</v>
      </c>
      <c r="D1588" s="8"/>
      <c r="E1588" s="8">
        <v>77031</v>
      </c>
      <c r="F1588" s="8"/>
      <c r="G1588" s="15" t="s">
        <v>10</v>
      </c>
      <c r="H1588" s="15" t="s">
        <v>10</v>
      </c>
      <c r="I1588" s="15">
        <v>1.079203356794076</v>
      </c>
      <c r="J1588" s="15">
        <v>1.079203356794076</v>
      </c>
      <c r="K1588" s="15">
        <v>1.079203356794076</v>
      </c>
      <c r="L1588" s="15">
        <v>1.079203356794076</v>
      </c>
      <c r="M1588" s="15" t="s">
        <v>10</v>
      </c>
      <c r="N1588" s="15" t="s">
        <v>10</v>
      </c>
      <c r="O1588" s="15" t="s">
        <v>10</v>
      </c>
      <c r="P1588" s="15" t="s">
        <v>10</v>
      </c>
      <c r="Q1588" s="8"/>
      <c r="R1588" s="9" t="s">
        <v>1581</v>
      </c>
    </row>
    <row r="1589" spans="1:18" x14ac:dyDescent="0.25">
      <c r="A1589" s="6" t="str">
        <f>HYPERLINK("proteomic_fractions_linear_files/Yang_linear_img/12963537.jpg", "12963537")</f>
        <v>12963537</v>
      </c>
      <c r="B1589" s="7"/>
      <c r="C1589" s="6" t="str">
        <f>HYPERLINK("http://www.ncbi.nlm.nih.gov/protein/12963537","Cwc15")</f>
        <v>Cwc15</v>
      </c>
      <c r="D1589" s="8"/>
      <c r="E1589" s="8">
        <v>26493</v>
      </c>
      <c r="F1589" s="8"/>
      <c r="G1589" s="15" t="s">
        <v>10</v>
      </c>
      <c r="H1589" s="15" t="s">
        <v>10</v>
      </c>
      <c r="I1589" s="15" t="s">
        <v>10</v>
      </c>
      <c r="J1589" s="15" t="s">
        <v>10</v>
      </c>
      <c r="K1589" s="15" t="s">
        <v>10</v>
      </c>
      <c r="L1589" s="15" t="s">
        <v>10</v>
      </c>
      <c r="M1589" s="15" t="s">
        <v>10</v>
      </c>
      <c r="N1589" s="15" t="s">
        <v>10</v>
      </c>
      <c r="O1589" s="15">
        <v>1.0057791582855768</v>
      </c>
      <c r="P1589" s="15">
        <v>1.0057791582855768</v>
      </c>
      <c r="Q1589" s="8"/>
      <c r="R1589" s="9" t="s">
        <v>1582</v>
      </c>
    </row>
    <row r="1590" spans="1:18" x14ac:dyDescent="0.25">
      <c r="A1590" s="6" t="str">
        <f>HYPERLINK("proteomic_fractions_linear_files/Yang_linear_img/27881425.jpg", "27881425")</f>
        <v>27881425</v>
      </c>
      <c r="B1590" s="7"/>
      <c r="C1590" s="6" t="str">
        <f>HYPERLINK("http://www.ncbi.nlm.nih.gov/protein/27881425","Cwc22")</f>
        <v>Cwc22</v>
      </c>
      <c r="D1590" s="8"/>
      <c r="E1590" s="8">
        <v>104643</v>
      </c>
      <c r="F1590" s="8"/>
      <c r="G1590" s="15">
        <v>1.4614559155832556</v>
      </c>
      <c r="H1590" s="15">
        <v>1.4614559155832556</v>
      </c>
      <c r="I1590" s="15">
        <v>57.07714285714286</v>
      </c>
      <c r="J1590" s="15">
        <v>57.07714285714286</v>
      </c>
      <c r="K1590" s="15">
        <v>1.4614559155832556</v>
      </c>
      <c r="L1590" s="15">
        <v>1.4614559155832556</v>
      </c>
      <c r="M1590" s="15">
        <v>57.07714285714286</v>
      </c>
      <c r="N1590" s="15">
        <v>57.07714285714286</v>
      </c>
      <c r="O1590" s="15" t="s">
        <v>10</v>
      </c>
      <c r="P1590" s="15" t="s">
        <v>10</v>
      </c>
      <c r="Q1590" s="8"/>
      <c r="R1590" s="9" t="s">
        <v>1583</v>
      </c>
    </row>
    <row r="1591" spans="1:18" x14ac:dyDescent="0.25">
      <c r="A1591" s="6" t="str">
        <f>HYPERLINK("proteomic_fractions_linear_files/Yang_linear_img/323462203.jpg", "323462203")</f>
        <v>323462203</v>
      </c>
      <c r="B1591" s="7"/>
      <c r="C1591" s="6" t="str">
        <f>HYPERLINK("http://www.ncbi.nlm.nih.gov/protein/323462203","Cwc22")</f>
        <v>Cwc22</v>
      </c>
      <c r="D1591" s="8"/>
      <c r="E1591" s="8">
        <v>104076</v>
      </c>
      <c r="F1591" s="8"/>
      <c r="G1591" s="15">
        <v>1.4755083763100176</v>
      </c>
      <c r="H1591" s="15">
        <v>1.4755083763100176</v>
      </c>
      <c r="I1591" s="15">
        <v>57.625961538461539</v>
      </c>
      <c r="J1591" s="15">
        <v>57.625961538461539</v>
      </c>
      <c r="K1591" s="15">
        <v>1.4755083763100176</v>
      </c>
      <c r="L1591" s="15">
        <v>1.4755083763100176</v>
      </c>
      <c r="M1591" s="15">
        <v>57.625961538461539</v>
      </c>
      <c r="N1591" s="15">
        <v>57.625961538461539</v>
      </c>
      <c r="O1591" s="15" t="s">
        <v>10</v>
      </c>
      <c r="P1591" s="15" t="s">
        <v>10</v>
      </c>
      <c r="Q1591" s="8"/>
      <c r="R1591" s="9" t="s">
        <v>1584</v>
      </c>
    </row>
    <row r="1592" spans="1:18" x14ac:dyDescent="0.25">
      <c r="A1592" s="6" t="str">
        <f>HYPERLINK("proteomic_fractions_linear_files/Yang_linear_img/262072988.jpg", "262072988")</f>
        <v>262072988</v>
      </c>
      <c r="B1592" s="7"/>
      <c r="C1592" s="6" t="str">
        <f>HYPERLINK("http://www.ncbi.nlm.nih.gov/protein/262072988","Cwc25")</f>
        <v>Cwc25</v>
      </c>
      <c r="D1592" s="8"/>
      <c r="E1592" s="8">
        <v>48680</v>
      </c>
      <c r="F1592" s="8"/>
      <c r="G1592" s="15" t="s">
        <v>10</v>
      </c>
      <c r="H1592" s="15" t="s">
        <v>10</v>
      </c>
      <c r="I1592" s="15">
        <v>122.30816326530613</v>
      </c>
      <c r="J1592" s="15">
        <v>122.30816326530613</v>
      </c>
      <c r="K1592" s="15">
        <v>122.30816326530613</v>
      </c>
      <c r="L1592" s="15">
        <v>122.30816326530613</v>
      </c>
      <c r="M1592" s="15" t="s">
        <v>10</v>
      </c>
      <c r="N1592" s="15" t="s">
        <v>10</v>
      </c>
      <c r="O1592" s="15" t="s">
        <v>10</v>
      </c>
      <c r="P1592" s="15" t="s">
        <v>10</v>
      </c>
      <c r="Q1592" s="8"/>
      <c r="R1592" s="9" t="s">
        <v>1585</v>
      </c>
    </row>
    <row r="1593" spans="1:18" x14ac:dyDescent="0.25">
      <c r="A1593" s="6" t="str">
        <f>HYPERLINK("proteomic_fractions_linear_files/Yang_linear_img/110625681.jpg", "110625681")</f>
        <v>110625681</v>
      </c>
      <c r="B1593" s="7"/>
      <c r="C1593" s="6" t="str">
        <f>HYPERLINK("http://www.ncbi.nlm.nih.gov/protein/110625681","Cwc27")</f>
        <v>Cwc27</v>
      </c>
      <c r="D1593" s="8"/>
      <c r="E1593" s="8">
        <v>53412</v>
      </c>
      <c r="F1593" s="8"/>
      <c r="G1593" s="15" t="s">
        <v>10</v>
      </c>
      <c r="H1593" s="15" t="s">
        <v>10</v>
      </c>
      <c r="I1593" s="15">
        <v>1.2349672326517798</v>
      </c>
      <c r="J1593" s="15">
        <v>1.2349672326517798</v>
      </c>
      <c r="K1593" s="15">
        <v>1.2349672326517798</v>
      </c>
      <c r="L1593" s="15">
        <v>1.2349672326517798</v>
      </c>
      <c r="M1593" s="15" t="s">
        <v>10</v>
      </c>
      <c r="N1593" s="15" t="s">
        <v>10</v>
      </c>
      <c r="O1593" s="15" t="s">
        <v>10</v>
      </c>
      <c r="P1593" s="15" t="s">
        <v>10</v>
      </c>
      <c r="Q1593" s="8"/>
      <c r="R1593" s="9" t="s">
        <v>1586</v>
      </c>
    </row>
    <row r="1594" spans="1:18" x14ac:dyDescent="0.25">
      <c r="A1594" s="6" t="str">
        <f>HYPERLINK("proteomic_fractions_linear_files/Yang_linear_img/124487291.jpg", "124487291")</f>
        <v>124487291</v>
      </c>
      <c r="B1594" s="7"/>
      <c r="C1594" s="6" t="str">
        <f>HYPERLINK("http://www.ncbi.nlm.nih.gov/protein/124487291","Cwf19l1")</f>
        <v>Cwf19l1</v>
      </c>
      <c r="D1594" s="8"/>
      <c r="E1594" s="8">
        <v>60063</v>
      </c>
      <c r="F1594" s="8"/>
      <c r="G1594" s="15" t="s">
        <v>10</v>
      </c>
      <c r="H1594" s="15" t="s">
        <v>10</v>
      </c>
      <c r="I1594" s="15">
        <v>1.0908877221757389</v>
      </c>
      <c r="J1594" s="15">
        <v>1.0908877221757389</v>
      </c>
      <c r="K1594" s="15">
        <v>1.0908877221757389</v>
      </c>
      <c r="L1594" s="15">
        <v>1.0908877221757389</v>
      </c>
      <c r="M1594" s="15">
        <v>1.0908877221757389</v>
      </c>
      <c r="N1594" s="15">
        <v>1.0908877221757389</v>
      </c>
      <c r="O1594" s="15">
        <v>1.0908877221757389</v>
      </c>
      <c r="P1594" s="15">
        <v>1.0908877221757389</v>
      </c>
      <c r="Q1594" s="8"/>
      <c r="R1594" s="9" t="s">
        <v>1587</v>
      </c>
    </row>
    <row r="1595" spans="1:18" x14ac:dyDescent="0.25">
      <c r="A1595" s="6" t="str">
        <f>HYPERLINK("proteomic_fractions_linear_files/Yang_linear_img/30842792.jpg", "30842792")</f>
        <v>30842792</v>
      </c>
      <c r="B1595" s="7"/>
      <c r="C1595" s="6" t="str">
        <f>HYPERLINK("http://www.ncbi.nlm.nih.gov/protein/30842792","Cwf19l2")</f>
        <v>Cwf19l2</v>
      </c>
      <c r="D1595" s="8"/>
      <c r="E1595" s="8">
        <v>103042</v>
      </c>
      <c r="F1595" s="8"/>
      <c r="G1595" s="15" t="s">
        <v>10</v>
      </c>
      <c r="H1595" s="15" t="s">
        <v>10</v>
      </c>
      <c r="I1595" s="15">
        <v>58.185436893203885</v>
      </c>
      <c r="J1595" s="15">
        <v>58.185436893203885</v>
      </c>
      <c r="K1595" s="15">
        <v>0.27105059512312679</v>
      </c>
      <c r="L1595" s="15">
        <v>0.27105059512312679</v>
      </c>
      <c r="M1595" s="15" t="s">
        <v>10</v>
      </c>
      <c r="N1595" s="15" t="s">
        <v>10</v>
      </c>
      <c r="O1595" s="15" t="s">
        <v>10</v>
      </c>
      <c r="P1595" s="15" t="s">
        <v>10</v>
      </c>
      <c r="Q1595" s="8"/>
      <c r="R1595" s="9" t="s">
        <v>1588</v>
      </c>
    </row>
    <row r="1596" spans="1:18" x14ac:dyDescent="0.25">
      <c r="A1596" s="6" t="str">
        <f>HYPERLINK("proteomic_fractions_linear_files/Yang_linear_img/442796434.jpg", "442796434")</f>
        <v>442796434</v>
      </c>
      <c r="B1596" s="7"/>
      <c r="C1596" s="6" t="str">
        <f>HYPERLINK("http://www.ncbi.nlm.nih.gov/protein/442796434","Cxadr")</f>
        <v>Cxadr</v>
      </c>
      <c r="D1596" s="8"/>
      <c r="E1596" s="8">
        <v>15769</v>
      </c>
      <c r="F1596" s="8"/>
      <c r="G1596" s="15" t="s">
        <v>10</v>
      </c>
      <c r="H1596" s="15" t="s">
        <v>10</v>
      </c>
      <c r="I1596" s="15">
        <v>3.0181234740259533</v>
      </c>
      <c r="J1596" s="15">
        <v>2.5317073877014216</v>
      </c>
      <c r="K1596" s="15">
        <v>3.3200356018750674</v>
      </c>
      <c r="L1596" s="15">
        <v>3.3200356018750674</v>
      </c>
      <c r="M1596" s="15" t="s">
        <v>10</v>
      </c>
      <c r="N1596" s="15" t="s">
        <v>10</v>
      </c>
      <c r="O1596" s="15" t="s">
        <v>10</v>
      </c>
      <c r="P1596" s="15" t="s">
        <v>10</v>
      </c>
      <c r="Q1596" s="8"/>
      <c r="R1596" s="9" t="s">
        <v>1589</v>
      </c>
    </row>
    <row r="1597" spans="1:18" x14ac:dyDescent="0.25">
      <c r="A1597" s="6" t="str">
        <f>HYPERLINK("proteomic_fractions_linear_files/Yang_linear_img/68510034.jpg", "68510034")</f>
        <v>68510034</v>
      </c>
      <c r="B1597" s="7"/>
      <c r="C1597" s="6" t="str">
        <f>HYPERLINK("http://www.ncbi.nlm.nih.gov/protein/68510034","Cxadr")</f>
        <v>Cxadr</v>
      </c>
      <c r="D1597" s="8"/>
      <c r="E1597" s="8">
        <v>37935</v>
      </c>
      <c r="F1597" s="8"/>
      <c r="G1597" s="15" t="s">
        <v>10</v>
      </c>
      <c r="H1597" s="15" t="s">
        <v>10</v>
      </c>
      <c r="I1597" s="15">
        <v>1.2707888311688225</v>
      </c>
      <c r="J1597" s="15">
        <v>1.2707888311688225</v>
      </c>
      <c r="K1597" s="15">
        <v>1.5466633575156277</v>
      </c>
      <c r="L1597" s="15">
        <v>1.3979097271052916</v>
      </c>
      <c r="M1597" s="15" t="s">
        <v>10</v>
      </c>
      <c r="N1597" s="15" t="s">
        <v>10</v>
      </c>
      <c r="O1597" s="15">
        <v>0.32191740242977257</v>
      </c>
      <c r="P1597" s="15">
        <v>0.32191740242977257</v>
      </c>
      <c r="Q1597" s="8"/>
      <c r="R1597" s="9" t="s">
        <v>1590</v>
      </c>
    </row>
    <row r="1598" spans="1:18" x14ac:dyDescent="0.25">
      <c r="A1598" s="6" t="str">
        <f>HYPERLINK("proteomic_fractions_linear_files/Yang_linear_img/6857775.jpg", "6857775")</f>
        <v>6857775</v>
      </c>
      <c r="B1598" s="7"/>
      <c r="C1598" s="6" t="str">
        <f>HYPERLINK("http://www.ncbi.nlm.nih.gov/protein/6857775","Cxadr")</f>
        <v>Cxadr</v>
      </c>
      <c r="D1598" s="8"/>
      <c r="E1598" s="8">
        <v>36831</v>
      </c>
      <c r="F1598" s="8"/>
      <c r="G1598" s="15" t="s">
        <v>10</v>
      </c>
      <c r="H1598" s="15" t="s">
        <v>10</v>
      </c>
      <c r="I1598" s="15">
        <v>1.3051344752544662</v>
      </c>
      <c r="J1598" s="15">
        <v>1.3051344752544662</v>
      </c>
      <c r="K1598" s="15">
        <v>1.4356910710811102</v>
      </c>
      <c r="L1598" s="15">
        <v>1.4356910710811102</v>
      </c>
      <c r="M1598" s="15" t="s">
        <v>10</v>
      </c>
      <c r="N1598" s="15" t="s">
        <v>10</v>
      </c>
      <c r="O1598" s="15">
        <v>0.33061787276571236</v>
      </c>
      <c r="P1598" s="15">
        <v>0.33061787276571236</v>
      </c>
      <c r="Q1598" s="8"/>
      <c r="R1598" s="9" t="s">
        <v>1591</v>
      </c>
    </row>
    <row r="1599" spans="1:18" x14ac:dyDescent="0.25">
      <c r="A1599" s="6" t="str">
        <f>HYPERLINK("proteomic_fractions_linear_files/Yang_linear_img/18390325.jpg", "18390325")</f>
        <v>18390325</v>
      </c>
      <c r="B1599" s="7"/>
      <c r="C1599" s="6" t="str">
        <f>HYPERLINK("http://www.ncbi.nlm.nih.gov/protein/18390325","Cxxc1")</f>
        <v>Cxxc1</v>
      </c>
      <c r="D1599" s="8"/>
      <c r="E1599" s="8">
        <v>76036</v>
      </c>
      <c r="F1599" s="8"/>
      <c r="G1599" s="15">
        <v>5.3821520755189445</v>
      </c>
      <c r="H1599" s="15">
        <v>5.3821520755189445</v>
      </c>
      <c r="I1599" s="15" t="s">
        <v>10</v>
      </c>
      <c r="J1599" s="15" t="s">
        <v>10</v>
      </c>
      <c r="K1599" s="15" t="s">
        <v>10</v>
      </c>
      <c r="L1599" s="15" t="s">
        <v>10</v>
      </c>
      <c r="M1599" s="15" t="s">
        <v>10</v>
      </c>
      <c r="N1599" s="15" t="s">
        <v>10</v>
      </c>
      <c r="O1599" s="15" t="s">
        <v>10</v>
      </c>
      <c r="P1599" s="15" t="s">
        <v>10</v>
      </c>
      <c r="Q1599" s="8"/>
      <c r="R1599" s="9" t="s">
        <v>1592</v>
      </c>
    </row>
    <row r="1600" spans="1:18" x14ac:dyDescent="0.25">
      <c r="A1600" s="6" t="str">
        <f>HYPERLINK("proteomic_fractions_linear_files/Yang_linear_img/13385268.jpg", "13385268")</f>
        <v>13385268</v>
      </c>
      <c r="B1600" s="7"/>
      <c r="C1600" s="6" t="str">
        <f>HYPERLINK("http://www.ncbi.nlm.nih.gov/protein/13385268","Cyb5")</f>
        <v>Cyb5</v>
      </c>
      <c r="D1600" s="8"/>
      <c r="E1600" s="8">
        <v>15110</v>
      </c>
      <c r="F1600" s="8"/>
      <c r="G1600" s="15">
        <v>1.540638224981163</v>
      </c>
      <c r="H1600" s="15">
        <v>1.540638224981163</v>
      </c>
      <c r="I1600" s="15">
        <v>1.0618294522121183</v>
      </c>
      <c r="J1600" s="15">
        <v>1.0618294522121183</v>
      </c>
      <c r="K1600" s="15">
        <v>1.1144316347071348</v>
      </c>
      <c r="L1600" s="15">
        <v>1.1144316347071348</v>
      </c>
      <c r="M1600" s="15">
        <v>1.1144316347071348</v>
      </c>
      <c r="N1600" s="15">
        <v>1.1144316347071348</v>
      </c>
      <c r="O1600" s="15" t="s">
        <v>10</v>
      </c>
      <c r="P1600" s="15" t="s">
        <v>10</v>
      </c>
      <c r="Q1600" s="8"/>
      <c r="R1600" s="9" t="s">
        <v>1593</v>
      </c>
    </row>
    <row r="1601" spans="1:18" x14ac:dyDescent="0.25">
      <c r="A1601" s="6" t="str">
        <f>HYPERLINK("proteomic_fractions_linear_files/Yang_linear_img/31542436.jpg", "31542436")</f>
        <v>31542436</v>
      </c>
      <c r="B1601" s="7"/>
      <c r="C1601" s="6" t="str">
        <f>HYPERLINK("http://www.ncbi.nlm.nih.gov/protein/31542436","Cyb561")</f>
        <v>Cyb561</v>
      </c>
      <c r="D1601" s="8"/>
      <c r="E1601" s="8">
        <v>27691</v>
      </c>
      <c r="F1601" s="8"/>
      <c r="G1601" s="15" t="s">
        <v>10</v>
      </c>
      <c r="H1601" s="15" t="s">
        <v>10</v>
      </c>
      <c r="I1601" s="15" t="s">
        <v>10</v>
      </c>
      <c r="J1601" s="15" t="s">
        <v>10</v>
      </c>
      <c r="K1601" s="15">
        <v>0.82534190623990877</v>
      </c>
      <c r="L1601" s="15">
        <v>0.82534190623990877</v>
      </c>
      <c r="M1601" s="15" t="s">
        <v>10</v>
      </c>
      <c r="N1601" s="15" t="s">
        <v>10</v>
      </c>
      <c r="O1601" s="15" t="s">
        <v>10</v>
      </c>
      <c r="P1601" s="15" t="s">
        <v>10</v>
      </c>
      <c r="Q1601" s="8"/>
      <c r="R1601" s="9" t="s">
        <v>1594</v>
      </c>
    </row>
    <row r="1602" spans="1:18" x14ac:dyDescent="0.25">
      <c r="A1602" s="6" t="str">
        <f>HYPERLINK("proteomic_fractions_linear_files/Yang_linear_img/9790029.jpg", "9790029")</f>
        <v>9790029</v>
      </c>
      <c r="B1602" s="7"/>
      <c r="C1602" s="6" t="str">
        <f>HYPERLINK("http://www.ncbi.nlm.nih.gov/protein/9790029","Cyb561d2")</f>
        <v>Cyb561d2</v>
      </c>
      <c r="D1602" s="8"/>
      <c r="E1602" s="8">
        <v>24056</v>
      </c>
      <c r="F1602" s="8"/>
      <c r="G1602" s="15" t="s">
        <v>10</v>
      </c>
      <c r="H1602" s="15" t="s">
        <v>10</v>
      </c>
      <c r="I1602" s="15">
        <v>0.77063746519017018</v>
      </c>
      <c r="J1602" s="15">
        <v>0.77063746519017018</v>
      </c>
      <c r="K1602" s="15" t="s">
        <v>10</v>
      </c>
      <c r="L1602" s="15" t="s">
        <v>10</v>
      </c>
      <c r="M1602" s="15" t="s">
        <v>10</v>
      </c>
      <c r="N1602" s="15" t="s">
        <v>10</v>
      </c>
      <c r="O1602" s="15" t="s">
        <v>10</v>
      </c>
      <c r="P1602" s="15" t="s">
        <v>10</v>
      </c>
      <c r="Q1602" s="8"/>
      <c r="R1602" s="9" t="s">
        <v>1595</v>
      </c>
    </row>
    <row r="1603" spans="1:18" x14ac:dyDescent="0.25">
      <c r="A1603" s="6" t="str">
        <f>HYPERLINK("proteomic_fractions_linear_files/Yang_linear_img/31542438.jpg", "31542438")</f>
        <v>31542438</v>
      </c>
      <c r="B1603" s="7"/>
      <c r="C1603" s="6" t="str">
        <f>HYPERLINK("http://www.ncbi.nlm.nih.gov/protein/31542438","Cyb5b")</f>
        <v>Cyb5b</v>
      </c>
      <c r="D1603" s="8"/>
      <c r="E1603" s="8">
        <v>16187</v>
      </c>
      <c r="F1603" s="8"/>
      <c r="G1603" s="15">
        <v>1.7448882061051287</v>
      </c>
      <c r="H1603" s="15">
        <v>1.7448882061051287</v>
      </c>
      <c r="I1603" s="15">
        <v>1.2188218642522046</v>
      </c>
      <c r="J1603" s="15">
        <v>1.2188218642522046</v>
      </c>
      <c r="K1603" s="15">
        <v>1.2188218642522046</v>
      </c>
      <c r="L1603" s="15">
        <v>1.2188218642522046</v>
      </c>
      <c r="M1603" s="15">
        <v>1.2188218642522046</v>
      </c>
      <c r="N1603" s="15">
        <v>1.2188218642522046</v>
      </c>
      <c r="O1603" s="15">
        <v>1.0447796575379389</v>
      </c>
      <c r="P1603" s="15">
        <v>1.0447796575379389</v>
      </c>
      <c r="Q1603" s="8"/>
      <c r="R1603" s="9" t="s">
        <v>1596</v>
      </c>
    </row>
    <row r="1604" spans="1:18" x14ac:dyDescent="0.25">
      <c r="A1604" s="6" t="str">
        <f>HYPERLINK("proteomic_fractions_linear_files/Yang_linear_img/21312524.jpg", "21312524")</f>
        <v>21312524</v>
      </c>
      <c r="B1604" s="7"/>
      <c r="C1604" s="6" t="str">
        <f>HYPERLINK("http://www.ncbi.nlm.nih.gov/protein/21312524","Cyb5r1")</f>
        <v>Cyb5r1</v>
      </c>
      <c r="D1604" s="8"/>
      <c r="E1604" s="8">
        <v>34004</v>
      </c>
      <c r="F1604" s="8"/>
      <c r="G1604" s="15">
        <v>1.1913917118594926</v>
      </c>
      <c r="H1604" s="15">
        <v>1.1913917118594926</v>
      </c>
      <c r="I1604" s="15">
        <v>0.82112386169653118</v>
      </c>
      <c r="J1604" s="15">
        <v>0.82112386169653118</v>
      </c>
      <c r="K1604" s="15">
        <v>0.87898255563862149</v>
      </c>
      <c r="L1604" s="15">
        <v>0.87898255563862149</v>
      </c>
      <c r="M1604" s="15" t="s">
        <v>10</v>
      </c>
      <c r="N1604" s="15" t="s">
        <v>10</v>
      </c>
      <c r="O1604" s="15" t="s">
        <v>10</v>
      </c>
      <c r="P1604" s="15" t="s">
        <v>10</v>
      </c>
      <c r="Q1604" s="8"/>
      <c r="R1604" s="9" t="s">
        <v>1597</v>
      </c>
    </row>
    <row r="1605" spans="1:18" x14ac:dyDescent="0.25">
      <c r="A1605" s="6" t="str">
        <f>HYPERLINK("proteomic_fractions_linear_files/Yang_linear_img/19745150.jpg", "19745150")</f>
        <v>19745150</v>
      </c>
      <c r="B1605" s="7"/>
      <c r="C1605" s="6" t="str">
        <f>HYPERLINK("http://www.ncbi.nlm.nih.gov/protein/19745150","Cyb5r3")</f>
        <v>Cyb5r3</v>
      </c>
      <c r="D1605" s="8"/>
      <c r="E1605" s="8">
        <v>33997</v>
      </c>
      <c r="F1605" s="8"/>
      <c r="G1605" s="15">
        <v>1.1913917118594926</v>
      </c>
      <c r="H1605" s="15">
        <v>1.1913917118594926</v>
      </c>
      <c r="I1605" s="15">
        <v>0.82112386169653118</v>
      </c>
      <c r="J1605" s="15">
        <v>0.82112386169653118</v>
      </c>
      <c r="K1605" s="15">
        <v>0.87898255563862149</v>
      </c>
      <c r="L1605" s="15">
        <v>0.87898255563862149</v>
      </c>
      <c r="M1605" s="15">
        <v>0.87898255563862149</v>
      </c>
      <c r="N1605" s="15">
        <v>0.87898255563862149</v>
      </c>
      <c r="O1605" s="15">
        <v>0.72220060627285054</v>
      </c>
      <c r="P1605" s="15">
        <v>0.72220060627285054</v>
      </c>
      <c r="Q1605" s="8"/>
      <c r="R1605" s="9" t="s">
        <v>1598</v>
      </c>
    </row>
    <row r="1606" spans="1:18" x14ac:dyDescent="0.25">
      <c r="A1606" s="6" t="str">
        <f>HYPERLINK("proteomic_fractions_linear_files/Yang_linear_img/13385006.jpg", "13385006")</f>
        <v>13385006</v>
      </c>
      <c r="B1606" s="7"/>
      <c r="C1606" s="6" t="str">
        <f>HYPERLINK("http://www.ncbi.nlm.nih.gov/protein/13385006","Cyc1")</f>
        <v>Cyc1</v>
      </c>
      <c r="D1606" s="8"/>
      <c r="E1606" s="8">
        <v>27276</v>
      </c>
      <c r="F1606" s="8"/>
      <c r="G1606" s="15">
        <v>1.1882989946567994</v>
      </c>
      <c r="H1606" s="15">
        <v>1.1882989946567994</v>
      </c>
      <c r="I1606" s="15">
        <v>0.96852807834907406</v>
      </c>
      <c r="J1606" s="15">
        <v>0.96852807834907406</v>
      </c>
      <c r="K1606" s="15">
        <v>0.90943780049173761</v>
      </c>
      <c r="L1606" s="15">
        <v>0.90943780049173761</v>
      </c>
      <c r="M1606" s="15" t="s">
        <v>10</v>
      </c>
      <c r="N1606" s="15" t="s">
        <v>10</v>
      </c>
      <c r="O1606" s="15" t="s">
        <v>10</v>
      </c>
      <c r="P1606" s="15" t="s">
        <v>10</v>
      </c>
      <c r="Q1606" s="8"/>
      <c r="R1606" s="9" t="s">
        <v>1599</v>
      </c>
    </row>
    <row r="1607" spans="1:18" x14ac:dyDescent="0.25">
      <c r="A1607" s="6" t="str">
        <f>HYPERLINK("proteomic_fractions_linear_files/Yang_linear_img/6681095.jpg", "6681095")</f>
        <v>6681095</v>
      </c>
      <c r="B1607" s="7"/>
      <c r="C1607" s="6" t="str">
        <f>HYPERLINK("http://www.ncbi.nlm.nih.gov/protein/6681095","Cycs")</f>
        <v>Cycs</v>
      </c>
      <c r="D1607" s="8"/>
      <c r="E1607" s="8">
        <v>11474</v>
      </c>
      <c r="F1607" s="8"/>
      <c r="G1607" s="15">
        <v>1.2088240020910486</v>
      </c>
      <c r="H1607" s="15">
        <v>1.2088240020910486</v>
      </c>
      <c r="I1607" s="15">
        <v>1.2623500454487864</v>
      </c>
      <c r="J1607" s="15">
        <v>1.2623500454487864</v>
      </c>
      <c r="K1607" s="15">
        <v>1.3197703383518498</v>
      </c>
      <c r="L1607" s="15">
        <v>1.3197703383518498</v>
      </c>
      <c r="M1607" s="15">
        <v>1.3197703383518498</v>
      </c>
      <c r="N1607" s="15">
        <v>1.3197703383518498</v>
      </c>
      <c r="O1607" s="15">
        <v>1.2088240020910486</v>
      </c>
      <c r="P1607" s="15">
        <v>1.2088240020910486</v>
      </c>
      <c r="Q1607" s="8"/>
      <c r="R1607" s="9" t="s">
        <v>1600</v>
      </c>
    </row>
    <row r="1608" spans="1:18" x14ac:dyDescent="0.25">
      <c r="A1608" s="6" t="str">
        <f>HYPERLINK("proteomic_fractions_linear_files/Yang_linear_img/164698474.jpg", "164698474")</f>
        <v>164698474</v>
      </c>
      <c r="B1608" s="7"/>
      <c r="C1608" s="6" t="str">
        <f>HYPERLINK("http://www.ncbi.nlm.nih.gov/protein/164698474","Cyfip1")</f>
        <v>Cyfip1</v>
      </c>
      <c r="D1608" s="8"/>
      <c r="E1608" s="8">
        <v>145111</v>
      </c>
      <c r="F1608" s="8"/>
      <c r="G1608" s="15">
        <v>1.0582956630085645</v>
      </c>
      <c r="H1608" s="15">
        <v>1.0582956630085645</v>
      </c>
      <c r="I1608" s="15">
        <v>1.0582956630085645</v>
      </c>
      <c r="J1608" s="15">
        <v>1.0582956630085645</v>
      </c>
      <c r="K1608" s="15">
        <v>1.2880402182064852</v>
      </c>
      <c r="L1608" s="15">
        <v>1.2880402182064852</v>
      </c>
      <c r="M1608" s="15">
        <v>1.0582956630085645</v>
      </c>
      <c r="N1608" s="15">
        <v>1.0582956630085645</v>
      </c>
      <c r="O1608" s="15">
        <v>1.0582956630085645</v>
      </c>
      <c r="P1608" s="15">
        <v>1.0582956630085645</v>
      </c>
      <c r="Q1608" s="8"/>
      <c r="R1608" s="9" t="s">
        <v>1601</v>
      </c>
    </row>
    <row r="1609" spans="1:18" x14ac:dyDescent="0.25">
      <c r="A1609" s="6" t="str">
        <f>HYPERLINK("proteomic_fractions_linear_files/Yang_linear_img/258547119.jpg", "258547119")</f>
        <v>258547119</v>
      </c>
      <c r="B1609" s="7"/>
      <c r="C1609" s="6" t="str">
        <f>HYPERLINK("http://www.ncbi.nlm.nih.gov/protein/258547119","Cyfip1")</f>
        <v>Cyfip1</v>
      </c>
      <c r="D1609" s="8"/>
      <c r="E1609" s="8">
        <v>144787</v>
      </c>
      <c r="F1609" s="8"/>
      <c r="G1609" s="15">
        <v>1.0582956630085645</v>
      </c>
      <c r="H1609" s="15">
        <v>1.0582956630085645</v>
      </c>
      <c r="I1609" s="15">
        <v>1.0582956630085645</v>
      </c>
      <c r="J1609" s="15">
        <v>1.0582956630085645</v>
      </c>
      <c r="K1609" s="15">
        <v>1.2880402182064852</v>
      </c>
      <c r="L1609" s="15">
        <v>1.2880402182064852</v>
      </c>
      <c r="M1609" s="15">
        <v>1.0582956630085645</v>
      </c>
      <c r="N1609" s="15">
        <v>1.0582956630085645</v>
      </c>
      <c r="O1609" s="15">
        <v>1.0582956630085645</v>
      </c>
      <c r="P1609" s="15">
        <v>1.0582956630085645</v>
      </c>
      <c r="Q1609" s="8"/>
      <c r="R1609" s="9" t="s">
        <v>1602</v>
      </c>
    </row>
    <row r="1610" spans="1:18" x14ac:dyDescent="0.25">
      <c r="A1610" s="6" t="str">
        <f>HYPERLINK("proteomic_fractions_linear_files/Yang_linear_img/84370256.jpg", "84370256")</f>
        <v>84370256</v>
      </c>
      <c r="B1610" s="7"/>
      <c r="C1610" s="6" t="str">
        <f>HYPERLINK("http://www.ncbi.nlm.nih.gov/protein/84370256","Cyfip2")</f>
        <v>Cyfip2</v>
      </c>
      <c r="D1610" s="8"/>
      <c r="E1610" s="8">
        <v>145529</v>
      </c>
      <c r="F1610" s="8"/>
      <c r="G1610" s="15">
        <v>4.0650192169130426</v>
      </c>
      <c r="H1610" s="15">
        <v>4.0650192169130426</v>
      </c>
      <c r="I1610" s="15">
        <v>1.051047062576999</v>
      </c>
      <c r="J1610" s="15">
        <v>1.051047062576999</v>
      </c>
      <c r="K1610" s="15">
        <v>1.2792180249310983</v>
      </c>
      <c r="L1610" s="15">
        <v>1.2792180249310983</v>
      </c>
      <c r="M1610" s="15">
        <v>1.051047062576999</v>
      </c>
      <c r="N1610" s="15">
        <v>1.051047062576999</v>
      </c>
      <c r="O1610" s="15">
        <v>1.051047062576999</v>
      </c>
      <c r="P1610" s="15">
        <v>1.051047062576999</v>
      </c>
      <c r="Q1610" s="8"/>
      <c r="R1610" s="9" t="s">
        <v>1603</v>
      </c>
    </row>
    <row r="1611" spans="1:18" x14ac:dyDescent="0.25">
      <c r="A1611" s="6" t="str">
        <f>HYPERLINK("proteomic_fractions_linear_files/Yang_linear_img/30725867.jpg", "30725867")</f>
        <v>30725867</v>
      </c>
      <c r="B1611" s="7"/>
      <c r="C1611" s="6" t="str">
        <f>HYPERLINK("http://www.ncbi.nlm.nih.gov/protein/30725867","Cyhr1")</f>
        <v>Cyhr1</v>
      </c>
      <c r="D1611" s="8"/>
      <c r="E1611" s="8">
        <v>20025</v>
      </c>
      <c r="F1611" s="8"/>
      <c r="G1611" s="15" t="s">
        <v>10</v>
      </c>
      <c r="H1611" s="15" t="s">
        <v>10</v>
      </c>
      <c r="I1611" s="15">
        <v>0.75981691469071433</v>
      </c>
      <c r="J1611" s="15">
        <v>0.75981691469071433</v>
      </c>
      <c r="K1611" s="15">
        <v>0.79637208915908875</v>
      </c>
      <c r="L1611" s="15">
        <v>0.79637208915908875</v>
      </c>
      <c r="M1611" s="15" t="s">
        <v>10</v>
      </c>
      <c r="N1611" s="15" t="s">
        <v>10</v>
      </c>
      <c r="O1611" s="15" t="s">
        <v>10</v>
      </c>
      <c r="P1611" s="15" t="s">
        <v>10</v>
      </c>
      <c r="Q1611" s="8"/>
      <c r="R1611" s="9" t="s">
        <v>1604</v>
      </c>
    </row>
    <row r="1612" spans="1:18" x14ac:dyDescent="0.25">
      <c r="A1612" s="6" t="str">
        <f>HYPERLINK("proteomic_fractions_linear_files/Yang_linear_img/444741673.jpg", "444741673")</f>
        <v>444741673</v>
      </c>
      <c r="B1612" s="7"/>
      <c r="C1612" s="6" t="str">
        <f>HYPERLINK("http://www.ncbi.nlm.nih.gov/protein/444741673","Cyhr1")</f>
        <v>Cyhr1</v>
      </c>
      <c r="D1612" s="8"/>
      <c r="E1612" s="8">
        <v>43071</v>
      </c>
      <c r="F1612" s="8"/>
      <c r="G1612" s="15" t="s">
        <v>10</v>
      </c>
      <c r="H1612" s="15" t="s">
        <v>10</v>
      </c>
      <c r="I1612" s="15" t="s">
        <v>10</v>
      </c>
      <c r="J1612" s="15" t="s">
        <v>10</v>
      </c>
      <c r="K1612" s="15" t="s">
        <v>10</v>
      </c>
      <c r="L1612" s="15" t="s">
        <v>10</v>
      </c>
      <c r="M1612" s="15" t="s">
        <v>10</v>
      </c>
      <c r="N1612" s="15" t="s">
        <v>10</v>
      </c>
      <c r="O1612" s="15">
        <v>0.942030655888901</v>
      </c>
      <c r="P1612" s="15">
        <v>0.942030655888901</v>
      </c>
      <c r="Q1612" s="8"/>
      <c r="R1612" s="9" t="s">
        <v>1605</v>
      </c>
    </row>
    <row r="1613" spans="1:18" x14ac:dyDescent="0.25">
      <c r="A1613" s="6" t="str">
        <f>HYPERLINK("proteomic_fractions_linear_files/Yang_linear_img/9506491.jpg", "9506491")</f>
        <v>9506491</v>
      </c>
      <c r="B1613" s="7"/>
      <c r="C1613" s="6" t="str">
        <f>HYPERLINK("http://www.ncbi.nlm.nih.gov/protein/9506491","Cyhr1")</f>
        <v>Cyhr1</v>
      </c>
      <c r="D1613" s="8"/>
      <c r="E1613" s="8">
        <v>32382</v>
      </c>
      <c r="F1613" s="8"/>
      <c r="G1613" s="15" t="s">
        <v>10</v>
      </c>
      <c r="H1613" s="15" t="s">
        <v>10</v>
      </c>
      <c r="I1613" s="15" t="s">
        <v>10</v>
      </c>
      <c r="J1613" s="15" t="s">
        <v>10</v>
      </c>
      <c r="K1613" s="15" t="s">
        <v>10</v>
      </c>
      <c r="L1613" s="15" t="s">
        <v>10</v>
      </c>
      <c r="M1613" s="15" t="s">
        <v>10</v>
      </c>
      <c r="N1613" s="15" t="s">
        <v>10</v>
      </c>
      <c r="O1613" s="15">
        <v>1.2658536938507108</v>
      </c>
      <c r="P1613" s="15">
        <v>1.2658536938507108</v>
      </c>
      <c r="Q1613" s="8"/>
      <c r="R1613" s="9" t="s">
        <v>1606</v>
      </c>
    </row>
    <row r="1614" spans="1:18" x14ac:dyDescent="0.25">
      <c r="A1614" s="6" t="str">
        <f>HYPERLINK("proteomic_fractions_linear_files/Yang_linear_img/74271886.jpg", "74271886")</f>
        <v>74271886</v>
      </c>
      <c r="B1614" s="7"/>
      <c r="C1614" s="6" t="str">
        <f>HYPERLINK("http://www.ncbi.nlm.nih.gov/protein/74271886","Cyp20a1")</f>
        <v>Cyp20a1</v>
      </c>
      <c r="D1614" s="8"/>
      <c r="E1614" s="8">
        <v>52018</v>
      </c>
      <c r="F1614" s="8"/>
      <c r="G1614" s="15">
        <v>0.77898688852351428</v>
      </c>
      <c r="H1614" s="15">
        <v>0.77898688852351428</v>
      </c>
      <c r="I1614" s="15">
        <v>0.84856902398010514</v>
      </c>
      <c r="J1614" s="15">
        <v>0.84856902398010514</v>
      </c>
      <c r="K1614" s="15">
        <v>0.84856902398010514</v>
      </c>
      <c r="L1614" s="15">
        <v>0.84856902398010514</v>
      </c>
      <c r="M1614" s="15" t="s">
        <v>10</v>
      </c>
      <c r="N1614" s="15" t="s">
        <v>10</v>
      </c>
      <c r="O1614" s="15" t="s">
        <v>10</v>
      </c>
      <c r="P1614" s="15" t="s">
        <v>10</v>
      </c>
      <c r="Q1614" s="8"/>
      <c r="R1614" s="9" t="s">
        <v>1607</v>
      </c>
    </row>
    <row r="1615" spans="1:18" x14ac:dyDescent="0.25">
      <c r="A1615" s="6" t="str">
        <f>HYPERLINK("proteomic_fractions_linear_files/Yang_linear_img/21311915.jpg", "21311915")</f>
        <v>21311915</v>
      </c>
      <c r="B1615" s="7"/>
      <c r="C1615" s="6" t="str">
        <f>HYPERLINK("http://www.ncbi.nlm.nih.gov/protein/21311915","Cyp2s1")</f>
        <v>Cyp2s1</v>
      </c>
      <c r="D1615" s="8"/>
      <c r="E1615" s="8">
        <v>52268</v>
      </c>
      <c r="F1615" s="8"/>
      <c r="G1615" s="15" t="s">
        <v>10</v>
      </c>
      <c r="H1615" s="15" t="s">
        <v>10</v>
      </c>
      <c r="I1615" s="15">
        <v>0.92865337662337022</v>
      </c>
      <c r="J1615" s="15">
        <v>0.92865337662337022</v>
      </c>
      <c r="K1615" s="15" t="s">
        <v>10</v>
      </c>
      <c r="L1615" s="15" t="s">
        <v>10</v>
      </c>
      <c r="M1615" s="15" t="s">
        <v>10</v>
      </c>
      <c r="N1615" s="15" t="s">
        <v>10</v>
      </c>
      <c r="O1615" s="15" t="s">
        <v>10</v>
      </c>
      <c r="P1615" s="15" t="s">
        <v>10</v>
      </c>
      <c r="Q1615" s="8"/>
      <c r="R1615" s="9" t="s">
        <v>1608</v>
      </c>
    </row>
    <row r="1616" spans="1:18" x14ac:dyDescent="0.25">
      <c r="A1616" s="6" t="str">
        <f>HYPERLINK("proteomic_fractions_linear_files/Yang_linear_img/9256529.jpg", "9256529")</f>
        <v>9256529</v>
      </c>
      <c r="B1616" s="7"/>
      <c r="C1616" s="6" t="str">
        <f>HYPERLINK("http://www.ncbi.nlm.nih.gov/protein/9256529","Cyp39a1")</f>
        <v>Cyp39a1</v>
      </c>
      <c r="D1616" s="8"/>
      <c r="E1616" s="8">
        <v>53444</v>
      </c>
      <c r="F1616" s="8"/>
      <c r="G1616" s="15" t="s">
        <v>10</v>
      </c>
      <c r="H1616" s="15" t="s">
        <v>10</v>
      </c>
      <c r="I1616" s="15">
        <v>0.91113161480028781</v>
      </c>
      <c r="J1616" s="15">
        <v>0.91113161480028781</v>
      </c>
      <c r="K1616" s="15">
        <v>0.91113161480028781</v>
      </c>
      <c r="L1616" s="15">
        <v>0.91113161480028781</v>
      </c>
      <c r="M1616" s="15" t="s">
        <v>10</v>
      </c>
      <c r="N1616" s="15" t="s">
        <v>10</v>
      </c>
      <c r="O1616" s="15" t="s">
        <v>10</v>
      </c>
      <c r="P1616" s="15" t="s">
        <v>10</v>
      </c>
      <c r="Q1616" s="8"/>
      <c r="R1616" s="9" t="s">
        <v>1609</v>
      </c>
    </row>
    <row r="1617" spans="1:18" x14ac:dyDescent="0.25">
      <c r="A1617" s="6" t="str">
        <f>HYPERLINK("proteomic_fractions_linear_files/Yang_linear_img/13277362.jpg", "13277362")</f>
        <v>13277362</v>
      </c>
      <c r="B1617" s="7"/>
      <c r="C1617" s="6" t="str">
        <f>HYPERLINK("http://www.ncbi.nlm.nih.gov/protein/13277362","Cyp4f16")</f>
        <v>Cyp4f16</v>
      </c>
      <c r="D1617" s="8"/>
      <c r="E1617" s="8">
        <v>60099</v>
      </c>
      <c r="F1617" s="8"/>
      <c r="G1617" s="15" t="s">
        <v>10</v>
      </c>
      <c r="H1617" s="15" t="s">
        <v>10</v>
      </c>
      <c r="I1617" s="15">
        <v>0.88534282716668466</v>
      </c>
      <c r="J1617" s="15">
        <v>0.88534282716668466</v>
      </c>
      <c r="K1617" s="15" t="s">
        <v>10</v>
      </c>
      <c r="L1617" s="15" t="s">
        <v>10</v>
      </c>
      <c r="M1617" s="15" t="s">
        <v>10</v>
      </c>
      <c r="N1617" s="15" t="s">
        <v>10</v>
      </c>
      <c r="O1617" s="15" t="s">
        <v>10</v>
      </c>
      <c r="P1617" s="15" t="s">
        <v>10</v>
      </c>
      <c r="Q1617" s="8"/>
      <c r="R1617" s="9" t="s">
        <v>1610</v>
      </c>
    </row>
    <row r="1618" spans="1:18" x14ac:dyDescent="0.25">
      <c r="A1618" s="6" t="str">
        <f>HYPERLINK("proteomic_fractions_linear_files/Yang_linear_img/71061451.jpg", "71061451")</f>
        <v>71061451</v>
      </c>
      <c r="B1618" s="7"/>
      <c r="C1618" s="6" t="str">
        <f>HYPERLINK("http://www.ncbi.nlm.nih.gov/protein/71061451","Cyp51")</f>
        <v>Cyp51</v>
      </c>
      <c r="D1618" s="8"/>
      <c r="E1618" s="8">
        <v>56645</v>
      </c>
      <c r="F1618" s="8"/>
      <c r="G1618" s="15" t="s">
        <v>10</v>
      </c>
      <c r="H1618" s="15" t="s">
        <v>10</v>
      </c>
      <c r="I1618" s="15">
        <v>0.93193981807019433</v>
      </c>
      <c r="J1618" s="15">
        <v>0.93193981807019433</v>
      </c>
      <c r="K1618" s="15">
        <v>1.0311089050104185</v>
      </c>
      <c r="L1618" s="15">
        <v>1.0311089050104185</v>
      </c>
      <c r="M1618" s="15" t="s">
        <v>10</v>
      </c>
      <c r="N1618" s="15" t="s">
        <v>10</v>
      </c>
      <c r="O1618" s="15" t="s">
        <v>10</v>
      </c>
      <c r="P1618" s="15" t="s">
        <v>10</v>
      </c>
      <c r="Q1618" s="8"/>
      <c r="R1618" s="9" t="s">
        <v>1611</v>
      </c>
    </row>
    <row r="1619" spans="1:18" x14ac:dyDescent="0.25">
      <c r="A1619" s="6" t="str">
        <f>HYPERLINK("proteomic_fractions_linear_files/Yang_linear_img/240120154.jpg", "240120154")</f>
        <v>240120154</v>
      </c>
      <c r="B1619" s="7"/>
      <c r="C1619" s="6" t="str">
        <f>HYPERLINK("http://www.ncbi.nlm.nih.gov/protein/240120154","Cys1")</f>
        <v>Cys1</v>
      </c>
      <c r="D1619" s="8"/>
      <c r="E1619" s="8">
        <v>15434</v>
      </c>
      <c r="F1619" s="8"/>
      <c r="G1619" s="15" t="s">
        <v>10</v>
      </c>
      <c r="H1619" s="15" t="s">
        <v>10</v>
      </c>
      <c r="I1619" s="15" t="s">
        <v>10</v>
      </c>
      <c r="J1619" s="15" t="s">
        <v>10</v>
      </c>
      <c r="K1619" s="15">
        <v>1.4530494847119166</v>
      </c>
      <c r="L1619" s="15">
        <v>1.4530494847119166</v>
      </c>
      <c r="M1619" s="15" t="s">
        <v>10</v>
      </c>
      <c r="N1619" s="15" t="s">
        <v>10</v>
      </c>
      <c r="O1619" s="15" t="s">
        <v>10</v>
      </c>
      <c r="P1619" s="15" t="s">
        <v>10</v>
      </c>
      <c r="Q1619" s="8"/>
      <c r="R1619" s="9" t="s">
        <v>1612</v>
      </c>
    </row>
    <row r="1620" spans="1:18" x14ac:dyDescent="0.25">
      <c r="A1620" s="6" t="str">
        <f>HYPERLINK("proteomic_fractions_linear_files/Yang_linear_img/167716849.jpg", "167716849")</f>
        <v>167716849</v>
      </c>
      <c r="B1620" s="7"/>
      <c r="C1620" s="6" t="str">
        <f>HYPERLINK("http://www.ncbi.nlm.nih.gov/protein/167716849","CYTB")</f>
        <v>CYTB</v>
      </c>
      <c r="D1620" s="8"/>
      <c r="E1620" s="8">
        <v>43079</v>
      </c>
      <c r="F1620" s="8"/>
      <c r="G1620" s="15" t="s">
        <v>10</v>
      </c>
      <c r="H1620" s="15" t="s">
        <v>10</v>
      </c>
      <c r="I1620" s="15">
        <v>0.60814553756802325</v>
      </c>
      <c r="J1620" s="15">
        <v>0.60814553756802325</v>
      </c>
      <c r="K1620" s="15" t="s">
        <v>10</v>
      </c>
      <c r="L1620" s="15" t="s">
        <v>10</v>
      </c>
      <c r="M1620" s="15" t="s">
        <v>10</v>
      </c>
      <c r="N1620" s="15" t="s">
        <v>10</v>
      </c>
      <c r="O1620" s="15" t="s">
        <v>10</v>
      </c>
      <c r="P1620" s="15" t="s">
        <v>10</v>
      </c>
      <c r="Q1620" s="8"/>
      <c r="R1620" s="9" t="s">
        <v>1613</v>
      </c>
    </row>
    <row r="1621" spans="1:18" x14ac:dyDescent="0.25">
      <c r="A1621" s="6" t="str">
        <f>HYPERLINK("proteomic_fractions_linear_files/Yang_linear_img/226453487.jpg", "226453487")</f>
        <v>226453487</v>
      </c>
      <c r="B1621" s="7"/>
      <c r="C1621" s="6" t="str">
        <f>HYPERLINK("http://www.ncbi.nlm.nih.gov/protein/226453487","CYTB")</f>
        <v>CYTB</v>
      </c>
      <c r="D1621" s="8"/>
      <c r="E1621" s="8">
        <v>43093</v>
      </c>
      <c r="F1621" s="8"/>
      <c r="G1621" s="15" t="s">
        <v>10</v>
      </c>
      <c r="H1621" s="15" t="s">
        <v>10</v>
      </c>
      <c r="I1621" s="15">
        <v>0.60814553756802325</v>
      </c>
      <c r="J1621" s="15">
        <v>0.60814553756802325</v>
      </c>
      <c r="K1621" s="15" t="s">
        <v>10</v>
      </c>
      <c r="L1621" s="15" t="s">
        <v>10</v>
      </c>
      <c r="M1621" s="15" t="s">
        <v>10</v>
      </c>
      <c r="N1621" s="15" t="s">
        <v>10</v>
      </c>
      <c r="O1621" s="15" t="s">
        <v>10</v>
      </c>
      <c r="P1621" s="15" t="s">
        <v>10</v>
      </c>
      <c r="Q1621" s="8"/>
      <c r="R1621" s="9" t="s">
        <v>1614</v>
      </c>
    </row>
    <row r="1622" spans="1:18" x14ac:dyDescent="0.25">
      <c r="A1622" s="6" t="str">
        <f>HYPERLINK("proteomic_fractions_linear_files/Yang_linear_img/34538610.jpg", "34538610")</f>
        <v>34538610</v>
      </c>
      <c r="B1622" s="7"/>
      <c r="C1622" s="6" t="str">
        <f>HYPERLINK("http://www.ncbi.nlm.nih.gov/protein/34538610","CYTB")</f>
        <v>CYTB</v>
      </c>
      <c r="D1622" s="8"/>
      <c r="E1622" s="8">
        <v>43079</v>
      </c>
      <c r="F1622" s="8"/>
      <c r="G1622" s="15" t="s">
        <v>10</v>
      </c>
      <c r="H1622" s="15" t="s">
        <v>10</v>
      </c>
      <c r="I1622" s="15">
        <v>0.60814553756802325</v>
      </c>
      <c r="J1622" s="15">
        <v>0.60814553756802325</v>
      </c>
      <c r="K1622" s="15" t="s">
        <v>10</v>
      </c>
      <c r="L1622" s="15" t="s">
        <v>10</v>
      </c>
      <c r="M1622" s="15" t="s">
        <v>10</v>
      </c>
      <c r="N1622" s="15" t="s">
        <v>10</v>
      </c>
      <c r="O1622" s="15" t="s">
        <v>10</v>
      </c>
      <c r="P1622" s="15" t="s">
        <v>10</v>
      </c>
      <c r="Q1622" s="8"/>
      <c r="R1622" s="9" t="s">
        <v>1615</v>
      </c>
    </row>
    <row r="1623" spans="1:18" x14ac:dyDescent="0.25">
      <c r="A1623" s="6" t="str">
        <f>HYPERLINK("proteomic_fractions_linear_files/Yang_linear_img/162951835.jpg", "162951835")</f>
        <v>162951835</v>
      </c>
      <c r="B1623" s="7"/>
      <c r="C1623" s="6" t="str">
        <f>HYPERLINK("http://www.ncbi.nlm.nih.gov/protein/162951835","Cyth1")</f>
        <v>Cyth1</v>
      </c>
      <c r="D1623" s="8"/>
      <c r="E1623" s="8">
        <v>46086</v>
      </c>
      <c r="F1623" s="8"/>
      <c r="G1623" s="15" t="s">
        <v>10</v>
      </c>
      <c r="H1623" s="15" t="s">
        <v>10</v>
      </c>
      <c r="I1623" s="15" t="s">
        <v>10</v>
      </c>
      <c r="J1623" s="15" t="s">
        <v>10</v>
      </c>
      <c r="K1623" s="15">
        <v>0.75116035935815617</v>
      </c>
      <c r="L1623" s="15">
        <v>0.75116035935815617</v>
      </c>
      <c r="M1623" s="15" t="s">
        <v>10</v>
      </c>
      <c r="N1623" s="15" t="s">
        <v>10</v>
      </c>
      <c r="O1623" s="15" t="s">
        <v>10</v>
      </c>
      <c r="P1623" s="15" t="s">
        <v>10</v>
      </c>
      <c r="Q1623" s="8"/>
      <c r="R1623" s="9" t="s">
        <v>1616</v>
      </c>
    </row>
    <row r="1624" spans="1:18" x14ac:dyDescent="0.25">
      <c r="A1624" s="6" t="str">
        <f>HYPERLINK("proteomic_fractions_linear_files/Yang_linear_img/162951837.jpg", "162951837")</f>
        <v>162951837</v>
      </c>
      <c r="B1624" s="7"/>
      <c r="C1624" s="6" t="str">
        <f>HYPERLINK("http://www.ncbi.nlm.nih.gov/protein/162951837","Cyth1")</f>
        <v>Cyth1</v>
      </c>
      <c r="D1624" s="8"/>
      <c r="E1624" s="8">
        <v>46318</v>
      </c>
      <c r="F1624" s="8"/>
      <c r="G1624" s="15" t="s">
        <v>10</v>
      </c>
      <c r="H1624" s="15" t="s">
        <v>10</v>
      </c>
      <c r="I1624" s="15" t="s">
        <v>10</v>
      </c>
      <c r="J1624" s="15" t="s">
        <v>10</v>
      </c>
      <c r="K1624" s="15">
        <v>0.75116035935815617</v>
      </c>
      <c r="L1624" s="15">
        <v>0.75116035935815617</v>
      </c>
      <c r="M1624" s="15" t="s">
        <v>10</v>
      </c>
      <c r="N1624" s="15" t="s">
        <v>10</v>
      </c>
      <c r="O1624" s="15" t="s">
        <v>10</v>
      </c>
      <c r="P1624" s="15" t="s">
        <v>10</v>
      </c>
      <c r="Q1624" s="8"/>
      <c r="R1624" s="9" t="s">
        <v>1617</v>
      </c>
    </row>
    <row r="1625" spans="1:18" x14ac:dyDescent="0.25">
      <c r="A1625" s="6" t="str">
        <f>HYPERLINK("proteomic_fractions_linear_files/Yang_linear_img/31543516.jpg", "31543516")</f>
        <v>31543516</v>
      </c>
      <c r="B1625" s="7"/>
      <c r="C1625" s="6" t="str">
        <f>HYPERLINK("http://www.ncbi.nlm.nih.gov/protein/31543516","Cyth1")</f>
        <v>Cyth1</v>
      </c>
      <c r="D1625" s="8"/>
      <c r="E1625" s="8">
        <v>46143</v>
      </c>
      <c r="F1625" s="8"/>
      <c r="G1625" s="15" t="s">
        <v>10</v>
      </c>
      <c r="H1625" s="15" t="s">
        <v>10</v>
      </c>
      <c r="I1625" s="15" t="s">
        <v>10</v>
      </c>
      <c r="J1625" s="15" t="s">
        <v>10</v>
      </c>
      <c r="K1625" s="15">
        <v>0.75116035935815617</v>
      </c>
      <c r="L1625" s="15">
        <v>0.75116035935815617</v>
      </c>
      <c r="M1625" s="15" t="s">
        <v>10</v>
      </c>
      <c r="N1625" s="15" t="s">
        <v>10</v>
      </c>
      <c r="O1625" s="15" t="s">
        <v>10</v>
      </c>
      <c r="P1625" s="15" t="s">
        <v>10</v>
      </c>
      <c r="Q1625" s="8"/>
      <c r="R1625" s="9" t="s">
        <v>1618</v>
      </c>
    </row>
    <row r="1626" spans="1:18" x14ac:dyDescent="0.25">
      <c r="A1626" s="6" t="str">
        <f>HYPERLINK("proteomic_fractions_linear_files/Yang_linear_img/162951840.jpg", "162951840")</f>
        <v>162951840</v>
      </c>
      <c r="B1626" s="7"/>
      <c r="C1626" s="6" t="str">
        <f>HYPERLINK("http://www.ncbi.nlm.nih.gov/protein/162951840","Cyth2")</f>
        <v>Cyth2</v>
      </c>
      <c r="D1626" s="8"/>
      <c r="E1626" s="8">
        <v>46383</v>
      </c>
      <c r="F1626" s="8"/>
      <c r="G1626" s="15" t="s">
        <v>10</v>
      </c>
      <c r="H1626" s="15" t="s">
        <v>10</v>
      </c>
      <c r="I1626" s="15" t="s">
        <v>10</v>
      </c>
      <c r="J1626" s="15" t="s">
        <v>10</v>
      </c>
      <c r="K1626" s="15" t="s">
        <v>10</v>
      </c>
      <c r="L1626" s="15" t="s">
        <v>10</v>
      </c>
      <c r="M1626" s="15" t="s">
        <v>10</v>
      </c>
      <c r="N1626" s="15" t="s">
        <v>10</v>
      </c>
      <c r="O1626" s="15">
        <v>0.88059387398310318</v>
      </c>
      <c r="P1626" s="15">
        <v>0.88059387398310318</v>
      </c>
      <c r="Q1626" s="8"/>
      <c r="R1626" s="9" t="s">
        <v>1619</v>
      </c>
    </row>
    <row r="1627" spans="1:18" x14ac:dyDescent="0.25">
      <c r="A1627" s="6" t="str">
        <f>HYPERLINK("proteomic_fractions_linear_files/Yang_linear_img/6755186.jpg", "6755186")</f>
        <v>6755186</v>
      </c>
      <c r="B1627" s="7"/>
      <c r="C1627" s="6" t="str">
        <f>HYPERLINK("http://www.ncbi.nlm.nih.gov/protein/6755186","Cyth2")</f>
        <v>Cyth2</v>
      </c>
      <c r="D1627" s="8"/>
      <c r="E1627" s="8">
        <v>46440</v>
      </c>
      <c r="F1627" s="8"/>
      <c r="G1627" s="15" t="s">
        <v>10</v>
      </c>
      <c r="H1627" s="15" t="s">
        <v>10</v>
      </c>
      <c r="I1627" s="15" t="s">
        <v>10</v>
      </c>
      <c r="J1627" s="15" t="s">
        <v>10</v>
      </c>
      <c r="K1627" s="15" t="s">
        <v>10</v>
      </c>
      <c r="L1627" s="15" t="s">
        <v>10</v>
      </c>
      <c r="M1627" s="15" t="s">
        <v>10</v>
      </c>
      <c r="N1627" s="15" t="s">
        <v>10</v>
      </c>
      <c r="O1627" s="15">
        <v>0.88059387398310318</v>
      </c>
      <c r="P1627" s="15">
        <v>0.88059387398310318</v>
      </c>
      <c r="Q1627" s="8"/>
      <c r="R1627" s="9" t="s">
        <v>1620</v>
      </c>
    </row>
    <row r="1628" spans="1:18" x14ac:dyDescent="0.25">
      <c r="A1628" s="6" t="str">
        <f>HYPERLINK("proteomic_fractions_linear_files/Yang_linear_img/29244042.jpg", "29244042")</f>
        <v>29244042</v>
      </c>
      <c r="B1628" s="7"/>
      <c r="C1628" s="6" t="str">
        <f>HYPERLINK("http://www.ncbi.nlm.nih.gov/protein/29244042","D030056L22Rik")</f>
        <v>D030056L22Rik</v>
      </c>
      <c r="D1628" s="8"/>
      <c r="E1628" s="8">
        <v>17726</v>
      </c>
      <c r="F1628" s="8"/>
      <c r="G1628" s="15" t="s">
        <v>10</v>
      </c>
      <c r="H1628" s="15" t="s">
        <v>10</v>
      </c>
      <c r="I1628" s="15" t="s">
        <v>10</v>
      </c>
      <c r="J1628" s="15" t="s">
        <v>10</v>
      </c>
      <c r="K1628" s="15" t="s">
        <v>10</v>
      </c>
      <c r="L1628" s="15" t="s">
        <v>10</v>
      </c>
      <c r="M1628" s="15">
        <v>1.1443022881475706</v>
      </c>
      <c r="N1628" s="15">
        <v>1.1443022881475706</v>
      </c>
      <c r="O1628" s="15">
        <v>1.1443022881475706</v>
      </c>
      <c r="P1628" s="15">
        <v>1.1443022881475706</v>
      </c>
      <c r="Q1628" s="8"/>
      <c r="R1628" s="9" t="s">
        <v>1621</v>
      </c>
    </row>
    <row r="1629" spans="1:18" x14ac:dyDescent="0.25">
      <c r="A1629" s="6" t="str">
        <f>HYPERLINK("proteomic_fractions_linear_files/Yang_linear_img/85701756.jpg", "85701756")</f>
        <v>85701756</v>
      </c>
      <c r="B1629" s="7"/>
      <c r="C1629" s="6" t="str">
        <f>HYPERLINK("http://www.ncbi.nlm.nih.gov/protein/85701756","D10Bwg1379e")</f>
        <v>D10Bwg1379e</v>
      </c>
      <c r="D1629" s="8"/>
      <c r="E1629" s="8">
        <v>239961</v>
      </c>
      <c r="F1629" s="8"/>
      <c r="G1629" s="15" t="s">
        <v>10</v>
      </c>
      <c r="H1629" s="15" t="s">
        <v>10</v>
      </c>
      <c r="I1629" s="15" t="s">
        <v>10</v>
      </c>
      <c r="J1629" s="15" t="s">
        <v>10</v>
      </c>
      <c r="K1629" s="15" t="s">
        <v>10</v>
      </c>
      <c r="L1629" s="15" t="s">
        <v>10</v>
      </c>
      <c r="M1629" s="15">
        <v>1.2574305193187449</v>
      </c>
      <c r="N1629" s="15">
        <v>1.2574305193187449</v>
      </c>
      <c r="O1629" s="15" t="s">
        <v>10</v>
      </c>
      <c r="P1629" s="15" t="s">
        <v>10</v>
      </c>
      <c r="Q1629" s="8"/>
      <c r="R1629" s="9" t="s">
        <v>1622</v>
      </c>
    </row>
    <row r="1630" spans="1:18" x14ac:dyDescent="0.25">
      <c r="A1630" s="6" t="str">
        <f>HYPERLINK("proteomic_fractions_linear_files/Yang_linear_img/163838637.jpg", "163838637")</f>
        <v>163838637</v>
      </c>
      <c r="B1630" s="7"/>
      <c r="C1630" s="6" t="str">
        <f>HYPERLINK("http://www.ncbi.nlm.nih.gov/protein/163838637","D14Abb1e")</f>
        <v>D14Abb1e</v>
      </c>
      <c r="D1630" s="8"/>
      <c r="E1630" s="8">
        <v>168694</v>
      </c>
      <c r="F1630" s="8"/>
      <c r="G1630" s="15" t="s">
        <v>10</v>
      </c>
      <c r="H1630" s="15" t="s">
        <v>10</v>
      </c>
      <c r="I1630" s="15" t="s">
        <v>10</v>
      </c>
      <c r="J1630" s="15" t="s">
        <v>10</v>
      </c>
      <c r="K1630" s="15">
        <v>35.462130177514794</v>
      </c>
      <c r="L1630" s="15">
        <v>35.462130177514794</v>
      </c>
      <c r="M1630" s="15" t="s">
        <v>10</v>
      </c>
      <c r="N1630" s="15" t="s">
        <v>10</v>
      </c>
      <c r="O1630" s="15" t="s">
        <v>10</v>
      </c>
      <c r="P1630" s="15" t="s">
        <v>10</v>
      </c>
      <c r="Q1630" s="8"/>
      <c r="R1630" s="9" t="s">
        <v>1623</v>
      </c>
    </row>
    <row r="1631" spans="1:18" x14ac:dyDescent="0.25">
      <c r="A1631" s="6" t="str">
        <f>HYPERLINK("proteomic_fractions_linear_files/Yang_linear_img/168823452.jpg", "168823452")</f>
        <v>168823452</v>
      </c>
      <c r="B1631" s="7"/>
      <c r="C1631" s="6" t="str">
        <f>HYPERLINK("http://www.ncbi.nlm.nih.gov/protein/168823452","D14Abb1e")</f>
        <v>D14Abb1e</v>
      </c>
      <c r="D1631" s="8"/>
      <c r="E1631" s="8">
        <v>184539</v>
      </c>
      <c r="F1631" s="8"/>
      <c r="G1631" s="15" t="s">
        <v>10</v>
      </c>
      <c r="H1631" s="15" t="s">
        <v>10</v>
      </c>
      <c r="I1631" s="15" t="s">
        <v>10</v>
      </c>
      <c r="J1631" s="15" t="s">
        <v>10</v>
      </c>
      <c r="K1631" s="15">
        <v>32.395135135135135</v>
      </c>
      <c r="L1631" s="15">
        <v>32.395135135135135</v>
      </c>
      <c r="M1631" s="15" t="s">
        <v>10</v>
      </c>
      <c r="N1631" s="15" t="s">
        <v>10</v>
      </c>
      <c r="O1631" s="15" t="s">
        <v>10</v>
      </c>
      <c r="P1631" s="15" t="s">
        <v>10</v>
      </c>
      <c r="Q1631" s="8"/>
      <c r="R1631" s="9" t="s">
        <v>1624</v>
      </c>
    </row>
    <row r="1632" spans="1:18" x14ac:dyDescent="0.25">
      <c r="A1632" s="6" t="str">
        <f>HYPERLINK("proteomic_fractions_linear_files/Yang_linear_img/112817622.jpg", "112817622")</f>
        <v>112817622</v>
      </c>
      <c r="B1632" s="7"/>
      <c r="C1632" s="6" t="str">
        <f>HYPERLINK("http://www.ncbi.nlm.nih.gov/protein/112817622","D15Ertd621e")</f>
        <v>D15Ertd621e</v>
      </c>
      <c r="D1632" s="8"/>
      <c r="E1632" s="8">
        <v>93333</v>
      </c>
      <c r="F1632" s="8"/>
      <c r="G1632" s="15" t="s">
        <v>10</v>
      </c>
      <c r="H1632" s="15" t="s">
        <v>10</v>
      </c>
      <c r="I1632" s="15">
        <v>1.0211610879847797</v>
      </c>
      <c r="J1632" s="15">
        <v>1.0211610879847797</v>
      </c>
      <c r="K1632" s="15">
        <v>1.180661976571306</v>
      </c>
      <c r="L1632" s="15">
        <v>1.180661976571306</v>
      </c>
      <c r="M1632" s="15">
        <v>1.180661976571306</v>
      </c>
      <c r="N1632" s="15">
        <v>1.180661976571306</v>
      </c>
      <c r="O1632" s="15" t="s">
        <v>10</v>
      </c>
      <c r="P1632" s="15" t="s">
        <v>10</v>
      </c>
      <c r="Q1632" s="8"/>
      <c r="R1632" s="9" t="s">
        <v>1625</v>
      </c>
    </row>
    <row r="1633" spans="1:18" x14ac:dyDescent="0.25">
      <c r="A1633" s="6" t="str">
        <f>HYPERLINK("proteomic_fractions_linear_files/Yang_linear_img/51591905.jpg", "51591905")</f>
        <v>51591905</v>
      </c>
      <c r="B1633" s="7"/>
      <c r="C1633" s="6" t="str">
        <f>HYPERLINK("http://www.ncbi.nlm.nih.gov/protein/51591905","D17H6S53E")</f>
        <v>D17H6S53E</v>
      </c>
      <c r="D1633" s="8"/>
      <c r="E1633" s="8">
        <v>31884</v>
      </c>
      <c r="F1633" s="8"/>
      <c r="G1633" s="15" t="s">
        <v>10</v>
      </c>
      <c r="H1633" s="15" t="s">
        <v>10</v>
      </c>
      <c r="I1633" s="15" t="s">
        <v>10</v>
      </c>
      <c r="J1633" s="15" t="s">
        <v>10</v>
      </c>
      <c r="K1633" s="15">
        <v>1.1669164507226435</v>
      </c>
      <c r="L1633" s="15">
        <v>1.1669164507226435</v>
      </c>
      <c r="M1633" s="15" t="s">
        <v>10</v>
      </c>
      <c r="N1633" s="15" t="s">
        <v>10</v>
      </c>
      <c r="O1633" s="15" t="s">
        <v>10</v>
      </c>
      <c r="P1633" s="15" t="s">
        <v>10</v>
      </c>
      <c r="Q1633" s="8"/>
      <c r="R1633" s="9" t="s">
        <v>1626</v>
      </c>
    </row>
    <row r="1634" spans="1:18" x14ac:dyDescent="0.25">
      <c r="A1634" s="6" t="str">
        <f>HYPERLINK("proteomic_fractions_linear_files/Yang_linear_img/18250288.jpg", "18250288")</f>
        <v>18250288</v>
      </c>
      <c r="B1634" s="7"/>
      <c r="C1634" s="6" t="str">
        <f>HYPERLINK("http://www.ncbi.nlm.nih.gov/protein/18250288","D17Wsu104e")</f>
        <v>D17Wsu104e</v>
      </c>
      <c r="D1634" s="8"/>
      <c r="E1634" s="8">
        <v>15742</v>
      </c>
      <c r="F1634" s="8"/>
      <c r="G1634" s="15">
        <v>0.90734210761689671</v>
      </c>
      <c r="H1634" s="15">
        <v>0.90734210761689671</v>
      </c>
      <c r="I1634" s="15">
        <v>0.94977114336339286</v>
      </c>
      <c r="J1634" s="15">
        <v>0.94977114336339286</v>
      </c>
      <c r="K1634" s="15">
        <v>0.99546511144886096</v>
      </c>
      <c r="L1634" s="15">
        <v>0.99546511144886096</v>
      </c>
      <c r="M1634" s="15" t="s">
        <v>10</v>
      </c>
      <c r="N1634" s="15" t="s">
        <v>10</v>
      </c>
      <c r="O1634" s="15">
        <v>0.90734210761689671</v>
      </c>
      <c r="P1634" s="15">
        <v>0.90734210761689671</v>
      </c>
      <c r="Q1634" s="8"/>
      <c r="R1634" s="9" t="s">
        <v>1627</v>
      </c>
    </row>
    <row r="1635" spans="1:18" x14ac:dyDescent="0.25">
      <c r="A1635" s="6" t="str">
        <f>HYPERLINK("proteomic_fractions_linear_files/Yang_linear_img/19527042.jpg", "19527042")</f>
        <v>19527042</v>
      </c>
      <c r="B1635" s="7"/>
      <c r="C1635" s="6" t="str">
        <f>HYPERLINK("http://www.ncbi.nlm.nih.gov/protein/19527042","D1Ertd622e")</f>
        <v>D1Ertd622e</v>
      </c>
      <c r="D1635" s="8"/>
      <c r="E1635" s="8">
        <v>22999</v>
      </c>
      <c r="F1635" s="8"/>
      <c r="G1635" s="15" t="s">
        <v>10</v>
      </c>
      <c r="H1635" s="15" t="s">
        <v>10</v>
      </c>
      <c r="I1635" s="15" t="s">
        <v>10</v>
      </c>
      <c r="J1635" s="15" t="s">
        <v>10</v>
      </c>
      <c r="K1635" s="15" t="s">
        <v>10</v>
      </c>
      <c r="L1635" s="15" t="s">
        <v>10</v>
      </c>
      <c r="M1635" s="15">
        <v>1.0676008962294312</v>
      </c>
      <c r="N1635" s="15">
        <v>1.0676008962294312</v>
      </c>
      <c r="O1635" s="15" t="s">
        <v>10</v>
      </c>
      <c r="P1635" s="15" t="s">
        <v>10</v>
      </c>
      <c r="Q1635" s="8"/>
      <c r="R1635" s="9" t="s">
        <v>1628</v>
      </c>
    </row>
    <row r="1636" spans="1:18" x14ac:dyDescent="0.25">
      <c r="A1636" s="6" t="str">
        <f>HYPERLINK("proteomic_fractions_linear_files/Yang_linear_img/14861844.jpg", "14861844")</f>
        <v>14861844</v>
      </c>
      <c r="B1636" s="7"/>
      <c r="C1636" s="6" t="str">
        <f>HYPERLINK("http://www.ncbi.nlm.nih.gov/protein/14861844","D1Pas1")</f>
        <v>D1Pas1</v>
      </c>
      <c r="D1636" s="8"/>
      <c r="E1636" s="8">
        <v>73010</v>
      </c>
      <c r="F1636" s="8"/>
      <c r="G1636" s="15">
        <v>1.1383377873033405</v>
      </c>
      <c r="H1636" s="15">
        <v>1.1383377873033405</v>
      </c>
      <c r="I1636" s="15">
        <v>1.0059747978312636</v>
      </c>
      <c r="J1636" s="15">
        <v>1.0059747978312636</v>
      </c>
      <c r="K1636" s="15">
        <v>1.1383377873033405</v>
      </c>
      <c r="L1636" s="15">
        <v>1.1383377873033405</v>
      </c>
      <c r="M1636" s="15">
        <v>1.1383377873033405</v>
      </c>
      <c r="N1636" s="15">
        <v>1.1383377873033405</v>
      </c>
      <c r="O1636" s="15">
        <v>1.0059747978312636</v>
      </c>
      <c r="P1636" s="15">
        <v>1.0059747978312636</v>
      </c>
      <c r="Q1636" s="8"/>
      <c r="R1636" s="9" t="s">
        <v>1629</v>
      </c>
    </row>
    <row r="1637" spans="1:18" x14ac:dyDescent="0.25">
      <c r="A1637" s="6" t="str">
        <f>HYPERLINK("proteomic_fractions_linear_files/Yang_linear_img/170014723.jpg", "170014723")</f>
        <v>170014723</v>
      </c>
      <c r="B1637" s="7"/>
      <c r="C1637" s="6" t="str">
        <f>HYPERLINK("http://www.ncbi.nlm.nih.gov/protein/170014723","D2hgdh")</f>
        <v>D2hgdh</v>
      </c>
      <c r="D1637" s="8"/>
      <c r="E1637" s="8">
        <v>52850</v>
      </c>
      <c r="F1637" s="8"/>
      <c r="G1637" s="15" t="s">
        <v>10</v>
      </c>
      <c r="H1637" s="15" t="s">
        <v>10</v>
      </c>
      <c r="I1637" s="15">
        <v>0.91113161480028781</v>
      </c>
      <c r="J1637" s="15">
        <v>0.91113161480028781</v>
      </c>
      <c r="K1637" s="15" t="s">
        <v>10</v>
      </c>
      <c r="L1637" s="15" t="s">
        <v>10</v>
      </c>
      <c r="M1637" s="15" t="s">
        <v>10</v>
      </c>
      <c r="N1637" s="15" t="s">
        <v>10</v>
      </c>
      <c r="O1637" s="15" t="s">
        <v>10</v>
      </c>
      <c r="P1637" s="15" t="s">
        <v>10</v>
      </c>
      <c r="Q1637" s="8"/>
      <c r="R1637" s="9" t="s">
        <v>1630</v>
      </c>
    </row>
    <row r="1638" spans="1:18" x14ac:dyDescent="0.25">
      <c r="A1638" s="6" t="str">
        <f>HYPERLINK("proteomic_fractions_linear_files/Yang_linear_img/305682577.jpg", "305682577")</f>
        <v>305682577</v>
      </c>
      <c r="B1638" s="7"/>
      <c r="C1638" s="6" t="str">
        <f>HYPERLINK("http://www.ncbi.nlm.nih.gov/protein/305682577","D2Wsu81e")</f>
        <v>D2Wsu81e</v>
      </c>
      <c r="D1638" s="8"/>
      <c r="E1638" s="8">
        <v>42827</v>
      </c>
      <c r="F1638" s="8"/>
      <c r="G1638" s="15" t="s">
        <v>10</v>
      </c>
      <c r="H1638" s="15" t="s">
        <v>10</v>
      </c>
      <c r="I1638" s="15" t="s">
        <v>10</v>
      </c>
      <c r="J1638" s="15" t="s">
        <v>10</v>
      </c>
      <c r="K1638" s="15">
        <v>1.123022688009657</v>
      </c>
      <c r="L1638" s="15">
        <v>1.123022688009657</v>
      </c>
      <c r="M1638" s="15" t="s">
        <v>10</v>
      </c>
      <c r="N1638" s="15" t="s">
        <v>10</v>
      </c>
      <c r="O1638" s="15" t="s">
        <v>10</v>
      </c>
      <c r="P1638" s="15" t="s">
        <v>10</v>
      </c>
      <c r="Q1638" s="8"/>
      <c r="R1638" s="9" t="s">
        <v>1631</v>
      </c>
    </row>
    <row r="1639" spans="1:18" x14ac:dyDescent="0.25">
      <c r="A1639" s="6" t="str">
        <f>HYPERLINK("proteomic_fractions_linear_files/Yang_linear_img/30425010.jpg", "30425010")</f>
        <v>30425010</v>
      </c>
      <c r="B1639" s="7"/>
      <c r="C1639" s="6" t="str">
        <f>HYPERLINK("http://www.ncbi.nlm.nih.gov/protein/30425010","D330045A20Rik")</f>
        <v>D330045A20Rik</v>
      </c>
      <c r="D1639" s="8"/>
      <c r="E1639" s="8">
        <v>96716</v>
      </c>
      <c r="F1639" s="8"/>
      <c r="G1639" s="15" t="s">
        <v>10</v>
      </c>
      <c r="H1639" s="15" t="s">
        <v>10</v>
      </c>
      <c r="I1639" s="15" t="s">
        <v>10</v>
      </c>
      <c r="J1639" s="15" t="s">
        <v>10</v>
      </c>
      <c r="K1639" s="15">
        <v>1.1319748847539326</v>
      </c>
      <c r="L1639" s="15">
        <v>1.1319748847539326</v>
      </c>
      <c r="M1639" s="15" t="s">
        <v>10</v>
      </c>
      <c r="N1639" s="15" t="s">
        <v>10</v>
      </c>
      <c r="O1639" s="15" t="s">
        <v>10</v>
      </c>
      <c r="P1639" s="15" t="s">
        <v>10</v>
      </c>
      <c r="Q1639" s="8"/>
      <c r="R1639" s="9" t="s">
        <v>1632</v>
      </c>
    </row>
    <row r="1640" spans="1:18" x14ac:dyDescent="0.25">
      <c r="A1640" s="6" t="str">
        <f>HYPERLINK("proteomic_fractions_linear_files/Yang_linear_img/153281116.jpg", "153281116")</f>
        <v>153281116</v>
      </c>
      <c r="B1640" s="7"/>
      <c r="C1640" s="6" t="str">
        <f>HYPERLINK("http://www.ncbi.nlm.nih.gov/protein/153281116","D3Ertd751e")</f>
        <v>D3Ertd751e</v>
      </c>
      <c r="D1640" s="8"/>
      <c r="E1640" s="8">
        <v>22329</v>
      </c>
      <c r="F1640" s="8"/>
      <c r="G1640" s="15" t="s">
        <v>10</v>
      </c>
      <c r="H1640" s="15" t="s">
        <v>10</v>
      </c>
      <c r="I1640" s="15">
        <v>0.99071555775812503</v>
      </c>
      <c r="J1640" s="15">
        <v>0.99071555775812503</v>
      </c>
      <c r="K1640" s="15" t="s">
        <v>10</v>
      </c>
      <c r="L1640" s="15" t="s">
        <v>10</v>
      </c>
      <c r="M1640" s="15" t="s">
        <v>10</v>
      </c>
      <c r="N1640" s="15" t="s">
        <v>10</v>
      </c>
      <c r="O1640" s="15">
        <v>0.99071555775812503</v>
      </c>
      <c r="P1640" s="15">
        <v>0.99071555775812503</v>
      </c>
      <c r="Q1640" s="8"/>
      <c r="R1640" s="9" t="s">
        <v>1633</v>
      </c>
    </row>
    <row r="1641" spans="1:18" x14ac:dyDescent="0.25">
      <c r="A1641" s="6" t="str">
        <f>HYPERLINK("proteomic_fractions_linear_files/Yang_linear_img/153281135.jpg", "153281135")</f>
        <v>153281135</v>
      </c>
      <c r="B1641" s="7"/>
      <c r="C1641" s="6" t="str">
        <f>HYPERLINK("http://www.ncbi.nlm.nih.gov/protein/153281135","D3Ertd751e")</f>
        <v>D3Ertd751e</v>
      </c>
      <c r="D1641" s="8"/>
      <c r="E1641" s="8">
        <v>12625</v>
      </c>
      <c r="F1641" s="8"/>
      <c r="G1641" s="15" t="s">
        <v>10</v>
      </c>
      <c r="H1641" s="15" t="s">
        <v>10</v>
      </c>
      <c r="I1641" s="15">
        <v>1.6765955592829809</v>
      </c>
      <c r="J1641" s="15">
        <v>1.6765955592829809</v>
      </c>
      <c r="K1641" s="15" t="s">
        <v>10</v>
      </c>
      <c r="L1641" s="15" t="s">
        <v>10</v>
      </c>
      <c r="M1641" s="15" t="s">
        <v>10</v>
      </c>
      <c r="N1641" s="15" t="s">
        <v>10</v>
      </c>
      <c r="O1641" s="15">
        <v>1.6765955592829809</v>
      </c>
      <c r="P1641" s="15">
        <v>1.6765955592829809</v>
      </c>
      <c r="Q1641" s="8"/>
      <c r="R1641" s="9" t="s">
        <v>1634</v>
      </c>
    </row>
    <row r="1642" spans="1:18" x14ac:dyDescent="0.25">
      <c r="A1642" s="6" t="str">
        <f>HYPERLINK("proteomic_fractions_linear_files/Yang_linear_img/20070406.jpg", "20070406")</f>
        <v>20070406</v>
      </c>
      <c r="B1642" s="7"/>
      <c r="C1642" s="6" t="str">
        <f>HYPERLINK("http://www.ncbi.nlm.nih.gov/protein/20070406","D6Wsu163e")</f>
        <v>D6Wsu163e</v>
      </c>
      <c r="D1642" s="8"/>
      <c r="E1642" s="8">
        <v>63513</v>
      </c>
      <c r="F1642" s="8"/>
      <c r="G1642" s="15" t="s">
        <v>10</v>
      </c>
      <c r="H1642" s="15" t="s">
        <v>10</v>
      </c>
      <c r="I1642" s="15">
        <v>1.0227072395397552</v>
      </c>
      <c r="J1642" s="15">
        <v>1.0227072395397552</v>
      </c>
      <c r="K1642" s="15" t="s">
        <v>10</v>
      </c>
      <c r="L1642" s="15" t="s">
        <v>10</v>
      </c>
      <c r="M1642" s="15" t="s">
        <v>10</v>
      </c>
      <c r="N1642" s="15" t="s">
        <v>10</v>
      </c>
      <c r="O1642" s="15">
        <v>0.91833136852490393</v>
      </c>
      <c r="P1642" s="15">
        <v>0.91833136852490393</v>
      </c>
      <c r="Q1642" s="8"/>
      <c r="R1642" s="9" t="s">
        <v>1635</v>
      </c>
    </row>
    <row r="1643" spans="1:18" x14ac:dyDescent="0.25">
      <c r="A1643" s="6" t="str">
        <f>HYPERLINK("proteomic_fractions_linear_files/Yang_linear_img/56090602.jpg", "56090602")</f>
        <v>56090602</v>
      </c>
      <c r="B1643" s="7"/>
      <c r="C1643" s="6" t="str">
        <f>HYPERLINK("http://www.ncbi.nlm.nih.gov/protein/56090602","D8Ertd738e")</f>
        <v>D8Ertd738e</v>
      </c>
      <c r="D1643" s="8"/>
      <c r="E1643" s="8">
        <v>10066</v>
      </c>
      <c r="F1643" s="8"/>
      <c r="G1643" s="15" t="s">
        <v>10</v>
      </c>
      <c r="H1643" s="15" t="s">
        <v>10</v>
      </c>
      <c r="I1643" s="15" t="s">
        <v>10</v>
      </c>
      <c r="J1643" s="15" t="s">
        <v>10</v>
      </c>
      <c r="K1643" s="15">
        <v>1.5196338293814287</v>
      </c>
      <c r="L1643" s="15">
        <v>1.5196338293814287</v>
      </c>
      <c r="M1643" s="15">
        <v>1.5196338293814287</v>
      </c>
      <c r="N1643" s="15">
        <v>1.5196338293814287</v>
      </c>
      <c r="O1643" s="15" t="s">
        <v>10</v>
      </c>
      <c r="P1643" s="15" t="s">
        <v>10</v>
      </c>
      <c r="Q1643" s="8"/>
      <c r="R1643" s="9" t="s">
        <v>1636</v>
      </c>
    </row>
    <row r="1644" spans="1:18" x14ac:dyDescent="0.25">
      <c r="A1644" s="6" t="str">
        <f>HYPERLINK("proteomic_fractions_linear_files/Yang_linear_img/161333828.jpg", "161333828")</f>
        <v>161333828</v>
      </c>
      <c r="B1644" s="7"/>
      <c r="C1644" s="6" t="str">
        <f>HYPERLINK("http://www.ncbi.nlm.nih.gov/protein/161333828","D8Ertd82e")</f>
        <v>D8Ertd82e</v>
      </c>
      <c r="D1644" s="8"/>
      <c r="E1644" s="8">
        <v>147814</v>
      </c>
      <c r="F1644" s="8"/>
      <c r="G1644" s="15">
        <v>0.27369809596772127</v>
      </c>
      <c r="H1644" s="15">
        <v>0.27369809596772127</v>
      </c>
      <c r="I1644" s="15" t="s">
        <v>10</v>
      </c>
      <c r="J1644" s="15" t="s">
        <v>10</v>
      </c>
      <c r="K1644" s="15" t="s">
        <v>10</v>
      </c>
      <c r="L1644" s="15" t="s">
        <v>10</v>
      </c>
      <c r="M1644" s="15" t="s">
        <v>10</v>
      </c>
      <c r="N1644" s="15" t="s">
        <v>10</v>
      </c>
      <c r="O1644" s="15" t="s">
        <v>10</v>
      </c>
      <c r="P1644" s="15" t="s">
        <v>10</v>
      </c>
      <c r="Q1644" s="8"/>
      <c r="R1644" s="9" t="s">
        <v>1637</v>
      </c>
    </row>
    <row r="1645" spans="1:18" x14ac:dyDescent="0.25">
      <c r="A1645" s="6" t="str">
        <f>HYPERLINK("proteomic_fractions_linear_files/Yang_linear_img/78191777.jpg", "78191777")</f>
        <v>78191777</v>
      </c>
      <c r="B1645" s="7"/>
      <c r="C1645" s="6" t="str">
        <f>HYPERLINK("http://www.ncbi.nlm.nih.gov/protein/78191777","Daam1")</f>
        <v>Daam1</v>
      </c>
      <c r="D1645" s="8"/>
      <c r="E1645" s="8">
        <v>123240</v>
      </c>
      <c r="F1645" s="8"/>
      <c r="G1645" s="15" t="s">
        <v>10</v>
      </c>
      <c r="H1645" s="15" t="s">
        <v>10</v>
      </c>
      <c r="I1645" s="15" t="s">
        <v>10</v>
      </c>
      <c r="J1645" s="15" t="s">
        <v>10</v>
      </c>
      <c r="K1645" s="15">
        <v>1.2475843181808279</v>
      </c>
      <c r="L1645" s="15">
        <v>1.2475843181808279</v>
      </c>
      <c r="M1645" s="15" t="s">
        <v>10</v>
      </c>
      <c r="N1645" s="15" t="s">
        <v>10</v>
      </c>
      <c r="O1645" s="15" t="s">
        <v>10</v>
      </c>
      <c r="P1645" s="15" t="s">
        <v>10</v>
      </c>
      <c r="Q1645" s="8"/>
      <c r="R1645" s="9" t="s">
        <v>1638</v>
      </c>
    </row>
    <row r="1646" spans="1:18" x14ac:dyDescent="0.25">
      <c r="A1646" s="6" t="str">
        <f>HYPERLINK("proteomic_fractions_linear_files/Yang_linear_img/6753598.jpg", "6753598")</f>
        <v>6753598</v>
      </c>
      <c r="B1646" s="7"/>
      <c r="C1646" s="6" t="str">
        <f>HYPERLINK("http://www.ncbi.nlm.nih.gov/protein/6753598","Dad1")</f>
        <v>Dad1</v>
      </c>
      <c r="D1646" s="8"/>
      <c r="E1646" s="8">
        <v>12366</v>
      </c>
      <c r="F1646" s="8"/>
      <c r="G1646" s="15">
        <v>1.4641616471132473</v>
      </c>
      <c r="H1646" s="15">
        <v>1.4641616471132473</v>
      </c>
      <c r="I1646" s="15">
        <v>1.0622682784948021</v>
      </c>
      <c r="J1646" s="15">
        <v>1.0622682784948021</v>
      </c>
      <c r="K1646" s="15">
        <v>1.1080886685834612</v>
      </c>
      <c r="L1646" s="15">
        <v>1.1080886685834612</v>
      </c>
      <c r="M1646" s="15">
        <v>1.1080886685834612</v>
      </c>
      <c r="N1646" s="15">
        <v>1.1080886685834612</v>
      </c>
      <c r="O1646" s="15" t="s">
        <v>10</v>
      </c>
      <c r="P1646" s="15" t="s">
        <v>10</v>
      </c>
      <c r="Q1646" s="8"/>
      <c r="R1646" s="9" t="s">
        <v>1639</v>
      </c>
    </row>
    <row r="1647" spans="1:18" x14ac:dyDescent="0.25">
      <c r="A1647" s="6" t="str">
        <f>HYPERLINK("proteomic_fractions_linear_files/Yang_linear_img/451898099;33859532.jpg", "451898099;33859532")</f>
        <v>451898099;33859532</v>
      </c>
      <c r="B1647" s="8"/>
      <c r="C1647" s="6" t="str">
        <f>HYPERLINK("http://www.ncbi.nlm.nih.gov/protein/451898099;33859532","Dag1")</f>
        <v>Dag1</v>
      </c>
      <c r="D1647" s="8"/>
      <c r="E1647" s="8">
        <v>93900</v>
      </c>
      <c r="F1647" s="8"/>
      <c r="G1647" s="15">
        <v>0.36758911202633177</v>
      </c>
      <c r="H1647" s="15">
        <v>0.36758911202633177</v>
      </c>
      <c r="I1647" s="15" t="s">
        <v>10</v>
      </c>
      <c r="J1647" s="15" t="s">
        <v>10</v>
      </c>
      <c r="K1647" s="15">
        <v>0.26122149588592464</v>
      </c>
      <c r="L1647" s="15">
        <v>0.26122149588592464</v>
      </c>
      <c r="M1647" s="15" t="s">
        <v>10</v>
      </c>
      <c r="N1647" s="15" t="s">
        <v>10</v>
      </c>
      <c r="O1647" s="15" t="s">
        <v>10</v>
      </c>
      <c r="P1647" s="15" t="s">
        <v>10</v>
      </c>
      <c r="Q1647" s="8"/>
      <c r="R1647" s="9" t="s">
        <v>1640</v>
      </c>
    </row>
    <row r="1648" spans="1:18" x14ac:dyDescent="0.25">
      <c r="A1648" s="6" t="str">
        <f>HYPERLINK("proteomic_fractions_linear_files/Yang_linear_img/33859532.jpg", "33859532")</f>
        <v>33859532</v>
      </c>
      <c r="B1648" s="7"/>
      <c r="C1648" s="6" t="str">
        <f>HYPERLINK("http://www.ncbi.nlm.nih.gov/protein/33859532","Dag1")</f>
        <v>Dag1</v>
      </c>
      <c r="D1648" s="8"/>
      <c r="E1648" s="8">
        <v>93900</v>
      </c>
      <c r="F1648" s="8"/>
      <c r="G1648" s="15" t="s">
        <v>10</v>
      </c>
      <c r="H1648" s="15" t="s">
        <v>10</v>
      </c>
      <c r="I1648" s="15">
        <v>0.26122149588592464</v>
      </c>
      <c r="J1648" s="15">
        <v>0.24584652526295156</v>
      </c>
      <c r="K1648" s="15" t="s">
        <v>10</v>
      </c>
      <c r="L1648" s="15" t="s">
        <v>10</v>
      </c>
      <c r="M1648" s="15">
        <v>0.26122149588592464</v>
      </c>
      <c r="N1648" s="15">
        <v>0.26122149588592464</v>
      </c>
      <c r="O1648" s="15">
        <v>2.4825622088069048</v>
      </c>
      <c r="P1648" s="15">
        <v>2.4825622088069048</v>
      </c>
      <c r="Q1648" s="8"/>
      <c r="R1648" s="9" t="s">
        <v>1640</v>
      </c>
    </row>
    <row r="1649" spans="1:18" x14ac:dyDescent="0.25">
      <c r="A1649" s="6" t="str">
        <f>HYPERLINK("proteomic_fractions_linear_files/Yang_linear_img/21703976.jpg", "21703976")</f>
        <v>21703976</v>
      </c>
      <c r="B1649" s="7"/>
      <c r="C1649" s="6" t="str">
        <f>HYPERLINK("http://www.ncbi.nlm.nih.gov/protein/21703976","Dak")</f>
        <v>Dak</v>
      </c>
      <c r="D1649" s="8"/>
      <c r="E1649" s="8">
        <v>59560</v>
      </c>
      <c r="F1649" s="8"/>
      <c r="G1649" s="15" t="s">
        <v>10</v>
      </c>
      <c r="H1649" s="15" t="s">
        <v>10</v>
      </c>
      <c r="I1649" s="15">
        <v>1.0908877221757389</v>
      </c>
      <c r="J1649" s="15">
        <v>1.0908877221757389</v>
      </c>
      <c r="K1649" s="15">
        <v>1.0908877221757389</v>
      </c>
      <c r="L1649" s="15">
        <v>1.0908877221757389</v>
      </c>
      <c r="M1649" s="15">
        <v>1.0908877221757389</v>
      </c>
      <c r="N1649" s="15">
        <v>1.0908877221757389</v>
      </c>
      <c r="O1649" s="15">
        <v>1.0908877221757389</v>
      </c>
      <c r="P1649" s="15">
        <v>1.0908877221757389</v>
      </c>
      <c r="Q1649" s="8"/>
      <c r="R1649" s="9" t="s">
        <v>1641</v>
      </c>
    </row>
    <row r="1650" spans="1:18" x14ac:dyDescent="0.25">
      <c r="A1650" s="6" t="str">
        <f>HYPERLINK("proteomic_fractions_linear_files/Yang_linear_img/110815857.jpg", "110815857")</f>
        <v>110815857</v>
      </c>
      <c r="B1650" s="7"/>
      <c r="C1650" s="6" t="str">
        <f>HYPERLINK("http://www.ncbi.nlm.nih.gov/protein/110815857","Dao")</f>
        <v>Dao</v>
      </c>
      <c r="D1650" s="8"/>
      <c r="E1650" s="8">
        <v>38521</v>
      </c>
      <c r="F1650" s="8"/>
      <c r="G1650" s="15" t="s">
        <v>10</v>
      </c>
      <c r="H1650" s="15" t="s">
        <v>10</v>
      </c>
      <c r="I1650" s="15">
        <v>0.8859840136019278</v>
      </c>
      <c r="J1650" s="15">
        <v>0.8859840136019278</v>
      </c>
      <c r="K1650" s="15" t="s">
        <v>10</v>
      </c>
      <c r="L1650" s="15" t="s">
        <v>10</v>
      </c>
      <c r="M1650" s="15" t="s">
        <v>10</v>
      </c>
      <c r="N1650" s="15" t="s">
        <v>10</v>
      </c>
      <c r="O1650" s="15" t="s">
        <v>10</v>
      </c>
      <c r="P1650" s="15" t="s">
        <v>10</v>
      </c>
      <c r="Q1650" s="8"/>
      <c r="R1650" s="9" t="s">
        <v>1642</v>
      </c>
    </row>
    <row r="1651" spans="1:18" x14ac:dyDescent="0.25">
      <c r="A1651" s="6" t="str">
        <f>HYPERLINK("proteomic_fractions_linear_files/Yang_linear_img/256985203.jpg", "256985203")</f>
        <v>256985203</v>
      </c>
      <c r="B1651" s="7"/>
      <c r="C1651" s="6" t="str">
        <f>HYPERLINK("http://www.ncbi.nlm.nih.gov/protein/256985203","Dap3")</f>
        <v>Dap3</v>
      </c>
      <c r="D1651" s="8"/>
      <c r="E1651" s="8">
        <v>45156</v>
      </c>
      <c r="F1651" s="8"/>
      <c r="G1651" s="15">
        <v>0.76785281178833742</v>
      </c>
      <c r="H1651" s="15">
        <v>0.76785281178833742</v>
      </c>
      <c r="I1651" s="15">
        <v>0.8298072538472131</v>
      </c>
      <c r="J1651" s="15">
        <v>0.8298072538472131</v>
      </c>
      <c r="K1651" s="15" t="s">
        <v>10</v>
      </c>
      <c r="L1651" s="15" t="s">
        <v>10</v>
      </c>
      <c r="M1651" s="15">
        <v>0.8298072538472131</v>
      </c>
      <c r="N1651" s="15">
        <v>0.8298072538472131</v>
      </c>
      <c r="O1651" s="15" t="s">
        <v>10</v>
      </c>
      <c r="P1651" s="15" t="s">
        <v>10</v>
      </c>
      <c r="Q1651" s="8"/>
      <c r="R1651" s="9" t="s">
        <v>1643</v>
      </c>
    </row>
    <row r="1652" spans="1:18" x14ac:dyDescent="0.25">
      <c r="A1652" s="6" t="str">
        <f>HYPERLINK("proteomic_fractions_linear_files/Yang_linear_img/256985205.jpg", "256985205")</f>
        <v>256985205</v>
      </c>
      <c r="B1652" s="7"/>
      <c r="C1652" s="6" t="str">
        <f>HYPERLINK("http://www.ncbi.nlm.nih.gov/protein/256985205","Dap3")</f>
        <v>Dap3</v>
      </c>
      <c r="D1652" s="8"/>
      <c r="E1652" s="8">
        <v>41992</v>
      </c>
      <c r="F1652" s="8"/>
      <c r="G1652" s="15">
        <v>0.82269944120179006</v>
      </c>
      <c r="H1652" s="15">
        <v>0.82269944120179006</v>
      </c>
      <c r="I1652" s="15">
        <v>0.88907920055058554</v>
      </c>
      <c r="J1652" s="15">
        <v>0.88907920055058554</v>
      </c>
      <c r="K1652" s="15" t="s">
        <v>10</v>
      </c>
      <c r="L1652" s="15" t="s">
        <v>10</v>
      </c>
      <c r="M1652" s="15">
        <v>0.88907920055058554</v>
      </c>
      <c r="N1652" s="15">
        <v>0.88907920055058554</v>
      </c>
      <c r="O1652" s="15" t="s">
        <v>10</v>
      </c>
      <c r="P1652" s="15" t="s">
        <v>10</v>
      </c>
      <c r="Q1652" s="8"/>
      <c r="R1652" s="9" t="s">
        <v>1644</v>
      </c>
    </row>
    <row r="1653" spans="1:18" x14ac:dyDescent="0.25">
      <c r="A1653" s="6" t="str">
        <f>HYPERLINK("proteomic_fractions_linear_files/Yang_linear_img/410812207.jpg", "410812207")</f>
        <v>410812207</v>
      </c>
      <c r="B1653" s="7"/>
      <c r="C1653" s="6" t="str">
        <f>HYPERLINK("http://www.ncbi.nlm.nih.gov/protein/410812207","Dapk3")</f>
        <v>Dapk3</v>
      </c>
      <c r="D1653" s="8"/>
      <c r="E1653" s="8">
        <v>53104</v>
      </c>
      <c r="F1653" s="8"/>
      <c r="G1653" s="15" t="s">
        <v>10</v>
      </c>
      <c r="H1653" s="15" t="s">
        <v>10</v>
      </c>
      <c r="I1653" s="15" t="s">
        <v>10</v>
      </c>
      <c r="J1653" s="15" t="s">
        <v>10</v>
      </c>
      <c r="K1653" s="15">
        <v>1.0022748986792656</v>
      </c>
      <c r="L1653" s="15">
        <v>1.0022748986792656</v>
      </c>
      <c r="M1653" s="15">
        <v>0.91113161480028781</v>
      </c>
      <c r="N1653" s="15">
        <v>0.91113161480028781</v>
      </c>
      <c r="O1653" s="15" t="s">
        <v>10</v>
      </c>
      <c r="P1653" s="15" t="s">
        <v>10</v>
      </c>
      <c r="Q1653" s="8"/>
      <c r="R1653" s="9" t="s">
        <v>1645</v>
      </c>
    </row>
    <row r="1654" spans="1:18" x14ac:dyDescent="0.25">
      <c r="A1654" s="6" t="str">
        <f>HYPERLINK("proteomic_fractions_linear_files/Yang_linear_img/6681133.jpg", "6681133")</f>
        <v>6681133</v>
      </c>
      <c r="B1654" s="7"/>
      <c r="C1654" s="6" t="str">
        <f>HYPERLINK("http://www.ncbi.nlm.nih.gov/protein/6681133","Dapk3")</f>
        <v>Dapk3</v>
      </c>
      <c r="D1654" s="8"/>
      <c r="E1654" s="8">
        <v>51291</v>
      </c>
      <c r="F1654" s="8"/>
      <c r="G1654" s="15" t="s">
        <v>10</v>
      </c>
      <c r="H1654" s="15" t="s">
        <v>10</v>
      </c>
      <c r="I1654" s="15" t="s">
        <v>10</v>
      </c>
      <c r="J1654" s="15" t="s">
        <v>10</v>
      </c>
      <c r="K1654" s="15">
        <v>1.0415797966666878</v>
      </c>
      <c r="L1654" s="15">
        <v>1.0415797966666878</v>
      </c>
      <c r="M1654" s="15">
        <v>0.94686226636108339</v>
      </c>
      <c r="N1654" s="15">
        <v>0.94686226636108339</v>
      </c>
      <c r="O1654" s="15" t="s">
        <v>10</v>
      </c>
      <c r="P1654" s="15" t="s">
        <v>10</v>
      </c>
      <c r="Q1654" s="8"/>
      <c r="R1654" s="9" t="s">
        <v>1646</v>
      </c>
    </row>
    <row r="1655" spans="1:18" x14ac:dyDescent="0.25">
      <c r="A1655" s="6" t="str">
        <f>HYPERLINK("proteomic_fractions_linear_files/Yang_linear_img/210147402.jpg", "210147402")</f>
        <v>210147402</v>
      </c>
      <c r="B1655" s="7"/>
      <c r="C1655" s="6" t="str">
        <f>HYPERLINK("http://www.ncbi.nlm.nih.gov/protein/210147402","Dars")</f>
        <v>Dars</v>
      </c>
      <c r="D1655" s="8"/>
      <c r="E1655" s="8">
        <v>10087</v>
      </c>
      <c r="F1655" s="8"/>
      <c r="G1655" s="15" t="s">
        <v>10</v>
      </c>
      <c r="H1655" s="15" t="s">
        <v>10</v>
      </c>
      <c r="I1655" s="15">
        <v>5.3120569630001082</v>
      </c>
      <c r="J1655" s="15">
        <v>5.3120569630001082</v>
      </c>
      <c r="K1655" s="15">
        <v>5.8773207585593852</v>
      </c>
      <c r="L1655" s="15">
        <v>5.8773207585593852</v>
      </c>
      <c r="M1655" s="15">
        <v>5.3120569630001082</v>
      </c>
      <c r="N1655" s="15">
        <v>5.3120569630001082</v>
      </c>
      <c r="O1655" s="15">
        <v>5.3120569630001082</v>
      </c>
      <c r="P1655" s="15">
        <v>5.3120569630001082</v>
      </c>
      <c r="Q1655" s="8"/>
      <c r="R1655" s="9" t="s">
        <v>1647</v>
      </c>
    </row>
    <row r="1656" spans="1:18" x14ac:dyDescent="0.25">
      <c r="A1656" s="6" t="str">
        <f>HYPERLINK("proteomic_fractions_linear_files/Yang_linear_img/211065507.jpg", "211065507")</f>
        <v>211065507</v>
      </c>
      <c r="B1656" s="7"/>
      <c r="C1656" s="6" t="str">
        <f>HYPERLINK("http://www.ncbi.nlm.nih.gov/protein/211065507","Dars")</f>
        <v>Dars</v>
      </c>
      <c r="D1656" s="8"/>
      <c r="E1656" s="8">
        <v>57016</v>
      </c>
      <c r="F1656" s="8"/>
      <c r="G1656" s="15">
        <v>1.2883536884505657</v>
      </c>
      <c r="H1656" s="15">
        <v>1.2883536884505657</v>
      </c>
      <c r="I1656" s="15">
        <v>0.93193981807019433</v>
      </c>
      <c r="J1656" s="15">
        <v>0.93193981807019433</v>
      </c>
      <c r="K1656" s="15">
        <v>1.0311089050104185</v>
      </c>
      <c r="L1656" s="15">
        <v>1.0311089050104185</v>
      </c>
      <c r="M1656" s="15">
        <v>0.93193981807019433</v>
      </c>
      <c r="N1656" s="15">
        <v>0.93193981807019433</v>
      </c>
      <c r="O1656" s="15">
        <v>0.93193981807019433</v>
      </c>
      <c r="P1656" s="15">
        <v>0.93193981807019433</v>
      </c>
      <c r="Q1656" s="8"/>
      <c r="R1656" s="9" t="s">
        <v>1648</v>
      </c>
    </row>
    <row r="1657" spans="1:18" x14ac:dyDescent="0.25">
      <c r="A1657" s="6" t="str">
        <f>HYPERLINK("proteomic_fractions_linear_files/Yang_linear_img/27369928.jpg", "27369928")</f>
        <v>27369928</v>
      </c>
      <c r="B1657" s="7"/>
      <c r="C1657" s="6" t="str">
        <f>HYPERLINK("http://www.ncbi.nlm.nih.gov/protein/27369928","Dars2")</f>
        <v>Dars2</v>
      </c>
      <c r="D1657" s="8"/>
      <c r="E1657" s="8">
        <v>68803</v>
      </c>
      <c r="F1657" s="8"/>
      <c r="G1657" s="15" t="s">
        <v>10</v>
      </c>
      <c r="H1657" s="15" t="s">
        <v>10</v>
      </c>
      <c r="I1657" s="15">
        <v>1.0642921774156846</v>
      </c>
      <c r="J1657" s="15">
        <v>1.0642921774156846</v>
      </c>
      <c r="K1657" s="15" t="s">
        <v>10</v>
      </c>
      <c r="L1657" s="15" t="s">
        <v>10</v>
      </c>
      <c r="M1657" s="15" t="s">
        <v>10</v>
      </c>
      <c r="N1657" s="15" t="s">
        <v>10</v>
      </c>
      <c r="O1657" s="15" t="s">
        <v>10</v>
      </c>
      <c r="P1657" s="15" t="s">
        <v>10</v>
      </c>
      <c r="Q1657" s="8"/>
      <c r="R1657" s="9" t="s">
        <v>1649</v>
      </c>
    </row>
    <row r="1658" spans="1:18" x14ac:dyDescent="0.25">
      <c r="A1658" s="6" t="str">
        <f>HYPERLINK("proteomic_fractions_linear_files/Yang_linear_img/169790818.jpg", "169790818")</f>
        <v>169790818</v>
      </c>
      <c r="B1658" s="7"/>
      <c r="C1658" s="6" t="str">
        <f>HYPERLINK("http://www.ncbi.nlm.nih.gov/protein/169790818","Dazap1")</f>
        <v>Dazap1</v>
      </c>
      <c r="D1658" s="8"/>
      <c r="E1658" s="8">
        <v>42955</v>
      </c>
      <c r="F1658" s="8"/>
      <c r="G1658" s="15">
        <v>1.3668187810603221</v>
      </c>
      <c r="H1658" s="15">
        <v>1.3668187810603221</v>
      </c>
      <c r="I1658" s="15">
        <v>1.0261764941154761</v>
      </c>
      <c r="J1658" s="15">
        <v>1.0261764941154761</v>
      </c>
      <c r="K1658" s="15">
        <v>1.0261764941154761</v>
      </c>
      <c r="L1658" s="15">
        <v>1.0261764941154761</v>
      </c>
      <c r="M1658" s="15" t="s">
        <v>10</v>
      </c>
      <c r="N1658" s="15" t="s">
        <v>10</v>
      </c>
      <c r="O1658" s="15">
        <v>0.942030655888901</v>
      </c>
      <c r="P1658" s="15">
        <v>0.942030655888901</v>
      </c>
      <c r="Q1658" s="8"/>
      <c r="R1658" s="9" t="s">
        <v>1650</v>
      </c>
    </row>
    <row r="1659" spans="1:18" x14ac:dyDescent="0.25">
      <c r="A1659" s="6" t="str">
        <f>HYPERLINK("proteomic_fractions_linear_files/Yang_linear_img/169790820.jpg", "169790820")</f>
        <v>169790820</v>
      </c>
      <c r="B1659" s="7"/>
      <c r="C1659" s="6" t="str">
        <f>HYPERLINK("http://www.ncbi.nlm.nih.gov/protein/169790820","Dazap1")</f>
        <v>Dazap1</v>
      </c>
      <c r="D1659" s="8"/>
      <c r="E1659" s="8">
        <v>43083</v>
      </c>
      <c r="F1659" s="8"/>
      <c r="G1659" s="15">
        <v>1.3668187810603221</v>
      </c>
      <c r="H1659" s="15">
        <v>1.3668187810603221</v>
      </c>
      <c r="I1659" s="15">
        <v>1.0261764941154761</v>
      </c>
      <c r="J1659" s="15">
        <v>1.0261764941154761</v>
      </c>
      <c r="K1659" s="15">
        <v>1.0261764941154761</v>
      </c>
      <c r="L1659" s="15">
        <v>1.0261764941154761</v>
      </c>
      <c r="M1659" s="15" t="s">
        <v>10</v>
      </c>
      <c r="N1659" s="15" t="s">
        <v>10</v>
      </c>
      <c r="O1659" s="15">
        <v>0.942030655888901</v>
      </c>
      <c r="P1659" s="15">
        <v>0.942030655888901</v>
      </c>
      <c r="Q1659" s="8"/>
      <c r="R1659" s="9" t="s">
        <v>1651</v>
      </c>
    </row>
    <row r="1660" spans="1:18" x14ac:dyDescent="0.25">
      <c r="A1660" s="6" t="str">
        <f>HYPERLINK("proteomic_fractions_linear_files/Yang_linear_img/169790823.jpg", "169790823")</f>
        <v>169790823</v>
      </c>
      <c r="B1660" s="7"/>
      <c r="C1660" s="6" t="str">
        <f>HYPERLINK("http://www.ncbi.nlm.nih.gov/protein/169790823","Dazap1")</f>
        <v>Dazap1</v>
      </c>
      <c r="D1660" s="8"/>
      <c r="E1660" s="8">
        <v>43026</v>
      </c>
      <c r="F1660" s="8"/>
      <c r="G1660" s="15">
        <v>1.3668187810603221</v>
      </c>
      <c r="H1660" s="15">
        <v>1.3668187810603221</v>
      </c>
      <c r="I1660" s="15">
        <v>1.0261764941154761</v>
      </c>
      <c r="J1660" s="15">
        <v>1.0261764941154761</v>
      </c>
      <c r="K1660" s="15">
        <v>1.0261764941154761</v>
      </c>
      <c r="L1660" s="15">
        <v>1.0261764941154761</v>
      </c>
      <c r="M1660" s="15" t="s">
        <v>10</v>
      </c>
      <c r="N1660" s="15" t="s">
        <v>10</v>
      </c>
      <c r="O1660" s="15">
        <v>0.942030655888901</v>
      </c>
      <c r="P1660" s="15">
        <v>0.942030655888901</v>
      </c>
      <c r="Q1660" s="8"/>
      <c r="R1660" s="9" t="s">
        <v>1652</v>
      </c>
    </row>
    <row r="1661" spans="1:18" x14ac:dyDescent="0.25">
      <c r="A1661" s="6" t="str">
        <f>HYPERLINK("proteomic_fractions_linear_files/Yang_linear_img/110815861.jpg", "110815861")</f>
        <v>110815861</v>
      </c>
      <c r="B1661" s="7"/>
      <c r="C1661" s="6" t="str">
        <f>HYPERLINK("http://www.ncbi.nlm.nih.gov/protein/110815861","Dbh")</f>
        <v>Dbh</v>
      </c>
      <c r="D1661" s="8"/>
      <c r="E1661" s="8">
        <v>70183</v>
      </c>
      <c r="F1661" s="8"/>
      <c r="G1661" s="15" t="s">
        <v>10</v>
      </c>
      <c r="H1661" s="15" t="s">
        <v>10</v>
      </c>
      <c r="I1661" s="15">
        <v>0.23880677886581461</v>
      </c>
      <c r="J1661" s="15">
        <v>0.23880677886581461</v>
      </c>
      <c r="K1661" s="15">
        <v>0.25099913950512809</v>
      </c>
      <c r="L1661" s="15">
        <v>0.25099913950512809</v>
      </c>
      <c r="M1661" s="15" t="s">
        <v>10</v>
      </c>
      <c r="N1661" s="15" t="s">
        <v>10</v>
      </c>
      <c r="O1661" s="15" t="s">
        <v>10</v>
      </c>
      <c r="P1661" s="15" t="s">
        <v>10</v>
      </c>
      <c r="Q1661" s="8"/>
      <c r="R1661" s="9" t="s">
        <v>1653</v>
      </c>
    </row>
    <row r="1662" spans="1:18" x14ac:dyDescent="0.25">
      <c r="A1662" s="6" t="str">
        <f>HYPERLINK("proteomic_fractions_linear_files/Yang_linear_img/6681137.jpg", "6681137")</f>
        <v>6681137</v>
      </c>
      <c r="B1662" s="7"/>
      <c r="C1662" s="6" t="str">
        <f>HYPERLINK("http://www.ncbi.nlm.nih.gov/protein/6681137","Dbi")</f>
        <v>Dbi</v>
      </c>
      <c r="D1662" s="8"/>
      <c r="E1662" s="8">
        <v>9869</v>
      </c>
      <c r="F1662" s="8"/>
      <c r="G1662" s="15" t="s">
        <v>10</v>
      </c>
      <c r="H1662" s="15" t="s">
        <v>10</v>
      </c>
      <c r="I1662" s="15">
        <v>1.2747219341937626</v>
      </c>
      <c r="J1662" s="15">
        <v>1.2747219341937626</v>
      </c>
      <c r="K1662" s="15">
        <v>1.2747219341937626</v>
      </c>
      <c r="L1662" s="15">
        <v>1.2747219341937626</v>
      </c>
      <c r="M1662" s="15" t="s">
        <v>10</v>
      </c>
      <c r="N1662" s="15" t="s">
        <v>10</v>
      </c>
      <c r="O1662" s="15">
        <v>1.2747219341937626</v>
      </c>
      <c r="P1662" s="15">
        <v>1.2232861292331356</v>
      </c>
      <c r="Q1662" s="8"/>
      <c r="R1662" s="9" t="s">
        <v>1654</v>
      </c>
    </row>
    <row r="1663" spans="1:18" x14ac:dyDescent="0.25">
      <c r="A1663" s="6" t="str">
        <f>HYPERLINK("proteomic_fractions_linear_files/Yang_linear_img/83921595.jpg", "83921595")</f>
        <v>83921595</v>
      </c>
      <c r="B1663" s="7"/>
      <c r="C1663" s="6" t="str">
        <f>HYPERLINK("http://www.ncbi.nlm.nih.gov/protein/83921595","Dbi")</f>
        <v>Dbi</v>
      </c>
      <c r="D1663" s="8"/>
      <c r="E1663" s="8">
        <v>15097</v>
      </c>
      <c r="F1663" s="8"/>
      <c r="G1663" s="15" t="s">
        <v>10</v>
      </c>
      <c r="H1663" s="15" t="s">
        <v>10</v>
      </c>
      <c r="I1663" s="15">
        <v>0.84981462279584175</v>
      </c>
      <c r="J1663" s="15">
        <v>0.84981462279584175</v>
      </c>
      <c r="K1663" s="15">
        <v>0.84981462279584175</v>
      </c>
      <c r="L1663" s="15">
        <v>0.84981462279584175</v>
      </c>
      <c r="M1663" s="15" t="s">
        <v>10</v>
      </c>
      <c r="N1663" s="15" t="s">
        <v>10</v>
      </c>
      <c r="O1663" s="15">
        <v>0.84981462279584175</v>
      </c>
      <c r="P1663" s="15">
        <v>0.81552408615542382</v>
      </c>
      <c r="Q1663" s="8"/>
      <c r="R1663" s="9" t="s">
        <v>1655</v>
      </c>
    </row>
    <row r="1664" spans="1:18" x14ac:dyDescent="0.25">
      <c r="A1664" s="6" t="str">
        <f>HYPERLINK("proteomic_fractions_linear_files/Yang_linear_img/30794440.jpg", "30794440")</f>
        <v>30794440</v>
      </c>
      <c r="B1664" s="7"/>
      <c r="C1664" s="6" t="str">
        <f>HYPERLINK("http://www.ncbi.nlm.nih.gov/protein/30794440","Dbndd2")</f>
        <v>Dbndd2</v>
      </c>
      <c r="D1664" s="8"/>
      <c r="E1664" s="8">
        <v>17062</v>
      </c>
      <c r="F1664" s="8"/>
      <c r="G1664" s="15" t="s">
        <v>10</v>
      </c>
      <c r="H1664" s="15" t="s">
        <v>10</v>
      </c>
      <c r="I1664" s="15" t="s">
        <v>10</v>
      </c>
      <c r="J1664" s="15" t="s">
        <v>10</v>
      </c>
      <c r="K1664" s="15" t="s">
        <v>10</v>
      </c>
      <c r="L1664" s="15" t="s">
        <v>10</v>
      </c>
      <c r="M1664" s="15" t="s">
        <v>10</v>
      </c>
      <c r="N1664" s="15" t="s">
        <v>10</v>
      </c>
      <c r="O1664" s="15">
        <v>1.3593866691010261</v>
      </c>
      <c r="P1664" s="15">
        <v>1.3593866691010261</v>
      </c>
      <c r="Q1664" s="8"/>
      <c r="R1664" s="9" t="s">
        <v>1656</v>
      </c>
    </row>
    <row r="1665" spans="1:18" x14ac:dyDescent="0.25">
      <c r="A1665" s="6" t="str">
        <f>HYPERLINK("proteomic_fractions_linear_files/Yang_linear_img/226423871.jpg", "226423871")</f>
        <v>226423871</v>
      </c>
      <c r="B1665" s="7"/>
      <c r="C1665" s="6" t="str">
        <f>HYPERLINK("http://www.ncbi.nlm.nih.gov/protein/226423871","Dbnl")</f>
        <v>Dbnl</v>
      </c>
      <c r="D1665" s="8"/>
      <c r="E1665" s="8">
        <v>48569</v>
      </c>
      <c r="F1665" s="8"/>
      <c r="G1665" s="15">
        <v>1.0840932577551241</v>
      </c>
      <c r="H1665" s="15">
        <v>1.0840932577551241</v>
      </c>
      <c r="I1665" s="15">
        <v>1.1994532160325275</v>
      </c>
      <c r="J1665" s="15">
        <v>1.1994532160325275</v>
      </c>
      <c r="K1665" s="15">
        <v>1.1994532160325275</v>
      </c>
      <c r="L1665" s="15">
        <v>1.1994532160325275</v>
      </c>
      <c r="M1665" s="15" t="s">
        <v>10</v>
      </c>
      <c r="N1665" s="15" t="s">
        <v>10</v>
      </c>
      <c r="O1665" s="15">
        <v>1.0840932577551241</v>
      </c>
      <c r="P1665" s="15">
        <v>1.0840932577551241</v>
      </c>
      <c r="Q1665" s="8"/>
      <c r="R1665" s="9" t="s">
        <v>1657</v>
      </c>
    </row>
    <row r="1666" spans="1:18" x14ac:dyDescent="0.25">
      <c r="A1666" s="6" t="str">
        <f>HYPERLINK("proteomic_fractions_linear_files/Yang_linear_img/226423873.jpg", "226423873")</f>
        <v>226423873</v>
      </c>
      <c r="B1666" s="7"/>
      <c r="C1666" s="6" t="str">
        <f>HYPERLINK("http://www.ncbi.nlm.nih.gov/protein/226423873","Dbnl")</f>
        <v>Dbnl</v>
      </c>
      <c r="D1666" s="8"/>
      <c r="E1666" s="8">
        <v>48210</v>
      </c>
      <c r="F1666" s="8"/>
      <c r="G1666" s="15">
        <v>1.1066785339583558</v>
      </c>
      <c r="H1666" s="15">
        <v>1.1066785339583558</v>
      </c>
      <c r="I1666" s="15">
        <v>1.2244418246998718</v>
      </c>
      <c r="J1666" s="15">
        <v>1.2244418246998718</v>
      </c>
      <c r="K1666" s="15">
        <v>1.2244418246998718</v>
      </c>
      <c r="L1666" s="15">
        <v>1.2244418246998718</v>
      </c>
      <c r="M1666" s="15" t="s">
        <v>10</v>
      </c>
      <c r="N1666" s="15" t="s">
        <v>10</v>
      </c>
      <c r="O1666" s="15">
        <v>1.1066785339583558</v>
      </c>
      <c r="P1666" s="15">
        <v>1.1066785339583558</v>
      </c>
      <c r="Q1666" s="8"/>
      <c r="R1666" s="9" t="s">
        <v>1658</v>
      </c>
    </row>
    <row r="1667" spans="1:18" x14ac:dyDescent="0.25">
      <c r="A1667" s="6" t="str">
        <f>HYPERLINK("proteomic_fractions_linear_files/Yang_linear_img/7304993.jpg", "7304993")</f>
        <v>7304993</v>
      </c>
      <c r="B1667" s="7"/>
      <c r="C1667" s="6" t="str">
        <f>HYPERLINK("http://www.ncbi.nlm.nih.gov/protein/7304993","Dbnl")</f>
        <v>Dbnl</v>
      </c>
      <c r="D1667" s="8"/>
      <c r="E1667" s="8">
        <v>48297</v>
      </c>
      <c r="F1667" s="8"/>
      <c r="G1667" s="15">
        <v>1.1066785339583558</v>
      </c>
      <c r="H1667" s="15">
        <v>1.1066785339583558</v>
      </c>
      <c r="I1667" s="15">
        <v>1.2244418246998718</v>
      </c>
      <c r="J1667" s="15">
        <v>1.2244418246998718</v>
      </c>
      <c r="K1667" s="15">
        <v>1.2244418246998718</v>
      </c>
      <c r="L1667" s="15">
        <v>1.2244418246998718</v>
      </c>
      <c r="M1667" s="15" t="s">
        <v>10</v>
      </c>
      <c r="N1667" s="15" t="s">
        <v>10</v>
      </c>
      <c r="O1667" s="15">
        <v>1.1066785339583558</v>
      </c>
      <c r="P1667" s="15">
        <v>1.1066785339583558</v>
      </c>
      <c r="Q1667" s="8"/>
      <c r="R1667" s="9" t="s">
        <v>1659</v>
      </c>
    </row>
    <row r="1668" spans="1:18" x14ac:dyDescent="0.25">
      <c r="A1668" s="6" t="str">
        <f>HYPERLINK("proteomic_fractions_linear_files/Yang_linear_img/50399860.jpg", "50399860")</f>
        <v>50399860</v>
      </c>
      <c r="B1668" s="7"/>
      <c r="C1668" s="6" t="str">
        <f>HYPERLINK("http://www.ncbi.nlm.nih.gov/protein/50399860","Dbr1")</f>
        <v>Dbr1</v>
      </c>
      <c r="D1668" s="8"/>
      <c r="E1668" s="8">
        <v>62159</v>
      </c>
      <c r="F1668" s="8"/>
      <c r="G1668" s="15" t="s">
        <v>10</v>
      </c>
      <c r="H1668" s="15" t="s">
        <v>10</v>
      </c>
      <c r="I1668" s="15" t="s">
        <v>10</v>
      </c>
      <c r="J1668" s="15" t="s">
        <v>10</v>
      </c>
      <c r="K1668" s="15">
        <v>1.3403009431152235</v>
      </c>
      <c r="L1668" s="15">
        <v>1.3403009431152235</v>
      </c>
      <c r="M1668" s="15">
        <v>1.3403009431152235</v>
      </c>
      <c r="N1668" s="15">
        <v>1.3403009431152235</v>
      </c>
      <c r="O1668" s="15">
        <v>1.1844541974464877</v>
      </c>
      <c r="P1668" s="15">
        <v>1.1844541974464877</v>
      </c>
      <c r="Q1668" s="8"/>
      <c r="R1668" s="9" t="s">
        <v>1660</v>
      </c>
    </row>
    <row r="1669" spans="1:18" x14ac:dyDescent="0.25">
      <c r="A1669" s="6" t="str">
        <f>HYPERLINK("proteomic_fractions_linear_files/Yang_linear_img/170172520.jpg", "170172520")</f>
        <v>170172520</v>
      </c>
      <c r="B1669" s="7"/>
      <c r="C1669" s="6" t="str">
        <f>HYPERLINK("http://www.ncbi.nlm.nih.gov/protein/170172520","Dbt")</f>
        <v>Dbt</v>
      </c>
      <c r="D1669" s="8"/>
      <c r="E1669" s="8">
        <v>46275</v>
      </c>
      <c r="F1669" s="8"/>
      <c r="G1669" s="15">
        <v>1.4228970289248768</v>
      </c>
      <c r="H1669" s="15">
        <v>1.4228970289248768</v>
      </c>
      <c r="I1669" s="15">
        <v>1.0497820779220708</v>
      </c>
      <c r="J1669" s="15">
        <v>1.0497820779220708</v>
      </c>
      <c r="K1669" s="15" t="s">
        <v>10</v>
      </c>
      <c r="L1669" s="15" t="s">
        <v>10</v>
      </c>
      <c r="M1669" s="15">
        <v>1.0497820779220708</v>
      </c>
      <c r="N1669" s="15">
        <v>1.0497820779220708</v>
      </c>
      <c r="O1669" s="15" t="s">
        <v>10</v>
      </c>
      <c r="P1669" s="15" t="s">
        <v>10</v>
      </c>
      <c r="Q1669" s="8"/>
      <c r="R1669" s="9" t="s">
        <v>1661</v>
      </c>
    </row>
    <row r="1670" spans="1:18" x14ac:dyDescent="0.25">
      <c r="A1670" s="6" t="str">
        <f>HYPERLINK("proteomic_fractions_linear_files/Yang_linear_img/19526930.jpg", "19526930")</f>
        <v>19526930</v>
      </c>
      <c r="B1670" s="7"/>
      <c r="C1670" s="6" t="str">
        <f>HYPERLINK("http://www.ncbi.nlm.nih.gov/protein/19526930","Dcaf11")</f>
        <v>Dcaf11</v>
      </c>
      <c r="D1670" s="8"/>
      <c r="E1670" s="8">
        <v>61861</v>
      </c>
      <c r="F1670" s="8"/>
      <c r="G1670" s="15" t="s">
        <v>10</v>
      </c>
      <c r="H1670" s="15" t="s">
        <v>10</v>
      </c>
      <c r="I1670" s="15" t="s">
        <v>10</v>
      </c>
      <c r="J1670" s="15" t="s">
        <v>10</v>
      </c>
      <c r="K1670" s="15" t="s">
        <v>10</v>
      </c>
      <c r="L1670" s="15" t="s">
        <v>10</v>
      </c>
      <c r="M1670" s="15">
        <v>1.0556977956539408</v>
      </c>
      <c r="N1670" s="15">
        <v>1.0556977956539408</v>
      </c>
      <c r="O1670" s="15">
        <v>0.9479549610579654</v>
      </c>
      <c r="P1670" s="15">
        <v>0.9479549610579654</v>
      </c>
      <c r="Q1670" s="8"/>
      <c r="R1670" s="9" t="s">
        <v>1662</v>
      </c>
    </row>
    <row r="1671" spans="1:18" x14ac:dyDescent="0.25">
      <c r="A1671" s="6" t="str">
        <f>HYPERLINK("proteomic_fractions_linear_files/Yang_linear_img/21313612.jpg", "21313612")</f>
        <v>21313612</v>
      </c>
      <c r="B1671" s="7"/>
      <c r="C1671" s="6" t="str">
        <f>HYPERLINK("http://www.ncbi.nlm.nih.gov/protein/21313612","Dcaf4")</f>
        <v>Dcaf4</v>
      </c>
      <c r="D1671" s="8"/>
      <c r="E1671" s="8">
        <v>57986</v>
      </c>
      <c r="F1671" s="8"/>
      <c r="G1671" s="15" t="s">
        <v>10</v>
      </c>
      <c r="H1671" s="15" t="s">
        <v>10</v>
      </c>
      <c r="I1671" s="15" t="s">
        <v>10</v>
      </c>
      <c r="J1671" s="15" t="s">
        <v>10</v>
      </c>
      <c r="K1671" s="15">
        <v>1.1285045401817988</v>
      </c>
      <c r="L1671" s="15">
        <v>1.1285045401817988</v>
      </c>
      <c r="M1671" s="15">
        <v>1.1285045401817988</v>
      </c>
      <c r="N1671" s="15">
        <v>1.1285045401817988</v>
      </c>
      <c r="O1671" s="15" t="s">
        <v>10</v>
      </c>
      <c r="P1671" s="15" t="s">
        <v>10</v>
      </c>
      <c r="Q1671" s="8"/>
      <c r="R1671" s="9" t="s">
        <v>1663</v>
      </c>
    </row>
    <row r="1672" spans="1:18" x14ac:dyDescent="0.25">
      <c r="A1672" s="6" t="str">
        <f>HYPERLINK("proteomic_fractions_linear_files/Yang_linear_img/259155342.jpg", "259155342")</f>
        <v>259155342</v>
      </c>
      <c r="B1672" s="7"/>
      <c r="C1672" s="6" t="str">
        <f>HYPERLINK("http://www.ncbi.nlm.nih.gov/protein/259155342","Dcaf4")</f>
        <v>Dcaf4</v>
      </c>
      <c r="D1672" s="8"/>
      <c r="E1672" s="8">
        <v>59250</v>
      </c>
      <c r="F1672" s="8"/>
      <c r="G1672" s="15" t="s">
        <v>10</v>
      </c>
      <c r="H1672" s="15" t="s">
        <v>10</v>
      </c>
      <c r="I1672" s="15" t="s">
        <v>10</v>
      </c>
      <c r="J1672" s="15" t="s">
        <v>10</v>
      </c>
      <c r="K1672" s="15">
        <v>1.1093773445854971</v>
      </c>
      <c r="L1672" s="15">
        <v>1.1093773445854971</v>
      </c>
      <c r="M1672" s="15">
        <v>1.1093773445854971</v>
      </c>
      <c r="N1672" s="15">
        <v>1.1093773445854971</v>
      </c>
      <c r="O1672" s="15" t="s">
        <v>10</v>
      </c>
      <c r="P1672" s="15" t="s">
        <v>10</v>
      </c>
      <c r="Q1672" s="8"/>
      <c r="R1672" s="9" t="s">
        <v>1664</v>
      </c>
    </row>
    <row r="1673" spans="1:18" x14ac:dyDescent="0.25">
      <c r="A1673" s="6" t="str">
        <f>HYPERLINK("proteomic_fractions_linear_files/Yang_linear_img/56090231.jpg", "56090231")</f>
        <v>56090231</v>
      </c>
      <c r="B1673" s="7"/>
      <c r="C1673" s="6" t="str">
        <f>HYPERLINK("http://www.ncbi.nlm.nih.gov/protein/56090231","Dcaf5")</f>
        <v>Dcaf5</v>
      </c>
      <c r="D1673" s="8"/>
      <c r="E1673" s="8">
        <v>103545</v>
      </c>
      <c r="F1673" s="8"/>
      <c r="G1673" s="15" t="s">
        <v>10</v>
      </c>
      <c r="H1673" s="15" t="s">
        <v>10</v>
      </c>
      <c r="I1673" s="15" t="s">
        <v>10</v>
      </c>
      <c r="J1673" s="15" t="s">
        <v>10</v>
      </c>
      <c r="K1673" s="15">
        <v>1.7958253042301957</v>
      </c>
      <c r="L1673" s="15">
        <v>1.7958253042301957</v>
      </c>
      <c r="M1673" s="15">
        <v>1.7958253042301957</v>
      </c>
      <c r="N1673" s="15">
        <v>1.7958253042301957</v>
      </c>
      <c r="O1673" s="15">
        <v>1.7958253042301957</v>
      </c>
      <c r="P1673" s="15">
        <v>1.7958253042301957</v>
      </c>
      <c r="Q1673" s="8"/>
      <c r="R1673" s="9" t="s">
        <v>1665</v>
      </c>
    </row>
    <row r="1674" spans="1:18" x14ac:dyDescent="0.25">
      <c r="A1674" s="6" t="str">
        <f>HYPERLINK("proteomic_fractions_linear_files/Yang_linear_img/58037257.jpg", "58037257")</f>
        <v>58037257</v>
      </c>
      <c r="B1674" s="7"/>
      <c r="C1674" s="6" t="str">
        <f>HYPERLINK("http://www.ncbi.nlm.nih.gov/protein/58037257","Dcaf7")</f>
        <v>Dcaf7</v>
      </c>
      <c r="D1674" s="8"/>
      <c r="E1674" s="8">
        <v>38795</v>
      </c>
      <c r="F1674" s="8"/>
      <c r="G1674" s="15" t="s">
        <v>10</v>
      </c>
      <c r="H1674" s="15" t="s">
        <v>10</v>
      </c>
      <c r="I1674" s="15" t="s">
        <v>10</v>
      </c>
      <c r="J1674" s="15" t="s">
        <v>10</v>
      </c>
      <c r="K1674" s="15">
        <v>1.038649184698019</v>
      </c>
      <c r="L1674" s="15">
        <v>1.038649184698019</v>
      </c>
      <c r="M1674" s="15">
        <v>0.95746990828524592</v>
      </c>
      <c r="N1674" s="15">
        <v>0.95746990828524592</v>
      </c>
      <c r="O1674" s="15">
        <v>0.8859840136019278</v>
      </c>
      <c r="P1674" s="15">
        <v>0.8859840136019278</v>
      </c>
      <c r="Q1674" s="8"/>
      <c r="R1674" s="9" t="s">
        <v>1666</v>
      </c>
    </row>
    <row r="1675" spans="1:18" x14ac:dyDescent="0.25">
      <c r="A1675" s="6" t="str">
        <f>HYPERLINK("proteomic_fractions_linear_files/Yang_linear_img/23956326.jpg", "23956326")</f>
        <v>23956326</v>
      </c>
      <c r="B1675" s="7"/>
      <c r="C1675" s="6" t="str">
        <f>HYPERLINK("http://www.ncbi.nlm.nih.gov/protein/23956326","Dcaf8")</f>
        <v>Dcaf8</v>
      </c>
      <c r="D1675" s="8"/>
      <c r="E1675" s="8">
        <v>65901</v>
      </c>
      <c r="F1675" s="8"/>
      <c r="G1675" s="15" t="s">
        <v>10</v>
      </c>
      <c r="H1675" s="15" t="s">
        <v>10</v>
      </c>
      <c r="I1675" s="15" t="s">
        <v>10</v>
      </c>
      <c r="J1675" s="15" t="s">
        <v>10</v>
      </c>
      <c r="K1675" s="15">
        <v>1.438908805796735</v>
      </c>
      <c r="L1675" s="15">
        <v>1.438908805796735</v>
      </c>
      <c r="M1675" s="15">
        <v>1.438908805796735</v>
      </c>
      <c r="N1675" s="15">
        <v>1.438908805796735</v>
      </c>
      <c r="O1675" s="15">
        <v>1.2590705829264222</v>
      </c>
      <c r="P1675" s="15">
        <v>1.2590705829264222</v>
      </c>
      <c r="Q1675" s="8"/>
      <c r="R1675" s="9" t="s">
        <v>1667</v>
      </c>
    </row>
    <row r="1676" spans="1:18" x14ac:dyDescent="0.25">
      <c r="A1676" s="6" t="str">
        <f>HYPERLINK("proteomic_fractions_linear_files/Yang_linear_img/27754054.jpg", "27754054")</f>
        <v>27754054</v>
      </c>
      <c r="B1676" s="7"/>
      <c r="C1676" s="6" t="str">
        <f>HYPERLINK("http://www.ncbi.nlm.nih.gov/protein/27754054","Dcakd")</f>
        <v>Dcakd</v>
      </c>
      <c r="D1676" s="8"/>
      <c r="E1676" s="8">
        <v>26345</v>
      </c>
      <c r="F1676" s="8"/>
      <c r="G1676" s="15">
        <v>1.1494387266043513</v>
      </c>
      <c r="H1676" s="15">
        <v>0.79220927640985661</v>
      </c>
      <c r="I1676" s="15">
        <v>0.79220927640985661</v>
      </c>
      <c r="J1676" s="15">
        <v>0.79220927640985661</v>
      </c>
      <c r="K1676" s="15">
        <v>0.79220927640985661</v>
      </c>
      <c r="L1676" s="15">
        <v>0.79220927640985661</v>
      </c>
      <c r="M1676" s="15">
        <v>0.79220927640985661</v>
      </c>
      <c r="N1676" s="15">
        <v>0.79220927640985661</v>
      </c>
      <c r="O1676" s="15" t="s">
        <v>10</v>
      </c>
      <c r="P1676" s="15" t="s">
        <v>10</v>
      </c>
      <c r="Q1676" s="8"/>
      <c r="R1676" s="9" t="s">
        <v>1668</v>
      </c>
    </row>
    <row r="1677" spans="1:18" x14ac:dyDescent="0.25">
      <c r="A1677" s="6" t="str">
        <f>HYPERLINK("proteomic_fractions_linear_files/Yang_linear_img/6681141.jpg", "6681141")</f>
        <v>6681141</v>
      </c>
      <c r="B1677" s="7"/>
      <c r="C1677" s="6" t="str">
        <f>HYPERLINK("http://www.ncbi.nlm.nih.gov/protein/6681141","Dck")</f>
        <v>Dck</v>
      </c>
      <c r="D1677" s="8"/>
      <c r="E1677" s="8">
        <v>30236</v>
      </c>
      <c r="F1677" s="8"/>
      <c r="G1677" s="15" t="s">
        <v>10</v>
      </c>
      <c r="H1677" s="15" t="s">
        <v>10</v>
      </c>
      <c r="I1677" s="15" t="s">
        <v>10</v>
      </c>
      <c r="J1677" s="15" t="s">
        <v>10</v>
      </c>
      <c r="K1677" s="15">
        <v>0.93060704325606869</v>
      </c>
      <c r="L1677" s="15">
        <v>0.93060704325606869</v>
      </c>
      <c r="M1677" s="15" t="s">
        <v>10</v>
      </c>
      <c r="N1677" s="15" t="s">
        <v>10</v>
      </c>
      <c r="O1677" s="15">
        <v>0.81849402044256392</v>
      </c>
      <c r="P1677" s="15">
        <v>0.81849402044256392</v>
      </c>
      <c r="Q1677" s="8"/>
      <c r="R1677" s="9" t="s">
        <v>1669</v>
      </c>
    </row>
    <row r="1678" spans="1:18" x14ac:dyDescent="0.25">
      <c r="A1678" s="6" t="str">
        <f>HYPERLINK("proteomic_fractions_linear_files/Yang_linear_img/133778958.jpg", "133778958")</f>
        <v>133778958</v>
      </c>
      <c r="B1678" s="7"/>
      <c r="C1678" s="6" t="str">
        <f>HYPERLINK("http://www.ncbi.nlm.nih.gov/protein/133778958","Dcp1a")</f>
        <v>Dcp1a</v>
      </c>
      <c r="D1678" s="8"/>
      <c r="E1678" s="8">
        <v>65088</v>
      </c>
      <c r="F1678" s="8"/>
      <c r="G1678" s="15" t="s">
        <v>10</v>
      </c>
      <c r="H1678" s="15" t="s">
        <v>10</v>
      </c>
      <c r="I1678" s="15" t="s">
        <v>10</v>
      </c>
      <c r="J1678" s="15" t="s">
        <v>10</v>
      </c>
      <c r="K1678" s="15">
        <v>1.2784408995868286</v>
      </c>
      <c r="L1678" s="15">
        <v>1.2784408995868286</v>
      </c>
      <c r="M1678" s="15" t="s">
        <v>10</v>
      </c>
      <c r="N1678" s="15" t="s">
        <v>10</v>
      </c>
      <c r="O1678" s="15" t="s">
        <v>10</v>
      </c>
      <c r="P1678" s="15" t="s">
        <v>10</v>
      </c>
      <c r="Q1678" s="8"/>
      <c r="R1678" s="9" t="s">
        <v>1670</v>
      </c>
    </row>
    <row r="1679" spans="1:18" x14ac:dyDescent="0.25">
      <c r="A1679" s="6" t="str">
        <f>HYPERLINK("proteomic_fractions_linear_files/Yang_linear_img/21312256.jpg", "21312256")</f>
        <v>21312256</v>
      </c>
      <c r="B1679" s="7"/>
      <c r="C1679" s="6" t="str">
        <f>HYPERLINK("http://www.ncbi.nlm.nih.gov/protein/21312256","Dcps")</f>
        <v>Dcps</v>
      </c>
      <c r="D1679" s="8"/>
      <c r="E1679" s="8">
        <v>38857</v>
      </c>
      <c r="F1679" s="8"/>
      <c r="G1679" s="15">
        <v>1.2382045021644936</v>
      </c>
      <c r="H1679" s="15">
        <v>1.2382045021644936</v>
      </c>
      <c r="I1679" s="15">
        <v>0.8859840136019278</v>
      </c>
      <c r="J1679" s="15">
        <v>0.8859840136019278</v>
      </c>
      <c r="K1679" s="15">
        <v>0.95746990828524592</v>
      </c>
      <c r="L1679" s="15">
        <v>0.95746990828524592</v>
      </c>
      <c r="M1679" s="15">
        <v>0.95746990828524592</v>
      </c>
      <c r="N1679" s="15">
        <v>0.95746990828524592</v>
      </c>
      <c r="O1679" s="15">
        <v>0.82266853476239965</v>
      </c>
      <c r="P1679" s="15">
        <v>0.82266853476239965</v>
      </c>
      <c r="Q1679" s="8"/>
      <c r="R1679" s="9" t="s">
        <v>1671</v>
      </c>
    </row>
    <row r="1680" spans="1:18" x14ac:dyDescent="0.25">
      <c r="A1680" s="6" t="str">
        <f>HYPERLINK("proteomic_fractions_linear_files/Yang_linear_img/238859570;238859573.jpg", "238859570;238859573")</f>
        <v>238859570;238859573</v>
      </c>
      <c r="B1680" s="8"/>
      <c r="C1680" s="6" t="str">
        <f>HYPERLINK("http://www.ncbi.nlm.nih.gov/protein/238859570;238859573","Dctd")</f>
        <v>Dctd</v>
      </c>
      <c r="D1680" s="8"/>
      <c r="E1680" s="8">
        <v>20560</v>
      </c>
      <c r="F1680" s="8"/>
      <c r="G1680" s="15" t="s">
        <v>10</v>
      </c>
      <c r="H1680" s="15" t="s">
        <v>10</v>
      </c>
      <c r="I1680" s="15">
        <v>0.92862618228739402</v>
      </c>
      <c r="J1680" s="15">
        <v>0.92862618228739402</v>
      </c>
      <c r="K1680" s="15" t="s">
        <v>10</v>
      </c>
      <c r="L1680" s="15" t="s">
        <v>10</v>
      </c>
      <c r="M1680" s="15" t="s">
        <v>10</v>
      </c>
      <c r="N1680" s="15" t="s">
        <v>10</v>
      </c>
      <c r="O1680" s="15">
        <v>0.92862618228739402</v>
      </c>
      <c r="P1680" s="15">
        <v>0.92862618228739402</v>
      </c>
      <c r="Q1680" s="8"/>
      <c r="R1680" s="9" t="s">
        <v>1672</v>
      </c>
    </row>
    <row r="1681" spans="1:18" x14ac:dyDescent="0.25">
      <c r="A1681" s="6" t="str">
        <f>HYPERLINK("proteomic_fractions_linear_files/Yang_linear_img/118601017.jpg", "118601017")</f>
        <v>118601017</v>
      </c>
      <c r="B1681" s="7"/>
      <c r="C1681" s="6" t="str">
        <f>HYPERLINK("http://www.ncbi.nlm.nih.gov/protein/118601017","Dctn1")</f>
        <v>Dctn1</v>
      </c>
      <c r="D1681" s="8"/>
      <c r="E1681" s="8">
        <v>141545</v>
      </c>
      <c r="F1681" s="8"/>
      <c r="G1681" s="15">
        <v>1.3152523354925378</v>
      </c>
      <c r="H1681" s="15">
        <v>1.3152523354925378</v>
      </c>
      <c r="I1681" s="15">
        <v>1.0806540220862102</v>
      </c>
      <c r="J1681" s="15">
        <v>1.0806540220862102</v>
      </c>
      <c r="K1681" s="15">
        <v>1.3152523354925378</v>
      </c>
      <c r="L1681" s="15">
        <v>1.3152523354925378</v>
      </c>
      <c r="M1681" s="15">
        <v>1.3152523354925378</v>
      </c>
      <c r="N1681" s="15">
        <v>1.3152523354925378</v>
      </c>
      <c r="O1681" s="15">
        <v>1.3152523354925378</v>
      </c>
      <c r="P1681" s="15">
        <v>1.3152523354925378</v>
      </c>
      <c r="Q1681" s="8"/>
      <c r="R1681" s="9" t="s">
        <v>1673</v>
      </c>
    </row>
    <row r="1682" spans="1:18" x14ac:dyDescent="0.25">
      <c r="A1682" s="6" t="str">
        <f>HYPERLINK("proteomic_fractions_linear_files/Yang_linear_img/311893358.jpg", "311893358")</f>
        <v>311893358</v>
      </c>
      <c r="B1682" s="7"/>
      <c r="C1682" s="6" t="str">
        <f>HYPERLINK("http://www.ncbi.nlm.nih.gov/protein/311893358","Dctn1")</f>
        <v>Dctn1</v>
      </c>
      <c r="D1682" s="8"/>
      <c r="E1682" s="8">
        <v>139631</v>
      </c>
      <c r="F1682" s="8"/>
      <c r="G1682" s="15">
        <v>1.3340416545710025</v>
      </c>
      <c r="H1682" s="15">
        <v>1.3340416545710025</v>
      </c>
      <c r="I1682" s="15">
        <v>1.0960919366874418</v>
      </c>
      <c r="J1682" s="15">
        <v>1.0960919366874418</v>
      </c>
      <c r="K1682" s="15">
        <v>1.3340416545710025</v>
      </c>
      <c r="L1682" s="15">
        <v>1.3340416545710025</v>
      </c>
      <c r="M1682" s="15">
        <v>1.3340416545710025</v>
      </c>
      <c r="N1682" s="15">
        <v>1.3340416545710025</v>
      </c>
      <c r="O1682" s="15">
        <v>1.3340416545710025</v>
      </c>
      <c r="P1682" s="15">
        <v>1.3340416545710025</v>
      </c>
      <c r="Q1682" s="8"/>
      <c r="R1682" s="9" t="s">
        <v>1674</v>
      </c>
    </row>
    <row r="1683" spans="1:18" x14ac:dyDescent="0.25">
      <c r="A1683" s="6" t="str">
        <f>HYPERLINK("proteomic_fractions_linear_files/Yang_linear_img/311893360.jpg", "311893360")</f>
        <v>311893360</v>
      </c>
      <c r="B1683" s="7"/>
      <c r="C1683" s="6" t="str">
        <f>HYPERLINK("http://www.ncbi.nlm.nih.gov/protein/311893360","Dctn1")</f>
        <v>Dctn1</v>
      </c>
      <c r="D1683" s="8"/>
      <c r="E1683" s="8">
        <v>136718</v>
      </c>
      <c r="F1683" s="8"/>
      <c r="G1683" s="15">
        <v>1.36325424554701</v>
      </c>
      <c r="H1683" s="15">
        <v>1.36325424554701</v>
      </c>
      <c r="I1683" s="15">
        <v>1.1200939498995754</v>
      </c>
      <c r="J1683" s="15">
        <v>1.1200939498995754</v>
      </c>
      <c r="K1683" s="15">
        <v>1.36325424554701</v>
      </c>
      <c r="L1683" s="15">
        <v>1.36325424554701</v>
      </c>
      <c r="M1683" s="15">
        <v>1.36325424554701</v>
      </c>
      <c r="N1683" s="15">
        <v>1.36325424554701</v>
      </c>
      <c r="O1683" s="15">
        <v>1.36325424554701</v>
      </c>
      <c r="P1683" s="15">
        <v>1.36325424554701</v>
      </c>
      <c r="Q1683" s="8"/>
      <c r="R1683" s="9" t="s">
        <v>1675</v>
      </c>
    </row>
    <row r="1684" spans="1:18" x14ac:dyDescent="0.25">
      <c r="A1684" s="6" t="str">
        <f>HYPERLINK("proteomic_fractions_linear_files/Yang_linear_img/28076935.jpg", "28076935")</f>
        <v>28076935</v>
      </c>
      <c r="B1684" s="7"/>
      <c r="C1684" s="6" t="str">
        <f>HYPERLINK("http://www.ncbi.nlm.nih.gov/protein/28076935","Dctn2")</f>
        <v>Dctn2</v>
      </c>
      <c r="D1684" s="8"/>
      <c r="E1684" s="8">
        <v>43986</v>
      </c>
      <c r="F1684" s="8"/>
      <c r="G1684" s="15" t="s">
        <v>10</v>
      </c>
      <c r="H1684" s="15" t="s">
        <v>10</v>
      </c>
      <c r="I1684" s="15">
        <v>1.0974994451003466</v>
      </c>
      <c r="J1684" s="15">
        <v>1.0974994451003466</v>
      </c>
      <c r="K1684" s="15">
        <v>1.2072856734091155</v>
      </c>
      <c r="L1684" s="15">
        <v>1.2072856734091155</v>
      </c>
      <c r="M1684" s="15">
        <v>1.0974994451003466</v>
      </c>
      <c r="N1684" s="15">
        <v>1.0974994451003466</v>
      </c>
      <c r="O1684" s="15">
        <v>1.0028543010673969</v>
      </c>
      <c r="P1684" s="15">
        <v>1.0028543010673969</v>
      </c>
      <c r="Q1684" s="8"/>
      <c r="R1684" s="9" t="s">
        <v>1676</v>
      </c>
    </row>
    <row r="1685" spans="1:18" x14ac:dyDescent="0.25">
      <c r="A1685" s="6" t="str">
        <f>HYPERLINK("proteomic_fractions_linear_files/Yang_linear_img/299522838.jpg", "299522838")</f>
        <v>299522838</v>
      </c>
      <c r="B1685" s="7"/>
      <c r="C1685" s="6" t="str">
        <f>HYPERLINK("http://www.ncbi.nlm.nih.gov/protein/299522838","Dctn2")</f>
        <v>Dctn2</v>
      </c>
      <c r="D1685" s="8"/>
      <c r="E1685" s="8">
        <v>44228</v>
      </c>
      <c r="F1685" s="8"/>
      <c r="G1685" s="15" t="s">
        <v>10</v>
      </c>
      <c r="H1685" s="15" t="s">
        <v>10</v>
      </c>
      <c r="I1685" s="15">
        <v>1.0974994451003466</v>
      </c>
      <c r="J1685" s="15">
        <v>1.0974994451003466</v>
      </c>
      <c r="K1685" s="15">
        <v>1.2072856734091155</v>
      </c>
      <c r="L1685" s="15">
        <v>1.2072856734091155</v>
      </c>
      <c r="M1685" s="15">
        <v>1.0974994451003466</v>
      </c>
      <c r="N1685" s="15">
        <v>1.0974994451003466</v>
      </c>
      <c r="O1685" s="15">
        <v>1.0028543010673969</v>
      </c>
      <c r="P1685" s="15">
        <v>1.0028543010673969</v>
      </c>
      <c r="Q1685" s="8"/>
      <c r="R1685" s="9" t="s">
        <v>1677</v>
      </c>
    </row>
    <row r="1686" spans="1:18" x14ac:dyDescent="0.25">
      <c r="A1686" s="6" t="str">
        <f>HYPERLINK("proteomic_fractions_linear_files/Yang_linear_img/299522842.jpg", "299522842")</f>
        <v>299522842</v>
      </c>
      <c r="B1686" s="7"/>
      <c r="C1686" s="6" t="str">
        <f>HYPERLINK("http://www.ncbi.nlm.nih.gov/protein/299522842","Dctn2")</f>
        <v>Dctn2</v>
      </c>
      <c r="D1686" s="8"/>
      <c r="E1686" s="8">
        <v>44575</v>
      </c>
      <c r="F1686" s="8"/>
      <c r="G1686" s="15" t="s">
        <v>10</v>
      </c>
      <c r="H1686" s="15" t="s">
        <v>10</v>
      </c>
      <c r="I1686" s="15">
        <v>1.0731105685425613</v>
      </c>
      <c r="J1686" s="15">
        <v>1.0731105685425613</v>
      </c>
      <c r="K1686" s="15">
        <v>1.1804571028889128</v>
      </c>
      <c r="L1686" s="15">
        <v>1.1804571028889128</v>
      </c>
      <c r="M1686" s="15">
        <v>1.0731105685425613</v>
      </c>
      <c r="N1686" s="15">
        <v>1.0731105685425613</v>
      </c>
      <c r="O1686" s="15">
        <v>0.98056864993256598</v>
      </c>
      <c r="P1686" s="15">
        <v>0.98056864993256598</v>
      </c>
      <c r="Q1686" s="8"/>
      <c r="R1686" s="9" t="s">
        <v>1678</v>
      </c>
    </row>
    <row r="1687" spans="1:18" x14ac:dyDescent="0.25">
      <c r="A1687" s="6" t="str">
        <f>HYPERLINK("proteomic_fractions_linear_files/Yang_linear_img/227116273.jpg", "227116273")</f>
        <v>227116273</v>
      </c>
      <c r="B1687" s="7"/>
      <c r="C1687" s="6" t="str">
        <f>HYPERLINK("http://www.ncbi.nlm.nih.gov/protein/227116273","Dctn3")</f>
        <v>Dctn3</v>
      </c>
      <c r="D1687" s="8"/>
      <c r="E1687" s="8">
        <v>20847</v>
      </c>
      <c r="F1687" s="8"/>
      <c r="G1687" s="15">
        <v>1.2452503864488096</v>
      </c>
      <c r="H1687" s="15">
        <v>1.2452503864488096</v>
      </c>
      <c r="I1687" s="15">
        <v>0.92862618228739402</v>
      </c>
      <c r="J1687" s="15">
        <v>0.92862618228739402</v>
      </c>
      <c r="K1687" s="15">
        <v>0.92862618228739402</v>
      </c>
      <c r="L1687" s="15">
        <v>0.92862618228739402</v>
      </c>
      <c r="M1687" s="15">
        <v>0.98083053269791776</v>
      </c>
      <c r="N1687" s="15">
        <v>0.98083053269791776</v>
      </c>
      <c r="O1687" s="15">
        <v>0.98083053269791776</v>
      </c>
      <c r="P1687" s="15">
        <v>0.98083053269791776</v>
      </c>
      <c r="Q1687" s="8"/>
      <c r="R1687" s="9" t="s">
        <v>1679</v>
      </c>
    </row>
    <row r="1688" spans="1:18" x14ac:dyDescent="0.25">
      <c r="A1688" s="6" t="str">
        <f>HYPERLINK("proteomic_fractions_linear_files/Yang_linear_img/227116275.jpg", "227116275")</f>
        <v>227116275</v>
      </c>
      <c r="B1688" s="7"/>
      <c r="C1688" s="6" t="str">
        <f>HYPERLINK("http://www.ncbi.nlm.nih.gov/protein/227116275","Dctn3")</f>
        <v>Dctn3</v>
      </c>
      <c r="D1688" s="8"/>
      <c r="E1688" s="8">
        <v>17851</v>
      </c>
      <c r="F1688" s="8"/>
      <c r="G1688" s="15">
        <v>1.4527921175236111</v>
      </c>
      <c r="H1688" s="15">
        <v>1.4527921175236111</v>
      </c>
      <c r="I1688" s="15">
        <v>1.0833972126686264</v>
      </c>
      <c r="J1688" s="15">
        <v>1.0833972126686264</v>
      </c>
      <c r="K1688" s="15">
        <v>1.0833972126686264</v>
      </c>
      <c r="L1688" s="15">
        <v>1.0833972126686264</v>
      </c>
      <c r="M1688" s="15">
        <v>1.1443022881475706</v>
      </c>
      <c r="N1688" s="15">
        <v>1.1443022881475706</v>
      </c>
      <c r="O1688" s="15">
        <v>1.1443022881475706</v>
      </c>
      <c r="P1688" s="15">
        <v>1.1443022881475706</v>
      </c>
      <c r="Q1688" s="8"/>
      <c r="R1688" s="9" t="s">
        <v>1680</v>
      </c>
    </row>
    <row r="1689" spans="1:18" x14ac:dyDescent="0.25">
      <c r="A1689" s="6" t="str">
        <f>HYPERLINK("proteomic_fractions_linear_files/Yang_linear_img/13385798.jpg", "13385798")</f>
        <v>13385798</v>
      </c>
      <c r="B1689" s="7"/>
      <c r="C1689" s="6" t="str">
        <f>HYPERLINK("http://www.ncbi.nlm.nih.gov/protein/13385798","Dctn4")</f>
        <v>Dctn4</v>
      </c>
      <c r="D1689" s="8"/>
      <c r="E1689" s="8">
        <v>52111</v>
      </c>
      <c r="F1689" s="8"/>
      <c r="G1689" s="15" t="s">
        <v>10</v>
      </c>
      <c r="H1689" s="15" t="s">
        <v>10</v>
      </c>
      <c r="I1689" s="15">
        <v>1.2587166025104679</v>
      </c>
      <c r="J1689" s="15">
        <v>1.2587166025104679</v>
      </c>
      <c r="K1689" s="15">
        <v>1.2587166025104679</v>
      </c>
      <c r="L1689" s="15">
        <v>1.2587166025104679</v>
      </c>
      <c r="M1689" s="15">
        <v>1.2587166025104679</v>
      </c>
      <c r="N1689" s="15">
        <v>1.2587166025104679</v>
      </c>
      <c r="O1689" s="15">
        <v>1.1302539920306509</v>
      </c>
      <c r="P1689" s="15">
        <v>1.1302539920306509</v>
      </c>
      <c r="Q1689" s="8"/>
      <c r="R1689" s="9" t="s">
        <v>1681</v>
      </c>
    </row>
    <row r="1690" spans="1:18" x14ac:dyDescent="0.25">
      <c r="A1690" s="6" t="str">
        <f>HYPERLINK("proteomic_fractions_linear_files/Yang_linear_img/188219518.jpg", "188219518")</f>
        <v>188219518</v>
      </c>
      <c r="B1690" s="7"/>
      <c r="C1690" s="6" t="str">
        <f>HYPERLINK("http://www.ncbi.nlm.nih.gov/protein/188219518","Dctn5")</f>
        <v>Dctn5</v>
      </c>
      <c r="D1690" s="8"/>
      <c r="E1690" s="8">
        <v>20009</v>
      </c>
      <c r="F1690" s="8"/>
      <c r="G1690" s="15" t="s">
        <v>10</v>
      </c>
      <c r="H1690" s="15" t="s">
        <v>10</v>
      </c>
      <c r="I1690" s="15">
        <v>1.0298720593328137</v>
      </c>
      <c r="J1690" s="15">
        <v>1.0298720593328137</v>
      </c>
      <c r="K1690" s="15">
        <v>1.0298720593328137</v>
      </c>
      <c r="L1690" s="15">
        <v>1.0298720593328137</v>
      </c>
      <c r="M1690" s="15">
        <v>1.0298720593328137</v>
      </c>
      <c r="N1690" s="15">
        <v>1.0298720593328137</v>
      </c>
      <c r="O1690" s="15">
        <v>1.0298720593328137</v>
      </c>
      <c r="P1690" s="15">
        <v>1.0298720593328137</v>
      </c>
      <c r="Q1690" s="8"/>
      <c r="R1690" s="9" t="s">
        <v>1682</v>
      </c>
    </row>
    <row r="1691" spans="1:18" x14ac:dyDescent="0.25">
      <c r="A1691" s="6" t="str">
        <f>HYPERLINK("proteomic_fractions_linear_files/Yang_linear_img/6756009.jpg", "6756009")</f>
        <v>6756009</v>
      </c>
      <c r="B1691" s="7"/>
      <c r="C1691" s="6" t="str">
        <f>HYPERLINK("http://www.ncbi.nlm.nih.gov/protein/6756009","Dctn6")</f>
        <v>Dctn6</v>
      </c>
      <c r="D1691" s="8"/>
      <c r="E1691" s="8">
        <v>20539</v>
      </c>
      <c r="F1691" s="8"/>
      <c r="G1691" s="15" t="s">
        <v>10</v>
      </c>
      <c r="H1691" s="15" t="s">
        <v>10</v>
      </c>
      <c r="I1691" s="15" t="s">
        <v>10</v>
      </c>
      <c r="J1691" s="15" t="s">
        <v>10</v>
      </c>
      <c r="K1691" s="15">
        <v>1.1692771720608055</v>
      </c>
      <c r="L1691" s="15">
        <v>1.1692771720608055</v>
      </c>
      <c r="M1691" s="15">
        <v>1.1692771720608055</v>
      </c>
      <c r="N1691" s="15">
        <v>1.1692771720608055</v>
      </c>
      <c r="O1691" s="15" t="s">
        <v>10</v>
      </c>
      <c r="P1691" s="15" t="s">
        <v>10</v>
      </c>
      <c r="Q1691" s="8"/>
      <c r="R1691" s="9" t="s">
        <v>1683</v>
      </c>
    </row>
    <row r="1692" spans="1:18" x14ac:dyDescent="0.25">
      <c r="A1692" s="6" t="str">
        <f>HYPERLINK("proteomic_fractions_linear_files/Yang_linear_img/12963573.jpg", "12963573")</f>
        <v>12963573</v>
      </c>
      <c r="B1692" s="7"/>
      <c r="C1692" s="6" t="str">
        <f>HYPERLINK("http://www.ncbi.nlm.nih.gov/protein/12963573","Dctpp1")</f>
        <v>Dctpp1</v>
      </c>
      <c r="D1692" s="8"/>
      <c r="E1692" s="8">
        <v>18664</v>
      </c>
      <c r="F1692" s="8"/>
      <c r="G1692" s="15" t="s">
        <v>10</v>
      </c>
      <c r="H1692" s="15" t="s">
        <v>10</v>
      </c>
      <c r="I1692" s="15" t="s">
        <v>10</v>
      </c>
      <c r="J1692" s="15" t="s">
        <v>10</v>
      </c>
      <c r="K1692" s="15" t="s">
        <v>10</v>
      </c>
      <c r="L1692" s="15" t="s">
        <v>10</v>
      </c>
      <c r="M1692" s="15" t="s">
        <v>10</v>
      </c>
      <c r="N1692" s="15" t="s">
        <v>10</v>
      </c>
      <c r="O1692" s="15">
        <v>1.0263763067386986</v>
      </c>
      <c r="P1692" s="15">
        <v>1.0263763067386986</v>
      </c>
      <c r="Q1692" s="8"/>
      <c r="R1692" s="9" t="s">
        <v>1684</v>
      </c>
    </row>
    <row r="1693" spans="1:18" x14ac:dyDescent="0.25">
      <c r="A1693" s="6" t="str">
        <f>HYPERLINK("proteomic_fractions_linear_files/Yang_linear_img/329299048.jpg", "329299048")</f>
        <v>329299048</v>
      </c>
      <c r="B1693" s="7"/>
      <c r="C1693" s="6" t="str">
        <f>HYPERLINK("http://www.ncbi.nlm.nih.gov/protein/329299048","Dcun1d1")</f>
        <v>Dcun1d1</v>
      </c>
      <c r="D1693" s="8"/>
      <c r="E1693" s="8">
        <v>29966</v>
      </c>
      <c r="F1693" s="8"/>
      <c r="G1693" s="15" t="s">
        <v>10</v>
      </c>
      <c r="H1693" s="15" t="s">
        <v>10</v>
      </c>
      <c r="I1693" s="15">
        <v>0.81849402044256392</v>
      </c>
      <c r="J1693" s="15">
        <v>0.81849402044256392</v>
      </c>
      <c r="K1693" s="15">
        <v>0.87167527051416671</v>
      </c>
      <c r="L1693" s="15">
        <v>0.87167527051416671</v>
      </c>
      <c r="M1693" s="15">
        <v>0.81849402044256392</v>
      </c>
      <c r="N1693" s="15">
        <v>0.81849402044256392</v>
      </c>
      <c r="O1693" s="15">
        <v>0.72652474235595832</v>
      </c>
      <c r="P1693" s="15">
        <v>0.72652474235595832</v>
      </c>
      <c r="Q1693" s="8"/>
      <c r="R1693" s="9" t="s">
        <v>1685</v>
      </c>
    </row>
    <row r="1694" spans="1:18" x14ac:dyDescent="0.25">
      <c r="A1694" s="6" t="str">
        <f>HYPERLINK("proteomic_fractions_linear_files/Yang_linear_img/329299050.jpg", "329299050")</f>
        <v>329299050</v>
      </c>
      <c r="B1694" s="7"/>
      <c r="C1694" s="6" t="str">
        <f>HYPERLINK("http://www.ncbi.nlm.nih.gov/protein/329299050","Dcun1d1")</f>
        <v>Dcun1d1</v>
      </c>
      <c r="D1694" s="8"/>
      <c r="E1694" s="8">
        <v>28147</v>
      </c>
      <c r="F1694" s="8"/>
      <c r="G1694" s="15" t="s">
        <v>10</v>
      </c>
      <c r="H1694" s="15" t="s">
        <v>10</v>
      </c>
      <c r="I1694" s="15">
        <v>0.87695787904560418</v>
      </c>
      <c r="J1694" s="15">
        <v>0.87695787904560418</v>
      </c>
      <c r="K1694" s="15">
        <v>0.93393778983660714</v>
      </c>
      <c r="L1694" s="15">
        <v>0.93393778983660714</v>
      </c>
      <c r="M1694" s="15">
        <v>0.87695787904560418</v>
      </c>
      <c r="N1694" s="15">
        <v>0.87695787904560418</v>
      </c>
      <c r="O1694" s="15">
        <v>0.77841936680995538</v>
      </c>
      <c r="P1694" s="15">
        <v>0.77841936680995538</v>
      </c>
      <c r="Q1694" s="8"/>
      <c r="R1694" s="9" t="s">
        <v>1686</v>
      </c>
    </row>
    <row r="1695" spans="1:18" x14ac:dyDescent="0.25">
      <c r="A1695" s="6" t="str">
        <f>HYPERLINK("proteomic_fractions_linear_files/Yang_linear_img/111162655.jpg", "111162655")</f>
        <v>111162655</v>
      </c>
      <c r="B1695" s="7"/>
      <c r="C1695" s="6" t="str">
        <f>HYPERLINK("http://www.ncbi.nlm.nih.gov/protein/111162655","Dcun1d2")</f>
        <v>Dcun1d2</v>
      </c>
      <c r="D1695" s="8"/>
      <c r="E1695" s="8">
        <v>22638</v>
      </c>
      <c r="F1695" s="8"/>
      <c r="G1695" s="15" t="s">
        <v>10</v>
      </c>
      <c r="H1695" s="15" t="s">
        <v>10</v>
      </c>
      <c r="I1695" s="15" t="s">
        <v>10</v>
      </c>
      <c r="J1695" s="15" t="s">
        <v>10</v>
      </c>
      <c r="K1695" s="15">
        <v>1.136967744148913</v>
      </c>
      <c r="L1695" s="15">
        <v>1.136967744148913</v>
      </c>
      <c r="M1695" s="15" t="s">
        <v>10</v>
      </c>
      <c r="N1695" s="15" t="s">
        <v>10</v>
      </c>
      <c r="O1695" s="15">
        <v>0.94764096829038047</v>
      </c>
      <c r="P1695" s="15">
        <v>0.94764096829038047</v>
      </c>
      <c r="Q1695" s="8"/>
      <c r="R1695" s="9" t="s">
        <v>1687</v>
      </c>
    </row>
    <row r="1696" spans="1:18" x14ac:dyDescent="0.25">
      <c r="A1696" s="6" t="str">
        <f>HYPERLINK("proteomic_fractions_linear_files/Yang_linear_img/111162657.jpg", "111162657")</f>
        <v>111162657</v>
      </c>
      <c r="B1696" s="7"/>
      <c r="C1696" s="6" t="str">
        <f>HYPERLINK("http://www.ncbi.nlm.nih.gov/protein/111162657","Dcun1d2")</f>
        <v>Dcun1d2</v>
      </c>
      <c r="D1696" s="8"/>
      <c r="E1696" s="8">
        <v>22738</v>
      </c>
      <c r="F1696" s="8"/>
      <c r="G1696" s="15" t="s">
        <v>10</v>
      </c>
      <c r="H1696" s="15" t="s">
        <v>10</v>
      </c>
      <c r="I1696" s="15" t="s">
        <v>10</v>
      </c>
      <c r="J1696" s="15" t="s">
        <v>10</v>
      </c>
      <c r="K1696" s="15">
        <v>1.136967744148913</v>
      </c>
      <c r="L1696" s="15">
        <v>1.136967744148913</v>
      </c>
      <c r="M1696" s="15" t="s">
        <v>10</v>
      </c>
      <c r="N1696" s="15" t="s">
        <v>10</v>
      </c>
      <c r="O1696" s="15">
        <v>0.94764096829038047</v>
      </c>
      <c r="P1696" s="15">
        <v>0.94764096829038047</v>
      </c>
      <c r="Q1696" s="8"/>
      <c r="R1696" s="9" t="s">
        <v>1688</v>
      </c>
    </row>
    <row r="1697" spans="1:18" x14ac:dyDescent="0.25">
      <c r="A1697" s="6" t="str">
        <f>HYPERLINK("proteomic_fractions_linear_files/Yang_linear_img/111162659.jpg", "111162659")</f>
        <v>111162659</v>
      </c>
      <c r="B1697" s="7"/>
      <c r="C1697" s="6" t="str">
        <f>HYPERLINK("http://www.ncbi.nlm.nih.gov/protein/111162659","Dcun1d2")</f>
        <v>Dcun1d2</v>
      </c>
      <c r="D1697" s="8"/>
      <c r="E1697" s="8">
        <v>29937</v>
      </c>
      <c r="F1697" s="8"/>
      <c r="G1697" s="15" t="s">
        <v>10</v>
      </c>
      <c r="H1697" s="15" t="s">
        <v>10</v>
      </c>
      <c r="I1697" s="15" t="s">
        <v>10</v>
      </c>
      <c r="J1697" s="15" t="s">
        <v>10</v>
      </c>
      <c r="K1697" s="15">
        <v>0.87167527051416671</v>
      </c>
      <c r="L1697" s="15">
        <v>0.87167527051416671</v>
      </c>
      <c r="M1697" s="15" t="s">
        <v>10</v>
      </c>
      <c r="N1697" s="15" t="s">
        <v>10</v>
      </c>
      <c r="O1697" s="15">
        <v>0.72652474235595832</v>
      </c>
      <c r="P1697" s="15">
        <v>0.72652474235595832</v>
      </c>
      <c r="Q1697" s="8"/>
      <c r="R1697" s="9" t="s">
        <v>1689</v>
      </c>
    </row>
    <row r="1698" spans="1:18" x14ac:dyDescent="0.25">
      <c r="A1698" s="6" t="str">
        <f>HYPERLINK("proteomic_fractions_linear_files/Yang_linear_img/111162661.jpg", "111162661")</f>
        <v>111162661</v>
      </c>
      <c r="B1698" s="7"/>
      <c r="C1698" s="6" t="str">
        <f>HYPERLINK("http://www.ncbi.nlm.nih.gov/protein/111162661","Dcun1d2")</f>
        <v>Dcun1d2</v>
      </c>
      <c r="D1698" s="8"/>
      <c r="E1698" s="8">
        <v>23859</v>
      </c>
      <c r="F1698" s="8"/>
      <c r="G1698" s="15" t="s">
        <v>10</v>
      </c>
      <c r="H1698" s="15" t="s">
        <v>10</v>
      </c>
      <c r="I1698" s="15" t="s">
        <v>10</v>
      </c>
      <c r="J1698" s="15" t="s">
        <v>10</v>
      </c>
      <c r="K1698" s="15">
        <v>1.0895940881427084</v>
      </c>
      <c r="L1698" s="15">
        <v>1.0895940881427084</v>
      </c>
      <c r="M1698" s="15" t="s">
        <v>10</v>
      </c>
      <c r="N1698" s="15" t="s">
        <v>10</v>
      </c>
      <c r="O1698" s="15">
        <v>0.90815592794494793</v>
      </c>
      <c r="P1698" s="15">
        <v>0.90815592794494793</v>
      </c>
      <c r="Q1698" s="8"/>
      <c r="R1698" s="9" t="s">
        <v>1690</v>
      </c>
    </row>
    <row r="1699" spans="1:18" x14ac:dyDescent="0.25">
      <c r="A1699" s="6" t="str">
        <f>HYPERLINK("proteomic_fractions_linear_files/Yang_linear_img/23956220.jpg", "23956220")</f>
        <v>23956220</v>
      </c>
      <c r="B1699" s="7"/>
      <c r="C1699" s="6" t="str">
        <f>HYPERLINK("http://www.ncbi.nlm.nih.gov/protein/23956220","Dcun1d5")</f>
        <v>Dcun1d5</v>
      </c>
      <c r="D1699" s="8"/>
      <c r="E1699" s="8">
        <v>27447</v>
      </c>
      <c r="F1699" s="8"/>
      <c r="G1699" s="15">
        <v>0.855910124989535</v>
      </c>
      <c r="H1699" s="15">
        <v>0.855910124989535</v>
      </c>
      <c r="I1699" s="15">
        <v>0.90943780049173761</v>
      </c>
      <c r="J1699" s="15">
        <v>0.90943780049173761</v>
      </c>
      <c r="K1699" s="15">
        <v>0.90943780049173761</v>
      </c>
      <c r="L1699" s="15">
        <v>0.90943780049173761</v>
      </c>
      <c r="M1699" s="15">
        <v>0.90943780049173761</v>
      </c>
      <c r="N1699" s="15">
        <v>0.90943780049173761</v>
      </c>
      <c r="O1699" s="15">
        <v>0.80724971372884269</v>
      </c>
      <c r="P1699" s="15">
        <v>0.80724971372884269</v>
      </c>
      <c r="Q1699" s="8"/>
      <c r="R1699" s="9" t="s">
        <v>1691</v>
      </c>
    </row>
    <row r="1700" spans="1:18" x14ac:dyDescent="0.25">
      <c r="A1700" s="6" t="str">
        <f>HYPERLINK("proteomic_fractions_linear_files/Yang_linear_img/146134409.jpg", "146134409")</f>
        <v>146134409</v>
      </c>
      <c r="B1700" s="7"/>
      <c r="C1700" s="6" t="str">
        <f>HYPERLINK("http://www.ncbi.nlm.nih.gov/protein/146134409","Dcxr")</f>
        <v>Dcxr</v>
      </c>
      <c r="D1700" s="8"/>
      <c r="E1700" s="8">
        <v>25615</v>
      </c>
      <c r="F1700" s="8"/>
      <c r="G1700" s="15" t="s">
        <v>10</v>
      </c>
      <c r="H1700" s="15" t="s">
        <v>10</v>
      </c>
      <c r="I1700" s="15">
        <v>1.0057791582855768</v>
      </c>
      <c r="J1700" s="15">
        <v>1.0057791582855768</v>
      </c>
      <c r="K1700" s="15">
        <v>1.0737773576031562</v>
      </c>
      <c r="L1700" s="15">
        <v>1.0737773576031562</v>
      </c>
      <c r="M1700" s="15">
        <v>1.0057791582855768</v>
      </c>
      <c r="N1700" s="15">
        <v>1.0057791582855768</v>
      </c>
      <c r="O1700" s="15">
        <v>0.8888297451814402</v>
      </c>
      <c r="P1700" s="15">
        <v>0.8888297451814402</v>
      </c>
      <c r="Q1700" s="8"/>
      <c r="R1700" s="9" t="s">
        <v>1692</v>
      </c>
    </row>
    <row r="1701" spans="1:18" x14ac:dyDescent="0.25">
      <c r="A1701" s="6" t="str">
        <f>HYPERLINK("proteomic_fractions_linear_files/Yang_linear_img/189491666.jpg", "189491666")</f>
        <v>189491666</v>
      </c>
      <c r="B1701" s="7"/>
      <c r="C1701" s="6" t="str">
        <f>HYPERLINK("http://www.ncbi.nlm.nih.gov/protein/189491666","Dda1")</f>
        <v>Dda1</v>
      </c>
      <c r="D1701" s="8"/>
      <c r="E1701" s="8">
        <v>11622</v>
      </c>
      <c r="F1701" s="8"/>
      <c r="G1701" s="15" t="s">
        <v>10</v>
      </c>
      <c r="H1701" s="15" t="s">
        <v>10</v>
      </c>
      <c r="I1701" s="15" t="s">
        <v>10</v>
      </c>
      <c r="J1701" s="15" t="s">
        <v>10</v>
      </c>
      <c r="K1701" s="15" t="s">
        <v>10</v>
      </c>
      <c r="L1701" s="15" t="s">
        <v>10</v>
      </c>
      <c r="M1701" s="15">
        <v>1.2663615244845239</v>
      </c>
      <c r="N1701" s="15">
        <v>1.2663615244845239</v>
      </c>
      <c r="O1701" s="15">
        <v>1.209789476822529</v>
      </c>
      <c r="P1701" s="15">
        <v>1.209789476822529</v>
      </c>
      <c r="Q1701" s="8"/>
      <c r="R1701" s="9" t="s">
        <v>1693</v>
      </c>
    </row>
    <row r="1702" spans="1:18" x14ac:dyDescent="0.25">
      <c r="A1702" s="6" t="str">
        <f>HYPERLINK("proteomic_fractions_linear_files/Yang_linear_img/38371755.jpg", "38371755")</f>
        <v>38371755</v>
      </c>
      <c r="B1702" s="7"/>
      <c r="C1702" s="6" t="str">
        <f>HYPERLINK("http://www.ncbi.nlm.nih.gov/protein/38371755","Ddah1")</f>
        <v>Ddah1</v>
      </c>
      <c r="D1702" s="8"/>
      <c r="E1702" s="8">
        <v>31250</v>
      </c>
      <c r="F1702" s="8"/>
      <c r="G1702" s="15" t="s">
        <v>10</v>
      </c>
      <c r="H1702" s="15" t="s">
        <v>10</v>
      </c>
      <c r="I1702" s="15">
        <v>1.1146250493701673</v>
      </c>
      <c r="J1702" s="15">
        <v>1.1146250493701673</v>
      </c>
      <c r="K1702" s="15">
        <v>1.1146250493701673</v>
      </c>
      <c r="L1702" s="15">
        <v>1.1146250493701673</v>
      </c>
      <c r="M1702" s="15" t="s">
        <v>10</v>
      </c>
      <c r="N1702" s="15" t="s">
        <v>10</v>
      </c>
      <c r="O1702" s="15">
        <v>1.0349700921204383</v>
      </c>
      <c r="P1702" s="15">
        <v>1.0349700921204383</v>
      </c>
      <c r="Q1702" s="8"/>
      <c r="R1702" s="9" t="s">
        <v>1694</v>
      </c>
    </row>
    <row r="1703" spans="1:18" x14ac:dyDescent="0.25">
      <c r="A1703" s="6" t="str">
        <f>HYPERLINK("proteomic_fractions_linear_files/Yang_linear_img/299522791.jpg", "299522791")</f>
        <v>299522791</v>
      </c>
      <c r="B1703" s="7"/>
      <c r="C1703" s="6" t="str">
        <f>HYPERLINK("http://www.ncbi.nlm.nih.gov/protein/299522791","Ddah2")</f>
        <v>Ddah2</v>
      </c>
      <c r="D1703" s="8"/>
      <c r="E1703" s="8">
        <v>29515</v>
      </c>
      <c r="F1703" s="8"/>
      <c r="G1703" s="15">
        <v>0.81849402044256392</v>
      </c>
      <c r="H1703" s="15">
        <v>0.81849402044256392</v>
      </c>
      <c r="I1703" s="15">
        <v>0.87167527051416671</v>
      </c>
      <c r="J1703" s="15">
        <v>0.87167527051416671</v>
      </c>
      <c r="K1703" s="15">
        <v>0.93060704325606869</v>
      </c>
      <c r="L1703" s="15">
        <v>0.93060704325606869</v>
      </c>
      <c r="M1703" s="15">
        <v>0.87167527051416671</v>
      </c>
      <c r="N1703" s="15">
        <v>0.87167527051416671</v>
      </c>
      <c r="O1703" s="15">
        <v>0.77031911249058149</v>
      </c>
      <c r="P1703" s="15">
        <v>0.77031911249058149</v>
      </c>
      <c r="Q1703" s="8"/>
      <c r="R1703" s="9" t="s">
        <v>1695</v>
      </c>
    </row>
    <row r="1704" spans="1:18" x14ac:dyDescent="0.25">
      <c r="A1704" s="6" t="str">
        <f>HYPERLINK("proteomic_fractions_linear_files/Yang_linear_img/7949035.jpg", "7949035")</f>
        <v>7949035</v>
      </c>
      <c r="B1704" s="7"/>
      <c r="C1704" s="6" t="str">
        <f>HYPERLINK("http://www.ncbi.nlm.nih.gov/protein/7949035","Ddah2")</f>
        <v>Ddah2</v>
      </c>
      <c r="D1704" s="8"/>
      <c r="E1704" s="8">
        <v>25237</v>
      </c>
      <c r="F1704" s="8"/>
      <c r="G1704" s="15">
        <v>0.9821928245310767</v>
      </c>
      <c r="H1704" s="15">
        <v>0.9821928245310767</v>
      </c>
      <c r="I1704" s="15">
        <v>1.0460103246170001</v>
      </c>
      <c r="J1704" s="15">
        <v>1.0460103246170001</v>
      </c>
      <c r="K1704" s="15">
        <v>1.1167284519072824</v>
      </c>
      <c r="L1704" s="15">
        <v>1.1167284519072824</v>
      </c>
      <c r="M1704" s="15">
        <v>1.0460103246170001</v>
      </c>
      <c r="N1704" s="15">
        <v>1.0460103246170001</v>
      </c>
      <c r="O1704" s="15">
        <v>0.92438293498869784</v>
      </c>
      <c r="P1704" s="15">
        <v>0.92438293498869784</v>
      </c>
      <c r="Q1704" s="8"/>
      <c r="R1704" s="9" t="s">
        <v>1696</v>
      </c>
    </row>
    <row r="1705" spans="1:18" x14ac:dyDescent="0.25">
      <c r="A1705" s="6" t="str">
        <f>HYPERLINK("proteomic_fractions_linear_files/Yang_linear_img/7657011.jpg", "7657011")</f>
        <v>7657011</v>
      </c>
      <c r="B1705" s="7"/>
      <c r="C1705" s="6" t="str">
        <f>HYPERLINK("http://www.ncbi.nlm.nih.gov/protein/7657011","Ddb1")</f>
        <v>Ddb1</v>
      </c>
      <c r="D1705" s="8"/>
      <c r="E1705" s="8">
        <v>126722</v>
      </c>
      <c r="F1705" s="8"/>
      <c r="G1705" s="15">
        <v>1.0135561271269053</v>
      </c>
      <c r="H1705" s="15">
        <v>1.0135561271269053</v>
      </c>
      <c r="I1705" s="15">
        <v>0.13162578362682695</v>
      </c>
      <c r="J1705" s="15">
        <v>0.13162578362682695</v>
      </c>
      <c r="K1705" s="15">
        <v>1.2082903239074161</v>
      </c>
      <c r="L1705" s="15">
        <v>1.2082903239074161</v>
      </c>
      <c r="M1705" s="15">
        <v>1.2082903239074161</v>
      </c>
      <c r="N1705" s="15">
        <v>1.2082903239074161</v>
      </c>
      <c r="O1705" s="15">
        <v>1.0135561271269053</v>
      </c>
      <c r="P1705" s="15">
        <v>1.0135561271269053</v>
      </c>
      <c r="Q1705" s="8"/>
      <c r="R1705" s="9" t="s">
        <v>1697</v>
      </c>
    </row>
    <row r="1706" spans="1:18" x14ac:dyDescent="0.25">
      <c r="A1706" s="6" t="str">
        <f>HYPERLINK("proteomic_fractions_linear_files/Yang_linear_img/63003917.jpg", "63003917")</f>
        <v>63003917</v>
      </c>
      <c r="B1706" s="7"/>
      <c r="C1706" s="6" t="str">
        <f>HYPERLINK("http://www.ncbi.nlm.nih.gov/protein/63003917","Ddi2")</f>
        <v>Ddi2</v>
      </c>
      <c r="D1706" s="8"/>
      <c r="E1706" s="8">
        <v>44460</v>
      </c>
      <c r="F1706" s="8"/>
      <c r="G1706" s="15" t="s">
        <v>10</v>
      </c>
      <c r="H1706" s="15" t="s">
        <v>10</v>
      </c>
      <c r="I1706" s="15">
        <v>1.0974994451003466</v>
      </c>
      <c r="J1706" s="15">
        <v>1.0974994451003466</v>
      </c>
      <c r="K1706" s="15">
        <v>1.0974994451003466</v>
      </c>
      <c r="L1706" s="15">
        <v>1.0974994451003466</v>
      </c>
      <c r="M1706" s="15" t="s">
        <v>10</v>
      </c>
      <c r="N1706" s="15" t="s">
        <v>10</v>
      </c>
      <c r="O1706" s="15">
        <v>1.0028543010673969</v>
      </c>
      <c r="P1706" s="15">
        <v>1.0028543010673969</v>
      </c>
      <c r="Q1706" s="8"/>
      <c r="R1706" s="9" t="s">
        <v>1698</v>
      </c>
    </row>
    <row r="1707" spans="1:18" x14ac:dyDescent="0.25">
      <c r="A1707" s="6" t="str">
        <f>HYPERLINK("proteomic_fractions_linear_files/Yang_linear_img/46195798.jpg", "46195798")</f>
        <v>46195798</v>
      </c>
      <c r="B1707" s="7"/>
      <c r="C1707" s="6" t="str">
        <f>HYPERLINK("http://www.ncbi.nlm.nih.gov/protein/46195798","Ddost")</f>
        <v>Ddost</v>
      </c>
      <c r="D1707" s="8"/>
      <c r="E1707" s="8">
        <v>46058</v>
      </c>
      <c r="F1707" s="8"/>
      <c r="G1707" s="15">
        <v>1.2776784257737794</v>
      </c>
      <c r="H1707" s="15">
        <v>1.2776784257737794</v>
      </c>
      <c r="I1707" s="15">
        <v>0.95925194015142323</v>
      </c>
      <c r="J1707" s="15">
        <v>0.95925194015142323</v>
      </c>
      <c r="K1707" s="15">
        <v>1.0497820779220708</v>
      </c>
      <c r="L1707" s="15">
        <v>1.0497820779220708</v>
      </c>
      <c r="M1707" s="15" t="s">
        <v>10</v>
      </c>
      <c r="N1707" s="15" t="s">
        <v>10</v>
      </c>
      <c r="O1707" s="15" t="s">
        <v>10</v>
      </c>
      <c r="P1707" s="15" t="s">
        <v>10</v>
      </c>
      <c r="Q1707" s="8"/>
      <c r="R1707" s="9" t="s">
        <v>1699</v>
      </c>
    </row>
    <row r="1708" spans="1:18" x14ac:dyDescent="0.25">
      <c r="A1708" s="6" t="str">
        <f>HYPERLINK("proteomic_fractions_linear_files/Yang_linear_img/110350660.jpg", "110350660")</f>
        <v>110350660</v>
      </c>
      <c r="B1708" s="7"/>
      <c r="C1708" s="6" t="str">
        <f>HYPERLINK("http://www.ncbi.nlm.nih.gov/protein/110350660","Ddrgk1")</f>
        <v>Ddrgk1</v>
      </c>
      <c r="D1708" s="8"/>
      <c r="E1708" s="8">
        <v>32910</v>
      </c>
      <c r="F1708" s="8"/>
      <c r="G1708" s="15" t="s">
        <v>10</v>
      </c>
      <c r="H1708" s="15" t="s">
        <v>10</v>
      </c>
      <c r="I1708" s="15">
        <v>1.2274944910067498</v>
      </c>
      <c r="J1708" s="15">
        <v>1.2274944910067498</v>
      </c>
      <c r="K1708" s="15" t="s">
        <v>10</v>
      </c>
      <c r="L1708" s="15" t="s">
        <v>10</v>
      </c>
      <c r="M1708" s="15" t="s">
        <v>10</v>
      </c>
      <c r="N1708" s="15" t="s">
        <v>10</v>
      </c>
      <c r="O1708" s="15" t="s">
        <v>10</v>
      </c>
      <c r="P1708" s="15" t="s">
        <v>10</v>
      </c>
      <c r="Q1708" s="8"/>
      <c r="R1708" s="9" t="s">
        <v>1700</v>
      </c>
    </row>
    <row r="1709" spans="1:18" x14ac:dyDescent="0.25">
      <c r="A1709" s="6" t="str">
        <f>HYPERLINK("proteomic_fractions_linear_files/Yang_linear_img/6753618.jpg", "6753618")</f>
        <v>6753618</v>
      </c>
      <c r="B1709" s="7"/>
      <c r="C1709" s="6" t="str">
        <f>HYPERLINK("http://www.ncbi.nlm.nih.gov/protein/6753618","Ddt")</f>
        <v>Ddt</v>
      </c>
      <c r="D1709" s="8"/>
      <c r="E1709" s="8">
        <v>12946</v>
      </c>
      <c r="F1709" s="8"/>
      <c r="G1709" s="15">
        <v>1.0228510786924256</v>
      </c>
      <c r="H1709" s="15">
        <v>1.0228510786924256</v>
      </c>
      <c r="I1709" s="15">
        <v>1.0228510786924256</v>
      </c>
      <c r="J1709" s="15">
        <v>1.0228510786924256</v>
      </c>
      <c r="K1709" s="15">
        <v>1.068142346148973</v>
      </c>
      <c r="L1709" s="15">
        <v>1.068142346148973</v>
      </c>
      <c r="M1709" s="15">
        <v>1.068142346148973</v>
      </c>
      <c r="N1709" s="15">
        <v>1.068142346148973</v>
      </c>
      <c r="O1709" s="15">
        <v>2.6579520408057835</v>
      </c>
      <c r="P1709" s="15">
        <v>2.6579520408057835</v>
      </c>
      <c r="Q1709" s="8"/>
      <c r="R1709" s="9" t="s">
        <v>1701</v>
      </c>
    </row>
    <row r="1710" spans="1:18" x14ac:dyDescent="0.25">
      <c r="A1710" s="6" t="str">
        <f>HYPERLINK("proteomic_fractions_linear_files/Yang_linear_img/19527256.jpg", "19527256")</f>
        <v>19527256</v>
      </c>
      <c r="B1710" s="7"/>
      <c r="C1710" s="6" t="str">
        <f>HYPERLINK("http://www.ncbi.nlm.nih.gov/protein/19527256","Ddx1")</f>
        <v>Ddx1</v>
      </c>
      <c r="D1710" s="8"/>
      <c r="E1710" s="8">
        <v>82369</v>
      </c>
      <c r="F1710" s="8"/>
      <c r="G1710" s="15">
        <v>1.3390434612333106</v>
      </c>
      <c r="H1710" s="15">
        <v>1.3390434612333106</v>
      </c>
      <c r="I1710" s="15">
        <v>1.1581461119827379</v>
      </c>
      <c r="J1710" s="15">
        <v>1.1581461119827379</v>
      </c>
      <c r="K1710" s="15">
        <v>1.1581461119827379</v>
      </c>
      <c r="L1710" s="15">
        <v>1.1581461119827379</v>
      </c>
      <c r="M1710" s="15">
        <v>1.1581461119827379</v>
      </c>
      <c r="N1710" s="15">
        <v>1.1581461119827379</v>
      </c>
      <c r="O1710" s="15">
        <v>1.0133982740627299</v>
      </c>
      <c r="P1710" s="15">
        <v>1.0133982740627299</v>
      </c>
      <c r="Q1710" s="8"/>
      <c r="R1710" s="9" t="s">
        <v>1702</v>
      </c>
    </row>
    <row r="1711" spans="1:18" x14ac:dyDescent="0.25">
      <c r="A1711" s="6" t="str">
        <f>HYPERLINK("proteomic_fractions_linear_files/Yang_linear_img/40068489.jpg", "40068489")</f>
        <v>40068489</v>
      </c>
      <c r="B1711" s="7"/>
      <c r="C1711" s="6" t="str">
        <f>HYPERLINK("http://www.ncbi.nlm.nih.gov/protein/40068489","Ddx17")</f>
        <v>Ddx17</v>
      </c>
      <c r="D1711" s="8"/>
      <c r="E1711" s="8">
        <v>28901</v>
      </c>
      <c r="F1711" s="8"/>
      <c r="G1711" s="15">
        <v>3.2747579718132589</v>
      </c>
      <c r="H1711" s="15">
        <v>3.2747579718132589</v>
      </c>
      <c r="I1711" s="15">
        <v>2.5322813876442152</v>
      </c>
      <c r="J1711" s="15">
        <v>2.5322813876442152</v>
      </c>
      <c r="K1711" s="15">
        <v>2.865470981832547</v>
      </c>
      <c r="L1711" s="15">
        <v>2.865470981832547</v>
      </c>
      <c r="M1711" s="15">
        <v>2.865470981832547</v>
      </c>
      <c r="N1711" s="15">
        <v>2.865470981832547</v>
      </c>
      <c r="O1711" s="15" t="s">
        <v>10</v>
      </c>
      <c r="P1711" s="15" t="s">
        <v>10</v>
      </c>
      <c r="Q1711" s="8"/>
      <c r="R1711" s="9" t="s">
        <v>1703</v>
      </c>
    </row>
    <row r="1712" spans="1:18" x14ac:dyDescent="0.25">
      <c r="A1712" s="6" t="str">
        <f>HYPERLINK("proteomic_fractions_linear_files/Yang_linear_img/40068491.jpg", "40068491")</f>
        <v>40068491</v>
      </c>
      <c r="B1712" s="7"/>
      <c r="C1712" s="6" t="str">
        <f>HYPERLINK("http://www.ncbi.nlm.nih.gov/protein/40068491","Ddx17")</f>
        <v>Ddx17</v>
      </c>
      <c r="D1712" s="8"/>
      <c r="E1712" s="8">
        <v>46233</v>
      </c>
      <c r="F1712" s="8"/>
      <c r="G1712" s="15">
        <v>1.8064925755031274</v>
      </c>
      <c r="H1712" s="15">
        <v>1.8064925755031274</v>
      </c>
      <c r="I1712" s="15">
        <v>1.4228970289248768</v>
      </c>
      <c r="J1712" s="15">
        <v>1.4228970289248768</v>
      </c>
      <c r="K1712" s="15">
        <v>1.8064925755031274</v>
      </c>
      <c r="L1712" s="15">
        <v>1.8064925755031274</v>
      </c>
      <c r="M1712" s="15">
        <v>1.596438266123527</v>
      </c>
      <c r="N1712" s="15">
        <v>1.596438266123527</v>
      </c>
      <c r="O1712" s="15">
        <v>1.4228970289248768</v>
      </c>
      <c r="P1712" s="15">
        <v>1.4228970289248768</v>
      </c>
      <c r="Q1712" s="8"/>
      <c r="R1712" s="9" t="s">
        <v>1704</v>
      </c>
    </row>
    <row r="1713" spans="1:18" x14ac:dyDescent="0.25">
      <c r="A1713" s="6" t="str">
        <f>HYPERLINK("proteomic_fractions_linear_files/Yang_linear_img/40068493.jpg", "40068493")</f>
        <v>40068493</v>
      </c>
      <c r="B1713" s="7"/>
      <c r="C1713" s="6" t="str">
        <f>HYPERLINK("http://www.ncbi.nlm.nih.gov/protein/40068493","Ddx17")</f>
        <v>Ddx17</v>
      </c>
      <c r="D1713" s="8"/>
      <c r="E1713" s="8">
        <v>72454</v>
      </c>
      <c r="F1713" s="8"/>
      <c r="G1713" s="15">
        <v>1.3189997386470071</v>
      </c>
      <c r="H1713" s="15">
        <v>1.3189997386470071</v>
      </c>
      <c r="I1713" s="15">
        <v>0.90907310181311574</v>
      </c>
      <c r="J1713" s="15">
        <v>1.0199466700233646</v>
      </c>
      <c r="K1713" s="15">
        <v>1.1541480343492203</v>
      </c>
      <c r="L1713" s="15">
        <v>1.1541480343492203</v>
      </c>
      <c r="M1713" s="15">
        <v>1.0199466700233646</v>
      </c>
      <c r="N1713" s="15">
        <v>1.0199466700233646</v>
      </c>
      <c r="O1713" s="15">
        <v>0.90907310181311574</v>
      </c>
      <c r="P1713" s="15">
        <v>0.90907310181311574</v>
      </c>
      <c r="Q1713" s="8"/>
      <c r="R1713" s="9" t="s">
        <v>1705</v>
      </c>
    </row>
    <row r="1714" spans="1:18" x14ac:dyDescent="0.25">
      <c r="A1714" s="6" t="str">
        <f>HYPERLINK("proteomic_fractions_linear_files/Yang_linear_img/93587673.jpg", "93587673")</f>
        <v>93587673</v>
      </c>
      <c r="B1714" s="7"/>
      <c r="C1714" s="6" t="str">
        <f>HYPERLINK("http://www.ncbi.nlm.nih.gov/protein/93587673","Ddx17")</f>
        <v>Ddx17</v>
      </c>
      <c r="D1714" s="8"/>
      <c r="E1714" s="8">
        <v>72269</v>
      </c>
      <c r="F1714" s="8"/>
      <c r="G1714" s="15">
        <v>1.3189997386470071</v>
      </c>
      <c r="H1714" s="15">
        <v>1.3189997386470071</v>
      </c>
      <c r="I1714" s="15">
        <v>0.90907310181311574</v>
      </c>
      <c r="J1714" s="15">
        <v>1.0199466700233646</v>
      </c>
      <c r="K1714" s="15">
        <v>1.1541480343492203</v>
      </c>
      <c r="L1714" s="15">
        <v>1.1541480343492203</v>
      </c>
      <c r="M1714" s="15">
        <v>1.0199466700233646</v>
      </c>
      <c r="N1714" s="15">
        <v>1.0199466700233646</v>
      </c>
      <c r="O1714" s="15">
        <v>0.90907310181311574</v>
      </c>
      <c r="P1714" s="15">
        <v>0.90907310181311574</v>
      </c>
      <c r="Q1714" s="8"/>
      <c r="R1714" s="9" t="s">
        <v>1706</v>
      </c>
    </row>
    <row r="1715" spans="1:18" x14ac:dyDescent="0.25">
      <c r="A1715" s="6" t="str">
        <f>HYPERLINK("proteomic_fractions_linear_files/Yang_linear_img/31981163.jpg", "31981163")</f>
        <v>31981163</v>
      </c>
      <c r="B1715" s="7"/>
      <c r="C1715" s="6" t="str">
        <f>HYPERLINK("http://www.ncbi.nlm.nih.gov/protein/31981163","Ddx18")</f>
        <v>Ddx18</v>
      </c>
      <c r="D1715" s="8"/>
      <c r="E1715" s="8">
        <v>74050</v>
      </c>
      <c r="F1715" s="8"/>
      <c r="G1715" s="15">
        <v>1.2833510970619528</v>
      </c>
      <c r="H1715" s="15">
        <v>1.2833510970619528</v>
      </c>
      <c r="I1715" s="15" t="s">
        <v>10</v>
      </c>
      <c r="J1715" s="15" t="s">
        <v>10</v>
      </c>
      <c r="K1715" s="15">
        <v>1.1229548442316737</v>
      </c>
      <c r="L1715" s="15">
        <v>1.1229548442316737</v>
      </c>
      <c r="M1715" s="15">
        <v>1.1229548442316737</v>
      </c>
      <c r="N1715" s="15">
        <v>1.1229548442316737</v>
      </c>
      <c r="O1715" s="15" t="s">
        <v>10</v>
      </c>
      <c r="P1715" s="15" t="s">
        <v>10</v>
      </c>
      <c r="Q1715" s="8"/>
      <c r="R1715" s="9" t="s">
        <v>1707</v>
      </c>
    </row>
    <row r="1716" spans="1:18" x14ac:dyDescent="0.25">
      <c r="A1716" s="6" t="str">
        <f>HYPERLINK("proteomic_fractions_linear_files/Yang_linear_img/170932536.jpg", "170932536")</f>
        <v>170932536</v>
      </c>
      <c r="B1716" s="7"/>
      <c r="C1716" s="6" t="str">
        <f>HYPERLINK("http://www.ncbi.nlm.nih.gov/protein/170932536","Ddx19a")</f>
        <v>Ddx19a</v>
      </c>
      <c r="D1716" s="8"/>
      <c r="E1716" s="8">
        <v>53802</v>
      </c>
      <c r="F1716" s="8"/>
      <c r="G1716" s="15">
        <v>1.359928893364486</v>
      </c>
      <c r="H1716" s="15">
        <v>1.359928893364486</v>
      </c>
      <c r="I1716" s="15">
        <v>0.98371425240742738</v>
      </c>
      <c r="J1716" s="15">
        <v>0.98371425240742738</v>
      </c>
      <c r="K1716" s="15">
        <v>1.0883927330665528</v>
      </c>
      <c r="L1716" s="15">
        <v>1.0883927330665528</v>
      </c>
      <c r="M1716" s="15">
        <v>1.0883927330665528</v>
      </c>
      <c r="N1716" s="15">
        <v>1.0883927330665528</v>
      </c>
      <c r="O1716" s="15">
        <v>0.98371425240742738</v>
      </c>
      <c r="P1716" s="15">
        <v>0.98371425240742738</v>
      </c>
      <c r="Q1716" s="8"/>
      <c r="R1716" s="9" t="s">
        <v>1708</v>
      </c>
    </row>
    <row r="1717" spans="1:18" x14ac:dyDescent="0.25">
      <c r="A1717" s="6" t="str">
        <f>HYPERLINK("proteomic_fractions_linear_files/Yang_linear_img/26986593.jpg", "26986593")</f>
        <v>26986593</v>
      </c>
      <c r="B1717" s="7"/>
      <c r="C1717" s="6" t="str">
        <f>HYPERLINK("http://www.ncbi.nlm.nih.gov/protein/26986593","Ddx19b")</f>
        <v>Ddx19b</v>
      </c>
      <c r="D1717" s="8"/>
      <c r="E1717" s="8">
        <v>53763</v>
      </c>
      <c r="F1717" s="8"/>
      <c r="G1717" s="15" t="s">
        <v>10</v>
      </c>
      <c r="H1717" s="15" t="s">
        <v>10</v>
      </c>
      <c r="I1717" s="15">
        <v>0.98371425240742738</v>
      </c>
      <c r="J1717" s="15">
        <v>0.98371425240742738</v>
      </c>
      <c r="K1717" s="15">
        <v>1.0883927330665528</v>
      </c>
      <c r="L1717" s="15">
        <v>1.0883927330665528</v>
      </c>
      <c r="M1717" s="15">
        <v>1.0883927330665528</v>
      </c>
      <c r="N1717" s="15">
        <v>1.0883927330665528</v>
      </c>
      <c r="O1717" s="15">
        <v>0.98371425240742738</v>
      </c>
      <c r="P1717" s="15">
        <v>0.98371425240742738</v>
      </c>
      <c r="Q1717" s="8"/>
      <c r="R1717" s="9" t="s">
        <v>1709</v>
      </c>
    </row>
    <row r="1718" spans="1:18" x14ac:dyDescent="0.25">
      <c r="A1718" s="6" t="str">
        <f>HYPERLINK("proteomic_fractions_linear_files/Yang_linear_img/299890779.jpg", "299890779")</f>
        <v>299890779</v>
      </c>
      <c r="B1718" s="7"/>
      <c r="C1718" s="6" t="str">
        <f>HYPERLINK("http://www.ncbi.nlm.nih.gov/protein/299890779","Ddx19b")</f>
        <v>Ddx19b</v>
      </c>
      <c r="D1718" s="8"/>
      <c r="E1718" s="8">
        <v>52387</v>
      </c>
      <c r="F1718" s="8"/>
      <c r="G1718" s="15" t="s">
        <v>10</v>
      </c>
      <c r="H1718" s="15" t="s">
        <v>10</v>
      </c>
      <c r="I1718" s="15">
        <v>1.0215494159615592</v>
      </c>
      <c r="J1718" s="15">
        <v>1.0215494159615592</v>
      </c>
      <c r="K1718" s="15">
        <v>1.1302539920306509</v>
      </c>
      <c r="L1718" s="15">
        <v>1.1302539920306509</v>
      </c>
      <c r="M1718" s="15">
        <v>1.1302539920306509</v>
      </c>
      <c r="N1718" s="15">
        <v>1.1302539920306509</v>
      </c>
      <c r="O1718" s="15">
        <v>1.0215494159615592</v>
      </c>
      <c r="P1718" s="15">
        <v>1.0215494159615592</v>
      </c>
      <c r="Q1718" s="8"/>
      <c r="R1718" s="9" t="s">
        <v>1710</v>
      </c>
    </row>
    <row r="1719" spans="1:18" x14ac:dyDescent="0.25">
      <c r="A1719" s="6" t="str">
        <f>HYPERLINK("proteomic_fractions_linear_files/Yang_linear_img/299890868.jpg", "299890868")</f>
        <v>299890868</v>
      </c>
      <c r="B1719" s="7"/>
      <c r="C1719" s="6" t="str">
        <f>HYPERLINK("http://www.ncbi.nlm.nih.gov/protein/299890868","Ddx19b")</f>
        <v>Ddx19b</v>
      </c>
      <c r="D1719" s="8"/>
      <c r="E1719" s="8">
        <v>55544</v>
      </c>
      <c r="F1719" s="8"/>
      <c r="G1719" s="15" t="s">
        <v>10</v>
      </c>
      <c r="H1719" s="15" t="s">
        <v>10</v>
      </c>
      <c r="I1719" s="15">
        <v>0.94858160053573359</v>
      </c>
      <c r="J1719" s="15">
        <v>0.94858160053573359</v>
      </c>
      <c r="K1719" s="15">
        <v>1.0495215640284616</v>
      </c>
      <c r="L1719" s="15">
        <v>1.0495215640284616</v>
      </c>
      <c r="M1719" s="15">
        <v>1.0495215640284616</v>
      </c>
      <c r="N1719" s="15">
        <v>1.0495215640284616</v>
      </c>
      <c r="O1719" s="15">
        <v>0.94858160053573359</v>
      </c>
      <c r="P1719" s="15">
        <v>0.94858160053573359</v>
      </c>
      <c r="Q1719" s="8"/>
      <c r="R1719" s="9" t="s">
        <v>1711</v>
      </c>
    </row>
    <row r="1720" spans="1:18" x14ac:dyDescent="0.25">
      <c r="A1720" s="6" t="str">
        <f>HYPERLINK("proteomic_fractions_linear_files/Yang_linear_img/72384374.jpg", "72384374")</f>
        <v>72384374</v>
      </c>
      <c r="B1720" s="7"/>
      <c r="C1720" s="6" t="str">
        <f>HYPERLINK("http://www.ncbi.nlm.nih.gov/protein/72384374","Ddx21")</f>
        <v>Ddx21</v>
      </c>
      <c r="D1720" s="8"/>
      <c r="E1720" s="8">
        <v>93420</v>
      </c>
      <c r="F1720" s="8"/>
      <c r="G1720" s="15">
        <v>1.3841035284421179</v>
      </c>
      <c r="H1720" s="15">
        <v>1.3841035284421179</v>
      </c>
      <c r="I1720" s="15">
        <v>1.180661976571306</v>
      </c>
      <c r="J1720" s="15">
        <v>1.180661976571306</v>
      </c>
      <c r="K1720" s="15">
        <v>1.3841035284421179</v>
      </c>
      <c r="L1720" s="15">
        <v>1.3841035284421179</v>
      </c>
      <c r="M1720" s="15">
        <v>1.3841035284421179</v>
      </c>
      <c r="N1720" s="15">
        <v>1.3841035284421179</v>
      </c>
      <c r="O1720" s="15">
        <v>0.14297918304302726</v>
      </c>
      <c r="P1720" s="15">
        <v>0.14297918304302726</v>
      </c>
      <c r="Q1720" s="8"/>
      <c r="R1720" s="9" t="s">
        <v>1712</v>
      </c>
    </row>
    <row r="1721" spans="1:18" x14ac:dyDescent="0.25">
      <c r="A1721" s="6" t="str">
        <f>HYPERLINK("proteomic_fractions_linear_files/Yang_linear_img/124430514.jpg", "124430514")</f>
        <v>124430514</v>
      </c>
      <c r="B1721" s="7"/>
      <c r="C1721" s="6" t="str">
        <f>HYPERLINK("http://www.ncbi.nlm.nih.gov/protein/124430514","Ddx23")</f>
        <v>Ddx23</v>
      </c>
      <c r="D1721" s="8"/>
      <c r="E1721" s="8">
        <v>95364</v>
      </c>
      <c r="F1721" s="8"/>
      <c r="G1721" s="15">
        <v>1.354964506790705</v>
      </c>
      <c r="H1721" s="15">
        <v>1.354964506790705</v>
      </c>
      <c r="I1721" s="15">
        <v>63.085263157894744</v>
      </c>
      <c r="J1721" s="15">
        <v>63.085263157894744</v>
      </c>
      <c r="K1721" s="15">
        <v>1.354964506790705</v>
      </c>
      <c r="L1721" s="15">
        <v>1.354964506790705</v>
      </c>
      <c r="M1721" s="15">
        <v>1.1558059349592786</v>
      </c>
      <c r="N1721" s="15">
        <v>1.1558059349592786</v>
      </c>
      <c r="O1721" s="15" t="s">
        <v>10</v>
      </c>
      <c r="P1721" s="15" t="s">
        <v>10</v>
      </c>
      <c r="Q1721" s="8"/>
      <c r="R1721" s="9" t="s">
        <v>1713</v>
      </c>
    </row>
    <row r="1722" spans="1:18" x14ac:dyDescent="0.25">
      <c r="A1722" s="6" t="str">
        <f>HYPERLINK("proteomic_fractions_linear_files/Yang_linear_img/226958385.jpg", "226958385")</f>
        <v>226958385</v>
      </c>
      <c r="B1722" s="7"/>
      <c r="C1722" s="6" t="str">
        <f>HYPERLINK("http://www.ncbi.nlm.nih.gov/protein/226958385","Ddx24")</f>
        <v>Ddx24</v>
      </c>
      <c r="D1722" s="8"/>
      <c r="E1722" s="8">
        <v>101245</v>
      </c>
      <c r="F1722" s="8"/>
      <c r="G1722" s="15" t="s">
        <v>10</v>
      </c>
      <c r="H1722" s="15" t="s">
        <v>10</v>
      </c>
      <c r="I1722" s="15" t="s">
        <v>10</v>
      </c>
      <c r="J1722" s="15" t="s">
        <v>10</v>
      </c>
      <c r="K1722" s="15">
        <v>1.2744715657932373</v>
      </c>
      <c r="L1722" s="15">
        <v>1.2744715657932373</v>
      </c>
      <c r="M1722" s="15">
        <v>1.2744715657932373</v>
      </c>
      <c r="N1722" s="15">
        <v>1.2744715657932373</v>
      </c>
      <c r="O1722" s="15">
        <v>0.2039350612540225</v>
      </c>
      <c r="P1722" s="15">
        <v>0.2039350612540225</v>
      </c>
      <c r="Q1722" s="8"/>
      <c r="R1722" s="9" t="s">
        <v>1714</v>
      </c>
    </row>
    <row r="1723" spans="1:18" x14ac:dyDescent="0.25">
      <c r="A1723" s="6" t="str">
        <f>HYPERLINK("proteomic_fractions_linear_files/Yang_linear_img/34328253.jpg", "34328253")</f>
        <v>34328253</v>
      </c>
      <c r="B1723" s="7"/>
      <c r="C1723" s="6" t="str">
        <f>HYPERLINK("http://www.ncbi.nlm.nih.gov/protein/34328253","Ddx24")</f>
        <v>Ddx24</v>
      </c>
      <c r="D1723" s="8"/>
      <c r="E1723" s="8">
        <v>96298</v>
      </c>
      <c r="F1723" s="8"/>
      <c r="G1723" s="15" t="s">
        <v>10</v>
      </c>
      <c r="H1723" s="15" t="s">
        <v>10</v>
      </c>
      <c r="I1723" s="15" t="s">
        <v>10</v>
      </c>
      <c r="J1723" s="15" t="s">
        <v>10</v>
      </c>
      <c r="K1723" s="15">
        <v>1.3408502931783017</v>
      </c>
      <c r="L1723" s="15">
        <v>1.3408502931783017</v>
      </c>
      <c r="M1723" s="15">
        <v>1.3408502931783017</v>
      </c>
      <c r="N1723" s="15">
        <v>1.3408502931783017</v>
      </c>
      <c r="O1723" s="15">
        <v>0.21455667902766951</v>
      </c>
      <c r="P1723" s="15">
        <v>0.21455667902766951</v>
      </c>
      <c r="Q1723" s="8"/>
      <c r="R1723" s="9" t="s">
        <v>1715</v>
      </c>
    </row>
    <row r="1724" spans="1:18" x14ac:dyDescent="0.25">
      <c r="A1724" s="6" t="str">
        <f>HYPERLINK("proteomic_fractions_linear_files/Yang_linear_img/163914388.jpg", "163914388")</f>
        <v>163914388</v>
      </c>
      <c r="B1724" s="7"/>
      <c r="C1724" s="6" t="str">
        <f>HYPERLINK("http://www.ncbi.nlm.nih.gov/protein/163914388","Ddx25")</f>
        <v>Ddx25</v>
      </c>
      <c r="D1724" s="8"/>
      <c r="E1724" s="8">
        <v>54745</v>
      </c>
      <c r="F1724" s="8"/>
      <c r="G1724" s="15" t="s">
        <v>10</v>
      </c>
      <c r="H1724" s="15" t="s">
        <v>10</v>
      </c>
      <c r="I1724" s="15">
        <v>0.96582853872729235</v>
      </c>
      <c r="J1724" s="15">
        <v>0.96582853872729235</v>
      </c>
      <c r="K1724" s="15">
        <v>1.0686037742835246</v>
      </c>
      <c r="L1724" s="15">
        <v>1.0686037742835246</v>
      </c>
      <c r="M1724" s="15">
        <v>1.0686037742835246</v>
      </c>
      <c r="N1724" s="15">
        <v>1.0686037742835246</v>
      </c>
      <c r="O1724" s="15">
        <v>0.96582853872729235</v>
      </c>
      <c r="P1724" s="15">
        <v>0.96582853872729235</v>
      </c>
      <c r="Q1724" s="8"/>
      <c r="R1724" s="9" t="s">
        <v>1716</v>
      </c>
    </row>
    <row r="1725" spans="1:18" x14ac:dyDescent="0.25">
      <c r="A1725" s="6" t="str">
        <f>HYPERLINK("proteomic_fractions_linear_files/Yang_linear_img/124249330.jpg", "124249330")</f>
        <v>124249330</v>
      </c>
      <c r="B1725" s="7"/>
      <c r="C1725" s="6" t="str">
        <f>HYPERLINK("http://www.ncbi.nlm.nih.gov/protein/124249330","Ddx27")</f>
        <v>Ddx27</v>
      </c>
      <c r="D1725" s="8"/>
      <c r="E1725" s="8">
        <v>85808</v>
      </c>
      <c r="F1725" s="8"/>
      <c r="G1725" s="15" t="s">
        <v>10</v>
      </c>
      <c r="H1725" s="15" t="s">
        <v>10</v>
      </c>
      <c r="I1725" s="15" t="s">
        <v>10</v>
      </c>
      <c r="J1725" s="15" t="s">
        <v>10</v>
      </c>
      <c r="K1725" s="15">
        <v>1.2767623700131565</v>
      </c>
      <c r="L1725" s="15">
        <v>1.2767623700131565</v>
      </c>
      <c r="M1725" s="15">
        <v>1.2767623700131565</v>
      </c>
      <c r="N1725" s="15">
        <v>1.2767623700131565</v>
      </c>
      <c r="O1725" s="15" t="s">
        <v>10</v>
      </c>
      <c r="P1725" s="15" t="s">
        <v>10</v>
      </c>
      <c r="Q1725" s="8"/>
      <c r="R1725" s="9" t="s">
        <v>1717</v>
      </c>
    </row>
    <row r="1726" spans="1:18" x14ac:dyDescent="0.25">
      <c r="A1726" s="6" t="str">
        <f>HYPERLINK("proteomic_fractions_linear_files/Yang_linear_img/255069809.jpg", "255069809")</f>
        <v>255069809</v>
      </c>
      <c r="B1726" s="7"/>
      <c r="C1726" s="6" t="str">
        <f>HYPERLINK("http://www.ncbi.nlm.nih.gov/protein/255069809","Ddx28")</f>
        <v>Ddx28</v>
      </c>
      <c r="D1726" s="8"/>
      <c r="E1726" s="8">
        <v>59384</v>
      </c>
      <c r="F1726" s="8"/>
      <c r="G1726" s="15" t="s">
        <v>10</v>
      </c>
      <c r="H1726" s="15" t="s">
        <v>10</v>
      </c>
      <c r="I1726" s="15">
        <v>0.99615606077277719</v>
      </c>
      <c r="J1726" s="15">
        <v>0.99615606077277719</v>
      </c>
      <c r="K1726" s="15" t="s">
        <v>10</v>
      </c>
      <c r="L1726" s="15" t="s">
        <v>10</v>
      </c>
      <c r="M1726" s="15" t="s">
        <v>10</v>
      </c>
      <c r="N1726" s="15" t="s">
        <v>10</v>
      </c>
      <c r="O1726" s="15" t="s">
        <v>10</v>
      </c>
      <c r="P1726" s="15" t="s">
        <v>10</v>
      </c>
      <c r="Q1726" s="8"/>
      <c r="R1726" s="9" t="s">
        <v>1718</v>
      </c>
    </row>
    <row r="1727" spans="1:18" x14ac:dyDescent="0.25">
      <c r="A1727" s="6" t="str">
        <f>HYPERLINK("proteomic_fractions_linear_files/Yang_linear_img/254675193.jpg", "254675193")</f>
        <v>254675193</v>
      </c>
      <c r="B1727" s="7"/>
      <c r="C1727" s="6" t="str">
        <f>HYPERLINK("http://www.ncbi.nlm.nih.gov/protein/254675193","Ddx31")</f>
        <v>Ddx31</v>
      </c>
      <c r="D1727" s="8"/>
      <c r="E1727" s="8">
        <v>76782</v>
      </c>
      <c r="F1727" s="8"/>
      <c r="G1727" s="15" t="s">
        <v>10</v>
      </c>
      <c r="H1727" s="15" t="s">
        <v>10</v>
      </c>
      <c r="I1727" s="15" t="s">
        <v>10</v>
      </c>
      <c r="J1727" s="15" t="s">
        <v>10</v>
      </c>
      <c r="K1727" s="15">
        <v>1.079203356794076</v>
      </c>
      <c r="L1727" s="15">
        <v>1.079203356794076</v>
      </c>
      <c r="M1727" s="15" t="s">
        <v>10</v>
      </c>
      <c r="N1727" s="15" t="s">
        <v>10</v>
      </c>
      <c r="O1727" s="15" t="s">
        <v>10</v>
      </c>
      <c r="P1727" s="15" t="s">
        <v>10</v>
      </c>
      <c r="Q1727" s="8"/>
      <c r="R1727" s="9" t="s">
        <v>1719</v>
      </c>
    </row>
    <row r="1728" spans="1:18" x14ac:dyDescent="0.25">
      <c r="A1728" s="6" t="str">
        <f>HYPERLINK("proteomic_fractions_linear_files/Yang_linear_img/38372907.jpg", "38372907")</f>
        <v>38372907</v>
      </c>
      <c r="B1728" s="7"/>
      <c r="C1728" s="6" t="str">
        <f>HYPERLINK("http://www.ncbi.nlm.nih.gov/protein/38372907","Ddx39")</f>
        <v>Ddx39</v>
      </c>
      <c r="D1728" s="8"/>
      <c r="E1728" s="8">
        <v>48936</v>
      </c>
      <c r="F1728" s="8"/>
      <c r="G1728" s="15">
        <v>1.3357808842968231</v>
      </c>
      <c r="H1728" s="15">
        <v>1.3357808842968231</v>
      </c>
      <c r="I1728" s="15">
        <v>0.9855097058043929</v>
      </c>
      <c r="J1728" s="15">
        <v>0.9855097058043929</v>
      </c>
      <c r="K1728" s="15">
        <v>1.0840932577551241</v>
      </c>
      <c r="L1728" s="15">
        <v>1.0840932577551241</v>
      </c>
      <c r="M1728" s="15">
        <v>0.9855097058043929</v>
      </c>
      <c r="N1728" s="15">
        <v>0.9855097058043929</v>
      </c>
      <c r="O1728" s="15">
        <v>0.9855097058043929</v>
      </c>
      <c r="P1728" s="15">
        <v>0.9855097058043929</v>
      </c>
      <c r="Q1728" s="8"/>
      <c r="R1728" s="9" t="s">
        <v>1720</v>
      </c>
    </row>
    <row r="1729" spans="1:18" x14ac:dyDescent="0.25">
      <c r="A1729" s="6" t="str">
        <f>HYPERLINK("proteomic_fractions_linear_files/Yang_linear_img/356995868.jpg", "356995868")</f>
        <v>356995868</v>
      </c>
      <c r="B1729" s="7"/>
      <c r="C1729" s="6" t="str">
        <f>HYPERLINK("http://www.ncbi.nlm.nih.gov/protein/356995868","Ddx39b")</f>
        <v>Ddx39b</v>
      </c>
      <c r="D1729" s="8"/>
      <c r="E1729" s="8">
        <v>48904</v>
      </c>
      <c r="F1729" s="8"/>
      <c r="G1729" s="15">
        <v>1.3357808842968231</v>
      </c>
      <c r="H1729" s="15">
        <v>1.3357808842968231</v>
      </c>
      <c r="I1729" s="15">
        <v>0.9855097058043929</v>
      </c>
      <c r="J1729" s="15">
        <v>0.9855097058043929</v>
      </c>
      <c r="K1729" s="15">
        <v>1.0840932577551241</v>
      </c>
      <c r="L1729" s="15">
        <v>1.0840932577551241</v>
      </c>
      <c r="M1729" s="15">
        <v>0.9855097058043929</v>
      </c>
      <c r="N1729" s="15">
        <v>0.9855097058043929</v>
      </c>
      <c r="O1729" s="15">
        <v>0.9855097058043929</v>
      </c>
      <c r="P1729" s="15">
        <v>0.9855097058043929</v>
      </c>
      <c r="Q1729" s="8"/>
      <c r="R1729" s="9" t="s">
        <v>1721</v>
      </c>
    </row>
    <row r="1730" spans="1:18" x14ac:dyDescent="0.25">
      <c r="A1730" s="6" t="str">
        <f>HYPERLINK("proteomic_fractions_linear_files/Yang_linear_img/6753620.jpg", "6753620")</f>
        <v>6753620</v>
      </c>
      <c r="B1730" s="7"/>
      <c r="C1730" s="6" t="str">
        <f>HYPERLINK("http://www.ncbi.nlm.nih.gov/protein/6753620","Ddx3x")</f>
        <v>Ddx3x</v>
      </c>
      <c r="D1730" s="8"/>
      <c r="E1730" s="8">
        <v>72971</v>
      </c>
      <c r="F1730" s="8"/>
      <c r="G1730" s="15">
        <v>1.0059747978312636</v>
      </c>
      <c r="H1730" s="15">
        <v>1.0059747978312636</v>
      </c>
      <c r="I1730" s="15">
        <v>1.0059747978312636</v>
      </c>
      <c r="J1730" s="15">
        <v>1.0059747978312636</v>
      </c>
      <c r="K1730" s="15">
        <v>1.1383377873033405</v>
      </c>
      <c r="L1730" s="15">
        <v>1.1383377873033405</v>
      </c>
      <c r="M1730" s="15">
        <v>1.1383377873033405</v>
      </c>
      <c r="N1730" s="15">
        <v>1.1383377873033405</v>
      </c>
      <c r="O1730" s="15">
        <v>1.0059747978312636</v>
      </c>
      <c r="P1730" s="15">
        <v>1.0059747978312636</v>
      </c>
      <c r="Q1730" s="8"/>
      <c r="R1730" s="9" t="s">
        <v>1722</v>
      </c>
    </row>
    <row r="1731" spans="1:18" x14ac:dyDescent="0.25">
      <c r="A1731" s="6" t="str">
        <f>HYPERLINK("proteomic_fractions_linear_files/Yang_linear_img/25141235.jpg", "25141235")</f>
        <v>25141235</v>
      </c>
      <c r="B1731" s="7"/>
      <c r="C1731" s="6" t="str">
        <f>HYPERLINK("http://www.ncbi.nlm.nih.gov/protein/25141235","Ddx3y")</f>
        <v>Ddx3y</v>
      </c>
      <c r="D1731" s="8"/>
      <c r="E1731" s="8">
        <v>73297</v>
      </c>
      <c r="F1731" s="8"/>
      <c r="G1731" s="15">
        <v>1.1383377873033405</v>
      </c>
      <c r="H1731" s="15">
        <v>1.1383377873033405</v>
      </c>
      <c r="I1731" s="15">
        <v>1.0059747978312636</v>
      </c>
      <c r="J1731" s="15">
        <v>1.0059747978312636</v>
      </c>
      <c r="K1731" s="15">
        <v>1.1383377873033405</v>
      </c>
      <c r="L1731" s="15">
        <v>1.1383377873033405</v>
      </c>
      <c r="M1731" s="15">
        <v>1.1383377873033405</v>
      </c>
      <c r="N1731" s="15">
        <v>1.1383377873033405</v>
      </c>
      <c r="O1731" s="15" t="s">
        <v>10</v>
      </c>
      <c r="P1731" s="15" t="s">
        <v>10</v>
      </c>
      <c r="Q1731" s="8"/>
      <c r="R1731" s="9" t="s">
        <v>1723</v>
      </c>
    </row>
    <row r="1732" spans="1:18" x14ac:dyDescent="0.25">
      <c r="A1732" s="6" t="str">
        <f>HYPERLINK("proteomic_fractions_linear_files/Yang_linear_img/225007636.jpg", "225007636")</f>
        <v>225007636</v>
      </c>
      <c r="B1732" s="7"/>
      <c r="C1732" s="6" t="str">
        <f>HYPERLINK("http://www.ncbi.nlm.nih.gov/protein/225007636","Ddx4")</f>
        <v>Ddx4</v>
      </c>
      <c r="D1732" s="8"/>
      <c r="E1732" s="8">
        <v>79153</v>
      </c>
      <c r="F1732" s="8"/>
      <c r="G1732" s="15" t="s">
        <v>10</v>
      </c>
      <c r="H1732" s="15" t="s">
        <v>10</v>
      </c>
      <c r="I1732" s="15">
        <v>1.3898932129257147</v>
      </c>
      <c r="J1732" s="15">
        <v>1.3898932129257147</v>
      </c>
      <c r="K1732" s="15">
        <v>1.0518817528246058</v>
      </c>
      <c r="L1732" s="15">
        <v>1.0518817528246058</v>
      </c>
      <c r="M1732" s="15">
        <v>1.0518817528246058</v>
      </c>
      <c r="N1732" s="15">
        <v>1.0518817528246058</v>
      </c>
      <c r="O1732" s="15" t="s">
        <v>10</v>
      </c>
      <c r="P1732" s="15" t="s">
        <v>10</v>
      </c>
      <c r="Q1732" s="8"/>
      <c r="R1732" s="9" t="s">
        <v>1724</v>
      </c>
    </row>
    <row r="1733" spans="1:18" x14ac:dyDescent="0.25">
      <c r="A1733" s="6" t="str">
        <f>HYPERLINK("proteomic_fractions_linear_files/Yang_linear_img/33859536.jpg", "33859536")</f>
        <v>33859536</v>
      </c>
      <c r="B1733" s="7"/>
      <c r="C1733" s="6" t="str">
        <f>HYPERLINK("http://www.ncbi.nlm.nih.gov/protein/33859536","Ddx4")</f>
        <v>Ddx4</v>
      </c>
      <c r="D1733" s="8"/>
      <c r="E1733" s="8">
        <v>76339</v>
      </c>
      <c r="F1733" s="8"/>
      <c r="G1733" s="15" t="s">
        <v>10</v>
      </c>
      <c r="H1733" s="15" t="s">
        <v>10</v>
      </c>
      <c r="I1733" s="15">
        <v>1.4447574186990984</v>
      </c>
      <c r="J1733" s="15">
        <v>1.4447574186990984</v>
      </c>
      <c r="K1733" s="15">
        <v>1.0934034009624192</v>
      </c>
      <c r="L1733" s="15">
        <v>1.0934034009624192</v>
      </c>
      <c r="M1733" s="15">
        <v>1.0934034009624192</v>
      </c>
      <c r="N1733" s="15">
        <v>1.0934034009624192</v>
      </c>
      <c r="O1733" s="15" t="s">
        <v>10</v>
      </c>
      <c r="P1733" s="15" t="s">
        <v>10</v>
      </c>
      <c r="Q1733" s="8"/>
      <c r="R1733" s="9" t="s">
        <v>1725</v>
      </c>
    </row>
    <row r="1734" spans="1:18" x14ac:dyDescent="0.25">
      <c r="A1734" s="6" t="str">
        <f>HYPERLINK("proteomic_fractions_linear_files/Yang_linear_img/270047502.jpg", "270047502")</f>
        <v>270047502</v>
      </c>
      <c r="B1734" s="7"/>
      <c r="C1734" s="6" t="str">
        <f>HYPERLINK("http://www.ncbi.nlm.nih.gov/protein/270047502","Ddx41")</f>
        <v>Ddx41</v>
      </c>
      <c r="D1734" s="8"/>
      <c r="E1734" s="8">
        <v>69689</v>
      </c>
      <c r="F1734" s="8"/>
      <c r="G1734" s="15" t="s">
        <v>10</v>
      </c>
      <c r="H1734" s="15" t="s">
        <v>10</v>
      </c>
      <c r="I1734" s="15" t="s">
        <v>10</v>
      </c>
      <c r="J1734" s="15" t="s">
        <v>10</v>
      </c>
      <c r="K1734" s="15">
        <v>1.1871236924734836</v>
      </c>
      <c r="L1734" s="15">
        <v>1.1871236924734836</v>
      </c>
      <c r="M1734" s="15">
        <v>1.1871236924734836</v>
      </c>
      <c r="N1734" s="15">
        <v>1.1871236924734836</v>
      </c>
      <c r="O1734" s="15" t="s">
        <v>10</v>
      </c>
      <c r="P1734" s="15" t="s">
        <v>10</v>
      </c>
      <c r="Q1734" s="8"/>
      <c r="R1734" s="9" t="s">
        <v>1726</v>
      </c>
    </row>
    <row r="1735" spans="1:18" x14ac:dyDescent="0.25">
      <c r="A1735" s="6" t="str">
        <f>HYPERLINK("proteomic_fractions_linear_files/Yang_linear_img/157838001.jpg", "157838001")</f>
        <v>157838001</v>
      </c>
      <c r="B1735" s="7"/>
      <c r="C1735" s="6" t="str">
        <f>HYPERLINK("http://www.ncbi.nlm.nih.gov/protein/157838001","Ddx42")</f>
        <v>Ddx42</v>
      </c>
      <c r="D1735" s="8"/>
      <c r="E1735" s="8">
        <v>101834</v>
      </c>
      <c r="F1735" s="8"/>
      <c r="G1735" s="15">
        <v>1.5044399131004103</v>
      </c>
      <c r="H1735" s="15">
        <v>1.5044399131004103</v>
      </c>
      <c r="I1735" s="15">
        <v>1.0764859198150143</v>
      </c>
      <c r="J1735" s="15">
        <v>1.0764859198150143</v>
      </c>
      <c r="K1735" s="15" t="s">
        <v>10</v>
      </c>
      <c r="L1735" s="15" t="s">
        <v>10</v>
      </c>
      <c r="M1735" s="15">
        <v>1.2619767465207545</v>
      </c>
      <c r="N1735" s="15">
        <v>1.2619767465207545</v>
      </c>
      <c r="O1735" s="15">
        <v>1.0764859198150143</v>
      </c>
      <c r="P1735" s="15">
        <v>1.0764859198150143</v>
      </c>
      <c r="Q1735" s="8"/>
      <c r="R1735" s="9" t="s">
        <v>1727</v>
      </c>
    </row>
    <row r="1736" spans="1:18" x14ac:dyDescent="0.25">
      <c r="A1736" s="6" t="str">
        <f>HYPERLINK("proteomic_fractions_linear_files/Yang_linear_img/160420299.jpg", "160420299")</f>
        <v>160420299</v>
      </c>
      <c r="B1736" s="7"/>
      <c r="C1736" s="6" t="str">
        <f>HYPERLINK("http://www.ncbi.nlm.nih.gov/protein/160420299","Ddx46")</f>
        <v>Ddx46</v>
      </c>
      <c r="D1736" s="8"/>
      <c r="E1736" s="8">
        <v>117218</v>
      </c>
      <c r="F1736" s="8"/>
      <c r="G1736" s="15">
        <v>5.0725880826436258</v>
      </c>
      <c r="H1736" s="15">
        <v>5.0725880826436258</v>
      </c>
      <c r="I1736" s="15">
        <v>51.223076923076924</v>
      </c>
      <c r="J1736" s="15">
        <v>51.223076923076924</v>
      </c>
      <c r="K1736" s="15">
        <v>51.223076923076924</v>
      </c>
      <c r="L1736" s="15">
        <v>51.223076923076924</v>
      </c>
      <c r="M1736" s="15">
        <v>51.223076923076924</v>
      </c>
      <c r="N1736" s="15">
        <v>51.223076923076924</v>
      </c>
      <c r="O1736" s="15" t="s">
        <v>10</v>
      </c>
      <c r="P1736" s="15" t="s">
        <v>10</v>
      </c>
      <c r="Q1736" s="8"/>
      <c r="R1736" s="9" t="s">
        <v>1728</v>
      </c>
    </row>
    <row r="1737" spans="1:18" x14ac:dyDescent="0.25">
      <c r="A1737" s="6" t="str">
        <f>HYPERLINK("proteomic_fractions_linear_files/Yang_linear_img/27229058.jpg", "27229058")</f>
        <v>27229058</v>
      </c>
      <c r="B1737" s="7"/>
      <c r="C1737" s="6" t="str">
        <f>HYPERLINK("http://www.ncbi.nlm.nih.gov/protein/27229058","Ddx47")</f>
        <v>Ddx47</v>
      </c>
      <c r="D1737" s="8"/>
      <c r="E1737" s="8">
        <v>50508</v>
      </c>
      <c r="F1737" s="8"/>
      <c r="G1737" s="15" t="s">
        <v>10</v>
      </c>
      <c r="H1737" s="15" t="s">
        <v>10</v>
      </c>
      <c r="I1737" s="15">
        <v>0.94686226636108339</v>
      </c>
      <c r="J1737" s="15">
        <v>0.94686226636108339</v>
      </c>
      <c r="K1737" s="15">
        <v>1.0415797966666878</v>
      </c>
      <c r="L1737" s="15">
        <v>1.0415797966666878</v>
      </c>
      <c r="M1737" s="15">
        <v>0.94686226636108339</v>
      </c>
      <c r="N1737" s="15">
        <v>0.94686226636108339</v>
      </c>
      <c r="O1737" s="15" t="s">
        <v>10</v>
      </c>
      <c r="P1737" s="15" t="s">
        <v>10</v>
      </c>
      <c r="Q1737" s="8"/>
      <c r="R1737" s="9" t="s">
        <v>1729</v>
      </c>
    </row>
    <row r="1738" spans="1:18" x14ac:dyDescent="0.25">
      <c r="A1738" s="6" t="str">
        <f>HYPERLINK("proteomic_fractions_linear_files/Yang_linear_img/67972435.jpg", "67972435")</f>
        <v>67972435</v>
      </c>
      <c r="B1738" s="7"/>
      <c r="C1738" s="6" t="str">
        <f>HYPERLINK("http://www.ncbi.nlm.nih.gov/protein/67972435","Ddx49")</f>
        <v>Ddx49</v>
      </c>
      <c r="D1738" s="8"/>
      <c r="E1738" s="8">
        <v>53963</v>
      </c>
      <c r="F1738" s="8"/>
      <c r="G1738" s="15" t="s">
        <v>10</v>
      </c>
      <c r="H1738" s="15" t="s">
        <v>10</v>
      </c>
      <c r="I1738" s="15" t="s">
        <v>10</v>
      </c>
      <c r="J1738" s="15" t="s">
        <v>10</v>
      </c>
      <c r="K1738" s="15">
        <v>0.98371425240742738</v>
      </c>
      <c r="L1738" s="15">
        <v>0.98371425240742738</v>
      </c>
      <c r="M1738" s="15">
        <v>0.89425880711880101</v>
      </c>
      <c r="N1738" s="15">
        <v>0.89425880711880101</v>
      </c>
      <c r="O1738" s="15" t="s">
        <v>10</v>
      </c>
      <c r="P1738" s="15" t="s">
        <v>10</v>
      </c>
      <c r="Q1738" s="8"/>
      <c r="R1738" s="9" t="s">
        <v>1730</v>
      </c>
    </row>
    <row r="1739" spans="1:18" x14ac:dyDescent="0.25">
      <c r="A1739" s="6" t="str">
        <f>HYPERLINK("proteomic_fractions_linear_files/Yang_linear_img/83816893.jpg", "83816893")</f>
        <v>83816893</v>
      </c>
      <c r="B1739" s="7"/>
      <c r="C1739" s="6" t="str">
        <f>HYPERLINK("http://www.ncbi.nlm.nih.gov/protein/83816893","Ddx5")</f>
        <v>Ddx5</v>
      </c>
      <c r="D1739" s="8"/>
      <c r="E1739" s="8">
        <v>69135</v>
      </c>
      <c r="F1739" s="8"/>
      <c r="G1739" s="15">
        <v>1.2043283836687515</v>
      </c>
      <c r="H1739" s="15">
        <v>1.2043283836687515</v>
      </c>
      <c r="I1739" s="15">
        <v>0.94859801928325116</v>
      </c>
      <c r="J1739" s="15">
        <v>0.94859801928325116</v>
      </c>
      <c r="K1739" s="15">
        <v>1.0642921774156846</v>
      </c>
      <c r="L1739" s="15">
        <v>1.0642921774156846</v>
      </c>
      <c r="M1739" s="15">
        <v>1.0642921774156846</v>
      </c>
      <c r="N1739" s="15">
        <v>1.0642921774156846</v>
      </c>
      <c r="O1739" s="15">
        <v>0.94859801928325116</v>
      </c>
      <c r="P1739" s="15">
        <v>0.94859801928325116</v>
      </c>
      <c r="Q1739" s="8"/>
      <c r="R1739" s="9" t="s">
        <v>1731</v>
      </c>
    </row>
    <row r="1740" spans="1:18" x14ac:dyDescent="0.25">
      <c r="A1740" s="6" t="str">
        <f>HYPERLINK("proteomic_fractions_linear_files/Yang_linear_img/16716475.jpg", "16716475")</f>
        <v>16716475</v>
      </c>
      <c r="B1740" s="7"/>
      <c r="C1740" s="6" t="str">
        <f>HYPERLINK("http://www.ncbi.nlm.nih.gov/protein/16716475","Ddx50")</f>
        <v>Ddx50</v>
      </c>
      <c r="D1740" s="8"/>
      <c r="E1740" s="8">
        <v>82045</v>
      </c>
      <c r="F1740" s="8"/>
      <c r="G1740" s="15" t="s">
        <v>10</v>
      </c>
      <c r="H1740" s="15" t="s">
        <v>10</v>
      </c>
      <c r="I1740" s="15" t="s">
        <v>10</v>
      </c>
      <c r="J1740" s="15" t="s">
        <v>10</v>
      </c>
      <c r="K1740" s="15">
        <v>1.1581461119827379</v>
      </c>
      <c r="L1740" s="15">
        <v>1.1581461119827379</v>
      </c>
      <c r="M1740" s="15" t="s">
        <v>10</v>
      </c>
      <c r="N1740" s="15" t="s">
        <v>10</v>
      </c>
      <c r="O1740" s="15" t="s">
        <v>10</v>
      </c>
      <c r="P1740" s="15" t="s">
        <v>10</v>
      </c>
      <c r="Q1740" s="8"/>
      <c r="R1740" s="9" t="s">
        <v>1732</v>
      </c>
    </row>
    <row r="1741" spans="1:18" x14ac:dyDescent="0.25">
      <c r="A1741" s="6" t="str">
        <f>HYPERLINK("proteomic_fractions_linear_files/Yang_linear_img/40538825.jpg", "40538825")</f>
        <v>40538825</v>
      </c>
      <c r="B1741" s="7"/>
      <c r="C1741" s="6" t="str">
        <f>HYPERLINK("http://www.ncbi.nlm.nih.gov/protein/40538825","Ddx51")</f>
        <v>Ddx51</v>
      </c>
      <c r="D1741" s="8"/>
      <c r="E1741" s="8">
        <v>70237</v>
      </c>
      <c r="F1741" s="8"/>
      <c r="G1741" s="15" t="s">
        <v>10</v>
      </c>
      <c r="H1741" s="15" t="s">
        <v>10</v>
      </c>
      <c r="I1741" s="15" t="s">
        <v>10</v>
      </c>
      <c r="J1741" s="15" t="s">
        <v>10</v>
      </c>
      <c r="K1741" s="15" t="s">
        <v>10</v>
      </c>
      <c r="L1741" s="15" t="s">
        <v>10</v>
      </c>
      <c r="M1741" s="15">
        <v>1.1871236924734836</v>
      </c>
      <c r="N1741" s="15">
        <v>1.1871236924734836</v>
      </c>
      <c r="O1741" s="15" t="s">
        <v>10</v>
      </c>
      <c r="P1741" s="15" t="s">
        <v>10</v>
      </c>
      <c r="Q1741" s="8"/>
      <c r="R1741" s="9" t="s">
        <v>1733</v>
      </c>
    </row>
    <row r="1742" spans="1:18" x14ac:dyDescent="0.25">
      <c r="A1742" s="6" t="str">
        <f>HYPERLINK("proteomic_fractions_linear_files/Yang_linear_img/117647283.jpg", "117647283")</f>
        <v>117647283</v>
      </c>
      <c r="B1742" s="7"/>
      <c r="C1742" s="6" t="str">
        <f>HYPERLINK("http://www.ncbi.nlm.nih.gov/protein/117647283","Ddx55")</f>
        <v>Ddx55</v>
      </c>
      <c r="D1742" s="8"/>
      <c r="E1742" s="8">
        <v>68334</v>
      </c>
      <c r="F1742" s="8"/>
      <c r="G1742" s="15" t="s">
        <v>10</v>
      </c>
      <c r="H1742" s="15" t="s">
        <v>10</v>
      </c>
      <c r="I1742" s="15" t="s">
        <v>10</v>
      </c>
      <c r="J1742" s="15" t="s">
        <v>10</v>
      </c>
      <c r="K1742" s="15">
        <v>1.0799435329659153</v>
      </c>
      <c r="L1742" s="15">
        <v>1.0799435329659153</v>
      </c>
      <c r="M1742" s="15" t="s">
        <v>10</v>
      </c>
      <c r="N1742" s="15" t="s">
        <v>10</v>
      </c>
      <c r="O1742" s="15" t="s">
        <v>10</v>
      </c>
      <c r="P1742" s="15" t="s">
        <v>10</v>
      </c>
      <c r="Q1742" s="8"/>
      <c r="R1742" s="9" t="s">
        <v>1734</v>
      </c>
    </row>
    <row r="1743" spans="1:18" x14ac:dyDescent="0.25">
      <c r="A1743" s="6" t="str">
        <f>HYPERLINK("proteomic_fractions_linear_files/Yang_linear_img/299890889.jpg", "299890889")</f>
        <v>299890889</v>
      </c>
      <c r="B1743" s="7"/>
      <c r="C1743" s="6" t="str">
        <f>HYPERLINK("http://www.ncbi.nlm.nih.gov/protein/299890889","Ddx55")</f>
        <v>Ddx55</v>
      </c>
      <c r="D1743" s="8"/>
      <c r="E1743" s="8">
        <v>67892</v>
      </c>
      <c r="F1743" s="8"/>
      <c r="G1743" s="15" t="s">
        <v>10</v>
      </c>
      <c r="H1743" s="15" t="s">
        <v>10</v>
      </c>
      <c r="I1743" s="15" t="s">
        <v>10</v>
      </c>
      <c r="J1743" s="15" t="s">
        <v>10</v>
      </c>
      <c r="K1743" s="15">
        <v>1.0799435329659153</v>
      </c>
      <c r="L1743" s="15">
        <v>1.0799435329659153</v>
      </c>
      <c r="M1743" s="15" t="s">
        <v>10</v>
      </c>
      <c r="N1743" s="15" t="s">
        <v>10</v>
      </c>
      <c r="O1743" s="15" t="s">
        <v>10</v>
      </c>
      <c r="P1743" s="15" t="s">
        <v>10</v>
      </c>
      <c r="Q1743" s="8"/>
      <c r="R1743" s="9" t="s">
        <v>1735</v>
      </c>
    </row>
    <row r="1744" spans="1:18" x14ac:dyDescent="0.25">
      <c r="A1744" s="6" t="str">
        <f>HYPERLINK("proteomic_fractions_linear_files/Yang_linear_img/21312650.jpg", "21312650")</f>
        <v>21312650</v>
      </c>
      <c r="B1744" s="7"/>
      <c r="C1744" s="6" t="str">
        <f>HYPERLINK("http://www.ncbi.nlm.nih.gov/protein/21312650","Ddx56")</f>
        <v>Ddx56</v>
      </c>
      <c r="D1744" s="8"/>
      <c r="E1744" s="8">
        <v>61081</v>
      </c>
      <c r="F1744" s="8"/>
      <c r="G1744" s="15">
        <v>1.2038714793718401</v>
      </c>
      <c r="H1744" s="15">
        <v>1.2038714793718401</v>
      </c>
      <c r="I1744" s="15">
        <v>1.0730043168941694</v>
      </c>
      <c r="J1744" s="15">
        <v>1.0730043168941694</v>
      </c>
      <c r="K1744" s="15">
        <v>1.0730043168941694</v>
      </c>
      <c r="L1744" s="15">
        <v>1.0730043168941694</v>
      </c>
      <c r="M1744" s="15">
        <v>1.0730043168941694</v>
      </c>
      <c r="N1744" s="15">
        <v>1.0730043168941694</v>
      </c>
      <c r="O1744" s="15" t="s">
        <v>10</v>
      </c>
      <c r="P1744" s="15" t="s">
        <v>10</v>
      </c>
      <c r="Q1744" s="8"/>
      <c r="R1744" s="9" t="s">
        <v>1736</v>
      </c>
    </row>
    <row r="1745" spans="1:18" x14ac:dyDescent="0.25">
      <c r="A1745" s="6" t="str">
        <f>HYPERLINK("proteomic_fractions_linear_files/Yang_linear_img/153945886.jpg", "153945886")</f>
        <v>153945886</v>
      </c>
      <c r="B1745" s="7"/>
      <c r="C1745" s="6" t="str">
        <f>HYPERLINK("http://www.ncbi.nlm.nih.gov/protein/153945886","Ddx58")</f>
        <v>Ddx58</v>
      </c>
      <c r="D1745" s="8"/>
      <c r="E1745" s="8">
        <v>105845</v>
      </c>
      <c r="F1745" s="8"/>
      <c r="G1745" s="15" t="s">
        <v>10</v>
      </c>
      <c r="H1745" s="15" t="s">
        <v>10</v>
      </c>
      <c r="I1745" s="15" t="s">
        <v>10</v>
      </c>
      <c r="J1745" s="15" t="s">
        <v>10</v>
      </c>
      <c r="K1745" s="15">
        <v>1.2143549825011035</v>
      </c>
      <c r="L1745" s="15">
        <v>1.2143549825011035</v>
      </c>
      <c r="M1745" s="15">
        <v>1.2143549825011035</v>
      </c>
      <c r="N1745" s="15">
        <v>1.2143549825011035</v>
      </c>
      <c r="O1745" s="15">
        <v>1.2143549825011035</v>
      </c>
      <c r="P1745" s="15">
        <v>1.2143549825011035</v>
      </c>
      <c r="Q1745" s="8"/>
      <c r="R1745" s="9" t="s">
        <v>1737</v>
      </c>
    </row>
    <row r="1746" spans="1:18" x14ac:dyDescent="0.25">
      <c r="A1746" s="6" t="str">
        <f>HYPERLINK("proteomic_fractions_linear_files/Yang_linear_img/6681159.jpg", "6681159")</f>
        <v>6681159</v>
      </c>
      <c r="B1746" s="7"/>
      <c r="C1746" s="6" t="str">
        <f>HYPERLINK("http://www.ncbi.nlm.nih.gov/protein/6681159","Ddx6")</f>
        <v>Ddx6</v>
      </c>
      <c r="D1746" s="8"/>
      <c r="E1746" s="8">
        <v>54061</v>
      </c>
      <c r="F1746" s="8"/>
      <c r="G1746" s="15" t="s">
        <v>10</v>
      </c>
      <c r="H1746" s="15" t="s">
        <v>10</v>
      </c>
      <c r="I1746" s="15">
        <v>0.98371425240742738</v>
      </c>
      <c r="J1746" s="15">
        <v>0.98371425240742738</v>
      </c>
      <c r="K1746" s="15">
        <v>0.98371425240742738</v>
      </c>
      <c r="L1746" s="15">
        <v>0.98371425240742738</v>
      </c>
      <c r="M1746" s="15">
        <v>0.98371425240742738</v>
      </c>
      <c r="N1746" s="15">
        <v>0.98371425240742738</v>
      </c>
      <c r="O1746" s="15">
        <v>0.89425880711880101</v>
      </c>
      <c r="P1746" s="15">
        <v>0.89425880711880101</v>
      </c>
      <c r="Q1746" s="8"/>
      <c r="R1746" s="9" t="s">
        <v>1738</v>
      </c>
    </row>
    <row r="1747" spans="1:18" x14ac:dyDescent="0.25">
      <c r="A1747" s="6" t="str">
        <f>HYPERLINK("proteomic_fractions_linear_files/Yang_linear_img/124487049.jpg", "124487049")</f>
        <v>124487049</v>
      </c>
      <c r="B1747" s="7"/>
      <c r="C1747" s="6" t="str">
        <f>HYPERLINK("http://www.ncbi.nlm.nih.gov/protein/124487049","Ddx60")</f>
        <v>Ddx60</v>
      </c>
      <c r="D1747" s="8"/>
      <c r="E1747" s="8">
        <v>197526</v>
      </c>
      <c r="F1747" s="8"/>
      <c r="G1747" s="15" t="s">
        <v>10</v>
      </c>
      <c r="H1747" s="15" t="s">
        <v>10</v>
      </c>
      <c r="I1747" s="15" t="s">
        <v>10</v>
      </c>
      <c r="J1747" s="15" t="s">
        <v>10</v>
      </c>
      <c r="K1747" s="15">
        <v>1.1785901395345912</v>
      </c>
      <c r="L1747" s="15">
        <v>1.1785901395345912</v>
      </c>
      <c r="M1747" s="15" t="s">
        <v>10</v>
      </c>
      <c r="N1747" s="15" t="s">
        <v>10</v>
      </c>
      <c r="O1747" s="15" t="s">
        <v>10</v>
      </c>
      <c r="P1747" s="15" t="s">
        <v>10</v>
      </c>
      <c r="Q1747" s="8"/>
      <c r="R1747" s="9" t="s">
        <v>1739</v>
      </c>
    </row>
    <row r="1748" spans="1:18" x14ac:dyDescent="0.25">
      <c r="A1748" s="6" t="str">
        <f>HYPERLINK("proteomic_fractions_linear_files/Yang_linear_img/21312078.jpg", "21312078")</f>
        <v>21312078</v>
      </c>
      <c r="B1748" s="7"/>
      <c r="C1748" s="6" t="str">
        <f>HYPERLINK("http://www.ncbi.nlm.nih.gov/protein/21312078","Deb1")</f>
        <v>Deb1</v>
      </c>
      <c r="D1748" s="8"/>
      <c r="E1748" s="8">
        <v>8742</v>
      </c>
      <c r="F1748" s="8"/>
      <c r="G1748" s="15" t="s">
        <v>10</v>
      </c>
      <c r="H1748" s="15" t="s">
        <v>10</v>
      </c>
      <c r="I1748" s="15" t="s">
        <v>10</v>
      </c>
      <c r="J1748" s="15" t="s">
        <v>10</v>
      </c>
      <c r="K1748" s="15">
        <v>1.3592068102590398</v>
      </c>
      <c r="L1748" s="15">
        <v>1.3056572917581817</v>
      </c>
      <c r="M1748" s="15" t="s">
        <v>10</v>
      </c>
      <c r="N1748" s="15" t="s">
        <v>10</v>
      </c>
      <c r="O1748" s="15" t="s">
        <v>10</v>
      </c>
      <c r="P1748" s="15" t="s">
        <v>10</v>
      </c>
      <c r="Q1748" s="8"/>
      <c r="R1748" s="9" t="s">
        <v>1740</v>
      </c>
    </row>
    <row r="1749" spans="1:18" x14ac:dyDescent="0.25">
      <c r="A1749" s="6" t="str">
        <f>HYPERLINK("proteomic_fractions_linear_files/Yang_linear_img/6753622.jpg", "6753622")</f>
        <v>6753622</v>
      </c>
      <c r="B1749" s="7"/>
      <c r="C1749" s="6" t="str">
        <f>HYPERLINK("http://www.ncbi.nlm.nih.gov/protein/6753622","Decr2")</f>
        <v>Decr2</v>
      </c>
      <c r="D1749" s="8"/>
      <c r="E1749" s="8">
        <v>31169</v>
      </c>
      <c r="F1749" s="8"/>
      <c r="G1749" s="15">
        <v>0.84355671340080651</v>
      </c>
      <c r="H1749" s="15">
        <v>0.84355671340080651</v>
      </c>
      <c r="I1749" s="15">
        <v>0.90058746121555033</v>
      </c>
      <c r="J1749" s="15">
        <v>0.90058746121555033</v>
      </c>
      <c r="K1749" s="15">
        <v>0.90058746121555033</v>
      </c>
      <c r="L1749" s="15">
        <v>0.90058746121555033</v>
      </c>
      <c r="M1749" s="15" t="s">
        <v>10</v>
      </c>
      <c r="N1749" s="15" t="s">
        <v>10</v>
      </c>
      <c r="O1749" s="15" t="s">
        <v>10</v>
      </c>
      <c r="P1749" s="15" t="s">
        <v>10</v>
      </c>
      <c r="Q1749" s="8"/>
      <c r="R1749" s="9" t="s">
        <v>1741</v>
      </c>
    </row>
    <row r="1750" spans="1:18" x14ac:dyDescent="0.25">
      <c r="A1750" s="6" t="str">
        <f>HYPERLINK("proteomic_fractions_linear_files/Yang_linear_img/6681175.jpg", "6681175")</f>
        <v>6681175</v>
      </c>
      <c r="B1750" s="7"/>
      <c r="C1750" s="6" t="str">
        <f>HYPERLINK("http://www.ncbi.nlm.nih.gov/protein/6681175","Degs1")</f>
        <v>Degs1</v>
      </c>
      <c r="D1750" s="8"/>
      <c r="E1750" s="8">
        <v>38110</v>
      </c>
      <c r="F1750" s="8"/>
      <c r="G1750" s="15">
        <v>0.68816468724802637</v>
      </c>
      <c r="H1750" s="15">
        <v>0.68816468724802637</v>
      </c>
      <c r="I1750" s="15">
        <v>0.68816468724802637</v>
      </c>
      <c r="J1750" s="15">
        <v>0.68816468724802637</v>
      </c>
      <c r="K1750" s="15">
        <v>0.73468977099163313</v>
      </c>
      <c r="L1750" s="15">
        <v>0.73468977099163313</v>
      </c>
      <c r="M1750" s="15" t="s">
        <v>10</v>
      </c>
      <c r="N1750" s="15" t="s">
        <v>10</v>
      </c>
      <c r="O1750" s="15" t="s">
        <v>10</v>
      </c>
      <c r="P1750" s="15" t="s">
        <v>10</v>
      </c>
      <c r="Q1750" s="8"/>
      <c r="R1750" s="9" t="s">
        <v>1742</v>
      </c>
    </row>
    <row r="1751" spans="1:18" x14ac:dyDescent="0.25">
      <c r="A1751" s="6" t="str">
        <f>HYPERLINK("proteomic_fractions_linear_files/Yang_linear_img/253795498.jpg", "253795498")</f>
        <v>253795498</v>
      </c>
      <c r="B1751" s="7"/>
      <c r="C1751" s="6" t="str">
        <f>HYPERLINK("http://www.ncbi.nlm.nih.gov/protein/253795498","Dek")</f>
        <v>Dek</v>
      </c>
      <c r="D1751" s="8"/>
      <c r="E1751" s="8">
        <v>43028</v>
      </c>
      <c r="F1751" s="8"/>
      <c r="G1751" s="15">
        <v>1.5221689146638218</v>
      </c>
      <c r="H1751" s="15">
        <v>1.5221689146638218</v>
      </c>
      <c r="I1751" s="15">
        <v>139.37441860465117</v>
      </c>
      <c r="J1751" s="15">
        <v>139.37441860465117</v>
      </c>
      <c r="K1751" s="15">
        <v>1.2353620844186297</v>
      </c>
      <c r="L1751" s="15">
        <v>1.2353620844186297</v>
      </c>
      <c r="M1751" s="15" t="s">
        <v>10</v>
      </c>
      <c r="N1751" s="15" t="s">
        <v>10</v>
      </c>
      <c r="O1751" s="15">
        <v>0.29644696144040988</v>
      </c>
      <c r="P1751" s="15">
        <v>0.29644696144040988</v>
      </c>
      <c r="Q1751" s="8"/>
      <c r="R1751" s="9" t="s">
        <v>1743</v>
      </c>
    </row>
    <row r="1752" spans="1:18" x14ac:dyDescent="0.25">
      <c r="A1752" s="6" t="str">
        <f>HYPERLINK("proteomic_fractions_linear_files/Yang_linear_img/24025656.jpg", "24025656")</f>
        <v>24025656</v>
      </c>
      <c r="B1752" s="7"/>
      <c r="C1752" s="6" t="str">
        <f>HYPERLINK("http://www.ncbi.nlm.nih.gov/protein/24025656","Dennd1c")</f>
        <v>Dennd1c</v>
      </c>
      <c r="D1752" s="8"/>
      <c r="E1752" s="8">
        <v>86559</v>
      </c>
      <c r="F1752" s="8"/>
      <c r="G1752" s="15" t="s">
        <v>10</v>
      </c>
      <c r="H1752" s="15" t="s">
        <v>10</v>
      </c>
      <c r="I1752" s="15">
        <v>0.18307404348484799</v>
      </c>
      <c r="J1752" s="15">
        <v>0.18307404348484799</v>
      </c>
      <c r="K1752" s="15" t="s">
        <v>10</v>
      </c>
      <c r="L1752" s="15" t="s">
        <v>10</v>
      </c>
      <c r="M1752" s="15" t="s">
        <v>10</v>
      </c>
      <c r="N1752" s="15" t="s">
        <v>10</v>
      </c>
      <c r="O1752" s="15" t="s">
        <v>10</v>
      </c>
      <c r="P1752" s="15" t="s">
        <v>10</v>
      </c>
      <c r="Q1752" s="8"/>
      <c r="R1752" s="9" t="s">
        <v>1744</v>
      </c>
    </row>
    <row r="1753" spans="1:18" x14ac:dyDescent="0.25">
      <c r="A1753" s="6" t="str">
        <f>HYPERLINK("proteomic_fractions_linear_files/Yang_linear_img/27369652.jpg", "27369652")</f>
        <v>27369652</v>
      </c>
      <c r="B1753" s="7"/>
      <c r="C1753" s="6" t="str">
        <f>HYPERLINK("http://www.ncbi.nlm.nih.gov/protein/27369652","Dennd2a")</f>
        <v>Dennd2a</v>
      </c>
      <c r="D1753" s="8"/>
      <c r="E1753" s="8">
        <v>112963</v>
      </c>
      <c r="F1753" s="8"/>
      <c r="G1753" s="15" t="s">
        <v>10</v>
      </c>
      <c r="H1753" s="15" t="s">
        <v>10</v>
      </c>
      <c r="I1753" s="15" t="s">
        <v>10</v>
      </c>
      <c r="J1753" s="15" t="s">
        <v>10</v>
      </c>
      <c r="K1753" s="15">
        <v>0.47009353654868213</v>
      </c>
      <c r="L1753" s="15">
        <v>0.47009353654868213</v>
      </c>
      <c r="M1753" s="15" t="s">
        <v>10</v>
      </c>
      <c r="N1753" s="15" t="s">
        <v>10</v>
      </c>
      <c r="O1753" s="15" t="s">
        <v>10</v>
      </c>
      <c r="P1753" s="15" t="s">
        <v>10</v>
      </c>
      <c r="Q1753" s="8"/>
      <c r="R1753" s="9" t="s">
        <v>1745</v>
      </c>
    </row>
    <row r="1754" spans="1:18" x14ac:dyDescent="0.25">
      <c r="A1754" s="6" t="str">
        <f>HYPERLINK("proteomic_fractions_linear_files/Yang_linear_img/238814338.jpg", "238814338")</f>
        <v>238814338</v>
      </c>
      <c r="B1754" s="7"/>
      <c r="C1754" s="6" t="str">
        <f>HYPERLINK("http://www.ncbi.nlm.nih.gov/protein/238814338","Dennd2c")</f>
        <v>Dennd2c</v>
      </c>
      <c r="D1754" s="8"/>
      <c r="E1754" s="8">
        <v>104445</v>
      </c>
      <c r="F1754" s="8"/>
      <c r="G1754" s="15" t="s">
        <v>10</v>
      </c>
      <c r="H1754" s="15" t="s">
        <v>10</v>
      </c>
      <c r="I1754" s="15" t="s">
        <v>10</v>
      </c>
      <c r="J1754" s="15" t="s">
        <v>10</v>
      </c>
      <c r="K1754" s="15">
        <v>0.51077470798077962</v>
      </c>
      <c r="L1754" s="15">
        <v>0.51077470798077962</v>
      </c>
      <c r="M1754" s="15" t="s">
        <v>10</v>
      </c>
      <c r="N1754" s="15" t="s">
        <v>10</v>
      </c>
      <c r="O1754" s="15" t="s">
        <v>10</v>
      </c>
      <c r="P1754" s="15" t="s">
        <v>10</v>
      </c>
      <c r="Q1754" s="8"/>
      <c r="R1754" s="9" t="s">
        <v>1746</v>
      </c>
    </row>
    <row r="1755" spans="1:18" x14ac:dyDescent="0.25">
      <c r="A1755" s="6" t="str">
        <f>HYPERLINK("proteomic_fractions_linear_files/Yang_linear_img/389616154.jpg", "389616154")</f>
        <v>389616154</v>
      </c>
      <c r="B1755" s="7"/>
      <c r="C1755" s="6" t="str">
        <f>HYPERLINK("http://www.ncbi.nlm.nih.gov/protein/389616154","Dennd2d")</f>
        <v>Dennd2d</v>
      </c>
      <c r="D1755" s="8"/>
      <c r="E1755" s="8">
        <v>53935</v>
      </c>
      <c r="F1755" s="8"/>
      <c r="G1755" s="15" t="s">
        <v>10</v>
      </c>
      <c r="H1755" s="15" t="s">
        <v>10</v>
      </c>
      <c r="I1755" s="15" t="s">
        <v>10</v>
      </c>
      <c r="J1755" s="15" t="s">
        <v>10</v>
      </c>
      <c r="K1755" s="15">
        <v>0.98371425240742738</v>
      </c>
      <c r="L1755" s="15">
        <v>0.98371425240742738</v>
      </c>
      <c r="M1755" s="15">
        <v>0.89425880711880101</v>
      </c>
      <c r="N1755" s="15">
        <v>0.89425880711880101</v>
      </c>
      <c r="O1755" s="15" t="s">
        <v>10</v>
      </c>
      <c r="P1755" s="15" t="s">
        <v>10</v>
      </c>
      <c r="Q1755" s="8"/>
      <c r="R1755" s="9" t="s">
        <v>1747</v>
      </c>
    </row>
    <row r="1756" spans="1:18" x14ac:dyDescent="0.25">
      <c r="A1756" s="6" t="str">
        <f>HYPERLINK("proteomic_fractions_linear_files/Yang_linear_img/147904706.jpg", "147904706")</f>
        <v>147904706</v>
      </c>
      <c r="B1756" s="7"/>
      <c r="C1756" s="6" t="str">
        <f>HYPERLINK("http://www.ncbi.nlm.nih.gov/protein/147904706","Dennd2d")</f>
        <v>Dennd2d</v>
      </c>
      <c r="D1756" s="8"/>
      <c r="E1756" s="8">
        <v>52757</v>
      </c>
      <c r="F1756" s="8"/>
      <c r="G1756" s="15" t="s">
        <v>10</v>
      </c>
      <c r="H1756" s="15" t="s">
        <v>10</v>
      </c>
      <c r="I1756" s="15">
        <v>0.91113161480028781</v>
      </c>
      <c r="J1756" s="15">
        <v>0.91113161480028781</v>
      </c>
      <c r="K1756" s="15">
        <v>1.0022748986792656</v>
      </c>
      <c r="L1756" s="15">
        <v>1.0022748986792656</v>
      </c>
      <c r="M1756" s="15">
        <v>0.91113161480028781</v>
      </c>
      <c r="N1756" s="15">
        <v>0.91113161480028781</v>
      </c>
      <c r="O1756" s="15">
        <v>0.83255828767859374</v>
      </c>
      <c r="P1756" s="15">
        <v>0.83255828767859374</v>
      </c>
      <c r="Q1756" s="8"/>
      <c r="R1756" s="9" t="s">
        <v>1748</v>
      </c>
    </row>
    <row r="1757" spans="1:18" x14ac:dyDescent="0.25">
      <c r="A1757" s="6" t="str">
        <f>HYPERLINK("proteomic_fractions_linear_files/Yang_linear_img/124486710.jpg", "124486710")</f>
        <v>124486710</v>
      </c>
      <c r="B1757" s="7"/>
      <c r="C1757" s="6" t="str">
        <f>HYPERLINK("http://www.ncbi.nlm.nih.gov/protein/124486710","Dennd3")</f>
        <v>Dennd3</v>
      </c>
      <c r="D1757" s="8"/>
      <c r="E1757" s="8">
        <v>143461</v>
      </c>
      <c r="F1757" s="8"/>
      <c r="G1757" s="15" t="s">
        <v>10</v>
      </c>
      <c r="H1757" s="15" t="s">
        <v>10</v>
      </c>
      <c r="I1757" s="15" t="s">
        <v>10</v>
      </c>
      <c r="J1757" s="15" t="s">
        <v>10</v>
      </c>
      <c r="K1757" s="15">
        <v>1.3060547667128697</v>
      </c>
      <c r="L1757" s="15">
        <v>1.3060547667128697</v>
      </c>
      <c r="M1757" s="15" t="s">
        <v>10</v>
      </c>
      <c r="N1757" s="15" t="s">
        <v>10</v>
      </c>
      <c r="O1757" s="15" t="s">
        <v>10</v>
      </c>
      <c r="P1757" s="15" t="s">
        <v>10</v>
      </c>
      <c r="Q1757" s="8"/>
      <c r="R1757" s="9" t="s">
        <v>1749</v>
      </c>
    </row>
    <row r="1758" spans="1:18" x14ac:dyDescent="0.25">
      <c r="A1758" s="6" t="str">
        <f>HYPERLINK("proteomic_fractions_linear_files/Yang_linear_img/124486610.jpg", "124486610")</f>
        <v>124486610</v>
      </c>
      <c r="B1758" s="7"/>
      <c r="C1758" s="6" t="str">
        <f>HYPERLINK("http://www.ncbi.nlm.nih.gov/protein/124486610","Dennd4c")</f>
        <v>Dennd4c</v>
      </c>
      <c r="D1758" s="8"/>
      <c r="E1758" s="8">
        <v>178544</v>
      </c>
      <c r="F1758" s="8"/>
      <c r="G1758" s="15" t="s">
        <v>10</v>
      </c>
      <c r="H1758" s="15" t="s">
        <v>10</v>
      </c>
      <c r="I1758" s="15" t="s">
        <v>10</v>
      </c>
      <c r="J1758" s="15" t="s">
        <v>10</v>
      </c>
      <c r="K1758" s="15">
        <v>1.6859403610977586</v>
      </c>
      <c r="L1758" s="15">
        <v>1.6859403610977586</v>
      </c>
      <c r="M1758" s="15" t="s">
        <v>10</v>
      </c>
      <c r="N1758" s="15" t="s">
        <v>10</v>
      </c>
      <c r="O1758" s="15" t="s">
        <v>10</v>
      </c>
      <c r="P1758" s="15" t="s">
        <v>10</v>
      </c>
      <c r="Q1758" s="8"/>
      <c r="R1758" s="9" t="s">
        <v>1750</v>
      </c>
    </row>
    <row r="1759" spans="1:18" x14ac:dyDescent="0.25">
      <c r="A1759" s="6" t="str">
        <f>HYPERLINK("proteomic_fractions_linear_files/Yang_linear_img/300863147.jpg", "300863147")</f>
        <v>300863147</v>
      </c>
      <c r="B1759" s="7"/>
      <c r="C1759" s="6" t="str">
        <f>HYPERLINK("http://www.ncbi.nlm.nih.gov/protein/300863147","Dennd4c")</f>
        <v>Dennd4c</v>
      </c>
      <c r="D1759" s="8"/>
      <c r="E1759" s="8">
        <v>211328</v>
      </c>
      <c r="F1759" s="8"/>
      <c r="G1759" s="15" t="s">
        <v>10</v>
      </c>
      <c r="H1759" s="15" t="s">
        <v>10</v>
      </c>
      <c r="I1759" s="15" t="s">
        <v>10</v>
      </c>
      <c r="J1759" s="15" t="s">
        <v>10</v>
      </c>
      <c r="K1759" s="15">
        <v>1.4302527233957287</v>
      </c>
      <c r="L1759" s="15">
        <v>1.4302527233957287</v>
      </c>
      <c r="M1759" s="15" t="s">
        <v>10</v>
      </c>
      <c r="N1759" s="15" t="s">
        <v>10</v>
      </c>
      <c r="O1759" s="15" t="s">
        <v>10</v>
      </c>
      <c r="P1759" s="15" t="s">
        <v>10</v>
      </c>
      <c r="Q1759" s="8"/>
      <c r="R1759" s="9" t="s">
        <v>1751</v>
      </c>
    </row>
    <row r="1760" spans="1:18" x14ac:dyDescent="0.25">
      <c r="A1760" s="6" t="str">
        <f>HYPERLINK("proteomic_fractions_linear_files/Yang_linear_img/39930409.jpg", "39930409")</f>
        <v>39930409</v>
      </c>
      <c r="B1760" s="7"/>
      <c r="C1760" s="6" t="str">
        <f>HYPERLINK("http://www.ncbi.nlm.nih.gov/protein/39930409","Dennd5a")</f>
        <v>Dennd5a</v>
      </c>
      <c r="D1760" s="8"/>
      <c r="E1760" s="8">
        <v>146523</v>
      </c>
      <c r="F1760" s="8"/>
      <c r="G1760" s="15" t="s">
        <v>10</v>
      </c>
      <c r="H1760" s="15" t="s">
        <v>10</v>
      </c>
      <c r="I1760" s="15" t="s">
        <v>10</v>
      </c>
      <c r="J1760" s="15" t="s">
        <v>10</v>
      </c>
      <c r="K1760" s="15">
        <v>0.49956571592981119</v>
      </c>
      <c r="L1760" s="15">
        <v>0.49956571592981119</v>
      </c>
      <c r="M1760" s="15" t="s">
        <v>10</v>
      </c>
      <c r="N1760" s="15" t="s">
        <v>10</v>
      </c>
      <c r="O1760" s="15" t="s">
        <v>10</v>
      </c>
      <c r="P1760" s="15" t="s">
        <v>10</v>
      </c>
      <c r="Q1760" s="8"/>
      <c r="R1760" s="9" t="s">
        <v>1752</v>
      </c>
    </row>
    <row r="1761" spans="1:18" x14ac:dyDescent="0.25">
      <c r="A1761" s="6" t="str">
        <f>HYPERLINK("proteomic_fractions_linear_files/Yang_linear_img/197333847.jpg", "197333847")</f>
        <v>197333847</v>
      </c>
      <c r="B1761" s="7"/>
      <c r="C1761" s="6" t="str">
        <f>HYPERLINK("http://www.ncbi.nlm.nih.gov/protein/197333847","Dennd6a")</f>
        <v>Dennd6a</v>
      </c>
      <c r="D1761" s="8"/>
      <c r="E1761" s="8">
        <v>68836</v>
      </c>
      <c r="F1761" s="8"/>
      <c r="G1761" s="15" t="s">
        <v>10</v>
      </c>
      <c r="H1761" s="15" t="s">
        <v>10</v>
      </c>
      <c r="I1761" s="15">
        <v>0.94859801928325116</v>
      </c>
      <c r="J1761" s="15">
        <v>0.94859801928325116</v>
      </c>
      <c r="K1761" s="15">
        <v>1.0642921774156846</v>
      </c>
      <c r="L1761" s="15">
        <v>1.0642921774156846</v>
      </c>
      <c r="M1761" s="15" t="s">
        <v>10</v>
      </c>
      <c r="N1761" s="15" t="s">
        <v>10</v>
      </c>
      <c r="O1761" s="15" t="s">
        <v>10</v>
      </c>
      <c r="P1761" s="15" t="s">
        <v>10</v>
      </c>
      <c r="Q1761" s="8"/>
      <c r="R1761" s="9" t="s">
        <v>1753</v>
      </c>
    </row>
    <row r="1762" spans="1:18" x14ac:dyDescent="0.25">
      <c r="A1762" s="6" t="str">
        <f>HYPERLINK("proteomic_fractions_linear_files/Yang_linear_img/22122407.jpg", "22122407")</f>
        <v>22122407</v>
      </c>
      <c r="B1762" s="7"/>
      <c r="C1762" s="6" t="str">
        <f>HYPERLINK("http://www.ncbi.nlm.nih.gov/protein/22122407","Dennd6a")</f>
        <v>Dennd6a</v>
      </c>
      <c r="D1762" s="8"/>
      <c r="E1762" s="8">
        <v>63728</v>
      </c>
      <c r="F1762" s="8"/>
      <c r="G1762" s="15" t="s">
        <v>10</v>
      </c>
      <c r="H1762" s="15" t="s">
        <v>10</v>
      </c>
      <c r="I1762" s="15">
        <v>1.0227072395397552</v>
      </c>
      <c r="J1762" s="15">
        <v>1.0227072395397552</v>
      </c>
      <c r="K1762" s="15">
        <v>1.1474400037762851</v>
      </c>
      <c r="L1762" s="15">
        <v>1.1474400037762851</v>
      </c>
      <c r="M1762" s="15" t="s">
        <v>10</v>
      </c>
      <c r="N1762" s="15" t="s">
        <v>10</v>
      </c>
      <c r="O1762" s="15" t="s">
        <v>10</v>
      </c>
      <c r="P1762" s="15" t="s">
        <v>10</v>
      </c>
      <c r="Q1762" s="8"/>
      <c r="R1762" s="9" t="s">
        <v>1754</v>
      </c>
    </row>
    <row r="1763" spans="1:18" x14ac:dyDescent="0.25">
      <c r="A1763" s="6" t="str">
        <f>HYPERLINK("proteomic_fractions_linear_files/Yang_linear_img/13386092.jpg", "13386092")</f>
        <v>13386092</v>
      </c>
      <c r="B1763" s="7"/>
      <c r="C1763" s="6" t="str">
        <f>HYPERLINK("http://www.ncbi.nlm.nih.gov/protein/13386092","Denr")</f>
        <v>Denr</v>
      </c>
      <c r="D1763" s="8"/>
      <c r="E1763" s="8">
        <v>22035</v>
      </c>
      <c r="F1763" s="8"/>
      <c r="G1763" s="15" t="s">
        <v>10</v>
      </c>
      <c r="H1763" s="15" t="s">
        <v>10</v>
      </c>
      <c r="I1763" s="15" t="s">
        <v>10</v>
      </c>
      <c r="J1763" s="15" t="s">
        <v>10</v>
      </c>
      <c r="K1763" s="15" t="s">
        <v>10</v>
      </c>
      <c r="L1763" s="15" t="s">
        <v>10</v>
      </c>
      <c r="M1763" s="15">
        <v>1.3584275859869606</v>
      </c>
      <c r="N1763" s="15">
        <v>1.3584275859869606</v>
      </c>
      <c r="O1763" s="15">
        <v>1.1886480961556818</v>
      </c>
      <c r="P1763" s="15">
        <v>1.1886480961556818</v>
      </c>
      <c r="Q1763" s="8"/>
      <c r="R1763" s="9" t="s">
        <v>1755</v>
      </c>
    </row>
    <row r="1764" spans="1:18" x14ac:dyDescent="0.25">
      <c r="A1764" s="6" t="str">
        <f>HYPERLINK("proteomic_fractions_linear_files/Yang_linear_img/21450165.jpg", "21450165")</f>
        <v>21450165</v>
      </c>
      <c r="B1764" s="7"/>
      <c r="C1764" s="6" t="str">
        <f>HYPERLINK("http://www.ncbi.nlm.nih.gov/protein/21450165","Depdc7")</f>
        <v>Depdc7</v>
      </c>
      <c r="D1764" s="8"/>
      <c r="E1764" s="8">
        <v>58348</v>
      </c>
      <c r="F1764" s="8"/>
      <c r="G1764" s="15" t="s">
        <v>10</v>
      </c>
      <c r="H1764" s="15" t="s">
        <v>10</v>
      </c>
      <c r="I1764" s="15" t="s">
        <v>10</v>
      </c>
      <c r="J1764" s="15" t="s">
        <v>10</v>
      </c>
      <c r="K1764" s="15" t="s">
        <v>10</v>
      </c>
      <c r="L1764" s="15" t="s">
        <v>10</v>
      </c>
      <c r="M1764" s="15">
        <v>1.0133311652688595</v>
      </c>
      <c r="N1764" s="15">
        <v>1.0133311652688595</v>
      </c>
      <c r="O1764" s="15" t="s">
        <v>10</v>
      </c>
      <c r="P1764" s="15" t="s">
        <v>10</v>
      </c>
      <c r="Q1764" s="8"/>
      <c r="R1764" s="9" t="s">
        <v>1756</v>
      </c>
    </row>
    <row r="1765" spans="1:18" x14ac:dyDescent="0.25">
      <c r="A1765" s="6" t="str">
        <f>HYPERLINK("proteomic_fractions_linear_files/Yang_linear_img/27777677.jpg", "27777677")</f>
        <v>27777677</v>
      </c>
      <c r="B1765" s="7"/>
      <c r="C1765" s="6" t="str">
        <f>HYPERLINK("http://www.ncbi.nlm.nih.gov/protein/27777677","Dera")</f>
        <v>Dera</v>
      </c>
      <c r="D1765" s="8"/>
      <c r="E1765" s="8">
        <v>34844</v>
      </c>
      <c r="F1765" s="8"/>
      <c r="G1765" s="15" t="s">
        <v>10</v>
      </c>
      <c r="H1765" s="15" t="s">
        <v>10</v>
      </c>
      <c r="I1765" s="15">
        <v>0.91668779587810256</v>
      </c>
      <c r="J1765" s="15">
        <v>0.91668779587810256</v>
      </c>
      <c r="K1765" s="15">
        <v>0.91668779587810256</v>
      </c>
      <c r="L1765" s="15">
        <v>0.91668779587810256</v>
      </c>
      <c r="M1765" s="15">
        <v>0.91668779587810256</v>
      </c>
      <c r="N1765" s="15">
        <v>0.91668779587810256</v>
      </c>
      <c r="O1765" s="15">
        <v>0.85386876833466085</v>
      </c>
      <c r="P1765" s="15">
        <v>0.85386876833466085</v>
      </c>
      <c r="Q1765" s="8"/>
      <c r="R1765" s="9" t="s">
        <v>1757</v>
      </c>
    </row>
    <row r="1766" spans="1:18" x14ac:dyDescent="0.25">
      <c r="A1766" s="6" t="str">
        <f>HYPERLINK("proteomic_fractions_linear_files/Yang_linear_img/13195638.jpg", "13195638")</f>
        <v>13195638</v>
      </c>
      <c r="B1766" s="7"/>
      <c r="C1766" s="6" t="str">
        <f>HYPERLINK("http://www.ncbi.nlm.nih.gov/protein/13195638","Derl1")</f>
        <v>Derl1</v>
      </c>
      <c r="D1766" s="8"/>
      <c r="E1766" s="8">
        <v>28704</v>
      </c>
      <c r="F1766" s="8"/>
      <c r="G1766" s="15">
        <v>1.0305312721280391</v>
      </c>
      <c r="H1766" s="15">
        <v>1.0305312721280391</v>
      </c>
      <c r="I1766" s="15">
        <v>0.71025659264331975</v>
      </c>
      <c r="J1766" s="15">
        <v>0.71025659264331975</v>
      </c>
      <c r="K1766" s="15">
        <v>0.71025659264331975</v>
      </c>
      <c r="L1766" s="15">
        <v>0.71025659264331975</v>
      </c>
      <c r="M1766" s="15" t="s">
        <v>10</v>
      </c>
      <c r="N1766" s="15" t="s">
        <v>10</v>
      </c>
      <c r="O1766" s="15" t="s">
        <v>10</v>
      </c>
      <c r="P1766" s="15" t="s">
        <v>10</v>
      </c>
      <c r="Q1766" s="8"/>
      <c r="R1766" s="9" t="s">
        <v>1758</v>
      </c>
    </row>
    <row r="1767" spans="1:18" x14ac:dyDescent="0.25">
      <c r="A1767" s="6" t="str">
        <f>HYPERLINK("proteomic_fractions_linear_files/Yang_linear_img/15808990.jpg", "15808990")</f>
        <v>15808990</v>
      </c>
      <c r="B1767" s="7"/>
      <c r="C1767" s="6" t="str">
        <f>HYPERLINK("http://www.ncbi.nlm.nih.gov/protein/15808990","Derl2")</f>
        <v>Derl2</v>
      </c>
      <c r="D1767" s="8"/>
      <c r="E1767" s="8">
        <v>27508</v>
      </c>
      <c r="F1767" s="8"/>
      <c r="G1767" s="15" t="s">
        <v>10</v>
      </c>
      <c r="H1767" s="15" t="s">
        <v>10</v>
      </c>
      <c r="I1767" s="15">
        <v>0.73562289952343829</v>
      </c>
      <c r="J1767" s="15">
        <v>0.73562289952343829</v>
      </c>
      <c r="K1767" s="15">
        <v>0.73562289952343829</v>
      </c>
      <c r="L1767" s="15">
        <v>0.73562289952343829</v>
      </c>
      <c r="M1767" s="15" t="s">
        <v>10</v>
      </c>
      <c r="N1767" s="15" t="s">
        <v>10</v>
      </c>
      <c r="O1767" s="15" t="s">
        <v>10</v>
      </c>
      <c r="P1767" s="15" t="s">
        <v>10</v>
      </c>
      <c r="Q1767" s="8"/>
      <c r="R1767" s="9" t="s">
        <v>1759</v>
      </c>
    </row>
    <row r="1768" spans="1:18" x14ac:dyDescent="0.25">
      <c r="A1768" s="6" t="str">
        <f>HYPERLINK("proteomic_fractions_linear_files/Yang_linear_img/33563250.jpg", "33563250")</f>
        <v>33563250</v>
      </c>
      <c r="B1768" s="7"/>
      <c r="C1768" s="6" t="str">
        <f>HYPERLINK("http://www.ncbi.nlm.nih.gov/protein/33563250","Des")</f>
        <v>Des</v>
      </c>
      <c r="D1768" s="8"/>
      <c r="E1768" s="8">
        <v>53367</v>
      </c>
      <c r="F1768" s="8"/>
      <c r="G1768" s="15">
        <v>1.3855879290883442</v>
      </c>
      <c r="H1768" s="15">
        <v>1.3855879290883442</v>
      </c>
      <c r="I1768" s="15" t="s">
        <v>10</v>
      </c>
      <c r="J1768" s="15" t="s">
        <v>10</v>
      </c>
      <c r="K1768" s="15">
        <v>1.1089284450112047</v>
      </c>
      <c r="L1768" s="15">
        <v>1.1089284450112047</v>
      </c>
      <c r="M1768" s="15" t="s">
        <v>10</v>
      </c>
      <c r="N1768" s="15" t="s">
        <v>10</v>
      </c>
      <c r="O1768" s="15" t="s">
        <v>10</v>
      </c>
      <c r="P1768" s="15" t="s">
        <v>10</v>
      </c>
      <c r="Q1768" s="8"/>
      <c r="R1768" s="9" t="s">
        <v>1760</v>
      </c>
    </row>
    <row r="1769" spans="1:18" x14ac:dyDescent="0.25">
      <c r="A1769" s="6" t="str">
        <f>HYPERLINK("proteomic_fractions_linear_files/Yang_linear_img/70608119.jpg", "70608119")</f>
        <v>70608119</v>
      </c>
      <c r="B1769" s="7"/>
      <c r="C1769" s="6" t="str">
        <f>HYPERLINK("http://www.ncbi.nlm.nih.gov/protein/70608119","Dffa")</f>
        <v>Dffa</v>
      </c>
      <c r="D1769" s="8"/>
      <c r="E1769" s="8">
        <v>36441</v>
      </c>
      <c r="F1769" s="8"/>
      <c r="G1769" s="15" t="s">
        <v>10</v>
      </c>
      <c r="H1769" s="15" t="s">
        <v>10</v>
      </c>
      <c r="I1769" s="15" t="s">
        <v>10</v>
      </c>
      <c r="J1769" s="15" t="s">
        <v>10</v>
      </c>
      <c r="K1769" s="15" t="s">
        <v>10</v>
      </c>
      <c r="L1769" s="15" t="s">
        <v>10</v>
      </c>
      <c r="M1769" s="15" t="s">
        <v>10</v>
      </c>
      <c r="N1769" s="15" t="s">
        <v>10</v>
      </c>
      <c r="O1769" s="15">
        <v>0.72639605876180557</v>
      </c>
      <c r="P1769" s="15">
        <v>0.72639605876180557</v>
      </c>
      <c r="Q1769" s="8"/>
      <c r="R1769" s="9" t="s">
        <v>1761</v>
      </c>
    </row>
    <row r="1770" spans="1:18" x14ac:dyDescent="0.25">
      <c r="A1770" s="6" t="str">
        <f>HYPERLINK("proteomic_fractions_linear_files/Yang_linear_img/70608144.jpg", "70608144")</f>
        <v>70608144</v>
      </c>
      <c r="B1770" s="7"/>
      <c r="C1770" s="6" t="str">
        <f>HYPERLINK("http://www.ncbi.nlm.nih.gov/protein/70608144","Dffa")</f>
        <v>Dffa</v>
      </c>
      <c r="D1770" s="8"/>
      <c r="E1770" s="8">
        <v>29052</v>
      </c>
      <c r="F1770" s="8"/>
      <c r="G1770" s="15" t="s">
        <v>10</v>
      </c>
      <c r="H1770" s="15" t="s">
        <v>10</v>
      </c>
      <c r="I1770" s="15" t="s">
        <v>10</v>
      </c>
      <c r="J1770" s="15" t="s">
        <v>10</v>
      </c>
      <c r="K1770" s="15" t="s">
        <v>10</v>
      </c>
      <c r="L1770" s="15" t="s">
        <v>10</v>
      </c>
      <c r="M1770" s="15" t="s">
        <v>10</v>
      </c>
      <c r="N1770" s="15" t="s">
        <v>10</v>
      </c>
      <c r="O1770" s="15">
        <v>0.90173303846293107</v>
      </c>
      <c r="P1770" s="15">
        <v>0.90173303846293107</v>
      </c>
      <c r="Q1770" s="8"/>
      <c r="R1770" s="9" t="s">
        <v>1762</v>
      </c>
    </row>
    <row r="1771" spans="1:18" x14ac:dyDescent="0.25">
      <c r="A1771" s="6" t="str">
        <f>HYPERLINK("proteomic_fractions_linear_files/Yang_linear_img/9055204.jpg", "9055204")</f>
        <v>9055204</v>
      </c>
      <c r="B1771" s="7"/>
      <c r="C1771" s="6" t="str">
        <f>HYPERLINK("http://www.ncbi.nlm.nih.gov/protein/9055204","Dfna5")</f>
        <v>Dfna5</v>
      </c>
      <c r="D1771" s="8"/>
      <c r="E1771" s="8">
        <v>56500</v>
      </c>
      <c r="F1771" s="8"/>
      <c r="G1771" s="15" t="s">
        <v>10</v>
      </c>
      <c r="H1771" s="15" t="s">
        <v>10</v>
      </c>
      <c r="I1771" s="15" t="s">
        <v>10</v>
      </c>
      <c r="J1771" s="15" t="s">
        <v>10</v>
      </c>
      <c r="K1771" s="15">
        <v>1.0311089050104185</v>
      </c>
      <c r="L1771" s="15">
        <v>1.0311089050104185</v>
      </c>
      <c r="M1771" s="15" t="s">
        <v>10</v>
      </c>
      <c r="N1771" s="15" t="s">
        <v>10</v>
      </c>
      <c r="O1771" s="15" t="s">
        <v>10</v>
      </c>
      <c r="P1771" s="15" t="s">
        <v>10</v>
      </c>
      <c r="Q1771" s="8"/>
      <c r="R1771" s="9" t="s">
        <v>1763</v>
      </c>
    </row>
    <row r="1772" spans="1:18" x14ac:dyDescent="0.25">
      <c r="A1772" s="6" t="str">
        <f>HYPERLINK("proteomic_fractions_linear_files/Yang_linear_img/41152099.jpg", "41152099")</f>
        <v>41152099</v>
      </c>
      <c r="B1772" s="7"/>
      <c r="C1772" s="6" t="str">
        <f>HYPERLINK("http://www.ncbi.nlm.nih.gov/protein/41152099","Dgcr8")</f>
        <v>Dgcr8</v>
      </c>
      <c r="D1772" s="8"/>
      <c r="E1772" s="8">
        <v>86191</v>
      </c>
      <c r="F1772" s="8"/>
      <c r="G1772" s="15" t="s">
        <v>10</v>
      </c>
      <c r="H1772" s="15" t="s">
        <v>10</v>
      </c>
      <c r="I1772" s="15" t="s">
        <v>10</v>
      </c>
      <c r="J1772" s="15" t="s">
        <v>10</v>
      </c>
      <c r="K1772" s="15">
        <v>1.4967631179664764</v>
      </c>
      <c r="L1772" s="15">
        <v>1.4967631179664764</v>
      </c>
      <c r="M1772" s="15" t="s">
        <v>10</v>
      </c>
      <c r="N1772" s="15" t="s">
        <v>10</v>
      </c>
      <c r="O1772" s="15" t="s">
        <v>10</v>
      </c>
      <c r="P1772" s="15" t="s">
        <v>10</v>
      </c>
      <c r="Q1772" s="8"/>
      <c r="R1772" s="9" t="s">
        <v>1764</v>
      </c>
    </row>
    <row r="1773" spans="1:18" x14ac:dyDescent="0.25">
      <c r="A1773" s="6" t="str">
        <f>HYPERLINK("proteomic_fractions_linear_files/Yang_linear_img/31560474.jpg", "31560474")</f>
        <v>31560474</v>
      </c>
      <c r="B1773" s="7"/>
      <c r="C1773" s="6" t="str">
        <f>HYPERLINK("http://www.ncbi.nlm.nih.gov/protein/31560474","Dgka")</f>
        <v>Dgka</v>
      </c>
      <c r="D1773" s="8"/>
      <c r="E1773" s="8">
        <v>82632</v>
      </c>
      <c r="F1773" s="8"/>
      <c r="G1773" s="15" t="s">
        <v>10</v>
      </c>
      <c r="H1773" s="15" t="s">
        <v>10</v>
      </c>
      <c r="I1773" s="15">
        <v>1.001188656302938</v>
      </c>
      <c r="J1773" s="15">
        <v>1.001188656302938</v>
      </c>
      <c r="K1773" s="15" t="s">
        <v>10</v>
      </c>
      <c r="L1773" s="15" t="s">
        <v>10</v>
      </c>
      <c r="M1773" s="15">
        <v>1.001188656302938</v>
      </c>
      <c r="N1773" s="15">
        <v>1.001188656302938</v>
      </c>
      <c r="O1773" s="15" t="s">
        <v>10</v>
      </c>
      <c r="P1773" s="15" t="s">
        <v>10</v>
      </c>
      <c r="Q1773" s="8"/>
      <c r="R1773" s="9" t="s">
        <v>1765</v>
      </c>
    </row>
    <row r="1774" spans="1:18" x14ac:dyDescent="0.25">
      <c r="A1774" s="6" t="str">
        <f>HYPERLINK("proteomic_fractions_linear_files/Yang_linear_img/9506541.jpg", "9506541")</f>
        <v>9506541</v>
      </c>
      <c r="B1774" s="7"/>
      <c r="C1774" s="6" t="str">
        <f>HYPERLINK("http://www.ncbi.nlm.nih.gov/protein/9506541","Dgke")</f>
        <v>Dgke</v>
      </c>
      <c r="D1774" s="8"/>
      <c r="E1774" s="8">
        <v>63504</v>
      </c>
      <c r="F1774" s="8"/>
      <c r="G1774" s="15" t="s">
        <v>10</v>
      </c>
      <c r="H1774" s="15" t="s">
        <v>10</v>
      </c>
      <c r="I1774" s="15">
        <v>1.0227072395397552</v>
      </c>
      <c r="J1774" s="15">
        <v>1.0227072395397552</v>
      </c>
      <c r="K1774" s="15">
        <v>1.0227072395397552</v>
      </c>
      <c r="L1774" s="15">
        <v>1.0227072395397552</v>
      </c>
      <c r="M1774" s="15" t="s">
        <v>10</v>
      </c>
      <c r="N1774" s="15" t="s">
        <v>10</v>
      </c>
      <c r="O1774" s="15" t="s">
        <v>10</v>
      </c>
      <c r="P1774" s="15" t="s">
        <v>10</v>
      </c>
      <c r="Q1774" s="8"/>
      <c r="R1774" s="9" t="s">
        <v>1766</v>
      </c>
    </row>
    <row r="1775" spans="1:18" x14ac:dyDescent="0.25">
      <c r="A1775" s="6" t="str">
        <f>HYPERLINK("proteomic_fractions_linear_files/Yang_linear_img/124486741.jpg", "124486741")</f>
        <v>124486741</v>
      </c>
      <c r="B1775" s="7"/>
      <c r="C1775" s="6" t="str">
        <f>HYPERLINK("http://www.ncbi.nlm.nih.gov/protein/124486741","Dgkh")</f>
        <v>Dgkh</v>
      </c>
      <c r="D1775" s="8"/>
      <c r="E1775" s="8">
        <v>127231</v>
      </c>
      <c r="F1775" s="8"/>
      <c r="G1775" s="15" t="s">
        <v>10</v>
      </c>
      <c r="H1775" s="15" t="s">
        <v>10</v>
      </c>
      <c r="I1775" s="15">
        <v>0.12541292742662816</v>
      </c>
      <c r="J1775" s="15">
        <v>0.12541292742662816</v>
      </c>
      <c r="K1775" s="15" t="s">
        <v>10</v>
      </c>
      <c r="L1775" s="15" t="s">
        <v>10</v>
      </c>
      <c r="M1775" s="15" t="s">
        <v>10</v>
      </c>
      <c r="N1775" s="15" t="s">
        <v>10</v>
      </c>
      <c r="O1775" s="15">
        <v>1.4705970995270894</v>
      </c>
      <c r="P1775" s="15">
        <v>1.4705970995270894</v>
      </c>
      <c r="Q1775" s="8"/>
      <c r="R1775" s="9" t="s">
        <v>1767</v>
      </c>
    </row>
    <row r="1776" spans="1:18" x14ac:dyDescent="0.25">
      <c r="A1776" s="6" t="str">
        <f>HYPERLINK("proteomic_fractions_linear_files/Yang_linear_img/247269607.jpg", "247269607")</f>
        <v>247269607</v>
      </c>
      <c r="B1776" s="7"/>
      <c r="C1776" s="6" t="str">
        <f>HYPERLINK("http://www.ncbi.nlm.nih.gov/protein/247269607","Dguok")</f>
        <v>Dguok</v>
      </c>
      <c r="D1776" s="8"/>
      <c r="E1776" s="8">
        <v>28000</v>
      </c>
      <c r="F1776" s="8"/>
      <c r="G1776" s="15">
        <v>1.2340491618026852</v>
      </c>
      <c r="H1776" s="15">
        <v>1.2340491618026852</v>
      </c>
      <c r="I1776" s="15">
        <v>0.82534190623990877</v>
      </c>
      <c r="J1776" s="15">
        <v>0.82534190623990877</v>
      </c>
      <c r="K1776" s="15" t="s">
        <v>10</v>
      </c>
      <c r="L1776" s="15" t="s">
        <v>10</v>
      </c>
      <c r="M1776" s="15" t="s">
        <v>10</v>
      </c>
      <c r="N1776" s="15" t="s">
        <v>10</v>
      </c>
      <c r="O1776" s="15" t="s">
        <v>10</v>
      </c>
      <c r="P1776" s="15" t="s">
        <v>10</v>
      </c>
      <c r="Q1776" s="8"/>
      <c r="R1776" s="9" t="s">
        <v>1768</v>
      </c>
    </row>
    <row r="1777" spans="1:18" x14ac:dyDescent="0.25">
      <c r="A1777" s="6" t="str">
        <f>HYPERLINK("proteomic_fractions_linear_files/Yang_linear_img/247269645.jpg", "247269645")</f>
        <v>247269645</v>
      </c>
      <c r="B1777" s="7"/>
      <c r="C1777" s="6" t="str">
        <f>HYPERLINK("http://www.ncbi.nlm.nih.gov/protein/247269645","Dguok")</f>
        <v>Dguok</v>
      </c>
      <c r="D1777" s="8"/>
      <c r="E1777" s="8">
        <v>23276</v>
      </c>
      <c r="F1777" s="8"/>
      <c r="G1777" s="15">
        <v>1.5023207187163123</v>
      </c>
      <c r="H1777" s="15">
        <v>1.5023207187163123</v>
      </c>
      <c r="I1777" s="15">
        <v>1.0047640597703238</v>
      </c>
      <c r="J1777" s="15">
        <v>1.0047640597703238</v>
      </c>
      <c r="K1777" s="15" t="s">
        <v>10</v>
      </c>
      <c r="L1777" s="15" t="s">
        <v>10</v>
      </c>
      <c r="M1777" s="15" t="s">
        <v>10</v>
      </c>
      <c r="N1777" s="15" t="s">
        <v>10</v>
      </c>
      <c r="O1777" s="15" t="s">
        <v>10</v>
      </c>
      <c r="P1777" s="15" t="s">
        <v>10</v>
      </c>
      <c r="Q1777" s="8"/>
      <c r="R1777" s="9" t="s">
        <v>1769</v>
      </c>
    </row>
    <row r="1778" spans="1:18" x14ac:dyDescent="0.25">
      <c r="A1778" s="6" t="str">
        <f>HYPERLINK("proteomic_fractions_linear_files/Yang_linear_img/114155129.jpg", "114155129")</f>
        <v>114155129</v>
      </c>
      <c r="B1778" s="7"/>
      <c r="C1778" s="6" t="str">
        <f>HYPERLINK("http://www.ncbi.nlm.nih.gov/protein/114155129","Dhcr24")</f>
        <v>Dhcr24</v>
      </c>
      <c r="D1778" s="8"/>
      <c r="E1778" s="8">
        <v>57715</v>
      </c>
      <c r="F1778" s="8"/>
      <c r="G1778" s="15" t="s">
        <v>10</v>
      </c>
      <c r="H1778" s="15" t="s">
        <v>10</v>
      </c>
      <c r="I1778" s="15">
        <v>0.91587189017243242</v>
      </c>
      <c r="J1778" s="15">
        <v>0.91587189017243242</v>
      </c>
      <c r="K1778" s="15">
        <v>1.0133311652688595</v>
      </c>
      <c r="L1778" s="15">
        <v>1.0133311652688595</v>
      </c>
      <c r="M1778" s="15" t="s">
        <v>10</v>
      </c>
      <c r="N1778" s="15" t="s">
        <v>10</v>
      </c>
      <c r="O1778" s="15" t="s">
        <v>10</v>
      </c>
      <c r="P1778" s="15" t="s">
        <v>10</v>
      </c>
      <c r="Q1778" s="8"/>
      <c r="R1778" s="9" t="s">
        <v>1770</v>
      </c>
    </row>
    <row r="1779" spans="1:18" x14ac:dyDescent="0.25">
      <c r="A1779" s="6" t="str">
        <f>HYPERLINK("proteomic_fractions_linear_files/Yang_linear_img/6681179.jpg", "6681179")</f>
        <v>6681179</v>
      </c>
      <c r="B1779" s="7"/>
      <c r="C1779" s="6" t="str">
        <f>HYPERLINK("http://www.ncbi.nlm.nih.gov/protein/6681179","Dhcr7")</f>
        <v>Dhcr7</v>
      </c>
      <c r="D1779" s="8"/>
      <c r="E1779" s="8">
        <v>53788</v>
      </c>
      <c r="F1779" s="8"/>
      <c r="G1779" s="15" t="s">
        <v>10</v>
      </c>
      <c r="H1779" s="15" t="s">
        <v>10</v>
      </c>
      <c r="I1779" s="15">
        <v>0.75013552228190272</v>
      </c>
      <c r="J1779" s="15">
        <v>0.75013552228190272</v>
      </c>
      <c r="K1779" s="15">
        <v>0.75013552228190272</v>
      </c>
      <c r="L1779" s="15">
        <v>0.75013552228190272</v>
      </c>
      <c r="M1779" s="15" t="s">
        <v>10</v>
      </c>
      <c r="N1779" s="15" t="s">
        <v>10</v>
      </c>
      <c r="O1779" s="15" t="s">
        <v>10</v>
      </c>
      <c r="P1779" s="15" t="s">
        <v>10</v>
      </c>
      <c r="Q1779" s="8"/>
      <c r="R1779" s="9" t="s">
        <v>1771</v>
      </c>
    </row>
    <row r="1780" spans="1:18" x14ac:dyDescent="0.25">
      <c r="A1780" s="6" t="str">
        <f>HYPERLINK("proteomic_fractions_linear_files/Yang_linear_img/7106289.jpg", "7106289")</f>
        <v>7106289</v>
      </c>
      <c r="B1780" s="7"/>
      <c r="C1780" s="6" t="str">
        <f>HYPERLINK("http://www.ncbi.nlm.nih.gov/protein/7106289","Dhfr")</f>
        <v>Dhfr</v>
      </c>
      <c r="D1780" s="8"/>
      <c r="E1780" s="8">
        <v>21475</v>
      </c>
      <c r="F1780" s="8"/>
      <c r="G1780" s="15">
        <v>0.92862618228739402</v>
      </c>
      <c r="H1780" s="15">
        <v>0.92862618228739402</v>
      </c>
      <c r="I1780" s="15">
        <v>0.98083053269791776</v>
      </c>
      <c r="J1780" s="15">
        <v>0.98083053269791776</v>
      </c>
      <c r="K1780" s="15">
        <v>0.98083053269791776</v>
      </c>
      <c r="L1780" s="15">
        <v>0.98083053269791776</v>
      </c>
      <c r="M1780" s="15">
        <v>0.98083053269791776</v>
      </c>
      <c r="N1780" s="15">
        <v>0.98083053269791776</v>
      </c>
      <c r="O1780" s="15">
        <v>0.98083053269791776</v>
      </c>
      <c r="P1780" s="15">
        <v>0.98083053269791776</v>
      </c>
      <c r="Q1780" s="8"/>
      <c r="R1780" s="9" t="s">
        <v>1772</v>
      </c>
    </row>
    <row r="1781" spans="1:18" x14ac:dyDescent="0.25">
      <c r="A1781" s="6" t="str">
        <f>HYPERLINK("proteomic_fractions_linear_files/Yang_linear_img/9910194.jpg", "9910194")</f>
        <v>9910194</v>
      </c>
      <c r="B1781" s="7"/>
      <c r="C1781" s="6" t="str">
        <f>HYPERLINK("http://www.ncbi.nlm.nih.gov/protein/9910194","Dhodh")</f>
        <v>Dhodh</v>
      </c>
      <c r="D1781" s="8"/>
      <c r="E1781" s="8">
        <v>41403</v>
      </c>
      <c r="F1781" s="8"/>
      <c r="G1781" s="15" t="s">
        <v>10</v>
      </c>
      <c r="H1781" s="15" t="s">
        <v>10</v>
      </c>
      <c r="I1781" s="15">
        <v>0.91076405910059977</v>
      </c>
      <c r="J1781" s="15">
        <v>0.91076405910059977</v>
      </c>
      <c r="K1781" s="15">
        <v>0.98798337081031085</v>
      </c>
      <c r="L1781" s="15">
        <v>0.98798337081031085</v>
      </c>
      <c r="M1781" s="15" t="s">
        <v>10</v>
      </c>
      <c r="N1781" s="15" t="s">
        <v>10</v>
      </c>
      <c r="O1781" s="15" t="s">
        <v>10</v>
      </c>
      <c r="P1781" s="15" t="s">
        <v>10</v>
      </c>
      <c r="Q1781" s="8"/>
      <c r="R1781" s="9" t="s">
        <v>1773</v>
      </c>
    </row>
    <row r="1782" spans="1:18" x14ac:dyDescent="0.25">
      <c r="A1782" s="6" t="str">
        <f>HYPERLINK("proteomic_fractions_linear_files/Yang_linear_img/87252720.jpg", "87252720")</f>
        <v>87252720</v>
      </c>
      <c r="B1782" s="7"/>
      <c r="C1782" s="6" t="str">
        <f>HYPERLINK("http://www.ncbi.nlm.nih.gov/protein/87252720","Dhps")</f>
        <v>Dhps</v>
      </c>
      <c r="D1782" s="8"/>
      <c r="E1782" s="8">
        <v>40511</v>
      </c>
      <c r="F1782" s="8"/>
      <c r="G1782" s="15" t="s">
        <v>10</v>
      </c>
      <c r="H1782" s="15" t="s">
        <v>10</v>
      </c>
      <c r="I1782" s="15" t="s">
        <v>10</v>
      </c>
      <c r="J1782" s="15" t="s">
        <v>10</v>
      </c>
      <c r="K1782" s="15" t="s">
        <v>10</v>
      </c>
      <c r="L1782" s="15" t="s">
        <v>10</v>
      </c>
      <c r="M1782" s="15" t="s">
        <v>10</v>
      </c>
      <c r="N1782" s="15" t="s">
        <v>10</v>
      </c>
      <c r="O1782" s="15">
        <v>0.91076405910059977</v>
      </c>
      <c r="P1782" s="15">
        <v>0.91076405910059977</v>
      </c>
      <c r="Q1782" s="8"/>
      <c r="R1782" s="9" t="s">
        <v>1774</v>
      </c>
    </row>
    <row r="1783" spans="1:18" x14ac:dyDescent="0.25">
      <c r="A1783" s="6" t="str">
        <f>HYPERLINK("proteomic_fractions_linear_files/Yang_linear_img/31980844.jpg", "31980844")</f>
        <v>31980844</v>
      </c>
      <c r="B1783" s="7"/>
      <c r="C1783" s="6" t="str">
        <f>HYPERLINK("http://www.ncbi.nlm.nih.gov/protein/31980844","Dhrs1")</f>
        <v>Dhrs1</v>
      </c>
      <c r="D1783" s="8"/>
      <c r="E1783" s="8">
        <v>33874</v>
      </c>
      <c r="F1783" s="8"/>
      <c r="G1783" s="15">
        <v>1.2978114484401608</v>
      </c>
      <c r="H1783" s="15">
        <v>1.2978114484401608</v>
      </c>
      <c r="I1783" s="15">
        <v>0.94364920163922317</v>
      </c>
      <c r="J1783" s="15">
        <v>0.94364920163922317</v>
      </c>
      <c r="K1783" s="15">
        <v>0.94364920163922317</v>
      </c>
      <c r="L1783" s="15">
        <v>0.94364920163922317</v>
      </c>
      <c r="M1783" s="15">
        <v>0.94364920163922317</v>
      </c>
      <c r="N1783" s="15">
        <v>0.94364920163922317</v>
      </c>
      <c r="O1783" s="15" t="s">
        <v>10</v>
      </c>
      <c r="P1783" s="15" t="s">
        <v>10</v>
      </c>
      <c r="Q1783" s="8"/>
      <c r="R1783" s="9" t="s">
        <v>1775</v>
      </c>
    </row>
    <row r="1784" spans="1:18" x14ac:dyDescent="0.25">
      <c r="A1784" s="6" t="str">
        <f>HYPERLINK("proteomic_fractions_linear_files/Yang_linear_img/109715818.jpg", "109715818")</f>
        <v>109715818</v>
      </c>
      <c r="B1784" s="7"/>
      <c r="C1784" s="6" t="str">
        <f>HYPERLINK("http://www.ncbi.nlm.nih.gov/protein/109715818","Dhrs11")</f>
        <v>Dhrs11</v>
      </c>
      <c r="D1784" s="8"/>
      <c r="E1784" s="8">
        <v>25191</v>
      </c>
      <c r="F1784" s="8"/>
      <c r="G1784" s="15" t="s">
        <v>10</v>
      </c>
      <c r="H1784" s="15" t="s">
        <v>10</v>
      </c>
      <c r="I1784" s="15" t="s">
        <v>10</v>
      </c>
      <c r="J1784" s="15" t="s">
        <v>10</v>
      </c>
      <c r="K1784" s="15" t="s">
        <v>10</v>
      </c>
      <c r="L1784" s="15" t="s">
        <v>10</v>
      </c>
      <c r="M1784" s="15" t="s">
        <v>10</v>
      </c>
      <c r="N1784" s="15" t="s">
        <v>10</v>
      </c>
      <c r="O1784" s="15">
        <v>0.87182969082715001</v>
      </c>
      <c r="P1784" s="15">
        <v>0.87182969082715001</v>
      </c>
      <c r="Q1784" s="8"/>
      <c r="R1784" s="9" t="s">
        <v>1776</v>
      </c>
    </row>
    <row r="1785" spans="1:18" x14ac:dyDescent="0.25">
      <c r="A1785" s="6" t="str">
        <f>HYPERLINK("proteomic_fractions_linear_files/Yang_linear_img/117647267.jpg", "117647267")</f>
        <v>117647267</v>
      </c>
      <c r="B1785" s="7"/>
      <c r="C1785" s="6" t="str">
        <f>HYPERLINK("http://www.ncbi.nlm.nih.gov/protein/117647267","Dhrs13")</f>
        <v>Dhrs13</v>
      </c>
      <c r="D1785" s="8"/>
      <c r="E1785" s="8">
        <v>38034</v>
      </c>
      <c r="F1785" s="8"/>
      <c r="G1785" s="15" t="s">
        <v>10</v>
      </c>
      <c r="H1785" s="15" t="s">
        <v>10</v>
      </c>
      <c r="I1785" s="15">
        <v>0.98266648481906815</v>
      </c>
      <c r="J1785" s="15">
        <v>0.98266648481906815</v>
      </c>
      <c r="K1785" s="15">
        <v>1.0659820579795458</v>
      </c>
      <c r="L1785" s="15">
        <v>1.0659820579795458</v>
      </c>
      <c r="M1785" s="15" t="s">
        <v>10</v>
      </c>
      <c r="N1785" s="15" t="s">
        <v>10</v>
      </c>
      <c r="O1785" s="15" t="s">
        <v>10</v>
      </c>
      <c r="P1785" s="15" t="s">
        <v>10</v>
      </c>
      <c r="Q1785" s="8"/>
      <c r="R1785" s="9" t="s">
        <v>1777</v>
      </c>
    </row>
    <row r="1786" spans="1:18" x14ac:dyDescent="0.25">
      <c r="A1786" s="6" t="str">
        <f>HYPERLINK("proteomic_fractions_linear_files/Yang_linear_img/289063391.jpg", "289063391")</f>
        <v>289063391</v>
      </c>
      <c r="B1786" s="7"/>
      <c r="C1786" s="6" t="str">
        <f>HYPERLINK("http://www.ncbi.nlm.nih.gov/protein/289063391","Dhrs3")</f>
        <v>Dhrs3</v>
      </c>
      <c r="D1786" s="8"/>
      <c r="E1786" s="8">
        <v>30605</v>
      </c>
      <c r="F1786" s="8"/>
      <c r="G1786" s="15" t="s">
        <v>10</v>
      </c>
      <c r="H1786" s="15" t="s">
        <v>10</v>
      </c>
      <c r="I1786" s="15">
        <v>0.90058746121555033</v>
      </c>
      <c r="J1786" s="15">
        <v>0.90058746121555033</v>
      </c>
      <c r="K1786" s="15">
        <v>0.90058746121555033</v>
      </c>
      <c r="L1786" s="15">
        <v>0.90058746121555033</v>
      </c>
      <c r="M1786" s="15" t="s">
        <v>10</v>
      </c>
      <c r="N1786" s="15" t="s">
        <v>10</v>
      </c>
      <c r="O1786" s="15" t="s">
        <v>10</v>
      </c>
      <c r="P1786" s="15" t="s">
        <v>10</v>
      </c>
      <c r="Q1786" s="8"/>
      <c r="R1786" s="9" t="s">
        <v>1778</v>
      </c>
    </row>
    <row r="1787" spans="1:18" x14ac:dyDescent="0.25">
      <c r="A1787" s="6" t="str">
        <f>HYPERLINK("proteomic_fractions_linear_files/Yang_linear_img/6755380.jpg", "6755380")</f>
        <v>6755380</v>
      </c>
      <c r="B1787" s="7"/>
      <c r="C1787" s="6" t="str">
        <f>HYPERLINK("http://www.ncbi.nlm.nih.gov/protein/6755380","Dhrs3")</f>
        <v>Dhrs3</v>
      </c>
      <c r="D1787" s="8"/>
      <c r="E1787" s="8">
        <v>33521</v>
      </c>
      <c r="F1787" s="8"/>
      <c r="G1787" s="15" t="s">
        <v>10</v>
      </c>
      <c r="H1787" s="15" t="s">
        <v>10</v>
      </c>
      <c r="I1787" s="15">
        <v>0.82112386169653118</v>
      </c>
      <c r="J1787" s="15">
        <v>0.82112386169653118</v>
      </c>
      <c r="K1787" s="15">
        <v>0.82112386169653118</v>
      </c>
      <c r="L1787" s="15">
        <v>0.82112386169653118</v>
      </c>
      <c r="M1787" s="15" t="s">
        <v>10</v>
      </c>
      <c r="N1787" s="15" t="s">
        <v>10</v>
      </c>
      <c r="O1787" s="15" t="s">
        <v>10</v>
      </c>
      <c r="P1787" s="15" t="s">
        <v>10</v>
      </c>
      <c r="Q1787" s="8"/>
      <c r="R1787" s="9" t="s">
        <v>1779</v>
      </c>
    </row>
    <row r="1788" spans="1:18" x14ac:dyDescent="0.25">
      <c r="A1788" s="6" t="str">
        <f>HYPERLINK("proteomic_fractions_linear_files/Yang_linear_img/13507612.jpg", "13507612")</f>
        <v>13507612</v>
      </c>
      <c r="B1788" s="7"/>
      <c r="C1788" s="6" t="str">
        <f>HYPERLINK("http://www.ncbi.nlm.nih.gov/protein/13507612","Dhrs4")</f>
        <v>Dhrs4</v>
      </c>
      <c r="D1788" s="8"/>
      <c r="E1788" s="8">
        <v>23047</v>
      </c>
      <c r="F1788" s="8"/>
      <c r="G1788" s="15">
        <v>1.6235359314401996</v>
      </c>
      <c r="H1788" s="15">
        <v>1.5023207187163123</v>
      </c>
      <c r="I1788" s="15">
        <v>1.0676008962294312</v>
      </c>
      <c r="J1788" s="15">
        <v>1.0676008962294312</v>
      </c>
      <c r="K1788" s="15">
        <v>1.136967744148913</v>
      </c>
      <c r="L1788" s="15">
        <v>1.136967744148913</v>
      </c>
      <c r="M1788" s="15">
        <v>1.0676008962294312</v>
      </c>
      <c r="N1788" s="15">
        <v>1.0676008962294312</v>
      </c>
      <c r="O1788" s="15" t="s">
        <v>10</v>
      </c>
      <c r="P1788" s="15" t="s">
        <v>10</v>
      </c>
      <c r="Q1788" s="8"/>
      <c r="R1788" s="9" t="s">
        <v>1780</v>
      </c>
    </row>
    <row r="1789" spans="1:18" x14ac:dyDescent="0.25">
      <c r="A1789" s="6" t="str">
        <f>HYPERLINK("proteomic_fractions_linear_files/Yang_linear_img/256220343.jpg", "256220343")</f>
        <v>256220343</v>
      </c>
      <c r="B1789" s="7"/>
      <c r="C1789" s="6" t="str">
        <f>HYPERLINK("http://www.ncbi.nlm.nih.gov/protein/256220343","Dhrs4")</f>
        <v>Dhrs4</v>
      </c>
      <c r="D1789" s="8"/>
      <c r="E1789" s="8">
        <v>29754</v>
      </c>
      <c r="F1789" s="8"/>
      <c r="G1789" s="15">
        <v>1.1517792176825061</v>
      </c>
      <c r="H1789" s="15">
        <v>1.1517792176825061</v>
      </c>
      <c r="I1789" s="15">
        <v>0.81849402044256392</v>
      </c>
      <c r="J1789" s="15">
        <v>0.81849402044256392</v>
      </c>
      <c r="K1789" s="15">
        <v>0.87167527051416671</v>
      </c>
      <c r="L1789" s="15">
        <v>0.87167527051416671</v>
      </c>
      <c r="M1789" s="15">
        <v>0.81849402044256392</v>
      </c>
      <c r="N1789" s="15">
        <v>0.81849402044256392</v>
      </c>
      <c r="O1789" s="15" t="s">
        <v>10</v>
      </c>
      <c r="P1789" s="15" t="s">
        <v>10</v>
      </c>
      <c r="Q1789" s="8"/>
      <c r="R1789" s="9" t="s">
        <v>1781</v>
      </c>
    </row>
    <row r="1790" spans="1:18" x14ac:dyDescent="0.25">
      <c r="A1790" s="6" t="str">
        <f>HYPERLINK("proteomic_fractions_linear_files/Yang_linear_img/226958616.jpg", "226958616")</f>
        <v>226958616</v>
      </c>
      <c r="B1790" s="7"/>
      <c r="C1790" s="6" t="str">
        <f>HYPERLINK("http://www.ncbi.nlm.nih.gov/protein/226958616","Dhrs7")</f>
        <v>Dhrs7</v>
      </c>
      <c r="D1790" s="8"/>
      <c r="E1790" s="8">
        <v>34876</v>
      </c>
      <c r="F1790" s="8"/>
      <c r="G1790" s="15" t="s">
        <v>10</v>
      </c>
      <c r="H1790" s="15" t="s">
        <v>10</v>
      </c>
      <c r="I1790" s="15">
        <v>0.91668779587810256</v>
      </c>
      <c r="J1790" s="15">
        <v>0.91668779587810256</v>
      </c>
      <c r="K1790" s="15">
        <v>0.98723932944214809</v>
      </c>
      <c r="L1790" s="15">
        <v>0.98723932944214809</v>
      </c>
      <c r="M1790" s="15" t="s">
        <v>10</v>
      </c>
      <c r="N1790" s="15" t="s">
        <v>10</v>
      </c>
      <c r="O1790" s="15" t="s">
        <v>10</v>
      </c>
      <c r="P1790" s="15" t="s">
        <v>10</v>
      </c>
      <c r="Q1790" s="8"/>
      <c r="R1790" s="9" t="s">
        <v>1782</v>
      </c>
    </row>
    <row r="1791" spans="1:18" x14ac:dyDescent="0.25">
      <c r="A1791" s="6" t="str">
        <f>HYPERLINK("proteomic_fractions_linear_files/Yang_linear_img/21703854.jpg", "21703854")</f>
        <v>21703854</v>
      </c>
      <c r="B1791" s="7"/>
      <c r="C1791" s="6" t="str">
        <f>HYPERLINK("http://www.ncbi.nlm.nih.gov/protein/21703854","Dhrs7b")</f>
        <v>Dhrs7b</v>
      </c>
      <c r="D1791" s="8"/>
      <c r="E1791" s="8">
        <v>34856</v>
      </c>
      <c r="F1791" s="8"/>
      <c r="G1791" s="15">
        <v>0.79766317993377311</v>
      </c>
      <c r="H1791" s="15">
        <v>0.79766317993377311</v>
      </c>
      <c r="I1791" s="15">
        <v>0.85386876833466085</v>
      </c>
      <c r="J1791" s="15">
        <v>0.85386876833466085</v>
      </c>
      <c r="K1791" s="15">
        <v>0.85386876833466085</v>
      </c>
      <c r="L1791" s="15">
        <v>0.85386876833466085</v>
      </c>
      <c r="M1791" s="15" t="s">
        <v>10</v>
      </c>
      <c r="N1791" s="15" t="s">
        <v>10</v>
      </c>
      <c r="O1791" s="15" t="s">
        <v>10</v>
      </c>
      <c r="P1791" s="15" t="s">
        <v>10</v>
      </c>
      <c r="Q1791" s="8"/>
      <c r="R1791" s="9" t="s">
        <v>1783</v>
      </c>
    </row>
    <row r="1792" spans="1:18" x14ac:dyDescent="0.25">
      <c r="A1792" s="6" t="str">
        <f>HYPERLINK("proteomic_fractions_linear_files/Yang_linear_img/285403538.jpg", "285403538")</f>
        <v>285403538</v>
      </c>
      <c r="B1792" s="7"/>
      <c r="C1792" s="6" t="str">
        <f>HYPERLINK("http://www.ncbi.nlm.nih.gov/protein/285403538","Dhrs7b")</f>
        <v>Dhrs7b</v>
      </c>
      <c r="D1792" s="8"/>
      <c r="E1792" s="8">
        <v>33851</v>
      </c>
      <c r="F1792" s="8"/>
      <c r="G1792" s="15">
        <v>0.82112386169653118</v>
      </c>
      <c r="H1792" s="15">
        <v>0.82112386169653118</v>
      </c>
      <c r="I1792" s="15">
        <v>0.87898255563862149</v>
      </c>
      <c r="J1792" s="15">
        <v>0.87898255563862149</v>
      </c>
      <c r="K1792" s="15">
        <v>0.87898255563862149</v>
      </c>
      <c r="L1792" s="15">
        <v>0.87898255563862149</v>
      </c>
      <c r="M1792" s="15" t="s">
        <v>10</v>
      </c>
      <c r="N1792" s="15" t="s">
        <v>10</v>
      </c>
      <c r="O1792" s="15" t="s">
        <v>10</v>
      </c>
      <c r="P1792" s="15" t="s">
        <v>10</v>
      </c>
      <c r="Q1792" s="8"/>
      <c r="R1792" s="9" t="s">
        <v>1784</v>
      </c>
    </row>
    <row r="1793" spans="1:18" x14ac:dyDescent="0.25">
      <c r="A1793" s="6" t="str">
        <f>HYPERLINK("proteomic_fractions_linear_files/Yang_linear_img/110835723.jpg", "110835723")</f>
        <v>110835723</v>
      </c>
      <c r="B1793" s="7"/>
      <c r="C1793" s="6" t="str">
        <f>HYPERLINK("http://www.ncbi.nlm.nih.gov/protein/110835723","Dhx15")</f>
        <v>Dhx15</v>
      </c>
      <c r="D1793" s="8"/>
      <c r="E1793" s="8">
        <v>90876</v>
      </c>
      <c r="F1793" s="8"/>
      <c r="G1793" s="15">
        <v>1.206610591441005</v>
      </c>
      <c r="H1793" s="15">
        <v>1.206610591441005</v>
      </c>
      <c r="I1793" s="15">
        <v>1.0436041888196099</v>
      </c>
      <c r="J1793" s="15">
        <v>1.0436041888196099</v>
      </c>
      <c r="K1793" s="15">
        <v>1.0436041888196099</v>
      </c>
      <c r="L1793" s="15">
        <v>1.0436041888196099</v>
      </c>
      <c r="M1793" s="15">
        <v>1.0436041888196099</v>
      </c>
      <c r="N1793" s="15">
        <v>1.0436041888196099</v>
      </c>
      <c r="O1793" s="15">
        <v>1.0436041888196099</v>
      </c>
      <c r="P1793" s="15">
        <v>1.0436041888196099</v>
      </c>
      <c r="Q1793" s="8"/>
      <c r="R1793" s="9" t="s">
        <v>1785</v>
      </c>
    </row>
    <row r="1794" spans="1:18" x14ac:dyDescent="0.25">
      <c r="A1794" s="6" t="str">
        <f>HYPERLINK("proteomic_fractions_linear_files/Yang_linear_img/110835726.jpg", "110835726")</f>
        <v>110835726</v>
      </c>
      <c r="B1794" s="7"/>
      <c r="C1794" s="6" t="str">
        <f>HYPERLINK("http://www.ncbi.nlm.nih.gov/protein/110835726","Dhx15")</f>
        <v>Dhx15</v>
      </c>
      <c r="D1794" s="8"/>
      <c r="E1794" s="8">
        <v>79840</v>
      </c>
      <c r="F1794" s="8"/>
      <c r="G1794" s="15">
        <v>1.3725195477641434</v>
      </c>
      <c r="H1794" s="15">
        <v>1.3725195477641434</v>
      </c>
      <c r="I1794" s="15">
        <v>1.1870997647823063</v>
      </c>
      <c r="J1794" s="15">
        <v>1.1870997647823063</v>
      </c>
      <c r="K1794" s="15">
        <v>1.1870997647823063</v>
      </c>
      <c r="L1794" s="15">
        <v>1.1870997647823063</v>
      </c>
      <c r="M1794" s="15">
        <v>1.1870997647823063</v>
      </c>
      <c r="N1794" s="15">
        <v>1.1870997647823063</v>
      </c>
      <c r="O1794" s="15">
        <v>1.1870997647823063</v>
      </c>
      <c r="P1794" s="15">
        <v>1.1870997647823063</v>
      </c>
      <c r="Q1794" s="8"/>
      <c r="R1794" s="9" t="s">
        <v>1786</v>
      </c>
    </row>
    <row r="1795" spans="1:18" x14ac:dyDescent="0.25">
      <c r="A1795" s="6" t="str">
        <f>HYPERLINK("proteomic_fractions_linear_files/Yang_linear_img/226246667.jpg", "226246667")</f>
        <v>226246667</v>
      </c>
      <c r="B1795" s="7"/>
      <c r="C1795" s="6" t="str">
        <f>HYPERLINK("http://www.ncbi.nlm.nih.gov/protein/226246667","Dhx16")</f>
        <v>Dhx16</v>
      </c>
      <c r="D1795" s="8"/>
      <c r="E1795" s="8">
        <v>118942</v>
      </c>
      <c r="F1795" s="8"/>
      <c r="G1795" s="15" t="s">
        <v>10</v>
      </c>
      <c r="H1795" s="15" t="s">
        <v>10</v>
      </c>
      <c r="I1795" s="15" t="s">
        <v>10</v>
      </c>
      <c r="J1795" s="15" t="s">
        <v>10</v>
      </c>
      <c r="K1795" s="15">
        <v>0.79805026203852525</v>
      </c>
      <c r="L1795" s="15">
        <v>0.79805026203852525</v>
      </c>
      <c r="M1795" s="15" t="s">
        <v>10</v>
      </c>
      <c r="N1795" s="15" t="s">
        <v>10</v>
      </c>
      <c r="O1795" s="15">
        <v>0.79805026203852525</v>
      </c>
      <c r="P1795" s="15">
        <v>0.79805026203852525</v>
      </c>
      <c r="Q1795" s="8"/>
      <c r="R1795" s="9" t="s">
        <v>1787</v>
      </c>
    </row>
    <row r="1796" spans="1:18" x14ac:dyDescent="0.25">
      <c r="A1796" s="6" t="str">
        <f>HYPERLINK("proteomic_fractions_linear_files/Yang_linear_img/46852276.jpg", "46852276")</f>
        <v>46852276</v>
      </c>
      <c r="B1796" s="7"/>
      <c r="C1796" s="6" t="str">
        <f>HYPERLINK("http://www.ncbi.nlm.nih.gov/protein/46852276","Dhx29")</f>
        <v>Dhx29</v>
      </c>
      <c r="D1796" s="8"/>
      <c r="E1796" s="8">
        <v>153845</v>
      </c>
      <c r="F1796" s="8"/>
      <c r="G1796" s="15" t="s">
        <v>10</v>
      </c>
      <c r="H1796" s="15" t="s">
        <v>10</v>
      </c>
      <c r="I1796" s="15" t="s">
        <v>10</v>
      </c>
      <c r="J1796" s="15" t="s">
        <v>10</v>
      </c>
      <c r="K1796" s="15">
        <v>1.2127651405190933</v>
      </c>
      <c r="L1796" s="15">
        <v>1.2127651405190933</v>
      </c>
      <c r="M1796" s="15">
        <v>1.2127651405190933</v>
      </c>
      <c r="N1796" s="15">
        <v>1.2127651405190933</v>
      </c>
      <c r="O1796" s="15" t="s">
        <v>10</v>
      </c>
      <c r="P1796" s="15" t="s">
        <v>10</v>
      </c>
      <c r="Q1796" s="8"/>
      <c r="R1796" s="9" t="s">
        <v>1788</v>
      </c>
    </row>
    <row r="1797" spans="1:18" x14ac:dyDescent="0.25">
      <c r="A1797" s="6" t="str">
        <f>HYPERLINK("proteomic_fractions_linear_files/Yang_linear_img/19111156.jpg", "19111156")</f>
        <v>19111156</v>
      </c>
      <c r="B1797" s="7"/>
      <c r="C1797" s="6" t="str">
        <f>HYPERLINK("http://www.ncbi.nlm.nih.gov/protein/19111156","Dhx30")</f>
        <v>Dhx30</v>
      </c>
      <c r="D1797" s="8"/>
      <c r="E1797" s="8">
        <v>136538</v>
      </c>
      <c r="F1797" s="8"/>
      <c r="G1797" s="15">
        <v>1.1200939498995754</v>
      </c>
      <c r="H1797" s="15">
        <v>1.1200939498995754</v>
      </c>
      <c r="I1797" s="15">
        <v>1.1200939498995754</v>
      </c>
      <c r="J1797" s="15">
        <v>1.1200939498995754</v>
      </c>
      <c r="K1797" s="15">
        <v>1.1200939498995754</v>
      </c>
      <c r="L1797" s="15">
        <v>1.1200939498995754</v>
      </c>
      <c r="M1797" s="15">
        <v>1.1200939498995754</v>
      </c>
      <c r="N1797" s="15">
        <v>1.1200939498995754</v>
      </c>
      <c r="O1797" s="15" t="s">
        <v>10</v>
      </c>
      <c r="P1797" s="15" t="s">
        <v>10</v>
      </c>
      <c r="Q1797" s="8"/>
      <c r="R1797" s="9" t="s">
        <v>1789</v>
      </c>
    </row>
    <row r="1798" spans="1:18" x14ac:dyDescent="0.25">
      <c r="A1798" s="6" t="str">
        <f>HYPERLINK("proteomic_fractions_linear_files/Yang_linear_img/358248315.jpg", "358248315")</f>
        <v>358248315</v>
      </c>
      <c r="B1798" s="7"/>
      <c r="C1798" s="6" t="str">
        <f>HYPERLINK("http://www.ncbi.nlm.nih.gov/protein/358248315","Dhx30")</f>
        <v>Dhx30</v>
      </c>
      <c r="D1798" s="8"/>
      <c r="E1798" s="8">
        <v>133929</v>
      </c>
      <c r="F1798" s="8"/>
      <c r="G1798" s="15">
        <v>1.1451706801212078</v>
      </c>
      <c r="H1798" s="15">
        <v>1.1451706801212078</v>
      </c>
      <c r="I1798" s="15">
        <v>1.1451706801212078</v>
      </c>
      <c r="J1798" s="15">
        <v>1.1451706801212078</v>
      </c>
      <c r="K1798" s="15">
        <v>1.1451706801212078</v>
      </c>
      <c r="L1798" s="15">
        <v>1.1451706801212078</v>
      </c>
      <c r="M1798" s="15">
        <v>1.1451706801212078</v>
      </c>
      <c r="N1798" s="15">
        <v>1.1451706801212078</v>
      </c>
      <c r="O1798" s="15" t="s">
        <v>10</v>
      </c>
      <c r="P1798" s="15" t="s">
        <v>10</v>
      </c>
      <c r="Q1798" s="8"/>
      <c r="R1798" s="9" t="s">
        <v>1790</v>
      </c>
    </row>
    <row r="1799" spans="1:18" x14ac:dyDescent="0.25">
      <c r="A1799" s="6" t="str">
        <f>HYPERLINK("proteomic_fractions_linear_files/Yang_linear_img/358248329.jpg", "358248329")</f>
        <v>358248329</v>
      </c>
      <c r="B1799" s="7"/>
      <c r="C1799" s="6" t="str">
        <f>HYPERLINK("http://www.ncbi.nlm.nih.gov/protein/358248329","Dhx30")</f>
        <v>Dhx30</v>
      </c>
      <c r="D1799" s="8"/>
      <c r="E1799" s="8">
        <v>136356</v>
      </c>
      <c r="F1799" s="8"/>
      <c r="G1799" s="15">
        <v>1.1283299348253077</v>
      </c>
      <c r="H1799" s="15">
        <v>1.1283299348253077</v>
      </c>
      <c r="I1799" s="15">
        <v>1.1283299348253077</v>
      </c>
      <c r="J1799" s="15">
        <v>1.1283299348253077</v>
      </c>
      <c r="K1799" s="15">
        <v>1.1283299348253077</v>
      </c>
      <c r="L1799" s="15">
        <v>1.1283299348253077</v>
      </c>
      <c r="M1799" s="15">
        <v>1.1283299348253077</v>
      </c>
      <c r="N1799" s="15">
        <v>1.1283299348253077</v>
      </c>
      <c r="O1799" s="15" t="s">
        <v>10</v>
      </c>
      <c r="P1799" s="15" t="s">
        <v>10</v>
      </c>
      <c r="Q1799" s="8"/>
      <c r="R1799" s="9" t="s">
        <v>1791</v>
      </c>
    </row>
    <row r="1800" spans="1:18" x14ac:dyDescent="0.25">
      <c r="A1800" s="6" t="str">
        <f>HYPERLINK("proteomic_fractions_linear_files/Yang_linear_img/21919420.jpg", "21919420")</f>
        <v>21919420</v>
      </c>
      <c r="B1800" s="7"/>
      <c r="C1800" s="6" t="str">
        <f>HYPERLINK("http://www.ncbi.nlm.nih.gov/protein/21919420","Dhx35")</f>
        <v>Dhx35</v>
      </c>
      <c r="D1800" s="8"/>
      <c r="E1800" s="8">
        <v>75746</v>
      </c>
      <c r="F1800" s="8"/>
      <c r="G1800" s="15" t="s">
        <v>10</v>
      </c>
      <c r="H1800" s="15" t="s">
        <v>10</v>
      </c>
      <c r="I1800" s="15" t="s">
        <v>10</v>
      </c>
      <c r="J1800" s="15" t="s">
        <v>10</v>
      </c>
      <c r="K1800" s="15">
        <v>1.0934034009624192</v>
      </c>
      <c r="L1800" s="15">
        <v>1.0934034009624192</v>
      </c>
      <c r="M1800" s="15" t="s">
        <v>10</v>
      </c>
      <c r="N1800" s="15" t="s">
        <v>10</v>
      </c>
      <c r="O1800" s="15" t="s">
        <v>10</v>
      </c>
      <c r="P1800" s="15" t="s">
        <v>10</v>
      </c>
      <c r="Q1800" s="8"/>
      <c r="R1800" s="9" t="s">
        <v>1792</v>
      </c>
    </row>
    <row r="1801" spans="1:18" x14ac:dyDescent="0.25">
      <c r="A1801" s="6" t="str">
        <f>HYPERLINK("proteomic_fractions_linear_files/Yang_linear_img/240848573.jpg", "240848573")</f>
        <v>240848573</v>
      </c>
      <c r="B1801" s="7"/>
      <c r="C1801" s="6" t="str">
        <f>HYPERLINK("http://www.ncbi.nlm.nih.gov/protein/240848573","Dhx36")</f>
        <v>Dhx36</v>
      </c>
      <c r="D1801" s="8"/>
      <c r="E1801" s="8">
        <v>113753</v>
      </c>
      <c r="F1801" s="8"/>
      <c r="G1801" s="15" t="s">
        <v>10</v>
      </c>
      <c r="H1801" s="15" t="s">
        <v>10</v>
      </c>
      <c r="I1801" s="15" t="s">
        <v>10</v>
      </c>
      <c r="J1801" s="15" t="s">
        <v>10</v>
      </c>
      <c r="K1801" s="15">
        <v>1.1291370889922541</v>
      </c>
      <c r="L1801" s="15">
        <v>1.1291370889922541</v>
      </c>
      <c r="M1801" s="15">
        <v>1.1291370889922541</v>
      </c>
      <c r="N1801" s="15">
        <v>1.1291370889922541</v>
      </c>
      <c r="O1801" s="15" t="s">
        <v>10</v>
      </c>
      <c r="P1801" s="15" t="s">
        <v>10</v>
      </c>
      <c r="Q1801" s="8"/>
      <c r="R1801" s="9" t="s">
        <v>1793</v>
      </c>
    </row>
    <row r="1802" spans="1:18" x14ac:dyDescent="0.25">
      <c r="A1802" s="6" t="str">
        <f>HYPERLINK("proteomic_fractions_linear_files/Yang_linear_img/42600571.jpg", "42600571")</f>
        <v>42600571</v>
      </c>
      <c r="B1802" s="7"/>
      <c r="C1802" s="6" t="str">
        <f>HYPERLINK("http://www.ncbi.nlm.nih.gov/protein/42600571","Dhx37")</f>
        <v>Dhx37</v>
      </c>
      <c r="D1802" s="8"/>
      <c r="E1802" s="8">
        <v>128198</v>
      </c>
      <c r="F1802" s="8"/>
      <c r="G1802" s="15" t="s">
        <v>10</v>
      </c>
      <c r="H1802" s="15" t="s">
        <v>10</v>
      </c>
      <c r="I1802" s="15" t="s">
        <v>10</v>
      </c>
      <c r="J1802" s="15" t="s">
        <v>10</v>
      </c>
      <c r="K1802" s="15">
        <v>1.4591080596870341</v>
      </c>
      <c r="L1802" s="15">
        <v>1.4591080596870341</v>
      </c>
      <c r="M1802" s="15" t="s">
        <v>10</v>
      </c>
      <c r="N1802" s="15" t="s">
        <v>10</v>
      </c>
      <c r="O1802" s="15" t="s">
        <v>10</v>
      </c>
      <c r="P1802" s="15" t="s">
        <v>10</v>
      </c>
      <c r="Q1802" s="8"/>
      <c r="R1802" s="9" t="s">
        <v>1794</v>
      </c>
    </row>
    <row r="1803" spans="1:18" x14ac:dyDescent="0.25">
      <c r="A1803" s="6" t="str">
        <f>HYPERLINK("proteomic_fractions_linear_files/Yang_linear_img/30410010.jpg", "30410010")</f>
        <v>30410010</v>
      </c>
      <c r="B1803" s="7"/>
      <c r="C1803" s="6" t="str">
        <f>HYPERLINK("http://www.ncbi.nlm.nih.gov/protein/30410010","Dhx38")</f>
        <v>Dhx38</v>
      </c>
      <c r="D1803" s="8"/>
      <c r="E1803" s="8">
        <v>140492</v>
      </c>
      <c r="F1803" s="8"/>
      <c r="G1803" s="15" t="s">
        <v>10</v>
      </c>
      <c r="H1803" s="15" t="s">
        <v>10</v>
      </c>
      <c r="I1803" s="15" t="s">
        <v>10</v>
      </c>
      <c r="J1803" s="15" t="s">
        <v>10</v>
      </c>
      <c r="K1803" s="15">
        <v>1.3340416545710025</v>
      </c>
      <c r="L1803" s="15">
        <v>1.3340416545710025</v>
      </c>
      <c r="M1803" s="15">
        <v>1.3340416545710025</v>
      </c>
      <c r="N1803" s="15">
        <v>1.3340416545710025</v>
      </c>
      <c r="O1803" s="15">
        <v>1.3340416545710025</v>
      </c>
      <c r="P1803" s="15">
        <v>1.3340416545710025</v>
      </c>
      <c r="Q1803" s="8"/>
      <c r="R1803" s="9" t="s">
        <v>1795</v>
      </c>
    </row>
    <row r="1804" spans="1:18" x14ac:dyDescent="0.25">
      <c r="A1804" s="6" t="str">
        <f>HYPERLINK("proteomic_fractions_linear_files/Yang_linear_img/144926009.jpg", "144926009")</f>
        <v>144926009</v>
      </c>
      <c r="B1804" s="7"/>
      <c r="C1804" s="6" t="str">
        <f>HYPERLINK("http://www.ncbi.nlm.nih.gov/protein/144926009","Dhx40")</f>
        <v>Dhx40</v>
      </c>
      <c r="D1804" s="8"/>
      <c r="E1804" s="8">
        <v>88399</v>
      </c>
      <c r="F1804" s="8"/>
      <c r="G1804" s="15" t="s">
        <v>10</v>
      </c>
      <c r="H1804" s="15" t="s">
        <v>10</v>
      </c>
      <c r="I1804" s="15" t="s">
        <v>10</v>
      </c>
      <c r="J1804" s="15" t="s">
        <v>10</v>
      </c>
      <c r="K1804" s="15" t="s">
        <v>10</v>
      </c>
      <c r="L1804" s="15" t="s">
        <v>10</v>
      </c>
      <c r="M1804" s="15">
        <v>1.0791816043475513</v>
      </c>
      <c r="N1804" s="15">
        <v>1.0791816043475513</v>
      </c>
      <c r="O1804" s="15" t="s">
        <v>10</v>
      </c>
      <c r="P1804" s="15" t="s">
        <v>10</v>
      </c>
      <c r="Q1804" s="8"/>
      <c r="R1804" s="9" t="s">
        <v>1796</v>
      </c>
    </row>
    <row r="1805" spans="1:18" x14ac:dyDescent="0.25">
      <c r="A1805" s="6" t="str">
        <f>HYPERLINK("proteomic_fractions_linear_files/Yang_linear_img/254939651.jpg", "254939651")</f>
        <v>254939651</v>
      </c>
      <c r="B1805" s="7"/>
      <c r="C1805" s="6" t="str">
        <f>HYPERLINK("http://www.ncbi.nlm.nih.gov/protein/254939651","Dhx57")</f>
        <v>Dhx57</v>
      </c>
      <c r="D1805" s="8"/>
      <c r="E1805" s="8">
        <v>149745</v>
      </c>
      <c r="F1805" s="8"/>
      <c r="G1805" s="15" t="s">
        <v>10</v>
      </c>
      <c r="H1805" s="15" t="s">
        <v>10</v>
      </c>
      <c r="I1805" s="15" t="s">
        <v>10</v>
      </c>
      <c r="J1805" s="15" t="s">
        <v>10</v>
      </c>
      <c r="K1805" s="15">
        <v>1.2451055442662691</v>
      </c>
      <c r="L1805" s="15">
        <v>1.2451055442662691</v>
      </c>
      <c r="M1805" s="15">
        <v>1.2451055442662691</v>
      </c>
      <c r="N1805" s="15">
        <v>1.2451055442662691</v>
      </c>
      <c r="O1805" s="15" t="s">
        <v>10</v>
      </c>
      <c r="P1805" s="15" t="s">
        <v>10</v>
      </c>
      <c r="Q1805" s="8"/>
      <c r="R1805" s="9" t="s">
        <v>1797</v>
      </c>
    </row>
    <row r="1806" spans="1:18" x14ac:dyDescent="0.25">
      <c r="A1806" s="6" t="str">
        <f>HYPERLINK("proteomic_fractions_linear_files/Yang_linear_img/254939654.jpg", "254939654")</f>
        <v>254939654</v>
      </c>
      <c r="B1806" s="7"/>
      <c r="C1806" s="6" t="str">
        <f>HYPERLINK("http://www.ncbi.nlm.nih.gov/protein/254939654","Dhx57")</f>
        <v>Dhx57</v>
      </c>
      <c r="D1806" s="8"/>
      <c r="E1806" s="8">
        <v>155632</v>
      </c>
      <c r="F1806" s="8"/>
      <c r="G1806" s="15" t="s">
        <v>10</v>
      </c>
      <c r="H1806" s="15" t="s">
        <v>10</v>
      </c>
      <c r="I1806" s="15" t="s">
        <v>10</v>
      </c>
      <c r="J1806" s="15" t="s">
        <v>10</v>
      </c>
      <c r="K1806" s="15">
        <v>1.1972168694867971</v>
      </c>
      <c r="L1806" s="15">
        <v>1.1972168694867971</v>
      </c>
      <c r="M1806" s="15">
        <v>1.1972168694867971</v>
      </c>
      <c r="N1806" s="15">
        <v>1.1972168694867971</v>
      </c>
      <c r="O1806" s="15" t="s">
        <v>10</v>
      </c>
      <c r="P1806" s="15" t="s">
        <v>10</v>
      </c>
      <c r="Q1806" s="8"/>
      <c r="R1806" s="9" t="s">
        <v>1798</v>
      </c>
    </row>
    <row r="1807" spans="1:18" x14ac:dyDescent="0.25">
      <c r="A1807" s="6" t="str">
        <f>HYPERLINK("proteomic_fractions_linear_files/Yang_linear_img/56699440.jpg", "56699440")</f>
        <v>56699440</v>
      </c>
      <c r="B1807" s="7"/>
      <c r="C1807" s="6" t="str">
        <f>HYPERLINK("http://www.ncbi.nlm.nih.gov/protein/56699440","Dhx8")</f>
        <v>Dhx8</v>
      </c>
      <c r="D1807" s="8"/>
      <c r="E1807" s="8">
        <v>142441</v>
      </c>
      <c r="F1807" s="8"/>
      <c r="G1807" s="15" t="s">
        <v>10</v>
      </c>
      <c r="H1807" s="15" t="s">
        <v>10</v>
      </c>
      <c r="I1807" s="15" t="s">
        <v>10</v>
      </c>
      <c r="J1807" s="15" t="s">
        <v>10</v>
      </c>
      <c r="K1807" s="15">
        <v>0.66878859987735573</v>
      </c>
      <c r="L1807" s="15">
        <v>0.66878859987735573</v>
      </c>
      <c r="M1807" s="15" t="s">
        <v>10</v>
      </c>
      <c r="N1807" s="15" t="s">
        <v>10</v>
      </c>
      <c r="O1807" s="15">
        <v>0.66878859987735573</v>
      </c>
      <c r="P1807" s="15">
        <v>0.66878859987735573</v>
      </c>
      <c r="Q1807" s="8"/>
      <c r="R1807" s="9" t="s">
        <v>1799</v>
      </c>
    </row>
    <row r="1808" spans="1:18" x14ac:dyDescent="0.25">
      <c r="A1808" s="6" t="str">
        <f>HYPERLINK("proteomic_fractions_linear_files/Yang_linear_img/150456419.jpg", "150456419")</f>
        <v>150456419</v>
      </c>
      <c r="B1808" s="7"/>
      <c r="C1808" s="6" t="str">
        <f>HYPERLINK("http://www.ncbi.nlm.nih.gov/protein/150456419","Dhx9")</f>
        <v>Dhx9</v>
      </c>
      <c r="D1808" s="8"/>
      <c r="E1808" s="8">
        <v>149489</v>
      </c>
      <c r="F1808" s="8"/>
      <c r="G1808" s="15">
        <v>1.2534619573150361</v>
      </c>
      <c r="H1808" s="15">
        <v>1.2534619573150361</v>
      </c>
      <c r="I1808" s="15">
        <v>1.0298850411828311</v>
      </c>
      <c r="J1808" s="15">
        <v>1.0298850411828311</v>
      </c>
      <c r="K1808" s="15">
        <v>1.2534619573150361</v>
      </c>
      <c r="L1808" s="15">
        <v>1.2534619573150361</v>
      </c>
      <c r="M1808" s="15">
        <v>1.2534619573150361</v>
      </c>
      <c r="N1808" s="15">
        <v>1.2534619573150361</v>
      </c>
      <c r="O1808" s="15">
        <v>1.2534619573150361</v>
      </c>
      <c r="P1808" s="15">
        <v>1.2534619573150361</v>
      </c>
      <c r="Q1808" s="8"/>
      <c r="R1808" s="9" t="s">
        <v>1800</v>
      </c>
    </row>
    <row r="1809" spans="1:18" x14ac:dyDescent="0.25">
      <c r="A1809" s="6" t="str">
        <f>HYPERLINK("proteomic_fractions_linear_files/Yang_linear_img/85677504.jpg", "85677504")</f>
        <v>85677504</v>
      </c>
      <c r="B1809" s="7"/>
      <c r="C1809" s="6" t="str">
        <f>HYPERLINK("http://www.ncbi.nlm.nih.gov/protein/85677504","Diablo")</f>
        <v>Diablo</v>
      </c>
      <c r="D1809" s="8"/>
      <c r="E1809" s="8">
        <v>20616</v>
      </c>
      <c r="F1809" s="8"/>
      <c r="G1809" s="15" t="s">
        <v>10</v>
      </c>
      <c r="H1809" s="15" t="s">
        <v>10</v>
      </c>
      <c r="I1809" s="15">
        <v>0.92862618228739402</v>
      </c>
      <c r="J1809" s="15">
        <v>0.88072853164590881</v>
      </c>
      <c r="K1809" s="15">
        <v>0.92862618228739402</v>
      </c>
      <c r="L1809" s="15">
        <v>0.92862618228739402</v>
      </c>
      <c r="M1809" s="15">
        <v>0.92862618228739402</v>
      </c>
      <c r="N1809" s="15">
        <v>0.92862618228739402</v>
      </c>
      <c r="O1809" s="15">
        <v>0.88072853164590881</v>
      </c>
      <c r="P1809" s="15">
        <v>0.88072853164590881</v>
      </c>
      <c r="Q1809" s="8"/>
      <c r="R1809" s="9" t="s">
        <v>1801</v>
      </c>
    </row>
    <row r="1810" spans="1:18" x14ac:dyDescent="0.25">
      <c r="A1810" s="6" t="str">
        <f>HYPERLINK("proteomic_fractions_linear_files/Yang_linear_img/6681183.jpg", "6681183")</f>
        <v>6681183</v>
      </c>
      <c r="B1810" s="7"/>
      <c r="C1810" s="6" t="str">
        <f>HYPERLINK("http://www.ncbi.nlm.nih.gov/protein/6681183","Diap1")</f>
        <v>Diap1</v>
      </c>
      <c r="D1810" s="8"/>
      <c r="E1810" s="8">
        <v>139213</v>
      </c>
      <c r="F1810" s="8"/>
      <c r="G1810" s="15" t="s">
        <v>10</v>
      </c>
      <c r="H1810" s="15" t="s">
        <v>10</v>
      </c>
      <c r="I1810" s="15">
        <v>1.1039774901887902</v>
      </c>
      <c r="J1810" s="15">
        <v>1.1039774901887902</v>
      </c>
      <c r="K1810" s="15">
        <v>1.3436390765463335</v>
      </c>
      <c r="L1810" s="15">
        <v>1.3436390765463335</v>
      </c>
      <c r="M1810" s="15">
        <v>1.3436390765463335</v>
      </c>
      <c r="N1810" s="15">
        <v>1.3436390765463335</v>
      </c>
      <c r="O1810" s="15">
        <v>1.3436390765463335</v>
      </c>
      <c r="P1810" s="15">
        <v>1.3436390765463335</v>
      </c>
      <c r="Q1810" s="8"/>
      <c r="R1810" s="9" t="s">
        <v>1802</v>
      </c>
    </row>
    <row r="1811" spans="1:18" x14ac:dyDescent="0.25">
      <c r="A1811" s="6" t="str">
        <f>HYPERLINK("proteomic_fractions_linear_files/Yang_linear_img/189491671.jpg", "189491671")</f>
        <v>189491671</v>
      </c>
      <c r="B1811" s="7"/>
      <c r="C1811" s="6" t="str">
        <f>HYPERLINK("http://www.ncbi.nlm.nih.gov/protein/189491671","Diap2")</f>
        <v>Diap2</v>
      </c>
      <c r="D1811" s="8"/>
      <c r="E1811" s="8">
        <v>125255</v>
      </c>
      <c r="F1811" s="8"/>
      <c r="G1811" s="15" t="s">
        <v>10</v>
      </c>
      <c r="H1811" s="15" t="s">
        <v>10</v>
      </c>
      <c r="I1811" s="15" t="s">
        <v>10</v>
      </c>
      <c r="J1811" s="15" t="s">
        <v>10</v>
      </c>
      <c r="K1811" s="15">
        <v>1.2276229690899347</v>
      </c>
      <c r="L1811" s="15">
        <v>1.2276229690899347</v>
      </c>
      <c r="M1811" s="15" t="s">
        <v>10</v>
      </c>
      <c r="N1811" s="15" t="s">
        <v>10</v>
      </c>
      <c r="O1811" s="15" t="s">
        <v>10</v>
      </c>
      <c r="P1811" s="15" t="s">
        <v>10</v>
      </c>
      <c r="Q1811" s="8"/>
      <c r="R1811" s="9" t="s">
        <v>1803</v>
      </c>
    </row>
    <row r="1812" spans="1:18" x14ac:dyDescent="0.25">
      <c r="A1812" s="6" t="str">
        <f>HYPERLINK("proteomic_fractions_linear_files/Yang_linear_img/9789931.jpg", "9789931")</f>
        <v>9789931</v>
      </c>
      <c r="B1812" s="7"/>
      <c r="C1812" s="6" t="str">
        <f>HYPERLINK("http://www.ncbi.nlm.nih.gov/protein/9789931","Diap3")</f>
        <v>Diap3</v>
      </c>
      <c r="D1812" s="8"/>
      <c r="E1812" s="8">
        <v>133556</v>
      </c>
      <c r="F1812" s="8"/>
      <c r="G1812" s="15" t="s">
        <v>10</v>
      </c>
      <c r="H1812" s="15" t="s">
        <v>10</v>
      </c>
      <c r="I1812" s="15" t="s">
        <v>10</v>
      </c>
      <c r="J1812" s="15" t="s">
        <v>10</v>
      </c>
      <c r="K1812" s="15">
        <v>1.1451706801212078</v>
      </c>
      <c r="L1812" s="15">
        <v>1.1451706801212078</v>
      </c>
      <c r="M1812" s="15" t="s">
        <v>10</v>
      </c>
      <c r="N1812" s="15" t="s">
        <v>10</v>
      </c>
      <c r="O1812" s="15" t="s">
        <v>10</v>
      </c>
      <c r="P1812" s="15" t="s">
        <v>10</v>
      </c>
      <c r="Q1812" s="8"/>
      <c r="R1812" s="9" t="s">
        <v>1804</v>
      </c>
    </row>
    <row r="1813" spans="1:18" x14ac:dyDescent="0.25">
      <c r="A1813" s="6" t="str">
        <f>HYPERLINK("proteomic_fractions_linear_files/Yang_linear_img/117168271.jpg", "117168271")</f>
        <v>117168271</v>
      </c>
      <c r="B1813" s="7"/>
      <c r="C1813" s="6" t="str">
        <f>HYPERLINK("http://www.ncbi.nlm.nih.gov/protein/117168271","Dicer1")</f>
        <v>Dicer1</v>
      </c>
      <c r="D1813" s="8"/>
      <c r="E1813" s="8">
        <v>215639</v>
      </c>
      <c r="F1813" s="8"/>
      <c r="G1813" s="15" t="s">
        <v>10</v>
      </c>
      <c r="H1813" s="15" t="s">
        <v>10</v>
      </c>
      <c r="I1813" s="15" t="s">
        <v>10</v>
      </c>
      <c r="J1813" s="15" t="s">
        <v>10</v>
      </c>
      <c r="K1813" s="15" t="s">
        <v>10</v>
      </c>
      <c r="L1813" s="15" t="s">
        <v>10</v>
      </c>
      <c r="M1813" s="15" t="s">
        <v>10</v>
      </c>
      <c r="N1813" s="15" t="s">
        <v>10</v>
      </c>
      <c r="O1813" s="15">
        <v>1.0803742945733754</v>
      </c>
      <c r="P1813" s="15">
        <v>1.0803742945733754</v>
      </c>
      <c r="Q1813" s="8"/>
      <c r="R1813" s="9" t="s">
        <v>1805</v>
      </c>
    </row>
    <row r="1814" spans="1:18" x14ac:dyDescent="0.25">
      <c r="A1814" s="6" t="str">
        <f>HYPERLINK("proteomic_fractions_linear_files/Yang_linear_img/51571541.jpg", "51571541")</f>
        <v>51571541</v>
      </c>
      <c r="B1814" s="7"/>
      <c r="C1814" s="6" t="str">
        <f>HYPERLINK("http://www.ncbi.nlm.nih.gov/protein/51571541","Dido1")</f>
        <v>Dido1</v>
      </c>
      <c r="D1814" s="8"/>
      <c r="E1814" s="8">
        <v>129041</v>
      </c>
      <c r="F1814" s="8"/>
      <c r="G1814" s="15">
        <v>1.8089988188205355</v>
      </c>
      <c r="H1814" s="15">
        <v>1.8089988188205355</v>
      </c>
      <c r="I1814" s="15" t="s">
        <v>10</v>
      </c>
      <c r="J1814" s="15" t="s">
        <v>10</v>
      </c>
      <c r="K1814" s="15" t="s">
        <v>10</v>
      </c>
      <c r="L1814" s="15" t="s">
        <v>10</v>
      </c>
      <c r="M1814" s="15" t="s">
        <v>10</v>
      </c>
      <c r="N1814" s="15" t="s">
        <v>10</v>
      </c>
      <c r="O1814" s="15" t="s">
        <v>10</v>
      </c>
      <c r="P1814" s="15" t="s">
        <v>10</v>
      </c>
      <c r="Q1814" s="8"/>
      <c r="R1814" s="9" t="s">
        <v>1806</v>
      </c>
    </row>
    <row r="1815" spans="1:18" x14ac:dyDescent="0.25">
      <c r="A1815" s="6" t="str">
        <f>HYPERLINK("proteomic_fractions_linear_files/Yang_linear_img/76096375.jpg", "76096375")</f>
        <v>76096375</v>
      </c>
      <c r="B1815" s="7"/>
      <c r="C1815" s="6" t="str">
        <f>HYPERLINK("http://www.ncbi.nlm.nih.gov/protein/76096375","Dido1")</f>
        <v>Dido1</v>
      </c>
      <c r="D1815" s="8"/>
      <c r="E1815" s="8">
        <v>247046</v>
      </c>
      <c r="F1815" s="8"/>
      <c r="G1815" s="15">
        <v>0.94478075962691932</v>
      </c>
      <c r="H1815" s="15">
        <v>0.94478075962691932</v>
      </c>
      <c r="I1815" s="15" t="s">
        <v>10</v>
      </c>
      <c r="J1815" s="15" t="s">
        <v>10</v>
      </c>
      <c r="K1815" s="15" t="s">
        <v>10</v>
      </c>
      <c r="L1815" s="15" t="s">
        <v>10</v>
      </c>
      <c r="M1815" s="15" t="s">
        <v>10</v>
      </c>
      <c r="N1815" s="15" t="s">
        <v>10</v>
      </c>
      <c r="O1815" s="15" t="s">
        <v>10</v>
      </c>
      <c r="P1815" s="15" t="s">
        <v>10</v>
      </c>
      <c r="Q1815" s="8"/>
      <c r="R1815" s="9" t="s">
        <v>1807</v>
      </c>
    </row>
    <row r="1816" spans="1:18" x14ac:dyDescent="0.25">
      <c r="A1816" s="6" t="str">
        <f>HYPERLINK("proteomic_fractions_linear_files/Yang_linear_img/21313560.jpg", "21313560")</f>
        <v>21313560</v>
      </c>
      <c r="B1816" s="7"/>
      <c r="C1816" s="6" t="str">
        <f>HYPERLINK("http://www.ncbi.nlm.nih.gov/protein/21313560","Dimt1")</f>
        <v>Dimt1</v>
      </c>
      <c r="D1816" s="8"/>
      <c r="E1816" s="8">
        <v>35143</v>
      </c>
      <c r="F1816" s="8"/>
      <c r="G1816" s="15" t="s">
        <v>10</v>
      </c>
      <c r="H1816" s="15" t="s">
        <v>10</v>
      </c>
      <c r="I1816" s="15" t="s">
        <v>10</v>
      </c>
      <c r="J1816" s="15" t="s">
        <v>10</v>
      </c>
      <c r="K1816" s="15">
        <v>0.91668779587810256</v>
      </c>
      <c r="L1816" s="15">
        <v>0.91668779587810256</v>
      </c>
      <c r="M1816" s="15">
        <v>0.91668779587810256</v>
      </c>
      <c r="N1816" s="15">
        <v>0.91668779587810256</v>
      </c>
      <c r="O1816" s="15" t="s">
        <v>10</v>
      </c>
      <c r="P1816" s="15" t="s">
        <v>10</v>
      </c>
      <c r="Q1816" s="8"/>
      <c r="R1816" s="9" t="s">
        <v>1808</v>
      </c>
    </row>
    <row r="1817" spans="1:18" x14ac:dyDescent="0.25">
      <c r="A1817" s="6" t="str">
        <f>HYPERLINK("proteomic_fractions_linear_files/Yang_linear_img/359807008.jpg", "359807008")</f>
        <v>359807008</v>
      </c>
      <c r="B1817" s="7"/>
      <c r="C1817" s="6" t="str">
        <f>HYPERLINK("http://www.ncbi.nlm.nih.gov/protein/359807008","Dip2a")</f>
        <v>Dip2a</v>
      </c>
      <c r="D1817" s="8"/>
      <c r="E1817" s="8">
        <v>169389</v>
      </c>
      <c r="F1817" s="8"/>
      <c r="G1817" s="15" t="s">
        <v>10</v>
      </c>
      <c r="H1817" s="15" t="s">
        <v>10</v>
      </c>
      <c r="I1817" s="15" t="s">
        <v>10</v>
      </c>
      <c r="J1817" s="15" t="s">
        <v>10</v>
      </c>
      <c r="K1817" s="15">
        <v>1.1051232641416588</v>
      </c>
      <c r="L1817" s="15">
        <v>1.1051232641416588</v>
      </c>
      <c r="M1817" s="15" t="s">
        <v>10</v>
      </c>
      <c r="N1817" s="15" t="s">
        <v>10</v>
      </c>
      <c r="O1817" s="15" t="s">
        <v>10</v>
      </c>
      <c r="P1817" s="15" t="s">
        <v>10</v>
      </c>
      <c r="Q1817" s="8"/>
      <c r="R1817" s="9" t="s">
        <v>1809</v>
      </c>
    </row>
    <row r="1818" spans="1:18" x14ac:dyDescent="0.25">
      <c r="A1818" s="6" t="str">
        <f>HYPERLINK("proteomic_fractions_linear_files/Yang_linear_img/226823258.jpg", "226823258")</f>
        <v>226823258</v>
      </c>
      <c r="B1818" s="7"/>
      <c r="C1818" s="6" t="str">
        <f>HYPERLINK("http://www.ncbi.nlm.nih.gov/protein/226823258","Dip2b")</f>
        <v>Dip2b</v>
      </c>
      <c r="D1818" s="8"/>
      <c r="E1818" s="8">
        <v>170996</v>
      </c>
      <c r="F1818" s="8"/>
      <c r="G1818" s="15" t="s">
        <v>10</v>
      </c>
      <c r="H1818" s="15" t="s">
        <v>10</v>
      </c>
      <c r="I1818" s="15" t="s">
        <v>10</v>
      </c>
      <c r="J1818" s="15" t="s">
        <v>10</v>
      </c>
      <c r="K1818" s="15">
        <v>1.0921978458476045</v>
      </c>
      <c r="L1818" s="15">
        <v>1.0921978458476045</v>
      </c>
      <c r="M1818" s="15" t="s">
        <v>10</v>
      </c>
      <c r="N1818" s="15" t="s">
        <v>10</v>
      </c>
      <c r="O1818" s="15" t="s">
        <v>10</v>
      </c>
      <c r="P1818" s="15" t="s">
        <v>10</v>
      </c>
      <c r="Q1818" s="8"/>
      <c r="R1818" s="9" t="s">
        <v>1810</v>
      </c>
    </row>
    <row r="1819" spans="1:18" x14ac:dyDescent="0.25">
      <c r="A1819" s="6" t="str">
        <f>HYPERLINK("proteomic_fractions_linear_files/Yang_linear_img/226823266.jpg", "226823266")</f>
        <v>226823266</v>
      </c>
      <c r="B1819" s="7"/>
      <c r="C1819" s="6" t="str">
        <f>HYPERLINK("http://www.ncbi.nlm.nih.gov/protein/226823266","Dip2b")</f>
        <v>Dip2b</v>
      </c>
      <c r="D1819" s="8"/>
      <c r="E1819" s="8">
        <v>146567</v>
      </c>
      <c r="F1819" s="8"/>
      <c r="G1819" s="15" t="s">
        <v>10</v>
      </c>
      <c r="H1819" s="15" t="s">
        <v>10</v>
      </c>
      <c r="I1819" s="15" t="s">
        <v>10</v>
      </c>
      <c r="J1819" s="15" t="s">
        <v>10</v>
      </c>
      <c r="K1819" s="15">
        <v>1.2705158614961929</v>
      </c>
      <c r="L1819" s="15">
        <v>1.2705158614961929</v>
      </c>
      <c r="M1819" s="15" t="s">
        <v>10</v>
      </c>
      <c r="N1819" s="15" t="s">
        <v>10</v>
      </c>
      <c r="O1819" s="15" t="s">
        <v>10</v>
      </c>
      <c r="P1819" s="15" t="s">
        <v>10</v>
      </c>
      <c r="Q1819" s="8"/>
      <c r="R1819" s="9" t="s">
        <v>1811</v>
      </c>
    </row>
    <row r="1820" spans="1:18" x14ac:dyDescent="0.25">
      <c r="A1820" s="6" t="str">
        <f>HYPERLINK("proteomic_fractions_linear_files/Yang_linear_img/21644583.jpg", "21644583")</f>
        <v>21644583</v>
      </c>
      <c r="B1820" s="7"/>
      <c r="C1820" s="6" t="str">
        <f>HYPERLINK("http://www.ncbi.nlm.nih.gov/protein/21644583","Diras1")</f>
        <v>Diras1</v>
      </c>
      <c r="D1820" s="8"/>
      <c r="E1820" s="8">
        <v>22134</v>
      </c>
      <c r="F1820" s="8"/>
      <c r="G1820" s="15" t="s">
        <v>10</v>
      </c>
      <c r="H1820" s="15" t="s">
        <v>10</v>
      </c>
      <c r="I1820" s="15">
        <v>1.1161282096944054</v>
      </c>
      <c r="J1820" s="15">
        <v>1.1161282096944054</v>
      </c>
      <c r="K1820" s="15">
        <v>1.0504351533962475</v>
      </c>
      <c r="L1820" s="15">
        <v>1.0504351533962475</v>
      </c>
      <c r="M1820" s="15" t="s">
        <v>10</v>
      </c>
      <c r="N1820" s="15" t="s">
        <v>10</v>
      </c>
      <c r="O1820" s="15" t="s">
        <v>10</v>
      </c>
      <c r="P1820" s="15" t="s">
        <v>10</v>
      </c>
      <c r="Q1820" s="8"/>
      <c r="R1820" s="9" t="s">
        <v>1812</v>
      </c>
    </row>
    <row r="1821" spans="1:18" x14ac:dyDescent="0.25">
      <c r="A1821" s="6" t="str">
        <f>HYPERLINK("proteomic_fractions_linear_files/Yang_linear_img/71725385.jpg", "71725385")</f>
        <v>71725385</v>
      </c>
      <c r="B1821" s="7"/>
      <c r="C1821" s="6" t="str">
        <f>HYPERLINK("http://www.ncbi.nlm.nih.gov/protein/71725385","Diras2")</f>
        <v>Diras2</v>
      </c>
      <c r="D1821" s="8"/>
      <c r="E1821" s="8">
        <v>22367</v>
      </c>
      <c r="F1821" s="8"/>
      <c r="G1821" s="15" t="s">
        <v>10</v>
      </c>
      <c r="H1821" s="15" t="s">
        <v>10</v>
      </c>
      <c r="I1821" s="15">
        <v>1.1161282096944054</v>
      </c>
      <c r="J1821" s="15">
        <v>1.1161282096944054</v>
      </c>
      <c r="K1821" s="15">
        <v>1.0504351533962475</v>
      </c>
      <c r="L1821" s="15">
        <v>1.0504351533962475</v>
      </c>
      <c r="M1821" s="15" t="s">
        <v>10</v>
      </c>
      <c r="N1821" s="15" t="s">
        <v>10</v>
      </c>
      <c r="O1821" s="15" t="s">
        <v>10</v>
      </c>
      <c r="P1821" s="15" t="s">
        <v>10</v>
      </c>
      <c r="Q1821" s="8"/>
      <c r="R1821" s="9" t="s">
        <v>1813</v>
      </c>
    </row>
    <row r="1822" spans="1:18" x14ac:dyDescent="0.25">
      <c r="A1822" s="6" t="str">
        <f>HYPERLINK("proteomic_fractions_linear_files/Yang_linear_img/145207992.jpg", "145207992")</f>
        <v>145207992</v>
      </c>
      <c r="B1822" s="7"/>
      <c r="C1822" s="6" t="str">
        <f>HYPERLINK("http://www.ncbi.nlm.nih.gov/protein/145207992","Dis3")</f>
        <v>Dis3</v>
      </c>
      <c r="D1822" s="8"/>
      <c r="E1822" s="8">
        <v>108707</v>
      </c>
      <c r="F1822" s="8"/>
      <c r="G1822" s="15">
        <v>3.7526931902700897</v>
      </c>
      <c r="H1822" s="15">
        <v>3.7526931902700897</v>
      </c>
      <c r="I1822" s="15">
        <v>1.0073537965241419</v>
      </c>
      <c r="J1822" s="15">
        <v>1.0073537965241419</v>
      </c>
      <c r="K1822" s="15">
        <v>1.1809323683038253</v>
      </c>
      <c r="L1822" s="15">
        <v>1.1809323683038253</v>
      </c>
      <c r="M1822" s="15">
        <v>1.1809323683038253</v>
      </c>
      <c r="N1822" s="15">
        <v>1.1809323683038253</v>
      </c>
      <c r="O1822" s="15">
        <v>1.1809323683038253</v>
      </c>
      <c r="P1822" s="15">
        <v>1.1809323683038253</v>
      </c>
      <c r="Q1822" s="8"/>
      <c r="R1822" s="9" t="s">
        <v>1814</v>
      </c>
    </row>
    <row r="1823" spans="1:18" x14ac:dyDescent="0.25">
      <c r="A1823" s="6" t="str">
        <f>HYPERLINK("proteomic_fractions_linear_files/Yang_linear_img/27369724.jpg", "27369724")</f>
        <v>27369724</v>
      </c>
      <c r="B1823" s="7"/>
      <c r="C1823" s="6" t="str">
        <f>HYPERLINK("http://www.ncbi.nlm.nih.gov/protein/27369724","Dis3l")</f>
        <v>Dis3l</v>
      </c>
      <c r="D1823" s="8"/>
      <c r="E1823" s="8">
        <v>110524</v>
      </c>
      <c r="F1823" s="8"/>
      <c r="G1823" s="15" t="s">
        <v>10</v>
      </c>
      <c r="H1823" s="15" t="s">
        <v>10</v>
      </c>
      <c r="I1823" s="15" t="s">
        <v>10</v>
      </c>
      <c r="J1823" s="15" t="s">
        <v>10</v>
      </c>
      <c r="K1823" s="15">
        <v>1.1596543076136663</v>
      </c>
      <c r="L1823" s="15">
        <v>1.1596543076136663</v>
      </c>
      <c r="M1823" s="15" t="s">
        <v>10</v>
      </c>
      <c r="N1823" s="15" t="s">
        <v>10</v>
      </c>
      <c r="O1823" s="15" t="s">
        <v>10</v>
      </c>
      <c r="P1823" s="15" t="s">
        <v>10</v>
      </c>
      <c r="Q1823" s="8"/>
      <c r="R1823" s="9" t="s">
        <v>1815</v>
      </c>
    </row>
    <row r="1824" spans="1:18" x14ac:dyDescent="0.25">
      <c r="A1824" s="6" t="str">
        <f>HYPERLINK("proteomic_fractions_linear_files/Yang_linear_img/295293138.jpg", "295293138")</f>
        <v>295293138</v>
      </c>
      <c r="B1824" s="7"/>
      <c r="C1824" s="6" t="str">
        <f>HYPERLINK("http://www.ncbi.nlm.nih.gov/protein/295293138","Dis3l")</f>
        <v>Dis3l</v>
      </c>
      <c r="D1824" s="8"/>
      <c r="E1824" s="8">
        <v>120153</v>
      </c>
      <c r="F1824" s="8"/>
      <c r="G1824" s="15" t="s">
        <v>10</v>
      </c>
      <c r="H1824" s="15" t="s">
        <v>10</v>
      </c>
      <c r="I1824" s="15" t="s">
        <v>10</v>
      </c>
      <c r="J1824" s="15" t="s">
        <v>10</v>
      </c>
      <c r="K1824" s="15">
        <v>1.0726802345426414</v>
      </c>
      <c r="L1824" s="15">
        <v>1.0726802345426414</v>
      </c>
      <c r="M1824" s="15">
        <v>1.0726802345426414</v>
      </c>
      <c r="N1824" s="15">
        <v>1.0726802345426414</v>
      </c>
      <c r="O1824" s="15" t="s">
        <v>10</v>
      </c>
      <c r="P1824" s="15" t="s">
        <v>10</v>
      </c>
      <c r="Q1824" s="8"/>
      <c r="R1824" s="9" t="s">
        <v>1816</v>
      </c>
    </row>
    <row r="1825" spans="1:18" x14ac:dyDescent="0.25">
      <c r="A1825" s="6" t="str">
        <f>HYPERLINK("proteomic_fractions_linear_files/Yang_linear_img/24233556.jpg", "24233556")</f>
        <v>24233556</v>
      </c>
      <c r="B1825" s="7"/>
      <c r="C1825" s="6" t="str">
        <f>HYPERLINK("http://www.ncbi.nlm.nih.gov/protein/24233556","Dis3l2")</f>
        <v>Dis3l2</v>
      </c>
      <c r="D1825" s="8"/>
      <c r="E1825" s="8">
        <v>97644</v>
      </c>
      <c r="F1825" s="8"/>
      <c r="G1825" s="15" t="s">
        <v>10</v>
      </c>
      <c r="H1825" s="15" t="s">
        <v>10</v>
      </c>
      <c r="I1825" s="15" t="s">
        <v>10</v>
      </c>
      <c r="J1825" s="15" t="s">
        <v>10</v>
      </c>
      <c r="K1825" s="15" t="s">
        <v>10</v>
      </c>
      <c r="L1825" s="15" t="s">
        <v>10</v>
      </c>
      <c r="M1825" s="15" t="s">
        <v>10</v>
      </c>
      <c r="N1825" s="15" t="s">
        <v>10</v>
      </c>
      <c r="O1825" s="15">
        <v>1.1204241206237904</v>
      </c>
      <c r="P1825" s="15">
        <v>1.1204241206237904</v>
      </c>
      <c r="Q1825" s="8"/>
      <c r="R1825" s="9" t="s">
        <v>1817</v>
      </c>
    </row>
    <row r="1826" spans="1:18" x14ac:dyDescent="0.25">
      <c r="A1826" s="6" t="str">
        <f>HYPERLINK("proteomic_fractions_linear_files/Yang_linear_img/288541376.jpg", "288541376")</f>
        <v>288541376</v>
      </c>
      <c r="B1826" s="7"/>
      <c r="C1826" s="6" t="str">
        <f>HYPERLINK("http://www.ncbi.nlm.nih.gov/protein/288541376","Dis3l2")</f>
        <v>Dis3l2</v>
      </c>
      <c r="D1826" s="8"/>
      <c r="E1826" s="8">
        <v>99090</v>
      </c>
      <c r="F1826" s="8"/>
      <c r="G1826" s="15" t="s">
        <v>10</v>
      </c>
      <c r="H1826" s="15" t="s">
        <v>10</v>
      </c>
      <c r="I1826" s="15" t="s">
        <v>10</v>
      </c>
      <c r="J1826" s="15" t="s">
        <v>10</v>
      </c>
      <c r="K1826" s="15" t="s">
        <v>10</v>
      </c>
      <c r="L1826" s="15" t="s">
        <v>10</v>
      </c>
      <c r="M1826" s="15" t="s">
        <v>10</v>
      </c>
      <c r="N1826" s="15" t="s">
        <v>10</v>
      </c>
      <c r="O1826" s="15">
        <v>1.1091067052639543</v>
      </c>
      <c r="P1826" s="15">
        <v>1.1091067052639543</v>
      </c>
      <c r="Q1826" s="8"/>
      <c r="R1826" s="9" t="s">
        <v>1818</v>
      </c>
    </row>
    <row r="1827" spans="1:18" x14ac:dyDescent="0.25">
      <c r="A1827" s="6" t="str">
        <f>HYPERLINK("proteomic_fractions_linear_files/Yang_linear_img/91064867.jpg", "91064867")</f>
        <v>91064867</v>
      </c>
      <c r="B1827" s="7"/>
      <c r="C1827" s="6" t="str">
        <f>HYPERLINK("http://www.ncbi.nlm.nih.gov/protein/91064867","Dkc1")</f>
        <v>Dkc1</v>
      </c>
      <c r="D1827" s="8"/>
      <c r="E1827" s="8">
        <v>57271</v>
      </c>
      <c r="F1827" s="8"/>
      <c r="G1827" s="15">
        <v>1.2883536884505657</v>
      </c>
      <c r="H1827" s="15">
        <v>1.2883536884505657</v>
      </c>
      <c r="I1827" s="15">
        <v>1.0311089050104185</v>
      </c>
      <c r="J1827" s="15">
        <v>1.0311089050104185</v>
      </c>
      <c r="K1827" s="15">
        <v>1.0311089050104185</v>
      </c>
      <c r="L1827" s="15">
        <v>1.0311089050104185</v>
      </c>
      <c r="M1827" s="15" t="s">
        <v>10</v>
      </c>
      <c r="N1827" s="15" t="s">
        <v>10</v>
      </c>
      <c r="O1827" s="15" t="s">
        <v>10</v>
      </c>
      <c r="P1827" s="15" t="s">
        <v>10</v>
      </c>
      <c r="Q1827" s="8"/>
      <c r="R1827" s="9" t="s">
        <v>1819</v>
      </c>
    </row>
    <row r="1828" spans="1:18" x14ac:dyDescent="0.25">
      <c r="A1828" s="6" t="str">
        <f>HYPERLINK("proteomic_fractions_linear_files/Yang_linear_img/257796245.jpg", "257796245")</f>
        <v>257796245</v>
      </c>
      <c r="B1828" s="7"/>
      <c r="C1828" s="6" t="str">
        <f>HYPERLINK("http://www.ncbi.nlm.nih.gov/protein/257796245","Dlat")</f>
        <v>Dlat</v>
      </c>
      <c r="D1828" s="8"/>
      <c r="E1828" s="8">
        <v>58778</v>
      </c>
      <c r="F1828" s="8"/>
      <c r="G1828" s="15">
        <v>1.4084518385278619</v>
      </c>
      <c r="H1828" s="15">
        <v>1.4084518385278619</v>
      </c>
      <c r="I1828" s="15">
        <v>1.1093773445854971</v>
      </c>
      <c r="J1828" s="15">
        <v>1.1093773445854971</v>
      </c>
      <c r="K1828" s="15">
        <v>1.244680682062411</v>
      </c>
      <c r="L1828" s="15">
        <v>1.244680682062411</v>
      </c>
      <c r="M1828" s="15">
        <v>1.1093773445854971</v>
      </c>
      <c r="N1828" s="15">
        <v>1.244680682062411</v>
      </c>
      <c r="O1828" s="15" t="s">
        <v>10</v>
      </c>
      <c r="P1828" s="15" t="s">
        <v>10</v>
      </c>
      <c r="Q1828" s="8"/>
      <c r="R1828" s="9" t="s">
        <v>1820</v>
      </c>
    </row>
    <row r="1829" spans="1:18" x14ac:dyDescent="0.25">
      <c r="A1829" s="6" t="str">
        <f>HYPERLINK("proteomic_fractions_linear_files/Yang_linear_img/113195692.jpg", "113195692")</f>
        <v>113195692</v>
      </c>
      <c r="B1829" s="7"/>
      <c r="C1829" s="6" t="str">
        <f>HYPERLINK("http://www.ncbi.nlm.nih.gov/protein/113195692","Dlc1")</f>
        <v>Dlc1</v>
      </c>
      <c r="D1829" s="8"/>
      <c r="E1829" s="8">
        <v>123204</v>
      </c>
      <c r="F1829" s="8"/>
      <c r="G1829" s="15" t="s">
        <v>10</v>
      </c>
      <c r="H1829" s="15" t="s">
        <v>10</v>
      </c>
      <c r="I1829" s="15" t="s">
        <v>10</v>
      </c>
      <c r="J1829" s="15" t="s">
        <v>10</v>
      </c>
      <c r="K1829" s="15">
        <v>0.47783095598043784</v>
      </c>
      <c r="L1829" s="15">
        <v>0.47783095598043784</v>
      </c>
      <c r="M1829" s="15">
        <v>0.89269564082220709</v>
      </c>
      <c r="N1829" s="15">
        <v>0.89269564082220709</v>
      </c>
      <c r="O1829" s="15" t="s">
        <v>10</v>
      </c>
      <c r="P1829" s="15" t="s">
        <v>10</v>
      </c>
      <c r="Q1829" s="8"/>
      <c r="R1829" s="9" t="s">
        <v>1821</v>
      </c>
    </row>
    <row r="1830" spans="1:18" x14ac:dyDescent="0.25">
      <c r="A1830" s="6" t="str">
        <f>HYPERLINK("proteomic_fractions_linear_files/Yang_linear_img/302699221.jpg", "302699221")</f>
        <v>302699221</v>
      </c>
      <c r="B1830" s="7"/>
      <c r="C1830" s="6" t="str">
        <f>HYPERLINK("http://www.ncbi.nlm.nih.gov/protein/302699221","Dlc1")</f>
        <v>Dlc1</v>
      </c>
      <c r="D1830" s="8"/>
      <c r="E1830" s="8">
        <v>172824</v>
      </c>
      <c r="F1830" s="8"/>
      <c r="G1830" s="15" t="s">
        <v>10</v>
      </c>
      <c r="H1830" s="15" t="s">
        <v>10</v>
      </c>
      <c r="I1830" s="15" t="s">
        <v>10</v>
      </c>
      <c r="J1830" s="15" t="s">
        <v>10</v>
      </c>
      <c r="K1830" s="15">
        <v>0.33972952361614944</v>
      </c>
      <c r="L1830" s="15">
        <v>0.33972952361614944</v>
      </c>
      <c r="M1830" s="15">
        <v>0.63469112035336106</v>
      </c>
      <c r="N1830" s="15">
        <v>0.63469112035336106</v>
      </c>
      <c r="O1830" s="15" t="s">
        <v>10</v>
      </c>
      <c r="P1830" s="15" t="s">
        <v>10</v>
      </c>
      <c r="Q1830" s="8"/>
      <c r="R1830" s="9" t="s">
        <v>1822</v>
      </c>
    </row>
    <row r="1831" spans="1:18" x14ac:dyDescent="0.25">
      <c r="A1831" s="6" t="str">
        <f>HYPERLINK("proteomic_fractions_linear_files/Yang_linear_img/302699225.jpg", "302699225")</f>
        <v>302699225</v>
      </c>
      <c r="B1831" s="7"/>
      <c r="C1831" s="6" t="str">
        <f>HYPERLINK("http://www.ncbi.nlm.nih.gov/protein/302699225","Dlc1")</f>
        <v>Dlc1</v>
      </c>
      <c r="D1831" s="8"/>
      <c r="E1831" s="8">
        <v>127095</v>
      </c>
      <c r="F1831" s="8"/>
      <c r="G1831" s="15" t="s">
        <v>10</v>
      </c>
      <c r="H1831" s="15" t="s">
        <v>10</v>
      </c>
      <c r="I1831" s="15" t="s">
        <v>10</v>
      </c>
      <c r="J1831" s="15" t="s">
        <v>10</v>
      </c>
      <c r="K1831" s="15">
        <v>0.46278116209129017</v>
      </c>
      <c r="L1831" s="15">
        <v>0.46278116209129017</v>
      </c>
      <c r="M1831" s="15">
        <v>0.86457924268607456</v>
      </c>
      <c r="N1831" s="15">
        <v>0.86457924268607456</v>
      </c>
      <c r="O1831" s="15" t="s">
        <v>10</v>
      </c>
      <c r="P1831" s="15" t="s">
        <v>10</v>
      </c>
      <c r="Q1831" s="8"/>
      <c r="R1831" s="9" t="s">
        <v>1823</v>
      </c>
    </row>
    <row r="1832" spans="1:18" x14ac:dyDescent="0.25">
      <c r="A1832" s="6" t="str">
        <f>HYPERLINK("proteomic_fractions_linear_files/Yang_linear_img/31982856.jpg", "31982856")</f>
        <v>31982856</v>
      </c>
      <c r="B1832" s="7"/>
      <c r="C1832" s="6" t="str">
        <f>HYPERLINK("http://www.ncbi.nlm.nih.gov/protein/31982856","Dld")</f>
        <v>Dld</v>
      </c>
      <c r="D1832" s="8"/>
      <c r="E1832" s="8">
        <v>50243</v>
      </c>
      <c r="F1832" s="8"/>
      <c r="G1832" s="15">
        <v>1.4687232048336449</v>
      </c>
      <c r="H1832" s="15">
        <v>1.4687232048336449</v>
      </c>
      <c r="I1832" s="15">
        <v>1.0624113926000216</v>
      </c>
      <c r="J1832" s="15">
        <v>1.0624113926000216</v>
      </c>
      <c r="K1832" s="15">
        <v>1.1754641517118771</v>
      </c>
      <c r="L1832" s="15">
        <v>1.1754641517118771</v>
      </c>
      <c r="M1832" s="15">
        <v>1.0624113926000216</v>
      </c>
      <c r="N1832" s="15">
        <v>1.0624113926000216</v>
      </c>
      <c r="O1832" s="15">
        <v>1.0624113926000216</v>
      </c>
      <c r="P1832" s="15">
        <v>1.0624113926000216</v>
      </c>
      <c r="Q1832" s="8"/>
      <c r="R1832" s="9" t="s">
        <v>1824</v>
      </c>
    </row>
    <row r="1833" spans="1:18" x14ac:dyDescent="0.25">
      <c r="A1833" s="6" t="str">
        <f>HYPERLINK("proteomic_fractions_linear_files/Yang_linear_img/356995919.jpg", "356995919")</f>
        <v>356995919</v>
      </c>
      <c r="B1833" s="7"/>
      <c r="C1833" s="6" t="str">
        <f>HYPERLINK("http://www.ncbi.nlm.nih.gov/protein/356995919","Dlg1")</f>
        <v>Dlg1</v>
      </c>
      <c r="D1833" s="8"/>
      <c r="E1833" s="8">
        <v>96761</v>
      </c>
      <c r="F1833" s="8"/>
      <c r="G1833" s="15">
        <v>1.5819883622292974</v>
      </c>
      <c r="H1833" s="15">
        <v>1.5819883622292974</v>
      </c>
      <c r="I1833" s="15">
        <v>0.97905135239777841</v>
      </c>
      <c r="J1833" s="15">
        <v>1.1319748847539326</v>
      </c>
      <c r="K1833" s="15">
        <v>1.5819883622292974</v>
      </c>
      <c r="L1833" s="15">
        <v>1.5819883622292974</v>
      </c>
      <c r="M1833" s="15" t="s">
        <v>10</v>
      </c>
      <c r="N1833" s="15" t="s">
        <v>10</v>
      </c>
      <c r="O1833" s="15" t="s">
        <v>10</v>
      </c>
      <c r="P1833" s="15" t="s">
        <v>10</v>
      </c>
      <c r="Q1833" s="8"/>
      <c r="R1833" s="9" t="s">
        <v>1825</v>
      </c>
    </row>
    <row r="1834" spans="1:18" x14ac:dyDescent="0.25">
      <c r="A1834" s="6" t="str">
        <f>HYPERLINK("proteomic_fractions_linear_files/Yang_linear_img/356995921.jpg", "356995921")</f>
        <v>356995921</v>
      </c>
      <c r="B1834" s="7"/>
      <c r="C1834" s="6" t="str">
        <f>HYPERLINK("http://www.ncbi.nlm.nih.gov/protein/356995921","Dlg1")</f>
        <v>Dlg1</v>
      </c>
      <c r="D1834" s="8"/>
      <c r="E1834" s="8">
        <v>99989</v>
      </c>
      <c r="F1834" s="8"/>
      <c r="G1834" s="15">
        <v>1.5345287113624184</v>
      </c>
      <c r="H1834" s="15">
        <v>1.5345287113624184</v>
      </c>
      <c r="I1834" s="15">
        <v>0.94967981182584504</v>
      </c>
      <c r="J1834" s="15">
        <v>1.0980156382113146</v>
      </c>
      <c r="K1834" s="15">
        <v>1.5345287113624184</v>
      </c>
      <c r="L1834" s="15">
        <v>1.5345287113624184</v>
      </c>
      <c r="M1834" s="15" t="s">
        <v>10</v>
      </c>
      <c r="N1834" s="15" t="s">
        <v>10</v>
      </c>
      <c r="O1834" s="15" t="s">
        <v>10</v>
      </c>
      <c r="P1834" s="15" t="s">
        <v>10</v>
      </c>
      <c r="Q1834" s="8"/>
      <c r="R1834" s="9" t="s">
        <v>1826</v>
      </c>
    </row>
    <row r="1835" spans="1:18" x14ac:dyDescent="0.25">
      <c r="A1835" s="6" t="str">
        <f>HYPERLINK("proteomic_fractions_linear_files/Yang_linear_img/356995923.jpg", "356995923")</f>
        <v>356995923</v>
      </c>
      <c r="B1835" s="7"/>
      <c r="C1835" s="6" t="str">
        <f>HYPERLINK("http://www.ncbi.nlm.nih.gov/protein/356995923","Dlg1")</f>
        <v>Dlg1</v>
      </c>
      <c r="D1835" s="8"/>
      <c r="E1835" s="8">
        <v>91492</v>
      </c>
      <c r="F1835" s="8"/>
      <c r="G1835" s="15">
        <v>1.6862952872114487</v>
      </c>
      <c r="H1835" s="15">
        <v>1.6862952872114487</v>
      </c>
      <c r="I1835" s="15">
        <v>1.0436041888196099</v>
      </c>
      <c r="J1835" s="15">
        <v>1.206610591441005</v>
      </c>
      <c r="K1835" s="15">
        <v>1.6862952872114487</v>
      </c>
      <c r="L1835" s="15">
        <v>1.6862952872114487</v>
      </c>
      <c r="M1835" s="15" t="s">
        <v>10</v>
      </c>
      <c r="N1835" s="15" t="s">
        <v>10</v>
      </c>
      <c r="O1835" s="15" t="s">
        <v>10</v>
      </c>
      <c r="P1835" s="15" t="s">
        <v>10</v>
      </c>
      <c r="Q1835" s="8"/>
      <c r="R1835" s="9" t="s">
        <v>1827</v>
      </c>
    </row>
    <row r="1836" spans="1:18" x14ac:dyDescent="0.25">
      <c r="A1836" s="6" t="str">
        <f>HYPERLINK("proteomic_fractions_linear_files/Yang_linear_img/356995917.jpg", "356995917")</f>
        <v>356995917</v>
      </c>
      <c r="B1836" s="7"/>
      <c r="C1836" s="6" t="str">
        <f>HYPERLINK("http://www.ncbi.nlm.nih.gov/protein/356995917","Dlg1")</f>
        <v>Dlg1</v>
      </c>
      <c r="D1836" s="8"/>
      <c r="E1836" s="8">
        <v>99499</v>
      </c>
      <c r="F1836" s="8"/>
      <c r="G1836" s="15">
        <v>1.5500290013761802</v>
      </c>
      <c r="H1836" s="15">
        <v>1.5500290013761802</v>
      </c>
      <c r="I1836" s="15">
        <v>0.95927253719782335</v>
      </c>
      <c r="J1836" s="15">
        <v>1.1091067052639543</v>
      </c>
      <c r="K1836" s="15">
        <v>1.5500290013761802</v>
      </c>
      <c r="L1836" s="15">
        <v>1.5500290013761802</v>
      </c>
      <c r="M1836" s="15">
        <v>1.1091067052639543</v>
      </c>
      <c r="N1836" s="15">
        <v>1.3002184661122926</v>
      </c>
      <c r="O1836" s="15">
        <v>1.3002184661122926</v>
      </c>
      <c r="P1836" s="15">
        <v>1.3002184661122926</v>
      </c>
      <c r="Q1836" s="8"/>
      <c r="R1836" s="9" t="s">
        <v>1828</v>
      </c>
    </row>
    <row r="1837" spans="1:18" x14ac:dyDescent="0.25">
      <c r="A1837" s="6" t="str">
        <f>HYPERLINK("proteomic_fractions_linear_files/Yang_linear_img/40254642.jpg", "40254642")</f>
        <v>40254642</v>
      </c>
      <c r="B1837" s="7"/>
      <c r="C1837" s="6" t="str">
        <f>HYPERLINK("http://www.ncbi.nlm.nih.gov/protein/40254642","Dlg1")</f>
        <v>Dlg1</v>
      </c>
      <c r="D1837" s="8"/>
      <c r="E1837" s="8">
        <v>102855</v>
      </c>
      <c r="F1837" s="8"/>
      <c r="G1837" s="15">
        <v>1.4898337003518625</v>
      </c>
      <c r="H1837" s="15">
        <v>1.4898337003518625</v>
      </c>
      <c r="I1837" s="15">
        <v>0.92201923478237391</v>
      </c>
      <c r="J1837" s="15">
        <v>1.0660346002051599</v>
      </c>
      <c r="K1837" s="15">
        <v>1.4898337003518625</v>
      </c>
      <c r="L1837" s="15">
        <v>1.4898337003518625</v>
      </c>
      <c r="M1837" s="15">
        <v>1.0660346002051599</v>
      </c>
      <c r="N1837" s="15">
        <v>1.2497245450982231</v>
      </c>
      <c r="O1837" s="15">
        <v>1.2497245450982231</v>
      </c>
      <c r="P1837" s="15">
        <v>1.2497245450982231</v>
      </c>
      <c r="Q1837" s="8"/>
      <c r="R1837" s="9" t="s">
        <v>1829</v>
      </c>
    </row>
    <row r="1838" spans="1:18" x14ac:dyDescent="0.25">
      <c r="A1838" s="6" t="str">
        <f>HYPERLINK("proteomic_fractions_linear_files/Yang_linear_img/118136297.jpg", "118136297")</f>
        <v>118136297</v>
      </c>
      <c r="B1838" s="7"/>
      <c r="C1838" s="6" t="str">
        <f>HYPERLINK("http://www.ncbi.nlm.nih.gov/protein/118136297","Dlg2")</f>
        <v>Dlg2</v>
      </c>
      <c r="D1838" s="8"/>
      <c r="E1838" s="8">
        <v>94749</v>
      </c>
      <c r="F1838" s="8"/>
      <c r="G1838" s="15">
        <v>1.6152933803814931</v>
      </c>
      <c r="H1838" s="15">
        <v>1.6152933803814931</v>
      </c>
      <c r="I1838" s="15" t="s">
        <v>10</v>
      </c>
      <c r="J1838" s="15" t="s">
        <v>10</v>
      </c>
      <c r="K1838" s="15">
        <v>1.6152933803814931</v>
      </c>
      <c r="L1838" s="15">
        <v>1.354964506790705</v>
      </c>
      <c r="M1838" s="15" t="s">
        <v>10</v>
      </c>
      <c r="N1838" s="15" t="s">
        <v>10</v>
      </c>
      <c r="O1838" s="15" t="s">
        <v>10</v>
      </c>
      <c r="P1838" s="15" t="s">
        <v>10</v>
      </c>
      <c r="Q1838" s="8"/>
      <c r="R1838" s="9" t="s">
        <v>1830</v>
      </c>
    </row>
    <row r="1839" spans="1:18" x14ac:dyDescent="0.25">
      <c r="A1839" s="6" t="str">
        <f>HYPERLINK("proteomic_fractions_linear_files/Yang_linear_img/340007425.jpg", "340007425")</f>
        <v>340007425</v>
      </c>
      <c r="B1839" s="7"/>
      <c r="C1839" s="6" t="str">
        <f>HYPERLINK("http://www.ncbi.nlm.nih.gov/protein/340007425","Dlg2")</f>
        <v>Dlg2</v>
      </c>
      <c r="D1839" s="8"/>
      <c r="E1839" s="8">
        <v>54613</v>
      </c>
      <c r="F1839" s="8"/>
      <c r="G1839" s="15">
        <v>2.7900522024771242</v>
      </c>
      <c r="H1839" s="15">
        <v>2.7900522024771242</v>
      </c>
      <c r="I1839" s="15" t="s">
        <v>10</v>
      </c>
      <c r="J1839" s="15" t="s">
        <v>10</v>
      </c>
      <c r="K1839" s="15">
        <v>2.3403932390021267</v>
      </c>
      <c r="L1839" s="15">
        <v>2.3403932390021267</v>
      </c>
      <c r="M1839" s="15" t="s">
        <v>10</v>
      </c>
      <c r="N1839" s="15" t="s">
        <v>10</v>
      </c>
      <c r="O1839" s="15" t="s">
        <v>10</v>
      </c>
      <c r="P1839" s="15" t="s">
        <v>10</v>
      </c>
      <c r="Q1839" s="8"/>
      <c r="R1839" s="9" t="s">
        <v>1831</v>
      </c>
    </row>
    <row r="1840" spans="1:18" x14ac:dyDescent="0.25">
      <c r="A1840" s="6" t="str">
        <f>HYPERLINK("proteomic_fractions_linear_files/Yang_linear_img/340007427.jpg", "340007427")</f>
        <v>340007427</v>
      </c>
      <c r="B1840" s="7"/>
      <c r="C1840" s="6" t="str">
        <f>HYPERLINK("http://www.ncbi.nlm.nih.gov/protein/340007427","Dlg2")</f>
        <v>Dlg2</v>
      </c>
      <c r="D1840" s="8"/>
      <c r="E1840" s="8">
        <v>38200</v>
      </c>
      <c r="F1840" s="8"/>
      <c r="G1840" s="15">
        <v>4.038233450953733</v>
      </c>
      <c r="H1840" s="15">
        <v>4.038233450953733</v>
      </c>
      <c r="I1840" s="15" t="s">
        <v>10</v>
      </c>
      <c r="J1840" s="15" t="s">
        <v>10</v>
      </c>
      <c r="K1840" s="15">
        <v>3.3874112669767622</v>
      </c>
      <c r="L1840" s="15">
        <v>3.3874112669767622</v>
      </c>
      <c r="M1840" s="15" t="s">
        <v>10</v>
      </c>
      <c r="N1840" s="15" t="s">
        <v>10</v>
      </c>
      <c r="O1840" s="15" t="s">
        <v>10</v>
      </c>
      <c r="P1840" s="15" t="s">
        <v>10</v>
      </c>
      <c r="Q1840" s="8"/>
      <c r="R1840" s="9" t="s">
        <v>1832</v>
      </c>
    </row>
    <row r="1841" spans="1:18" x14ac:dyDescent="0.25">
      <c r="A1841" s="6" t="str">
        <f>HYPERLINK("proteomic_fractions_linear_files/Yang_linear_img/295293129.jpg", "295293129")</f>
        <v>295293129</v>
      </c>
      <c r="B1841" s="7"/>
      <c r="C1841" s="6" t="str">
        <f>HYPERLINK("http://www.ncbi.nlm.nih.gov/protein/295293129","Dlg3")</f>
        <v>Dlg3</v>
      </c>
      <c r="D1841" s="8"/>
      <c r="E1841" s="8">
        <v>41992</v>
      </c>
      <c r="F1841" s="8"/>
      <c r="G1841" s="15">
        <v>3.6536397889581389</v>
      </c>
      <c r="H1841" s="15">
        <v>3.6536397889581389</v>
      </c>
      <c r="I1841" s="15">
        <v>1.0506092677848922</v>
      </c>
      <c r="J1841" s="15">
        <v>1.0506092677848922</v>
      </c>
      <c r="K1841" s="15">
        <v>3.0648006701218327</v>
      </c>
      <c r="L1841" s="15">
        <v>3.0648006701218327</v>
      </c>
      <c r="M1841" s="15" t="s">
        <v>10</v>
      </c>
      <c r="N1841" s="15" t="s">
        <v>10</v>
      </c>
      <c r="O1841" s="15" t="s">
        <v>10</v>
      </c>
      <c r="P1841" s="15" t="s">
        <v>10</v>
      </c>
      <c r="Q1841" s="8"/>
      <c r="R1841" s="9" t="s">
        <v>1833</v>
      </c>
    </row>
    <row r="1842" spans="1:18" x14ac:dyDescent="0.25">
      <c r="A1842" s="6" t="str">
        <f>HYPERLINK("proteomic_fractions_linear_files/Yang_linear_img/295293124.jpg", "295293124")</f>
        <v>295293124</v>
      </c>
      <c r="B1842" s="7"/>
      <c r="C1842" s="6" t="str">
        <f>HYPERLINK("http://www.ncbi.nlm.nih.gov/protein/295293124","Dlg3")</f>
        <v>Dlg3</v>
      </c>
      <c r="D1842" s="8"/>
      <c r="E1842" s="8">
        <v>91984</v>
      </c>
      <c r="F1842" s="8"/>
      <c r="G1842" s="15">
        <v>1.6679659906113244</v>
      </c>
      <c r="H1842" s="15">
        <v>1.6679659906113244</v>
      </c>
      <c r="I1842" s="15">
        <v>0.47962597007571162</v>
      </c>
      <c r="J1842" s="15">
        <v>0.47962597007571162</v>
      </c>
      <c r="K1842" s="15">
        <v>1.3991481320121408</v>
      </c>
      <c r="L1842" s="15">
        <v>1.3991481320121408</v>
      </c>
      <c r="M1842" s="15">
        <v>0.14453330459784275</v>
      </c>
      <c r="N1842" s="15">
        <v>0.14453330459784275</v>
      </c>
      <c r="O1842" s="15" t="s">
        <v>10</v>
      </c>
      <c r="P1842" s="15" t="s">
        <v>10</v>
      </c>
      <c r="Q1842" s="8"/>
      <c r="R1842" s="9" t="s">
        <v>1834</v>
      </c>
    </row>
    <row r="1843" spans="1:18" x14ac:dyDescent="0.25">
      <c r="A1843" s="6" t="str">
        <f>HYPERLINK("proteomic_fractions_linear_files/Yang_linear_img/295293127.jpg", "295293127")</f>
        <v>295293127</v>
      </c>
      <c r="B1843" s="7"/>
      <c r="C1843" s="6" t="str">
        <f>HYPERLINK("http://www.ncbi.nlm.nih.gov/protein/295293127","Dlg3")</f>
        <v>Dlg3</v>
      </c>
      <c r="D1843" s="8"/>
      <c r="E1843" s="8">
        <v>57774</v>
      </c>
      <c r="F1843" s="8"/>
      <c r="G1843" s="15">
        <v>2.6457391575214109</v>
      </c>
      <c r="H1843" s="15">
        <v>2.6457391575214109</v>
      </c>
      <c r="I1843" s="15">
        <v>0.76078602149940466</v>
      </c>
      <c r="J1843" s="15">
        <v>0.76078602149940466</v>
      </c>
      <c r="K1843" s="15">
        <v>2.2193384162951202</v>
      </c>
      <c r="L1843" s="15">
        <v>2.2193384162951202</v>
      </c>
      <c r="M1843" s="15">
        <v>0.22925972453450921</v>
      </c>
      <c r="N1843" s="15">
        <v>0.22925972453450921</v>
      </c>
      <c r="O1843" s="15" t="s">
        <v>10</v>
      </c>
      <c r="P1843" s="15" t="s">
        <v>10</v>
      </c>
      <c r="Q1843" s="8"/>
      <c r="R1843" s="9" t="s">
        <v>1835</v>
      </c>
    </row>
    <row r="1844" spans="1:18" x14ac:dyDescent="0.25">
      <c r="A1844" s="6" t="str">
        <f>HYPERLINK("proteomic_fractions_linear_files/Yang_linear_img/7949129.jpg", "7949129")</f>
        <v>7949129</v>
      </c>
      <c r="B1844" s="7"/>
      <c r="C1844" s="6" t="str">
        <f>HYPERLINK("http://www.ncbi.nlm.nih.gov/protein/7949129","Dlg3")</f>
        <v>Dlg3</v>
      </c>
      <c r="D1844" s="8"/>
      <c r="E1844" s="8">
        <v>93352</v>
      </c>
      <c r="F1844" s="8"/>
      <c r="G1844" s="15">
        <v>1.650030872432708</v>
      </c>
      <c r="H1844" s="15">
        <v>1.650030872432708</v>
      </c>
      <c r="I1844" s="15">
        <v>0.47446870158027388</v>
      </c>
      <c r="J1844" s="15">
        <v>0.47446870158027388</v>
      </c>
      <c r="K1844" s="15">
        <v>1.3841035284421179</v>
      </c>
      <c r="L1844" s="15">
        <v>1.3841035284421179</v>
      </c>
      <c r="M1844" s="15">
        <v>0.14297918304302726</v>
      </c>
      <c r="N1844" s="15">
        <v>0.14297918304302726</v>
      </c>
      <c r="O1844" s="15" t="s">
        <v>10</v>
      </c>
      <c r="P1844" s="15" t="s">
        <v>10</v>
      </c>
      <c r="Q1844" s="8"/>
      <c r="R1844" s="9" t="s">
        <v>1836</v>
      </c>
    </row>
    <row r="1845" spans="1:18" x14ac:dyDescent="0.25">
      <c r="A1845" s="6" t="str">
        <f>HYPERLINK("proteomic_fractions_linear_files/Yang_linear_img/254588083.jpg", "254588083")</f>
        <v>254588083</v>
      </c>
      <c r="B1845" s="7"/>
      <c r="C1845" s="6" t="str">
        <f>HYPERLINK("http://www.ncbi.nlm.nih.gov/protein/254588083","Dlg5")</f>
        <v>Dlg5</v>
      </c>
      <c r="D1845" s="8"/>
      <c r="E1845" s="8">
        <v>214256</v>
      </c>
      <c r="F1845" s="8"/>
      <c r="G1845" s="15" t="s">
        <v>10</v>
      </c>
      <c r="H1845" s="15" t="s">
        <v>10</v>
      </c>
      <c r="I1845" s="15" t="s">
        <v>10</v>
      </c>
      <c r="J1845" s="15" t="s">
        <v>10</v>
      </c>
      <c r="K1845" s="15">
        <v>1.4102024515724241</v>
      </c>
      <c r="L1845" s="15">
        <v>1.4102024515724241</v>
      </c>
      <c r="M1845" s="15" t="s">
        <v>10</v>
      </c>
      <c r="N1845" s="15" t="s">
        <v>10</v>
      </c>
      <c r="O1845" s="15" t="s">
        <v>10</v>
      </c>
      <c r="P1845" s="15" t="s">
        <v>10</v>
      </c>
      <c r="Q1845" s="8"/>
      <c r="R1845" s="9" t="s">
        <v>1837</v>
      </c>
    </row>
    <row r="1846" spans="1:18" x14ac:dyDescent="0.25">
      <c r="A1846" s="6" t="str">
        <f>HYPERLINK("proteomic_fractions_linear_files/Yang_linear_img/254588085.jpg", "254588085")</f>
        <v>254588085</v>
      </c>
      <c r="B1846" s="7"/>
      <c r="C1846" s="6" t="str">
        <f>HYPERLINK("http://www.ncbi.nlm.nih.gov/protein/254588085","Dlg5")</f>
        <v>Dlg5</v>
      </c>
      <c r="D1846" s="8"/>
      <c r="E1846" s="8">
        <v>211966</v>
      </c>
      <c r="F1846" s="8"/>
      <c r="G1846" s="15" t="s">
        <v>10</v>
      </c>
      <c r="H1846" s="15" t="s">
        <v>10</v>
      </c>
      <c r="I1846" s="15" t="s">
        <v>10</v>
      </c>
      <c r="J1846" s="15" t="s">
        <v>10</v>
      </c>
      <c r="K1846" s="15">
        <v>1.4235062482853715</v>
      </c>
      <c r="L1846" s="15">
        <v>1.4235062482853715</v>
      </c>
      <c r="M1846" s="15" t="s">
        <v>10</v>
      </c>
      <c r="N1846" s="15" t="s">
        <v>10</v>
      </c>
      <c r="O1846" s="15" t="s">
        <v>10</v>
      </c>
      <c r="P1846" s="15" t="s">
        <v>10</v>
      </c>
      <c r="Q1846" s="8"/>
      <c r="R1846" s="9" t="s">
        <v>1838</v>
      </c>
    </row>
    <row r="1847" spans="1:18" x14ac:dyDescent="0.25">
      <c r="A1847" s="6" t="str">
        <f>HYPERLINK("proteomic_fractions_linear_files/Yang_linear_img/464397471.jpg", "464397471")</f>
        <v>464397471</v>
      </c>
      <c r="B1847" s="7"/>
      <c r="C1847" s="6" t="str">
        <f>HYPERLINK("http://www.ncbi.nlm.nih.gov/protein/464397471","Dlgap4")</f>
        <v>Dlgap4</v>
      </c>
      <c r="D1847" s="8"/>
      <c r="E1847" s="8">
        <v>107421</v>
      </c>
      <c r="F1847" s="8"/>
      <c r="G1847" s="15" t="s">
        <v>10</v>
      </c>
      <c r="H1847" s="15" t="s">
        <v>10</v>
      </c>
      <c r="I1847" s="15" t="s">
        <v>10</v>
      </c>
      <c r="J1847" s="15" t="s">
        <v>10</v>
      </c>
      <c r="K1847" s="15">
        <v>0.37857306731983875</v>
      </c>
      <c r="L1847" s="15">
        <v>0.37857306731983875</v>
      </c>
      <c r="M1847" s="15" t="s">
        <v>10</v>
      </c>
      <c r="N1847" s="15" t="s">
        <v>10</v>
      </c>
      <c r="O1847" s="15" t="s">
        <v>10</v>
      </c>
      <c r="P1847" s="15" t="s">
        <v>10</v>
      </c>
      <c r="Q1847" s="8"/>
      <c r="R1847" s="9" t="s">
        <v>1839</v>
      </c>
    </row>
    <row r="1848" spans="1:18" x14ac:dyDescent="0.25">
      <c r="A1848" s="6" t="str">
        <f>HYPERLINK("proteomic_fractions_linear_files/Yang_linear_img/464398772.jpg", "464398772")</f>
        <v>464398772</v>
      </c>
      <c r="B1848" s="7"/>
      <c r="C1848" s="6" t="str">
        <f>HYPERLINK("http://www.ncbi.nlm.nih.gov/protein/464398772","Dlgap4")</f>
        <v>Dlgap4</v>
      </c>
      <c r="D1848" s="8"/>
      <c r="E1848" s="8">
        <v>106039</v>
      </c>
      <c r="F1848" s="8"/>
      <c r="G1848" s="15" t="s">
        <v>10</v>
      </c>
      <c r="H1848" s="15" t="s">
        <v>10</v>
      </c>
      <c r="I1848" s="15" t="s">
        <v>10</v>
      </c>
      <c r="J1848" s="15" t="s">
        <v>10</v>
      </c>
      <c r="K1848" s="15">
        <v>0.38214451135115796</v>
      </c>
      <c r="L1848" s="15">
        <v>0.38214451135115796</v>
      </c>
      <c r="M1848" s="15" t="s">
        <v>10</v>
      </c>
      <c r="N1848" s="15" t="s">
        <v>10</v>
      </c>
      <c r="O1848" s="15" t="s">
        <v>10</v>
      </c>
      <c r="P1848" s="15" t="s">
        <v>10</v>
      </c>
      <c r="Q1848" s="8"/>
      <c r="R1848" s="9" t="s">
        <v>1840</v>
      </c>
    </row>
    <row r="1849" spans="1:18" x14ac:dyDescent="0.25">
      <c r="A1849" s="6" t="str">
        <f>HYPERLINK("proteomic_fractions_linear_files/Yang_linear_img/109891940.jpg", "109891940")</f>
        <v>109891940</v>
      </c>
      <c r="B1849" s="7"/>
      <c r="C1849" s="6" t="str">
        <f>HYPERLINK("http://www.ncbi.nlm.nih.gov/protein/109891940","Dlgap4")</f>
        <v>Dlgap4</v>
      </c>
      <c r="D1849" s="8"/>
      <c r="E1849" s="8">
        <v>49329</v>
      </c>
      <c r="F1849" s="8"/>
      <c r="G1849" s="15" t="s">
        <v>10</v>
      </c>
      <c r="H1849" s="15" t="s">
        <v>10</v>
      </c>
      <c r="I1849" s="15" t="s">
        <v>10</v>
      </c>
      <c r="J1849" s="15" t="s">
        <v>10</v>
      </c>
      <c r="K1849" s="15">
        <v>0.82667996333107641</v>
      </c>
      <c r="L1849" s="15">
        <v>0.82667996333107641</v>
      </c>
      <c r="M1849" s="15" t="s">
        <v>10</v>
      </c>
      <c r="N1849" s="15" t="s">
        <v>10</v>
      </c>
      <c r="O1849" s="15">
        <v>0.70517094960153437</v>
      </c>
      <c r="P1849" s="15">
        <v>0.70517094960153437</v>
      </c>
      <c r="Q1849" s="8"/>
      <c r="R1849" s="9" t="s">
        <v>1841</v>
      </c>
    </row>
    <row r="1850" spans="1:18" x14ac:dyDescent="0.25">
      <c r="A1850" s="6" t="str">
        <f>HYPERLINK("proteomic_fractions_linear_files/Yang_linear_img/109891942.jpg", "109891942")</f>
        <v>109891942</v>
      </c>
      <c r="B1850" s="7"/>
      <c r="C1850" s="6" t="str">
        <f>HYPERLINK("http://www.ncbi.nlm.nih.gov/protein/109891942","Dlgap4")</f>
        <v>Dlgap4</v>
      </c>
      <c r="D1850" s="8"/>
      <c r="E1850" s="8">
        <v>31465</v>
      </c>
      <c r="F1850" s="8"/>
      <c r="G1850" s="15" t="s">
        <v>10</v>
      </c>
      <c r="H1850" s="15" t="s">
        <v>10</v>
      </c>
      <c r="I1850" s="15" t="s">
        <v>10</v>
      </c>
      <c r="J1850" s="15" t="s">
        <v>10</v>
      </c>
      <c r="K1850" s="15">
        <v>1.3066876839749273</v>
      </c>
      <c r="L1850" s="15">
        <v>1.3066876839749273</v>
      </c>
      <c r="M1850" s="15" t="s">
        <v>10</v>
      </c>
      <c r="N1850" s="15" t="s">
        <v>10</v>
      </c>
      <c r="O1850" s="15">
        <v>1.1146250493701673</v>
      </c>
      <c r="P1850" s="15">
        <v>1.1146250493701673</v>
      </c>
      <c r="Q1850" s="8"/>
      <c r="R1850" s="9" t="s">
        <v>1842</v>
      </c>
    </row>
    <row r="1851" spans="1:18" x14ac:dyDescent="0.25">
      <c r="A1851" s="6" t="str">
        <f>HYPERLINK("proteomic_fractions_linear_files/Yang_linear_img/62530192.jpg", "62530192")</f>
        <v>62530192</v>
      </c>
      <c r="B1851" s="7"/>
      <c r="C1851" s="6" t="str">
        <f>HYPERLINK("http://www.ncbi.nlm.nih.gov/protein/62530192","Dlgap4")</f>
        <v>Dlgap4</v>
      </c>
      <c r="D1851" s="8"/>
      <c r="E1851" s="8">
        <v>107906</v>
      </c>
      <c r="F1851" s="8"/>
      <c r="G1851" s="15" t="s">
        <v>10</v>
      </c>
      <c r="H1851" s="15" t="s">
        <v>10</v>
      </c>
      <c r="I1851" s="15" t="s">
        <v>10</v>
      </c>
      <c r="J1851" s="15" t="s">
        <v>10</v>
      </c>
      <c r="K1851" s="15">
        <v>0.37506776114095136</v>
      </c>
      <c r="L1851" s="15">
        <v>0.37506776114095136</v>
      </c>
      <c r="M1851" s="15" t="s">
        <v>10</v>
      </c>
      <c r="N1851" s="15" t="s">
        <v>10</v>
      </c>
      <c r="O1851" s="15">
        <v>0.31993867157847394</v>
      </c>
      <c r="P1851" s="15">
        <v>0.31993867157847394</v>
      </c>
      <c r="Q1851" s="8"/>
      <c r="R1851" s="9" t="s">
        <v>1843</v>
      </c>
    </row>
    <row r="1852" spans="1:18" x14ac:dyDescent="0.25">
      <c r="A1852" s="6" t="str">
        <f>HYPERLINK("proteomic_fractions_linear_files/Yang_linear_img/225543150.jpg", "225543150")</f>
        <v>225543150</v>
      </c>
      <c r="B1852" s="7"/>
      <c r="C1852" s="6" t="str">
        <f>HYPERLINK("http://www.ncbi.nlm.nih.gov/protein/225543150","Dlgap5")</f>
        <v>Dlgap5</v>
      </c>
      <c r="D1852" s="8"/>
      <c r="E1852" s="8">
        <v>90104</v>
      </c>
      <c r="F1852" s="8"/>
      <c r="G1852" s="15" t="s">
        <v>10</v>
      </c>
      <c r="H1852" s="15" t="s">
        <v>10</v>
      </c>
      <c r="I1852" s="15" t="s">
        <v>10</v>
      </c>
      <c r="J1852" s="15" t="s">
        <v>10</v>
      </c>
      <c r="K1852" s="15" t="s">
        <v>10</v>
      </c>
      <c r="L1852" s="15" t="s">
        <v>10</v>
      </c>
      <c r="M1852" s="15">
        <v>0.17697157536868641</v>
      </c>
      <c r="N1852" s="15">
        <v>0.17697157536868641</v>
      </c>
      <c r="O1852" s="15" t="s">
        <v>10</v>
      </c>
      <c r="P1852" s="15" t="s">
        <v>10</v>
      </c>
      <c r="Q1852" s="8"/>
      <c r="R1852" s="9" t="s">
        <v>1844</v>
      </c>
    </row>
    <row r="1853" spans="1:18" x14ac:dyDescent="0.25">
      <c r="A1853" s="6" t="str">
        <f>HYPERLINK("proteomic_fractions_linear_files/Yang_linear_img/21313536.jpg", "21313536")</f>
        <v>21313536</v>
      </c>
      <c r="B1853" s="7"/>
      <c r="C1853" s="6" t="str">
        <f>HYPERLINK("http://www.ncbi.nlm.nih.gov/protein/21313536","Dlst")</f>
        <v>Dlst</v>
      </c>
      <c r="D1853" s="8"/>
      <c r="E1853" s="8">
        <v>41470</v>
      </c>
      <c r="F1853" s="8"/>
      <c r="G1853" s="15">
        <v>1.5964210568425448</v>
      </c>
      <c r="H1853" s="15">
        <v>1.5964210568425448</v>
      </c>
      <c r="I1853" s="15">
        <v>1.1778042825467134</v>
      </c>
      <c r="J1853" s="15">
        <v>1.1778042825467134</v>
      </c>
      <c r="K1853" s="15">
        <v>1.2956236495122215</v>
      </c>
      <c r="L1853" s="15">
        <v>1.2956236495122215</v>
      </c>
      <c r="M1853" s="15">
        <v>1.1778042825467134</v>
      </c>
      <c r="N1853" s="15">
        <v>1.1778042825467134</v>
      </c>
      <c r="O1853" s="15" t="s">
        <v>10</v>
      </c>
      <c r="P1853" s="15" t="s">
        <v>10</v>
      </c>
      <c r="Q1853" s="8"/>
      <c r="R1853" s="9" t="s">
        <v>1845</v>
      </c>
    </row>
    <row r="1854" spans="1:18" x14ac:dyDescent="0.25">
      <c r="A1854" s="6" t="str">
        <f>HYPERLINK("proteomic_fractions_linear_files/Yang_linear_img/6681203.jpg", "6681203")</f>
        <v>6681203</v>
      </c>
      <c r="B1854" s="7"/>
      <c r="C1854" s="6" t="str">
        <f>HYPERLINK("http://www.ncbi.nlm.nih.gov/protein/6681203","Dmd")</f>
        <v>Dmd</v>
      </c>
      <c r="D1854" s="8"/>
      <c r="E1854" s="8">
        <v>425702</v>
      </c>
      <c r="F1854" s="8"/>
      <c r="G1854" s="15" t="s">
        <v>10</v>
      </c>
      <c r="H1854" s="15" t="s">
        <v>10</v>
      </c>
      <c r="I1854" s="15">
        <v>8.111121251285254E-2</v>
      </c>
      <c r="J1854" s="15">
        <v>8.111121251285254E-2</v>
      </c>
      <c r="K1854" s="15">
        <v>0.19506727341113581</v>
      </c>
      <c r="L1854" s="15">
        <v>0.19506727341113581</v>
      </c>
      <c r="M1854" s="15" t="s">
        <v>10</v>
      </c>
      <c r="N1854" s="15" t="s">
        <v>10</v>
      </c>
      <c r="O1854" s="15" t="s">
        <v>10</v>
      </c>
      <c r="P1854" s="15" t="s">
        <v>10</v>
      </c>
      <c r="Q1854" s="8"/>
      <c r="R1854" s="9" t="s">
        <v>1846</v>
      </c>
    </row>
    <row r="1855" spans="1:18" x14ac:dyDescent="0.25">
      <c r="A1855" s="6" t="str">
        <f>HYPERLINK("proteomic_fractions_linear_files/Yang_linear_img/283837769.jpg", "283837769")</f>
        <v>283837769</v>
      </c>
      <c r="B1855" s="7"/>
      <c r="C1855" s="6" t="str">
        <f>HYPERLINK("http://www.ncbi.nlm.nih.gov/protein/283837769","Dna2")</f>
        <v>Dna2</v>
      </c>
      <c r="D1855" s="8"/>
      <c r="E1855" s="8">
        <v>119317</v>
      </c>
      <c r="F1855" s="8"/>
      <c r="G1855" s="15" t="s">
        <v>10</v>
      </c>
      <c r="H1855" s="15" t="s">
        <v>10</v>
      </c>
      <c r="I1855" s="15" t="s">
        <v>10</v>
      </c>
      <c r="J1855" s="15" t="s">
        <v>10</v>
      </c>
      <c r="K1855" s="15">
        <v>1.2895199255146372</v>
      </c>
      <c r="L1855" s="15">
        <v>1.2895199255146372</v>
      </c>
      <c r="M1855" s="15" t="s">
        <v>10</v>
      </c>
      <c r="N1855" s="15" t="s">
        <v>10</v>
      </c>
      <c r="O1855" s="15" t="s">
        <v>10</v>
      </c>
      <c r="P1855" s="15" t="s">
        <v>10</v>
      </c>
      <c r="Q1855" s="8"/>
      <c r="R1855" s="9" t="s">
        <v>1847</v>
      </c>
    </row>
    <row r="1856" spans="1:18" x14ac:dyDescent="0.25">
      <c r="A1856" s="6" t="str">
        <f>HYPERLINK("proteomic_fractions_linear_files/Yang_linear_img/13386136.jpg", "13386136")</f>
        <v>13386136</v>
      </c>
      <c r="B1856" s="7"/>
      <c r="C1856" s="6" t="str">
        <f>HYPERLINK("http://www.ncbi.nlm.nih.gov/protein/13386136","Dnaaf1")</f>
        <v>Dnaaf1</v>
      </c>
      <c r="D1856" s="8"/>
      <c r="E1856" s="8">
        <v>69573</v>
      </c>
      <c r="F1856" s="8"/>
      <c r="G1856" s="15" t="s">
        <v>10</v>
      </c>
      <c r="H1856" s="15" t="s">
        <v>10</v>
      </c>
      <c r="I1856" s="15">
        <v>0.18210313345625181</v>
      </c>
      <c r="J1856" s="15">
        <v>0.18210313345625181</v>
      </c>
      <c r="K1856" s="15">
        <v>0.18210313345625181</v>
      </c>
      <c r="L1856" s="15">
        <v>0.18210313345625181</v>
      </c>
      <c r="M1856" s="15" t="s">
        <v>10</v>
      </c>
      <c r="N1856" s="15" t="s">
        <v>10</v>
      </c>
      <c r="O1856" s="15" t="s">
        <v>10</v>
      </c>
      <c r="P1856" s="15" t="s">
        <v>10</v>
      </c>
      <c r="Q1856" s="8"/>
      <c r="R1856" s="9" t="s">
        <v>1848</v>
      </c>
    </row>
    <row r="1857" spans="1:18" x14ac:dyDescent="0.25">
      <c r="A1857" s="6" t="str">
        <f>HYPERLINK("proteomic_fractions_linear_files/Yang_linear_img/66793421.jpg", "66793421")</f>
        <v>66793421</v>
      </c>
      <c r="B1857" s="7"/>
      <c r="C1857" s="6" t="str">
        <f>HYPERLINK("http://www.ncbi.nlm.nih.gov/protein/66793421","Dnaaf2")</f>
        <v>Dnaaf2</v>
      </c>
      <c r="D1857" s="8"/>
      <c r="E1857" s="8">
        <v>88196</v>
      </c>
      <c r="F1857" s="8"/>
      <c r="G1857" s="15" t="s">
        <v>10</v>
      </c>
      <c r="H1857" s="15" t="s">
        <v>10</v>
      </c>
      <c r="I1857" s="15" t="s">
        <v>10</v>
      </c>
      <c r="J1857" s="15" t="s">
        <v>10</v>
      </c>
      <c r="K1857" s="15" t="s">
        <v>10</v>
      </c>
      <c r="L1857" s="15" t="s">
        <v>10</v>
      </c>
      <c r="M1857" s="15" t="s">
        <v>10</v>
      </c>
      <c r="N1857" s="15" t="s">
        <v>10</v>
      </c>
      <c r="O1857" s="15">
        <v>0.36459173699697262</v>
      </c>
      <c r="P1857" s="15">
        <v>0.36459173699697262</v>
      </c>
      <c r="Q1857" s="8"/>
      <c r="R1857" s="9" t="s">
        <v>1849</v>
      </c>
    </row>
    <row r="1858" spans="1:18" x14ac:dyDescent="0.25">
      <c r="A1858" s="6" t="str">
        <f>HYPERLINK("proteomic_fractions_linear_files/Yang_linear_img/256773234.jpg", "256773234")</f>
        <v>256773234</v>
      </c>
      <c r="B1858" s="7"/>
      <c r="C1858" s="6" t="str">
        <f>HYPERLINK("http://www.ncbi.nlm.nih.gov/protein/256773234","Dnah1")</f>
        <v>Dnah1</v>
      </c>
      <c r="D1858" s="8"/>
      <c r="E1858" s="8">
        <v>486942</v>
      </c>
      <c r="F1858" s="8"/>
      <c r="G1858" s="15">
        <v>0.10907714503080304</v>
      </c>
      <c r="H1858" s="15">
        <v>0.10907714503080304</v>
      </c>
      <c r="I1858" s="15" t="s">
        <v>10</v>
      </c>
      <c r="J1858" s="15" t="s">
        <v>10</v>
      </c>
      <c r="K1858" s="15">
        <v>8.3177244770477915E-2</v>
      </c>
      <c r="L1858" s="15">
        <v>8.3177244770477915E-2</v>
      </c>
      <c r="M1858" s="15">
        <v>7.6676234955081302E-2</v>
      </c>
      <c r="N1858" s="15">
        <v>7.6676234955081302E-2</v>
      </c>
      <c r="O1858" s="15" t="s">
        <v>10</v>
      </c>
      <c r="P1858" s="15" t="s">
        <v>10</v>
      </c>
      <c r="Q1858" s="8"/>
      <c r="R1858" s="9" t="s">
        <v>1850</v>
      </c>
    </row>
    <row r="1859" spans="1:18" x14ac:dyDescent="0.25">
      <c r="A1859" s="6" t="str">
        <f>HYPERLINK("proteomic_fractions_linear_files/Yang_linear_img/254692843.jpg", "254692843")</f>
        <v>254692843</v>
      </c>
      <c r="B1859" s="7"/>
      <c r="C1859" s="6" t="str">
        <f>HYPERLINK("http://www.ncbi.nlm.nih.gov/protein/254692843","Dnah10")</f>
        <v>Dnah10</v>
      </c>
      <c r="D1859" s="8"/>
      <c r="E1859" s="8">
        <v>529442</v>
      </c>
      <c r="F1859" s="8"/>
      <c r="G1859" s="15">
        <v>0.10041695582230828</v>
      </c>
      <c r="H1859" s="15">
        <v>0.10041695582230828</v>
      </c>
      <c r="I1859" s="15" t="s">
        <v>10</v>
      </c>
      <c r="J1859" s="15" t="s">
        <v>10</v>
      </c>
      <c r="K1859" s="15">
        <v>7.6573380346356801E-2</v>
      </c>
      <c r="L1859" s="15">
        <v>7.6573380346356801E-2</v>
      </c>
      <c r="M1859" s="15">
        <v>7.0588518758269547E-2</v>
      </c>
      <c r="N1859" s="15">
        <v>7.0588518758269547E-2</v>
      </c>
      <c r="O1859" s="15" t="s">
        <v>10</v>
      </c>
      <c r="P1859" s="15" t="s">
        <v>10</v>
      </c>
      <c r="Q1859" s="8"/>
      <c r="R1859" s="9" t="s">
        <v>1851</v>
      </c>
    </row>
    <row r="1860" spans="1:18" x14ac:dyDescent="0.25">
      <c r="A1860" s="6" t="str">
        <f>HYPERLINK("proteomic_fractions_linear_files/Yang_linear_img/393794754.jpg", "393794754")</f>
        <v>393794754</v>
      </c>
      <c r="B1860" s="7"/>
      <c r="C1860" s="6" t="str">
        <f>HYPERLINK("http://www.ncbi.nlm.nih.gov/protein/393794754","Dnah11")</f>
        <v>Dnah11</v>
      </c>
      <c r="D1860" s="8"/>
      <c r="E1860" s="8">
        <v>516190</v>
      </c>
      <c r="F1860" s="8"/>
      <c r="G1860" s="15">
        <v>0.10294684036821915</v>
      </c>
      <c r="H1860" s="15">
        <v>0.10294684036821915</v>
      </c>
      <c r="I1860" s="15" t="s">
        <v>10</v>
      </c>
      <c r="J1860" s="15" t="s">
        <v>10</v>
      </c>
      <c r="K1860" s="15">
        <v>7.8502554657408422E-2</v>
      </c>
      <c r="L1860" s="15">
        <v>7.8502554657408422E-2</v>
      </c>
      <c r="M1860" s="15">
        <v>7.2366911672722078E-2</v>
      </c>
      <c r="N1860" s="15">
        <v>7.2366911672722078E-2</v>
      </c>
      <c r="O1860" s="15" t="s">
        <v>10</v>
      </c>
      <c r="P1860" s="15" t="s">
        <v>10</v>
      </c>
      <c r="Q1860" s="8"/>
      <c r="R1860" s="9" t="s">
        <v>1852</v>
      </c>
    </row>
    <row r="1861" spans="1:18" x14ac:dyDescent="0.25">
      <c r="A1861" s="6" t="str">
        <f>HYPERLINK("proteomic_fractions_linear_files/Yang_linear_img/283837762.jpg", "283837762")</f>
        <v>283837762</v>
      </c>
      <c r="B1861" s="7"/>
      <c r="C1861" s="6" t="str">
        <f>HYPERLINK("http://www.ncbi.nlm.nih.gov/protein/283837762","Dnah17")</f>
        <v>Dnah17</v>
      </c>
      <c r="D1861" s="8"/>
      <c r="E1861" s="8">
        <v>508909</v>
      </c>
      <c r="F1861" s="8"/>
      <c r="G1861" s="15" t="s">
        <v>10</v>
      </c>
      <c r="H1861" s="15" t="s">
        <v>10</v>
      </c>
      <c r="I1861" s="15" t="s">
        <v>10</v>
      </c>
      <c r="J1861" s="15" t="s">
        <v>10</v>
      </c>
      <c r="K1861" s="15">
        <v>5.4849138109395013E-2</v>
      </c>
      <c r="L1861" s="15">
        <v>5.4849138109395013E-2</v>
      </c>
      <c r="M1861" s="15" t="s">
        <v>10</v>
      </c>
      <c r="N1861" s="15" t="s">
        <v>10</v>
      </c>
      <c r="O1861" s="15" t="s">
        <v>10</v>
      </c>
      <c r="P1861" s="15" t="s">
        <v>10</v>
      </c>
      <c r="Q1861" s="8"/>
      <c r="R1861" s="9" t="s">
        <v>1853</v>
      </c>
    </row>
    <row r="1862" spans="1:18" x14ac:dyDescent="0.25">
      <c r="A1862" s="6" t="str">
        <f>HYPERLINK("proteomic_fractions_linear_files/Yang_linear_img/342672105.jpg", "342672105")</f>
        <v>342672105</v>
      </c>
      <c r="B1862" s="7"/>
      <c r="C1862" s="6" t="str">
        <f>HYPERLINK("http://www.ncbi.nlm.nih.gov/protein/342672105","Dnah5")</f>
        <v>Dnah5</v>
      </c>
      <c r="D1862" s="8"/>
      <c r="E1862" s="8">
        <v>527430</v>
      </c>
      <c r="F1862" s="8"/>
      <c r="G1862" s="15">
        <v>0.10079804483871173</v>
      </c>
      <c r="H1862" s="15">
        <v>0.10079804483871173</v>
      </c>
      <c r="I1862" s="15" t="s">
        <v>10</v>
      </c>
      <c r="J1862" s="15" t="s">
        <v>10</v>
      </c>
      <c r="K1862" s="15">
        <v>7.6863981410289842E-2</v>
      </c>
      <c r="L1862" s="15">
        <v>7.6863981410289842E-2</v>
      </c>
      <c r="M1862" s="15">
        <v>7.0856406874999223E-2</v>
      </c>
      <c r="N1862" s="15">
        <v>7.0856406874999223E-2</v>
      </c>
      <c r="O1862" s="15">
        <v>9.1631832228491944E-2</v>
      </c>
      <c r="P1862" s="15">
        <v>9.1631832228491944E-2</v>
      </c>
      <c r="Q1862" s="8"/>
      <c r="R1862" s="9" t="s">
        <v>1854</v>
      </c>
    </row>
    <row r="1863" spans="1:18" x14ac:dyDescent="0.25">
      <c r="A1863" s="6" t="str">
        <f>HYPERLINK("proteomic_fractions_linear_files/Yang_linear_img/153792273.jpg", "153792273")</f>
        <v>153792273</v>
      </c>
      <c r="B1863" s="7"/>
      <c r="C1863" s="6" t="str">
        <f>HYPERLINK("http://www.ncbi.nlm.nih.gov/protein/153792273","Dnah8")</f>
        <v>Dnah8</v>
      </c>
      <c r="D1863" s="8"/>
      <c r="E1863" s="8">
        <v>541110</v>
      </c>
      <c r="F1863" s="8"/>
      <c r="G1863" s="15">
        <v>9.8189592661739516E-2</v>
      </c>
      <c r="H1863" s="15">
        <v>9.8189592661739516E-2</v>
      </c>
      <c r="I1863" s="15" t="s">
        <v>10</v>
      </c>
      <c r="J1863" s="15" t="s">
        <v>10</v>
      </c>
      <c r="K1863" s="15">
        <v>7.4874895015199158E-2</v>
      </c>
      <c r="L1863" s="15">
        <v>7.4874895015199158E-2</v>
      </c>
      <c r="M1863" s="15">
        <v>6.9022784515941946E-2</v>
      </c>
      <c r="N1863" s="15">
        <v>6.9022784515941946E-2</v>
      </c>
      <c r="O1863" s="15" t="s">
        <v>10</v>
      </c>
      <c r="P1863" s="15" t="s">
        <v>10</v>
      </c>
      <c r="Q1863" s="8"/>
      <c r="R1863" s="9" t="s">
        <v>1855</v>
      </c>
    </row>
    <row r="1864" spans="1:18" x14ac:dyDescent="0.25">
      <c r="A1864" s="6" t="str">
        <f>HYPERLINK("proteomic_fractions_linear_files/Yang_linear_img/153791933.jpg", "153791933")</f>
        <v>153791933</v>
      </c>
      <c r="B1864" s="7"/>
      <c r="C1864" s="6" t="str">
        <f>HYPERLINK("http://www.ncbi.nlm.nih.gov/protein/153791933","Dnah9")</f>
        <v>Dnah9</v>
      </c>
      <c r="D1864" s="8"/>
      <c r="E1864" s="8">
        <v>512233</v>
      </c>
      <c r="F1864" s="8"/>
      <c r="G1864" s="15" t="s">
        <v>10</v>
      </c>
      <c r="H1864" s="15" t="s">
        <v>10</v>
      </c>
      <c r="I1864" s="15" t="s">
        <v>10</v>
      </c>
      <c r="J1864" s="15" t="s">
        <v>10</v>
      </c>
      <c r="K1864" s="15">
        <v>5.836993533537721E-2</v>
      </c>
      <c r="L1864" s="15">
        <v>5.836993533537721E-2</v>
      </c>
      <c r="M1864" s="15" t="s">
        <v>10</v>
      </c>
      <c r="N1864" s="15" t="s">
        <v>10</v>
      </c>
      <c r="O1864" s="15" t="s">
        <v>10</v>
      </c>
      <c r="P1864" s="15" t="s">
        <v>10</v>
      </c>
      <c r="Q1864" s="8"/>
      <c r="R1864" s="9" t="s">
        <v>1856</v>
      </c>
    </row>
    <row r="1865" spans="1:18" x14ac:dyDescent="0.25">
      <c r="A1865" s="6" t="str">
        <f>HYPERLINK("proteomic_fractions_linear_files/Yang_linear_img/407262105.jpg", "407262105")</f>
        <v>407262105</v>
      </c>
      <c r="B1865" s="7"/>
      <c r="C1865" s="6" t="str">
        <f>HYPERLINK("http://www.ncbi.nlm.nih.gov/protein/407262105","Dnahc12")</f>
        <v>Dnahc12</v>
      </c>
      <c r="D1865" s="8"/>
      <c r="E1865" s="8">
        <v>454261</v>
      </c>
      <c r="F1865" s="8"/>
      <c r="G1865" s="15">
        <v>0.11700565997797595</v>
      </c>
      <c r="H1865" s="15">
        <v>0.11700565997797595</v>
      </c>
      <c r="I1865" s="15" t="s">
        <v>10</v>
      </c>
      <c r="J1865" s="15" t="s">
        <v>10</v>
      </c>
      <c r="K1865" s="15">
        <v>8.9223167848508256E-2</v>
      </c>
      <c r="L1865" s="15">
        <v>8.9223167848508256E-2</v>
      </c>
      <c r="M1865" s="15">
        <v>8.2249617672080597E-2</v>
      </c>
      <c r="N1865" s="15">
        <v>8.2249617672080597E-2</v>
      </c>
      <c r="O1865" s="15" t="s">
        <v>10</v>
      </c>
      <c r="P1865" s="15" t="s">
        <v>10</v>
      </c>
      <c r="Q1865" s="8"/>
      <c r="R1865" s="9" t="s">
        <v>8047</v>
      </c>
    </row>
    <row r="1866" spans="1:18" x14ac:dyDescent="0.25">
      <c r="A1866" s="6" t="str">
        <f>HYPERLINK("proteomic_fractions_linear_files/Yang_linear_img/407264021.jpg", "407264021")</f>
        <v>407264021</v>
      </c>
      <c r="B1866" s="7"/>
      <c r="C1866" s="6" t="str">
        <f>HYPERLINK("http://www.ncbi.nlm.nih.gov/protein/407264021","Dnahc12")</f>
        <v>Dnahc12</v>
      </c>
      <c r="D1866" s="8"/>
      <c r="E1866" s="8">
        <v>454231</v>
      </c>
      <c r="F1866" s="8"/>
      <c r="G1866" s="15">
        <v>0.11700565997797595</v>
      </c>
      <c r="H1866" s="15">
        <v>0.11700565997797595</v>
      </c>
      <c r="I1866" s="15" t="s">
        <v>10</v>
      </c>
      <c r="J1866" s="15" t="s">
        <v>10</v>
      </c>
      <c r="K1866" s="15">
        <v>8.9223167848508256E-2</v>
      </c>
      <c r="L1866" s="15">
        <v>8.9223167848508256E-2</v>
      </c>
      <c r="M1866" s="15">
        <v>8.2249617672080597E-2</v>
      </c>
      <c r="N1866" s="15">
        <v>8.2249617672080597E-2</v>
      </c>
      <c r="O1866" s="15" t="s">
        <v>10</v>
      </c>
      <c r="P1866" s="15" t="s">
        <v>10</v>
      </c>
      <c r="Q1866" s="8"/>
      <c r="R1866" s="9" t="s">
        <v>8047</v>
      </c>
    </row>
    <row r="1867" spans="1:18" x14ac:dyDescent="0.25">
      <c r="A1867" s="6" t="str">
        <f>HYPERLINK("proteomic_fractions_linear_files/Yang_linear_img/377833725.jpg", "377833725")</f>
        <v>377833725</v>
      </c>
      <c r="B1867" s="7"/>
      <c r="C1867" s="6" t="str">
        <f>HYPERLINK("http://www.ncbi.nlm.nih.gov/protein/377833725","Dnahc14")</f>
        <v>Dnahc14</v>
      </c>
      <c r="D1867" s="8"/>
      <c r="E1867" s="8">
        <v>528325</v>
      </c>
      <c r="F1867" s="8"/>
      <c r="G1867" s="15" t="s">
        <v>10</v>
      </c>
      <c r="H1867" s="15" t="s">
        <v>10</v>
      </c>
      <c r="I1867" s="15" t="s">
        <v>10</v>
      </c>
      <c r="J1867" s="15" t="s">
        <v>10</v>
      </c>
      <c r="K1867" s="15">
        <v>0.35372316598473552</v>
      </c>
      <c r="L1867" s="15">
        <v>0.35372316598473552</v>
      </c>
      <c r="M1867" s="15" t="s">
        <v>10</v>
      </c>
      <c r="N1867" s="15" t="s">
        <v>10</v>
      </c>
      <c r="O1867" s="15" t="s">
        <v>10</v>
      </c>
      <c r="P1867" s="15" t="s">
        <v>10</v>
      </c>
      <c r="Q1867" s="8"/>
      <c r="R1867" s="9" t="s">
        <v>8048</v>
      </c>
    </row>
    <row r="1868" spans="1:18" x14ac:dyDescent="0.25">
      <c r="A1868" s="6" t="str">
        <f>HYPERLINK("proteomic_fractions_linear_files/Yang_linear_img/377834821.jpg", "377834821")</f>
        <v>377834821</v>
      </c>
      <c r="B1868" s="7"/>
      <c r="C1868" s="6" t="str">
        <f>HYPERLINK("http://www.ncbi.nlm.nih.gov/protein/377834821","Dnahc14")</f>
        <v>Dnahc14</v>
      </c>
      <c r="D1868" s="8"/>
      <c r="E1868" s="8">
        <v>528357</v>
      </c>
      <c r="F1868" s="8"/>
      <c r="G1868" s="15" t="s">
        <v>10</v>
      </c>
      <c r="H1868" s="15" t="s">
        <v>10</v>
      </c>
      <c r="I1868" s="15" t="s">
        <v>10</v>
      </c>
      <c r="J1868" s="15" t="s">
        <v>10</v>
      </c>
      <c r="K1868" s="15">
        <v>0.35372316598473552</v>
      </c>
      <c r="L1868" s="15">
        <v>0.35372316598473552</v>
      </c>
      <c r="M1868" s="15" t="s">
        <v>10</v>
      </c>
      <c r="N1868" s="15" t="s">
        <v>10</v>
      </c>
      <c r="O1868" s="15" t="s">
        <v>10</v>
      </c>
      <c r="P1868" s="15" t="s">
        <v>10</v>
      </c>
      <c r="Q1868" s="8"/>
      <c r="R1868" s="9" t="s">
        <v>8048</v>
      </c>
    </row>
    <row r="1869" spans="1:18" x14ac:dyDescent="0.25">
      <c r="A1869" s="6" t="str">
        <f>HYPERLINK("proteomic_fractions_linear_files/Yang_linear_img/6680297;258547146.jpg", "6680297;258547146")</f>
        <v>6680297;258547146</v>
      </c>
      <c r="B1869" s="8"/>
      <c r="C1869" s="6" t="str">
        <f>HYPERLINK("http://www.ncbi.nlm.nih.gov/protein/6680297;258547146","Dnaja1")</f>
        <v>Dnaja1</v>
      </c>
      <c r="D1869" s="8"/>
      <c r="E1869" s="8">
        <v>44737</v>
      </c>
      <c r="F1869" s="8"/>
      <c r="G1869" s="15">
        <v>1.3060712796798635</v>
      </c>
      <c r="H1869" s="15">
        <v>0.98056864993256598</v>
      </c>
      <c r="I1869" s="15" t="s">
        <v>10</v>
      </c>
      <c r="J1869" s="15" t="s">
        <v>10</v>
      </c>
      <c r="K1869" s="15" t="s">
        <v>10</v>
      </c>
      <c r="L1869" s="15" t="s">
        <v>10</v>
      </c>
      <c r="M1869" s="15" t="s">
        <v>10</v>
      </c>
      <c r="N1869" s="15" t="s">
        <v>10</v>
      </c>
      <c r="O1869" s="15" t="s">
        <v>10</v>
      </c>
      <c r="P1869" s="15" t="s">
        <v>10</v>
      </c>
      <c r="Q1869" s="8"/>
      <c r="R1869" s="9" t="s">
        <v>1857</v>
      </c>
    </row>
    <row r="1870" spans="1:18" x14ac:dyDescent="0.25">
      <c r="A1870" s="6" t="str">
        <f>HYPERLINK("proteomic_fractions_linear_files/Yang_linear_img/258547146.jpg", "258547146")</f>
        <v>258547146</v>
      </c>
      <c r="B1870" s="7"/>
      <c r="C1870" s="6" t="str">
        <f>HYPERLINK("http://www.ncbi.nlm.nih.gov/protein/258547146","Dnaja1")</f>
        <v>Dnaja1</v>
      </c>
      <c r="D1870" s="8"/>
      <c r="E1870" s="8">
        <v>44737</v>
      </c>
      <c r="F1870" s="8"/>
      <c r="G1870" s="15" t="s">
        <v>10</v>
      </c>
      <c r="H1870" s="15" t="s">
        <v>10</v>
      </c>
      <c r="I1870" s="15">
        <v>0.98056864993256598</v>
      </c>
      <c r="J1870" s="15">
        <v>0.98056864993256598</v>
      </c>
      <c r="K1870" s="15">
        <v>1.0731105685425613</v>
      </c>
      <c r="L1870" s="15">
        <v>1.0731105685425613</v>
      </c>
      <c r="M1870" s="15">
        <v>1.0731105685425613</v>
      </c>
      <c r="N1870" s="15">
        <v>1.0731105685425613</v>
      </c>
      <c r="O1870" s="15">
        <v>0.98056864993256598</v>
      </c>
      <c r="P1870" s="15">
        <v>0.98056864993256598</v>
      </c>
      <c r="Q1870" s="8"/>
      <c r="R1870" s="9" t="s">
        <v>1857</v>
      </c>
    </row>
    <row r="1871" spans="1:18" x14ac:dyDescent="0.25">
      <c r="A1871" s="6" t="str">
        <f>HYPERLINK("proteomic_fractions_linear_files/Yang_linear_img/9789937.jpg", "9789937")</f>
        <v>9789937</v>
      </c>
      <c r="B1871" s="7"/>
      <c r="C1871" s="6" t="str">
        <f>HYPERLINK("http://www.ncbi.nlm.nih.gov/protein/9789937","Dnaja2")</f>
        <v>Dnaja2</v>
      </c>
      <c r="D1871" s="8"/>
      <c r="E1871" s="8">
        <v>45615</v>
      </c>
      <c r="F1871" s="8"/>
      <c r="G1871" s="15">
        <v>1.2776784257737794</v>
      </c>
      <c r="H1871" s="15">
        <v>1.2776784257737794</v>
      </c>
      <c r="I1871" s="15">
        <v>1.0497820779220708</v>
      </c>
      <c r="J1871" s="15">
        <v>1.0497820779220708</v>
      </c>
      <c r="K1871" s="15">
        <v>1.0497820779220708</v>
      </c>
      <c r="L1871" s="15">
        <v>1.0497820779220708</v>
      </c>
      <c r="M1871" s="15">
        <v>1.0497820779220708</v>
      </c>
      <c r="N1871" s="15">
        <v>1.0497820779220708</v>
      </c>
      <c r="O1871" s="15">
        <v>0.95925194015142323</v>
      </c>
      <c r="P1871" s="15">
        <v>0.95925194015142323</v>
      </c>
      <c r="Q1871" s="8"/>
      <c r="R1871" s="9" t="s">
        <v>1858</v>
      </c>
    </row>
    <row r="1872" spans="1:18" x14ac:dyDescent="0.25">
      <c r="A1872" s="6" t="str">
        <f>HYPERLINK("proteomic_fractions_linear_files/Yang_linear_img/205361112.jpg", "205361112")</f>
        <v>205361112</v>
      </c>
      <c r="B1872" s="7"/>
      <c r="C1872" s="6" t="str">
        <f>HYPERLINK("http://www.ncbi.nlm.nih.gov/protein/205361112","Dnaja3")</f>
        <v>Dnaja3</v>
      </c>
      <c r="D1872" s="8"/>
      <c r="E1872" s="8">
        <v>52313</v>
      </c>
      <c r="F1872" s="8"/>
      <c r="G1872" s="15">
        <v>1.0215494159615592</v>
      </c>
      <c r="H1872" s="15">
        <v>0.84856902398010514</v>
      </c>
      <c r="I1872" s="15">
        <v>0.84856902398010514</v>
      </c>
      <c r="J1872" s="15">
        <v>0.84856902398010514</v>
      </c>
      <c r="K1872" s="15" t="s">
        <v>10</v>
      </c>
      <c r="L1872" s="15" t="s">
        <v>10</v>
      </c>
      <c r="M1872" s="15" t="s">
        <v>10</v>
      </c>
      <c r="N1872" s="15" t="s">
        <v>10</v>
      </c>
      <c r="O1872" s="15" t="s">
        <v>10</v>
      </c>
      <c r="P1872" s="15" t="s">
        <v>10</v>
      </c>
      <c r="Q1872" s="8"/>
      <c r="R1872" s="9" t="s">
        <v>1859</v>
      </c>
    </row>
    <row r="1873" spans="1:18" x14ac:dyDescent="0.25">
      <c r="A1873" s="6" t="str">
        <f>HYPERLINK("proteomic_fractions_linear_files/Yang_linear_img/205361114.jpg", "205361114")</f>
        <v>205361114</v>
      </c>
      <c r="B1873" s="7"/>
      <c r="C1873" s="6" t="str">
        <f>HYPERLINK("http://www.ncbi.nlm.nih.gov/protein/205361114","Dnaja3")</f>
        <v>Dnaja3</v>
      </c>
      <c r="D1873" s="8"/>
      <c r="E1873" s="8">
        <v>49355</v>
      </c>
      <c r="F1873" s="8"/>
      <c r="G1873" s="15">
        <v>1.0840932577551241</v>
      </c>
      <c r="H1873" s="15">
        <v>0.90052222952990757</v>
      </c>
      <c r="I1873" s="15">
        <v>0.90052222952990757</v>
      </c>
      <c r="J1873" s="15">
        <v>0.90052222952990757</v>
      </c>
      <c r="K1873" s="15" t="s">
        <v>10</v>
      </c>
      <c r="L1873" s="15" t="s">
        <v>10</v>
      </c>
      <c r="M1873" s="15" t="s">
        <v>10</v>
      </c>
      <c r="N1873" s="15" t="s">
        <v>10</v>
      </c>
      <c r="O1873" s="15" t="s">
        <v>10</v>
      </c>
      <c r="P1873" s="15" t="s">
        <v>10</v>
      </c>
      <c r="Q1873" s="8"/>
      <c r="R1873" s="9" t="s">
        <v>1860</v>
      </c>
    </row>
    <row r="1874" spans="1:18" x14ac:dyDescent="0.25">
      <c r="A1874" s="6" t="str">
        <f>HYPERLINK("proteomic_fractions_linear_files/Yang_linear_img/9055242.jpg", "9055242")</f>
        <v>9055242</v>
      </c>
      <c r="B1874" s="7"/>
      <c r="C1874" s="6" t="str">
        <f>HYPERLINK("http://www.ncbi.nlm.nih.gov/protein/9055242","Dnajb1")</f>
        <v>Dnajb1</v>
      </c>
      <c r="D1874" s="8"/>
      <c r="E1874" s="8">
        <v>38036</v>
      </c>
      <c r="F1874" s="8"/>
      <c r="G1874" s="15" t="s">
        <v>10</v>
      </c>
      <c r="H1874" s="15" t="s">
        <v>10</v>
      </c>
      <c r="I1874" s="15">
        <v>0.68816468724802637</v>
      </c>
      <c r="J1874" s="15">
        <v>0.68816468724802637</v>
      </c>
      <c r="K1874" s="15">
        <v>1.0659820579795458</v>
      </c>
      <c r="L1874" s="15">
        <v>1.0659820579795458</v>
      </c>
      <c r="M1874" s="15">
        <v>0.98266648481906815</v>
      </c>
      <c r="N1874" s="15">
        <v>0.98266648481906815</v>
      </c>
      <c r="O1874" s="15">
        <v>0.90929938238092589</v>
      </c>
      <c r="P1874" s="15">
        <v>0.90929938238092589</v>
      </c>
      <c r="Q1874" s="8"/>
      <c r="R1874" s="9" t="s">
        <v>1861</v>
      </c>
    </row>
    <row r="1875" spans="1:18" x14ac:dyDescent="0.25">
      <c r="A1875" s="6" t="str">
        <f>HYPERLINK("proteomic_fractions_linear_files/Yang_linear_img/110625998.jpg", "110625998")</f>
        <v>110625998</v>
      </c>
      <c r="B1875" s="7"/>
      <c r="C1875" s="6" t="str">
        <f>HYPERLINK("http://www.ncbi.nlm.nih.gov/protein/110625998","Dnajb11")</f>
        <v>Dnajb11</v>
      </c>
      <c r="D1875" s="8"/>
      <c r="E1875" s="8">
        <v>38178</v>
      </c>
      <c r="F1875" s="8"/>
      <c r="G1875" s="15">
        <v>1.3979097271052916</v>
      </c>
      <c r="H1875" s="15">
        <v>1.3979097271052916</v>
      </c>
      <c r="I1875" s="15">
        <v>1.0659820579795458</v>
      </c>
      <c r="J1875" s="15">
        <v>1.0659820579795458</v>
      </c>
      <c r="K1875" s="15">
        <v>1.0659820579795458</v>
      </c>
      <c r="L1875" s="15">
        <v>1.0659820579795458</v>
      </c>
      <c r="M1875" s="15">
        <v>1.0659820579795458</v>
      </c>
      <c r="N1875" s="15">
        <v>1.0659820579795458</v>
      </c>
      <c r="O1875" s="15" t="s">
        <v>10</v>
      </c>
      <c r="P1875" s="15" t="s">
        <v>10</v>
      </c>
      <c r="Q1875" s="8"/>
      <c r="R1875" s="9" t="s">
        <v>1862</v>
      </c>
    </row>
    <row r="1876" spans="1:18" x14ac:dyDescent="0.25">
      <c r="A1876" s="6" t="str">
        <f>HYPERLINK("proteomic_fractions_linear_files/Yang_linear_img/31982701.jpg", "31982701")</f>
        <v>31982701</v>
      </c>
      <c r="B1876" s="7"/>
      <c r="C1876" s="6" t="str">
        <f>HYPERLINK("http://www.ncbi.nlm.nih.gov/protein/31982701","Dnajb12")</f>
        <v>Dnajb12</v>
      </c>
      <c r="D1876" s="8"/>
      <c r="E1876" s="8">
        <v>41857</v>
      </c>
      <c r="F1876" s="8"/>
      <c r="G1876" s="15" t="s">
        <v>10</v>
      </c>
      <c r="H1876" s="15" t="s">
        <v>10</v>
      </c>
      <c r="I1876" s="15">
        <v>0.96445995721958921</v>
      </c>
      <c r="J1876" s="15">
        <v>0.96445995721958921</v>
      </c>
      <c r="K1876" s="15">
        <v>0.96445995721958921</v>
      </c>
      <c r="L1876" s="15">
        <v>0.96445995721958921</v>
      </c>
      <c r="M1876" s="15" t="s">
        <v>10</v>
      </c>
      <c r="N1876" s="15" t="s">
        <v>10</v>
      </c>
      <c r="O1876" s="15" t="s">
        <v>10</v>
      </c>
      <c r="P1876" s="15" t="s">
        <v>10</v>
      </c>
      <c r="Q1876" s="8"/>
      <c r="R1876" s="9" t="s">
        <v>1863</v>
      </c>
    </row>
    <row r="1877" spans="1:18" x14ac:dyDescent="0.25">
      <c r="A1877" s="6" t="str">
        <f>HYPERLINK("proteomic_fractions_linear_files/Yang_linear_img/229577334;30017349.jpg", "229577334;30017349")</f>
        <v>229577334;30017349</v>
      </c>
      <c r="B1877" s="8"/>
      <c r="C1877" s="6" t="str">
        <f>HYPERLINK("http://www.ncbi.nlm.nih.gov/protein/229577334;30017349","Dnajb2")</f>
        <v>Dnajb2</v>
      </c>
      <c r="D1877" s="8"/>
      <c r="E1877" s="8">
        <v>30484</v>
      </c>
      <c r="F1877" s="8"/>
      <c r="G1877" s="15" t="s">
        <v>10</v>
      </c>
      <c r="H1877" s="15" t="s">
        <v>10</v>
      </c>
      <c r="I1877" s="15" t="s">
        <v>10</v>
      </c>
      <c r="J1877" s="15" t="s">
        <v>10</v>
      </c>
      <c r="K1877" s="15">
        <v>0.81849402044256392</v>
      </c>
      <c r="L1877" s="15">
        <v>0.81849402044256392</v>
      </c>
      <c r="M1877" s="15" t="s">
        <v>10</v>
      </c>
      <c r="N1877" s="15" t="s">
        <v>10</v>
      </c>
      <c r="O1877" s="15" t="s">
        <v>10</v>
      </c>
      <c r="P1877" s="15" t="s">
        <v>10</v>
      </c>
      <c r="Q1877" s="8"/>
      <c r="R1877" s="9" t="s">
        <v>1864</v>
      </c>
    </row>
    <row r="1878" spans="1:18" x14ac:dyDescent="0.25">
      <c r="A1878" s="6" t="str">
        <f>HYPERLINK("proteomic_fractions_linear_files/Yang_linear_img/30017349.jpg", "30017349")</f>
        <v>30017349</v>
      </c>
      <c r="B1878" s="7"/>
      <c r="C1878" s="6" t="str">
        <f>HYPERLINK("http://www.ncbi.nlm.nih.gov/protein/30017349","Dnajb2")</f>
        <v>Dnajb2</v>
      </c>
      <c r="D1878" s="8"/>
      <c r="E1878" s="8">
        <v>30484</v>
      </c>
      <c r="F1878" s="8"/>
      <c r="G1878" s="15" t="s">
        <v>10</v>
      </c>
      <c r="H1878" s="15" t="s">
        <v>10</v>
      </c>
      <c r="I1878" s="15">
        <v>1.470852974898849</v>
      </c>
      <c r="J1878" s="15">
        <v>1.470852974898849</v>
      </c>
      <c r="K1878" s="15" t="s">
        <v>10</v>
      </c>
      <c r="L1878" s="15" t="s">
        <v>10</v>
      </c>
      <c r="M1878" s="15">
        <v>0.81849402044256392</v>
      </c>
      <c r="N1878" s="15">
        <v>0.81849402044256392</v>
      </c>
      <c r="O1878" s="15" t="s">
        <v>10</v>
      </c>
      <c r="P1878" s="15" t="s">
        <v>10</v>
      </c>
      <c r="Q1878" s="8"/>
      <c r="R1878" s="9" t="s">
        <v>1864</v>
      </c>
    </row>
    <row r="1879" spans="1:18" x14ac:dyDescent="0.25">
      <c r="A1879" s="6" t="str">
        <f>HYPERLINK("proteomic_fractions_linear_files/Yang_linear_img/229577329.jpg", "229577329")</f>
        <v>229577329</v>
      </c>
      <c r="B1879" s="7"/>
      <c r="C1879" s="6" t="str">
        <f>HYPERLINK("http://www.ncbi.nlm.nih.gov/protein/229577329","Dnajb2")</f>
        <v>Dnajb2</v>
      </c>
      <c r="D1879" s="8"/>
      <c r="E1879" s="8">
        <v>28451</v>
      </c>
      <c r="F1879" s="8"/>
      <c r="G1879" s="15" t="s">
        <v>10</v>
      </c>
      <c r="H1879" s="15" t="s">
        <v>10</v>
      </c>
      <c r="I1879" s="15">
        <v>1.5759139016773382</v>
      </c>
      <c r="J1879" s="15">
        <v>1.5759139016773382</v>
      </c>
      <c r="K1879" s="15">
        <v>0.87695787904560418</v>
      </c>
      <c r="L1879" s="15">
        <v>0.87695787904560418</v>
      </c>
      <c r="M1879" s="15">
        <v>0.87695787904560418</v>
      </c>
      <c r="N1879" s="15">
        <v>0.87695787904560418</v>
      </c>
      <c r="O1879" s="15" t="s">
        <v>10</v>
      </c>
      <c r="P1879" s="15" t="s">
        <v>10</v>
      </c>
      <c r="Q1879" s="8"/>
      <c r="R1879" s="9" t="s">
        <v>1865</v>
      </c>
    </row>
    <row r="1880" spans="1:18" x14ac:dyDescent="0.25">
      <c r="A1880" s="6" t="str">
        <f>HYPERLINK("proteomic_fractions_linear_files/Yang_linear_img/229577332.jpg", "229577332")</f>
        <v>229577332</v>
      </c>
      <c r="B1880" s="7"/>
      <c r="C1880" s="6" t="str">
        <f>HYPERLINK("http://www.ncbi.nlm.nih.gov/protein/229577332","Dnajb2")</f>
        <v>Dnajb2</v>
      </c>
      <c r="D1880" s="8"/>
      <c r="E1880" s="8">
        <v>35462</v>
      </c>
      <c r="F1880" s="8"/>
      <c r="G1880" s="15" t="s">
        <v>10</v>
      </c>
      <c r="H1880" s="15" t="s">
        <v>10</v>
      </c>
      <c r="I1880" s="15">
        <v>1.2607311213418706</v>
      </c>
      <c r="J1880" s="15">
        <v>1.2607311213418706</v>
      </c>
      <c r="K1880" s="15">
        <v>0.70156630323648328</v>
      </c>
      <c r="L1880" s="15">
        <v>0.70156630323648328</v>
      </c>
      <c r="M1880" s="15">
        <v>0.70156630323648328</v>
      </c>
      <c r="N1880" s="15">
        <v>0.70156630323648328</v>
      </c>
      <c r="O1880" s="15" t="s">
        <v>10</v>
      </c>
      <c r="P1880" s="15" t="s">
        <v>10</v>
      </c>
      <c r="Q1880" s="8"/>
      <c r="R1880" s="9" t="s">
        <v>1866</v>
      </c>
    </row>
    <row r="1881" spans="1:18" x14ac:dyDescent="0.25">
      <c r="A1881" s="6" t="str">
        <f>HYPERLINK("proteomic_fractions_linear_files/Yang_linear_img/21313156;165377271.jpg", "21313156;165377271")</f>
        <v>21313156;165377271</v>
      </c>
      <c r="B1881" s="8"/>
      <c r="C1881" s="6" t="str">
        <f>HYPERLINK("http://www.ncbi.nlm.nih.gov/protein/21313156;165377271","Dnajb4")</f>
        <v>Dnajb4</v>
      </c>
      <c r="D1881" s="8"/>
      <c r="E1881" s="8">
        <v>37651</v>
      </c>
      <c r="F1881" s="8"/>
      <c r="G1881" s="15" t="s">
        <v>10</v>
      </c>
      <c r="H1881" s="15" t="s">
        <v>10</v>
      </c>
      <c r="I1881" s="15" t="s">
        <v>10</v>
      </c>
      <c r="J1881" s="15" t="s">
        <v>10</v>
      </c>
      <c r="K1881" s="15">
        <v>1.0659820579795458</v>
      </c>
      <c r="L1881" s="15">
        <v>1.0659820579795458</v>
      </c>
      <c r="M1881" s="15" t="s">
        <v>10</v>
      </c>
      <c r="N1881" s="15" t="s">
        <v>10</v>
      </c>
      <c r="O1881" s="15" t="s">
        <v>10</v>
      </c>
      <c r="P1881" s="15" t="s">
        <v>10</v>
      </c>
      <c r="Q1881" s="8"/>
      <c r="R1881" s="9" t="s">
        <v>1867</v>
      </c>
    </row>
    <row r="1882" spans="1:18" x14ac:dyDescent="0.25">
      <c r="A1882" s="6" t="str">
        <f>HYPERLINK("proteomic_fractions_linear_files/Yang_linear_img/165377271.jpg", "165377271")</f>
        <v>165377271</v>
      </c>
      <c r="B1882" s="7"/>
      <c r="C1882" s="6" t="str">
        <f>HYPERLINK("http://www.ncbi.nlm.nih.gov/protein/165377271","Dnajb4")</f>
        <v>Dnajb4</v>
      </c>
      <c r="D1882" s="8"/>
      <c r="E1882" s="8">
        <v>37651</v>
      </c>
      <c r="F1882" s="8"/>
      <c r="G1882" s="15" t="s">
        <v>10</v>
      </c>
      <c r="H1882" s="15" t="s">
        <v>10</v>
      </c>
      <c r="I1882" s="15">
        <v>0.68816468724802637</v>
      </c>
      <c r="J1882" s="15">
        <v>0.68816468724802637</v>
      </c>
      <c r="K1882" s="15" t="s">
        <v>10</v>
      </c>
      <c r="L1882" s="15" t="s">
        <v>10</v>
      </c>
      <c r="M1882" s="15">
        <v>0.98266648481906815</v>
      </c>
      <c r="N1882" s="15">
        <v>0.98266648481906815</v>
      </c>
      <c r="O1882" s="15">
        <v>0.90929938238092589</v>
      </c>
      <c r="P1882" s="15">
        <v>0.90929938238092589</v>
      </c>
      <c r="Q1882" s="8"/>
      <c r="R1882" s="9" t="s">
        <v>1867</v>
      </c>
    </row>
    <row r="1883" spans="1:18" x14ac:dyDescent="0.25">
      <c r="A1883" s="6" t="str">
        <f>HYPERLINK("proteomic_fractions_linear_files/Yang_linear_img/188219642.jpg", "188219642")</f>
        <v>188219642</v>
      </c>
      <c r="B1883" s="7"/>
      <c r="C1883" s="6" t="str">
        <f>HYPERLINK("http://www.ncbi.nlm.nih.gov/protein/188219642","Dnajb6")</f>
        <v>Dnajb6</v>
      </c>
      <c r="D1883" s="8"/>
      <c r="E1883" s="8">
        <v>29338</v>
      </c>
      <c r="F1883" s="8"/>
      <c r="G1883" s="15" t="s">
        <v>10</v>
      </c>
      <c r="H1883" s="15" t="s">
        <v>10</v>
      </c>
      <c r="I1883" s="15">
        <v>0.84671795218196266</v>
      </c>
      <c r="J1883" s="15">
        <v>0.84671795218196266</v>
      </c>
      <c r="K1883" s="15">
        <v>1.665171571876388</v>
      </c>
      <c r="L1883" s="15">
        <v>1.665171571876388</v>
      </c>
      <c r="M1883" s="15">
        <v>0.84671795218196266</v>
      </c>
      <c r="N1883" s="15">
        <v>0.84671795218196266</v>
      </c>
      <c r="O1883" s="15">
        <v>0.75157731967857766</v>
      </c>
      <c r="P1883" s="15">
        <v>0.75157731967857766</v>
      </c>
      <c r="Q1883" s="8"/>
      <c r="R1883" s="9" t="s">
        <v>1868</v>
      </c>
    </row>
    <row r="1884" spans="1:18" x14ac:dyDescent="0.25">
      <c r="A1884" s="6" t="str">
        <f>HYPERLINK("proteomic_fractions_linear_files/Yang_linear_img/188219644.jpg", "188219644")</f>
        <v>188219644</v>
      </c>
      <c r="B1884" s="7"/>
      <c r="C1884" s="6" t="str">
        <f>HYPERLINK("http://www.ncbi.nlm.nih.gov/protein/188219644","Dnajb6")</f>
        <v>Dnajb6</v>
      </c>
      <c r="D1884" s="8"/>
      <c r="E1884" s="8">
        <v>26718</v>
      </c>
      <c r="F1884" s="8"/>
      <c r="G1884" s="15" t="s">
        <v>10</v>
      </c>
      <c r="H1884" s="15" t="s">
        <v>10</v>
      </c>
      <c r="I1884" s="15">
        <v>0.90943780049173761</v>
      </c>
      <c r="J1884" s="15">
        <v>0.90943780049173761</v>
      </c>
      <c r="K1884" s="15">
        <v>1.788517614237602</v>
      </c>
      <c r="L1884" s="15">
        <v>1.788517614237602</v>
      </c>
      <c r="M1884" s="15">
        <v>0.90943780049173761</v>
      </c>
      <c r="N1884" s="15">
        <v>0.90943780049173761</v>
      </c>
      <c r="O1884" s="15">
        <v>0.80724971372884269</v>
      </c>
      <c r="P1884" s="15">
        <v>0.80724971372884269</v>
      </c>
      <c r="Q1884" s="8"/>
      <c r="R1884" s="9" t="s">
        <v>1869</v>
      </c>
    </row>
    <row r="1885" spans="1:18" x14ac:dyDescent="0.25">
      <c r="A1885" s="6" t="str">
        <f>HYPERLINK("proteomic_fractions_linear_files/Yang_linear_img/83816903.jpg", "83816903")</f>
        <v>83816903</v>
      </c>
      <c r="B1885" s="7"/>
      <c r="C1885" s="6" t="str">
        <f>HYPERLINK("http://www.ncbi.nlm.nih.gov/protein/83816903","Dnajb6")</f>
        <v>Dnajb6</v>
      </c>
      <c r="D1885" s="8"/>
      <c r="E1885" s="8">
        <v>26847</v>
      </c>
      <c r="F1885" s="8"/>
      <c r="G1885" s="15" t="s">
        <v>10</v>
      </c>
      <c r="H1885" s="15" t="s">
        <v>10</v>
      </c>
      <c r="I1885" s="15">
        <v>0.90943780049173761</v>
      </c>
      <c r="J1885" s="15">
        <v>0.90943780049173761</v>
      </c>
      <c r="K1885" s="15">
        <v>1.788517614237602</v>
      </c>
      <c r="L1885" s="15">
        <v>1.788517614237602</v>
      </c>
      <c r="M1885" s="15">
        <v>0.90943780049173761</v>
      </c>
      <c r="N1885" s="15">
        <v>0.90943780049173761</v>
      </c>
      <c r="O1885" s="15">
        <v>0.80724971372884269</v>
      </c>
      <c r="P1885" s="15">
        <v>0.80724971372884269</v>
      </c>
      <c r="Q1885" s="8"/>
      <c r="R1885" s="9" t="s">
        <v>1870</v>
      </c>
    </row>
    <row r="1886" spans="1:18" x14ac:dyDescent="0.25">
      <c r="A1886" s="6" t="str">
        <f>HYPERLINK("proteomic_fractions_linear_files/Yang_linear_img/83816907.jpg", "83816907")</f>
        <v>83816907</v>
      </c>
      <c r="B1886" s="7"/>
      <c r="C1886" s="6" t="str">
        <f>HYPERLINK("http://www.ncbi.nlm.nih.gov/protein/83816907","Dnajb6")</f>
        <v>Dnajb6</v>
      </c>
      <c r="D1886" s="8"/>
      <c r="E1886" s="8">
        <v>39676</v>
      </c>
      <c r="F1886" s="8"/>
      <c r="G1886" s="15" t="s">
        <v>10</v>
      </c>
      <c r="H1886" s="15" t="s">
        <v>10</v>
      </c>
      <c r="I1886" s="15">
        <v>0.61387051533192294</v>
      </c>
      <c r="J1886" s="15">
        <v>1.1031397311741367</v>
      </c>
      <c r="K1886" s="15">
        <v>1.2072493896103813</v>
      </c>
      <c r="L1886" s="15">
        <v>1.2072493896103813</v>
      </c>
      <c r="M1886" s="15">
        <v>0.61387051533192294</v>
      </c>
      <c r="N1886" s="15">
        <v>0.61387051533192294</v>
      </c>
      <c r="O1886" s="15">
        <v>0.54489355676696882</v>
      </c>
      <c r="P1886" s="15">
        <v>0.54489355676696882</v>
      </c>
      <c r="Q1886" s="8"/>
      <c r="R1886" s="9" t="s">
        <v>1871</v>
      </c>
    </row>
    <row r="1887" spans="1:18" x14ac:dyDescent="0.25">
      <c r="A1887" s="6" t="str">
        <f>HYPERLINK("proteomic_fractions_linear_files/Yang_linear_img/119392096.jpg", "119392096")</f>
        <v>119392096</v>
      </c>
      <c r="B1887" s="7"/>
      <c r="C1887" s="6" t="str">
        <f>HYPERLINK("http://www.ncbi.nlm.nih.gov/protein/119392096","Dnajb7")</f>
        <v>Dnajb7</v>
      </c>
      <c r="D1887" s="8"/>
      <c r="E1887" s="8">
        <v>35495</v>
      </c>
      <c r="F1887" s="8"/>
      <c r="G1887" s="15" t="s">
        <v>10</v>
      </c>
      <c r="H1887" s="15" t="s">
        <v>10</v>
      </c>
      <c r="I1887" s="15">
        <v>0.70156630323648328</v>
      </c>
      <c r="J1887" s="15">
        <v>0.70156630323648328</v>
      </c>
      <c r="K1887" s="15">
        <v>1.37971358812615</v>
      </c>
      <c r="L1887" s="15">
        <v>1.37971358812615</v>
      </c>
      <c r="M1887" s="15">
        <v>0.70156630323648328</v>
      </c>
      <c r="N1887" s="15">
        <v>0.70156630323648328</v>
      </c>
      <c r="O1887" s="15">
        <v>0.62273549344796431</v>
      </c>
      <c r="P1887" s="15">
        <v>0.62273549344796431</v>
      </c>
      <c r="Q1887" s="8"/>
      <c r="R1887" s="9" t="s">
        <v>1872</v>
      </c>
    </row>
    <row r="1888" spans="1:18" x14ac:dyDescent="0.25">
      <c r="A1888" s="6" t="str">
        <f>HYPERLINK("proteomic_fractions_linear_files/Yang_linear_img/7106295.jpg", "7106295")</f>
        <v>7106295</v>
      </c>
      <c r="B1888" s="7"/>
      <c r="C1888" s="6" t="str">
        <f>HYPERLINK("http://www.ncbi.nlm.nih.gov/protein/7106295","Dnajc1")</f>
        <v>Dnajc1</v>
      </c>
      <c r="D1888" s="8"/>
      <c r="E1888" s="8">
        <v>59027</v>
      </c>
      <c r="F1888" s="8"/>
      <c r="G1888" s="15" t="s">
        <v>10</v>
      </c>
      <c r="H1888" s="15" t="s">
        <v>10</v>
      </c>
      <c r="I1888" s="15" t="s">
        <v>10</v>
      </c>
      <c r="J1888" s="15" t="s">
        <v>10</v>
      </c>
      <c r="K1888" s="15" t="s">
        <v>10</v>
      </c>
      <c r="L1888" s="15" t="s">
        <v>10</v>
      </c>
      <c r="M1888" s="15" t="s">
        <v>10</v>
      </c>
      <c r="N1888" s="15" t="s">
        <v>10</v>
      </c>
      <c r="O1888" s="15">
        <v>0.33052796318703853</v>
      </c>
      <c r="P1888" s="15">
        <v>0.33052796318703853</v>
      </c>
      <c r="Q1888" s="8"/>
      <c r="R1888" s="9" t="s">
        <v>1873</v>
      </c>
    </row>
    <row r="1889" spans="1:18" x14ac:dyDescent="0.25">
      <c r="A1889" s="6" t="str">
        <f>HYPERLINK("proteomic_fractions_linear_files/Yang_linear_img/119508443.jpg", "119508443")</f>
        <v>119508443</v>
      </c>
      <c r="B1889" s="7"/>
      <c r="C1889" s="6" t="str">
        <f>HYPERLINK("http://www.ncbi.nlm.nih.gov/protein/119508443","Dnajc10")</f>
        <v>Dnajc10</v>
      </c>
      <c r="D1889" s="8"/>
      <c r="E1889" s="8">
        <v>86909</v>
      </c>
      <c r="F1889" s="8"/>
      <c r="G1889" s="15">
        <v>1.2620869404727755</v>
      </c>
      <c r="H1889" s="15">
        <v>1.2620869404727755</v>
      </c>
      <c r="I1889" s="15">
        <v>1.0915859906044196</v>
      </c>
      <c r="J1889" s="15">
        <v>1.0915859906044196</v>
      </c>
      <c r="K1889" s="15">
        <v>1.0915859906044196</v>
      </c>
      <c r="L1889" s="15">
        <v>1.0915859906044196</v>
      </c>
      <c r="M1889" s="15" t="s">
        <v>10</v>
      </c>
      <c r="N1889" s="15" t="s">
        <v>10</v>
      </c>
      <c r="O1889" s="15" t="s">
        <v>10</v>
      </c>
      <c r="P1889" s="15" t="s">
        <v>10</v>
      </c>
      <c r="Q1889" s="8"/>
      <c r="R1889" s="9" t="s">
        <v>1874</v>
      </c>
    </row>
    <row r="1890" spans="1:18" x14ac:dyDescent="0.25">
      <c r="A1890" s="6" t="str">
        <f>HYPERLINK("proteomic_fractions_linear_files/Yang_linear_img/164565394.jpg", "164565394")</f>
        <v>164565394</v>
      </c>
      <c r="B1890" s="7"/>
      <c r="C1890" s="6" t="str">
        <f>HYPERLINK("http://www.ncbi.nlm.nih.gov/protein/164565394","Dnajc11")</f>
        <v>Dnajc11</v>
      </c>
      <c r="D1890" s="8"/>
      <c r="E1890" s="8">
        <v>63102</v>
      </c>
      <c r="F1890" s="8"/>
      <c r="G1890" s="15" t="s">
        <v>10</v>
      </c>
      <c r="H1890" s="15" t="s">
        <v>10</v>
      </c>
      <c r="I1890" s="15">
        <v>1.038940687786418</v>
      </c>
      <c r="J1890" s="15">
        <v>1.038940687786418</v>
      </c>
      <c r="K1890" s="15">
        <v>1.038940687786418</v>
      </c>
      <c r="L1890" s="15">
        <v>1.038940687786418</v>
      </c>
      <c r="M1890" s="15" t="s">
        <v>10</v>
      </c>
      <c r="N1890" s="15" t="s">
        <v>10</v>
      </c>
      <c r="O1890" s="15" t="s">
        <v>10</v>
      </c>
      <c r="P1890" s="15" t="s">
        <v>10</v>
      </c>
      <c r="Q1890" s="8"/>
      <c r="R1890" s="9" t="s">
        <v>1875</v>
      </c>
    </row>
    <row r="1891" spans="1:18" x14ac:dyDescent="0.25">
      <c r="A1891" s="6" t="str">
        <f>HYPERLINK("proteomic_fractions_linear_files/Yang_linear_img/247494234.jpg", "247494234")</f>
        <v>247494234</v>
      </c>
      <c r="B1891" s="7"/>
      <c r="C1891" s="6" t="str">
        <f>HYPERLINK("http://www.ncbi.nlm.nih.gov/protein/247494234","Dnajc13")</f>
        <v>Dnajc13</v>
      </c>
      <c r="D1891" s="8"/>
      <c r="E1891" s="8">
        <v>254311</v>
      </c>
      <c r="F1891" s="8"/>
      <c r="G1891" s="15">
        <v>0.918743494597831</v>
      </c>
      <c r="H1891" s="15">
        <v>0.918743494597831</v>
      </c>
      <c r="I1891" s="15">
        <v>0.918743494597831</v>
      </c>
      <c r="J1891" s="15">
        <v>0.918743494597831</v>
      </c>
      <c r="K1891" s="15">
        <v>1.1881233253405463</v>
      </c>
      <c r="L1891" s="15">
        <v>1.1881233253405463</v>
      </c>
      <c r="M1891" s="15">
        <v>1.1881233253405463</v>
      </c>
      <c r="N1891" s="15">
        <v>1.1881233253405463</v>
      </c>
      <c r="O1891" s="15" t="s">
        <v>10</v>
      </c>
      <c r="P1891" s="15" t="s">
        <v>10</v>
      </c>
      <c r="Q1891" s="8"/>
      <c r="R1891" s="9" t="s">
        <v>1876</v>
      </c>
    </row>
    <row r="1892" spans="1:18" x14ac:dyDescent="0.25">
      <c r="A1892" s="6" t="str">
        <f>HYPERLINK("proteomic_fractions_linear_files/Yang_linear_img/71061474.jpg", "71061474")</f>
        <v>71061474</v>
      </c>
      <c r="B1892" s="7"/>
      <c r="C1892" s="6" t="str">
        <f>HYPERLINK("http://www.ncbi.nlm.nih.gov/protein/71061474","Dnajc19")</f>
        <v>Dnajc19</v>
      </c>
      <c r="D1892" s="8"/>
      <c r="E1892" s="8">
        <v>16894</v>
      </c>
      <c r="F1892" s="8"/>
      <c r="G1892" s="15">
        <v>0.78218023664714909</v>
      </c>
      <c r="H1892" s="15">
        <v>0.78218023664714909</v>
      </c>
      <c r="I1892" s="15">
        <v>0.81681473529039117</v>
      </c>
      <c r="J1892" s="15">
        <v>0.81681473529039117</v>
      </c>
      <c r="K1892" s="15">
        <v>0.81681473529039117</v>
      </c>
      <c r="L1892" s="15">
        <v>0.81681473529039117</v>
      </c>
      <c r="M1892" s="15" t="s">
        <v>10</v>
      </c>
      <c r="N1892" s="15" t="s">
        <v>10</v>
      </c>
      <c r="O1892" s="15" t="s">
        <v>10</v>
      </c>
      <c r="P1892" s="15" t="s">
        <v>10</v>
      </c>
      <c r="Q1892" s="8"/>
      <c r="R1892" s="9" t="s">
        <v>1877</v>
      </c>
    </row>
    <row r="1893" spans="1:18" x14ac:dyDescent="0.25">
      <c r="A1893" s="6" t="str">
        <f>HYPERLINK("proteomic_fractions_linear_files/Yang_linear_img/309268906.jpg", "309268906")</f>
        <v>309268906</v>
      </c>
      <c r="B1893" s="7"/>
      <c r="C1893" s="6" t="str">
        <f>HYPERLINK("http://www.ncbi.nlm.nih.gov/protein/309268906","Dnajc19-ps")</f>
        <v>Dnajc19-ps</v>
      </c>
      <c r="D1893" s="8"/>
      <c r="E1893" s="8">
        <v>12305</v>
      </c>
      <c r="F1893" s="8"/>
      <c r="G1893" s="15">
        <v>1.1080886685834612</v>
      </c>
      <c r="H1893" s="15">
        <v>1.1080886685834612</v>
      </c>
      <c r="I1893" s="15">
        <v>1.1571542083280542</v>
      </c>
      <c r="J1893" s="15">
        <v>1.1571542083280542</v>
      </c>
      <c r="K1893" s="15">
        <v>1.1571542083280542</v>
      </c>
      <c r="L1893" s="15">
        <v>1.1571542083280542</v>
      </c>
      <c r="M1893" s="15" t="s">
        <v>10</v>
      </c>
      <c r="N1893" s="15" t="s">
        <v>10</v>
      </c>
      <c r="O1893" s="15" t="s">
        <v>10</v>
      </c>
      <c r="P1893" s="15" t="s">
        <v>10</v>
      </c>
      <c r="Q1893" s="8"/>
      <c r="R1893" s="9" t="s">
        <v>8040</v>
      </c>
    </row>
    <row r="1894" spans="1:18" x14ac:dyDescent="0.25">
      <c r="A1894" s="6" t="str">
        <f>HYPERLINK("proteomic_fractions_linear_files/Yang_linear_img/6677659.jpg", "6677659")</f>
        <v>6677659</v>
      </c>
      <c r="B1894" s="7"/>
      <c r="C1894" s="6" t="str">
        <f>HYPERLINK("http://www.ncbi.nlm.nih.gov/protein/6677659","Dnajc2")</f>
        <v>Dnajc2</v>
      </c>
      <c r="D1894" s="8"/>
      <c r="E1894" s="8">
        <v>71591</v>
      </c>
      <c r="F1894" s="8"/>
      <c r="G1894" s="15">
        <v>1.525021719737937</v>
      </c>
      <c r="H1894" s="15">
        <v>1.525021719737937</v>
      </c>
      <c r="I1894" s="15">
        <v>1.1541480343492203</v>
      </c>
      <c r="J1894" s="15">
        <v>1.1541480343492203</v>
      </c>
      <c r="K1894" s="15">
        <v>1.3189997386470071</v>
      </c>
      <c r="L1894" s="15">
        <v>1.3189997386470071</v>
      </c>
      <c r="M1894" s="15">
        <v>1.3189997386470071</v>
      </c>
      <c r="N1894" s="15">
        <v>1.3189997386470071</v>
      </c>
      <c r="O1894" s="15">
        <v>1.1541480343492203</v>
      </c>
      <c r="P1894" s="15">
        <v>1.1541480343492203</v>
      </c>
      <c r="Q1894" s="8"/>
      <c r="R1894" s="9" t="s">
        <v>1878</v>
      </c>
    </row>
    <row r="1895" spans="1:18" x14ac:dyDescent="0.25">
      <c r="A1895" s="6" t="str">
        <f>HYPERLINK("proteomic_fractions_linear_files/Yang_linear_img/190194391.jpg", "190194391")</f>
        <v>190194391</v>
      </c>
      <c r="B1895" s="7"/>
      <c r="C1895" s="6" t="str">
        <f>HYPERLINK("http://www.ncbi.nlm.nih.gov/protein/190194391","Dnajc21")</f>
        <v>Dnajc21</v>
      </c>
      <c r="D1895" s="8"/>
      <c r="E1895" s="8">
        <v>61604</v>
      </c>
      <c r="F1895" s="8"/>
      <c r="G1895" s="15" t="s">
        <v>10</v>
      </c>
      <c r="H1895" s="15" t="s">
        <v>10</v>
      </c>
      <c r="I1895" s="15" t="s">
        <v>10</v>
      </c>
      <c r="J1895" s="15" t="s">
        <v>10</v>
      </c>
      <c r="K1895" s="15" t="s">
        <v>10</v>
      </c>
      <c r="L1895" s="15" t="s">
        <v>10</v>
      </c>
      <c r="M1895" s="15">
        <v>1.3403009431152235</v>
      </c>
      <c r="N1895" s="15">
        <v>1.3403009431152235</v>
      </c>
      <c r="O1895" s="15" t="s">
        <v>10</v>
      </c>
      <c r="P1895" s="15" t="s">
        <v>10</v>
      </c>
      <c r="Q1895" s="8"/>
      <c r="R1895" s="9" t="s">
        <v>1879</v>
      </c>
    </row>
    <row r="1896" spans="1:18" x14ac:dyDescent="0.25">
      <c r="A1896" s="6" t="str">
        <f>HYPERLINK("proteomic_fractions_linear_files/Yang_linear_img/21729759.jpg", "21729759")</f>
        <v>21729759</v>
      </c>
      <c r="B1896" s="7"/>
      <c r="C1896" s="6" t="str">
        <f>HYPERLINK("http://www.ncbi.nlm.nih.gov/protein/21729759","Dnajc24")</f>
        <v>Dnajc24</v>
      </c>
      <c r="D1896" s="8"/>
      <c r="E1896" s="8">
        <v>16791</v>
      </c>
      <c r="F1896" s="8"/>
      <c r="G1896" s="15" t="s">
        <v>10</v>
      </c>
      <c r="H1896" s="15" t="s">
        <v>10</v>
      </c>
      <c r="I1896" s="15" t="s">
        <v>10</v>
      </c>
      <c r="J1896" s="15" t="s">
        <v>10</v>
      </c>
      <c r="K1896" s="15" t="s">
        <v>10</v>
      </c>
      <c r="L1896" s="15" t="s">
        <v>10</v>
      </c>
      <c r="M1896" s="15" t="s">
        <v>10</v>
      </c>
      <c r="N1896" s="15" t="s">
        <v>10</v>
      </c>
      <c r="O1896" s="15">
        <v>0.93690834018716329</v>
      </c>
      <c r="P1896" s="15">
        <v>0.93690834018716329</v>
      </c>
      <c r="Q1896" s="8"/>
      <c r="R1896" s="9" t="s">
        <v>1880</v>
      </c>
    </row>
    <row r="1897" spans="1:18" x14ac:dyDescent="0.25">
      <c r="A1897" s="6" t="str">
        <f>HYPERLINK("proteomic_fractions_linear_files/Yang_linear_img/239985468.jpg", "239985468")</f>
        <v>239985468</v>
      </c>
      <c r="B1897" s="7"/>
      <c r="C1897" s="6" t="str">
        <f>HYPERLINK("http://www.ncbi.nlm.nih.gov/protein/239985468","Dnajc25")</f>
        <v>Dnajc25</v>
      </c>
      <c r="D1897" s="8"/>
      <c r="E1897" s="8">
        <v>38154</v>
      </c>
      <c r="F1897" s="8"/>
      <c r="G1897" s="15" t="s">
        <v>10</v>
      </c>
      <c r="H1897" s="15" t="s">
        <v>10</v>
      </c>
      <c r="I1897" s="15" t="s">
        <v>10</v>
      </c>
      <c r="J1897" s="15" t="s">
        <v>10</v>
      </c>
      <c r="K1897" s="15" t="s">
        <v>10</v>
      </c>
      <c r="L1897" s="15" t="s">
        <v>10</v>
      </c>
      <c r="M1897" s="15">
        <v>0.98266648481906815</v>
      </c>
      <c r="N1897" s="15">
        <v>0.98266648481906815</v>
      </c>
      <c r="O1897" s="15" t="s">
        <v>10</v>
      </c>
      <c r="P1897" s="15" t="s">
        <v>10</v>
      </c>
      <c r="Q1897" s="8"/>
      <c r="R1897" s="9" t="s">
        <v>1881</v>
      </c>
    </row>
    <row r="1898" spans="1:18" x14ac:dyDescent="0.25">
      <c r="A1898" s="6" t="str">
        <f>HYPERLINK("proteomic_fractions_linear_files/Yang_linear_img/31542563.jpg", "31542563")</f>
        <v>31542563</v>
      </c>
      <c r="B1898" s="7"/>
      <c r="C1898" s="6" t="str">
        <f>HYPERLINK("http://www.ncbi.nlm.nih.gov/protein/31542563","Dnajc3")</f>
        <v>Dnajc3</v>
      </c>
      <c r="D1898" s="8"/>
      <c r="E1898" s="8">
        <v>54243</v>
      </c>
      <c r="F1898" s="8"/>
      <c r="G1898" s="15" t="s">
        <v>10</v>
      </c>
      <c r="H1898" s="15" t="s">
        <v>10</v>
      </c>
      <c r="I1898" s="15">
        <v>1.0883927330665528</v>
      </c>
      <c r="J1898" s="15">
        <v>1.0883927330665528</v>
      </c>
      <c r="K1898" s="15">
        <v>1.0883927330665528</v>
      </c>
      <c r="L1898" s="15">
        <v>1.0883927330665528</v>
      </c>
      <c r="M1898" s="15" t="s">
        <v>10</v>
      </c>
      <c r="N1898" s="15" t="s">
        <v>10</v>
      </c>
      <c r="O1898" s="15" t="s">
        <v>10</v>
      </c>
      <c r="P1898" s="15" t="s">
        <v>10</v>
      </c>
      <c r="Q1898" s="8"/>
      <c r="R1898" s="9" t="s">
        <v>1882</v>
      </c>
    </row>
    <row r="1899" spans="1:18" x14ac:dyDescent="0.25">
      <c r="A1899" s="6" t="str">
        <f>HYPERLINK("proteomic_fractions_linear_files/Yang_linear_img/10181196.jpg", "10181196")</f>
        <v>10181196</v>
      </c>
      <c r="B1899" s="7"/>
      <c r="C1899" s="6" t="str">
        <f>HYPERLINK("http://www.ncbi.nlm.nih.gov/protein/10181196","Dnajc4")</f>
        <v>Dnajc4</v>
      </c>
      <c r="D1899" s="8"/>
      <c r="E1899" s="8">
        <v>28075</v>
      </c>
      <c r="F1899" s="8"/>
      <c r="G1899" s="15" t="s">
        <v>10</v>
      </c>
      <c r="H1899" s="15" t="s">
        <v>10</v>
      </c>
      <c r="I1899" s="15" t="s">
        <v>10</v>
      </c>
      <c r="J1899" s="15" t="s">
        <v>10</v>
      </c>
      <c r="K1899" s="15" t="s">
        <v>10</v>
      </c>
      <c r="L1899" s="15" t="s">
        <v>10</v>
      </c>
      <c r="M1899" s="15">
        <v>2.967809231183709</v>
      </c>
      <c r="N1899" s="15">
        <v>2.967809231183709</v>
      </c>
      <c r="O1899" s="15" t="s">
        <v>10</v>
      </c>
      <c r="P1899" s="15" t="s">
        <v>10</v>
      </c>
      <c r="Q1899" s="8"/>
      <c r="R1899" s="9" t="s">
        <v>1883</v>
      </c>
    </row>
    <row r="1900" spans="1:18" x14ac:dyDescent="0.25">
      <c r="A1900" s="6" t="str">
        <f>HYPERLINK("proteomic_fractions_linear_files/Yang_linear_img/7949027.jpg", "7949027")</f>
        <v>7949027</v>
      </c>
      <c r="B1900" s="7"/>
      <c r="C1900" s="6" t="str">
        <f>HYPERLINK("http://www.ncbi.nlm.nih.gov/protein/7949027","Dnajc5")</f>
        <v>Dnajc5</v>
      </c>
      <c r="D1900" s="8"/>
      <c r="E1900" s="8">
        <v>21970</v>
      </c>
      <c r="F1900" s="8"/>
      <c r="G1900" s="15" t="s">
        <v>10</v>
      </c>
      <c r="H1900" s="15" t="s">
        <v>10</v>
      </c>
      <c r="I1900" s="15">
        <v>1.1886480961556818</v>
      </c>
      <c r="J1900" s="15">
        <v>1.1886480961556818</v>
      </c>
      <c r="K1900" s="15">
        <v>1.2690096044400936</v>
      </c>
      <c r="L1900" s="15">
        <v>1.2690096044400936</v>
      </c>
      <c r="M1900" s="15" t="s">
        <v>10</v>
      </c>
      <c r="N1900" s="15" t="s">
        <v>10</v>
      </c>
      <c r="O1900" s="15" t="s">
        <v>10</v>
      </c>
      <c r="P1900" s="15" t="s">
        <v>10</v>
      </c>
      <c r="Q1900" s="8"/>
      <c r="R1900" s="9" t="s">
        <v>1884</v>
      </c>
    </row>
    <row r="1901" spans="1:18" x14ac:dyDescent="0.25">
      <c r="A1901" s="6" t="str">
        <f>HYPERLINK("proteomic_fractions_linear_files/Yang_linear_img/31980994.jpg", "31980994")</f>
        <v>31980994</v>
      </c>
      <c r="B1901" s="7"/>
      <c r="C1901" s="6" t="str">
        <f>HYPERLINK("http://www.ncbi.nlm.nih.gov/protein/31980994","Dnajc7")</f>
        <v>Dnajc7</v>
      </c>
      <c r="D1901" s="8"/>
      <c r="E1901" s="8">
        <v>56345</v>
      </c>
      <c r="F1901" s="8"/>
      <c r="G1901" s="15" t="s">
        <v>10</v>
      </c>
      <c r="H1901" s="15" t="s">
        <v>10</v>
      </c>
      <c r="I1901" s="15">
        <v>1.0495215640284616</v>
      </c>
      <c r="J1901" s="15">
        <v>1.0495215640284616</v>
      </c>
      <c r="K1901" s="15">
        <v>1.1688082737597203</v>
      </c>
      <c r="L1901" s="15">
        <v>1.1688082737597203</v>
      </c>
      <c r="M1901" s="15">
        <v>1.1688082737597203</v>
      </c>
      <c r="N1901" s="15">
        <v>1.1688082737597203</v>
      </c>
      <c r="O1901" s="15">
        <v>0.94858160053573359</v>
      </c>
      <c r="P1901" s="15">
        <v>0.94858160053573359</v>
      </c>
      <c r="Q1901" s="8"/>
      <c r="R1901" s="9" t="s">
        <v>1885</v>
      </c>
    </row>
    <row r="1902" spans="1:18" x14ac:dyDescent="0.25">
      <c r="A1902" s="6" t="str">
        <f>HYPERLINK("proteomic_fractions_linear_files/Yang_linear_img/157951606.jpg", "157951606")</f>
        <v>157951606</v>
      </c>
      <c r="B1902" s="7"/>
      <c r="C1902" s="6" t="str">
        <f>HYPERLINK("http://www.ncbi.nlm.nih.gov/protein/157951606","Dnajc8")</f>
        <v>Dnajc8</v>
      </c>
      <c r="D1902" s="8"/>
      <c r="E1902" s="8">
        <v>29682</v>
      </c>
      <c r="F1902" s="8"/>
      <c r="G1902" s="15">
        <v>1.3502439401074249</v>
      </c>
      <c r="H1902" s="15">
        <v>1.3502439401074249</v>
      </c>
      <c r="I1902" s="15" t="s">
        <v>10</v>
      </c>
      <c r="J1902" s="15" t="s">
        <v>10</v>
      </c>
      <c r="K1902" s="15">
        <v>1.0694690951911197</v>
      </c>
      <c r="L1902" s="15">
        <v>1.0694690951911197</v>
      </c>
      <c r="M1902" s="15">
        <v>0.99618022972377107</v>
      </c>
      <c r="N1902" s="15">
        <v>0.99618022972377107</v>
      </c>
      <c r="O1902" s="15">
        <v>0.81849402044256392</v>
      </c>
      <c r="P1902" s="15">
        <v>0.81849402044256392</v>
      </c>
      <c r="Q1902" s="8"/>
      <c r="R1902" s="9" t="s">
        <v>1886</v>
      </c>
    </row>
    <row r="1903" spans="1:18" x14ac:dyDescent="0.25">
      <c r="A1903" s="6" t="str">
        <f>HYPERLINK("proteomic_fractions_linear_files/Yang_linear_img/23956266.jpg", "23956266")</f>
        <v>23956266</v>
      </c>
      <c r="B1903" s="7"/>
      <c r="C1903" s="6" t="str">
        <f>HYPERLINK("http://www.ncbi.nlm.nih.gov/protein/23956266","Dnajc9")</f>
        <v>Dnajc9</v>
      </c>
      <c r="D1903" s="8"/>
      <c r="E1903" s="8">
        <v>29928</v>
      </c>
      <c r="F1903" s="8"/>
      <c r="G1903" s="15">
        <v>1.3502439401074249</v>
      </c>
      <c r="H1903" s="15">
        <v>1.3502439401074249</v>
      </c>
      <c r="I1903" s="15">
        <v>0.99618022972377107</v>
      </c>
      <c r="J1903" s="15">
        <v>0.99618022972377107</v>
      </c>
      <c r="K1903" s="15">
        <v>1.0694690951911197</v>
      </c>
      <c r="L1903" s="15">
        <v>1.0694690951911197</v>
      </c>
      <c r="M1903" s="15">
        <v>1.0694690951911197</v>
      </c>
      <c r="N1903" s="15">
        <v>1.0694690951911197</v>
      </c>
      <c r="O1903" s="15">
        <v>0.93060704325606869</v>
      </c>
      <c r="P1903" s="15">
        <v>0.93060704325606869</v>
      </c>
      <c r="Q1903" s="8"/>
      <c r="R1903" s="9" t="s">
        <v>1887</v>
      </c>
    </row>
    <row r="1904" spans="1:18" x14ac:dyDescent="0.25">
      <c r="A1904" s="6" t="str">
        <f>HYPERLINK("proteomic_fractions_linear_files/Yang_linear_img/164607162.jpg", "164607162")</f>
        <v>164607162</v>
      </c>
      <c r="B1904" s="7"/>
      <c r="C1904" s="6" t="str">
        <f>HYPERLINK("http://www.ncbi.nlm.nih.gov/protein/164607162","Dnal1")</f>
        <v>Dnal1</v>
      </c>
      <c r="D1904" s="8"/>
      <c r="E1904" s="8">
        <v>21334</v>
      </c>
      <c r="F1904" s="8"/>
      <c r="G1904" s="15" t="s">
        <v>10</v>
      </c>
      <c r="H1904" s="15" t="s">
        <v>10</v>
      </c>
      <c r="I1904" s="15" t="s">
        <v>10</v>
      </c>
      <c r="J1904" s="15" t="s">
        <v>10</v>
      </c>
      <c r="K1904" s="15" t="s">
        <v>10</v>
      </c>
      <c r="L1904" s="15" t="s">
        <v>10</v>
      </c>
      <c r="M1904" s="15" t="s">
        <v>10</v>
      </c>
      <c r="N1904" s="15" t="s">
        <v>10</v>
      </c>
      <c r="O1904" s="15">
        <v>0.98083053269791776</v>
      </c>
      <c r="P1904" s="15">
        <v>0.98083053269791776</v>
      </c>
      <c r="Q1904" s="8"/>
      <c r="R1904" s="9" t="s">
        <v>1888</v>
      </c>
    </row>
    <row r="1905" spans="1:18" x14ac:dyDescent="0.25">
      <c r="A1905" s="6" t="str">
        <f>HYPERLINK("proteomic_fractions_linear_files/Yang_linear_img/148539953.jpg", "148539953")</f>
        <v>148539953</v>
      </c>
      <c r="B1905" s="7"/>
      <c r="C1905" s="6" t="str">
        <f>HYPERLINK("http://www.ncbi.nlm.nih.gov/protein/148539953","Dnase1l2")</f>
        <v>Dnase1l2</v>
      </c>
      <c r="D1905" s="8"/>
      <c r="E1905" s="8">
        <v>28970</v>
      </c>
      <c r="F1905" s="8"/>
      <c r="G1905" s="15">
        <v>1.2876319456249858</v>
      </c>
      <c r="H1905" s="15">
        <v>0.84671795218196266</v>
      </c>
      <c r="I1905" s="15">
        <v>0.90173303846293107</v>
      </c>
      <c r="J1905" s="15">
        <v>0.90173303846293107</v>
      </c>
      <c r="K1905" s="15">
        <v>0.90173303846293107</v>
      </c>
      <c r="L1905" s="15">
        <v>0.90173303846293107</v>
      </c>
      <c r="M1905" s="15" t="s">
        <v>10</v>
      </c>
      <c r="N1905" s="15" t="s">
        <v>10</v>
      </c>
      <c r="O1905" s="15" t="s">
        <v>10</v>
      </c>
      <c r="P1905" s="15" t="s">
        <v>10</v>
      </c>
      <c r="Q1905" s="8"/>
      <c r="R1905" s="9" t="s">
        <v>1889</v>
      </c>
    </row>
    <row r="1906" spans="1:18" x14ac:dyDescent="0.25">
      <c r="A1906" s="6" t="str">
        <f>HYPERLINK("proteomic_fractions_linear_files/Yang_linear_img/6753654.jpg", "6753654")</f>
        <v>6753654</v>
      </c>
      <c r="B1906" s="7"/>
      <c r="C1906" s="6" t="str">
        <f>HYPERLINK("http://www.ncbi.nlm.nih.gov/protein/6753654","Dnase2a")</f>
        <v>Dnase2a</v>
      </c>
      <c r="D1906" s="8"/>
      <c r="E1906" s="8">
        <v>36789</v>
      </c>
      <c r="F1906" s="8"/>
      <c r="G1906" s="15" t="s">
        <v>10</v>
      </c>
      <c r="H1906" s="15" t="s">
        <v>10</v>
      </c>
      <c r="I1906" s="15">
        <v>0.70676373284932437</v>
      </c>
      <c r="J1906" s="15">
        <v>0.70676373284932437</v>
      </c>
      <c r="K1906" s="15">
        <v>0.75454625128870434</v>
      </c>
      <c r="L1906" s="15">
        <v>0.75454625128870434</v>
      </c>
      <c r="M1906" s="15" t="s">
        <v>10</v>
      </c>
      <c r="N1906" s="15" t="s">
        <v>10</v>
      </c>
      <c r="O1906" s="15">
        <v>0.62458306418155263</v>
      </c>
      <c r="P1906" s="15">
        <v>0.62458306418155263</v>
      </c>
      <c r="Q1906" s="8"/>
      <c r="R1906" s="9" t="s">
        <v>1890</v>
      </c>
    </row>
    <row r="1907" spans="1:18" x14ac:dyDescent="0.25">
      <c r="A1907" s="6" t="str">
        <f>HYPERLINK("proteomic_fractions_linear_files/Yang_linear_img/110625712.jpg", "110625712")</f>
        <v>110625712</v>
      </c>
      <c r="B1907" s="7"/>
      <c r="C1907" s="6" t="str">
        <f>HYPERLINK("http://www.ncbi.nlm.nih.gov/protein/110625712","Dnlz")</f>
        <v>Dnlz</v>
      </c>
      <c r="D1907" s="8"/>
      <c r="E1907" s="8">
        <v>13238</v>
      </c>
      <c r="F1907" s="8"/>
      <c r="G1907" s="15" t="s">
        <v>10</v>
      </c>
      <c r="H1907" s="15" t="s">
        <v>10</v>
      </c>
      <c r="I1907" s="15">
        <v>1.2251878294755212</v>
      </c>
      <c r="J1907" s="15">
        <v>1.2251878294755212</v>
      </c>
      <c r="K1907" s="15" t="s">
        <v>10</v>
      </c>
      <c r="L1907" s="15" t="s">
        <v>10</v>
      </c>
      <c r="M1907" s="15" t="s">
        <v>10</v>
      </c>
      <c r="N1907" s="15" t="s">
        <v>10</v>
      </c>
      <c r="O1907" s="15" t="s">
        <v>10</v>
      </c>
      <c r="P1907" s="15" t="s">
        <v>10</v>
      </c>
      <c r="Q1907" s="8"/>
      <c r="R1907" s="9" t="s">
        <v>1891</v>
      </c>
    </row>
    <row r="1908" spans="1:18" x14ac:dyDescent="0.25">
      <c r="A1908" s="6" t="str">
        <f>HYPERLINK("proteomic_fractions_linear_files/Yang_linear_img/218777849.jpg", "218777849")</f>
        <v>218777849</v>
      </c>
      <c r="B1908" s="7"/>
      <c r="C1908" s="6" t="str">
        <f>HYPERLINK("http://www.ncbi.nlm.nih.gov/protein/218777849","Dnlz")</f>
        <v>Dnlz</v>
      </c>
      <c r="D1908" s="8"/>
      <c r="E1908" s="8">
        <v>3100</v>
      </c>
      <c r="F1908" s="8"/>
      <c r="G1908" s="15" t="s">
        <v>10</v>
      </c>
      <c r="H1908" s="15" t="s">
        <v>10</v>
      </c>
      <c r="I1908" s="15">
        <v>5.3091472610605921</v>
      </c>
      <c r="J1908" s="15">
        <v>5.3091472610605921</v>
      </c>
      <c r="K1908" s="15" t="s">
        <v>10</v>
      </c>
      <c r="L1908" s="15" t="s">
        <v>10</v>
      </c>
      <c r="M1908" s="15" t="s">
        <v>10</v>
      </c>
      <c r="N1908" s="15" t="s">
        <v>10</v>
      </c>
      <c r="O1908" s="15" t="s">
        <v>10</v>
      </c>
      <c r="P1908" s="15" t="s">
        <v>10</v>
      </c>
      <c r="Q1908" s="8"/>
      <c r="R1908" s="9" t="s">
        <v>1892</v>
      </c>
    </row>
    <row r="1909" spans="1:18" x14ac:dyDescent="0.25">
      <c r="A1909" s="6" t="str">
        <f>HYPERLINK("proteomic_fractions_linear_files/Yang_linear_img/218777851.jpg", "218777851")</f>
        <v>218777851</v>
      </c>
      <c r="B1909" s="7"/>
      <c r="C1909" s="6" t="str">
        <f>HYPERLINK("http://www.ncbi.nlm.nih.gov/protein/218777851","Dnlz")</f>
        <v>Dnlz</v>
      </c>
      <c r="D1909" s="8"/>
      <c r="E1909" s="8">
        <v>7598</v>
      </c>
      <c r="F1909" s="8"/>
      <c r="G1909" s="15" t="s">
        <v>10</v>
      </c>
      <c r="H1909" s="15" t="s">
        <v>10</v>
      </c>
      <c r="I1909" s="15">
        <v>1.9909302228977219</v>
      </c>
      <c r="J1909" s="15">
        <v>1.9909302228977219</v>
      </c>
      <c r="K1909" s="15" t="s">
        <v>10</v>
      </c>
      <c r="L1909" s="15" t="s">
        <v>10</v>
      </c>
      <c r="M1909" s="15" t="s">
        <v>10</v>
      </c>
      <c r="N1909" s="15" t="s">
        <v>10</v>
      </c>
      <c r="O1909" s="15" t="s">
        <v>10</v>
      </c>
      <c r="P1909" s="15" t="s">
        <v>10</v>
      </c>
      <c r="Q1909" s="8"/>
      <c r="R1909" s="9" t="s">
        <v>1893</v>
      </c>
    </row>
    <row r="1910" spans="1:18" x14ac:dyDescent="0.25">
      <c r="A1910" s="6" t="str">
        <f>HYPERLINK("proteomic_fractions_linear_files/Yang_linear_img/116063570.jpg", "116063570")</f>
        <v>116063570</v>
      </c>
      <c r="B1910" s="7"/>
      <c r="C1910" s="6" t="str">
        <f>HYPERLINK("http://www.ncbi.nlm.nih.gov/protein/116063570","Dnm1")</f>
        <v>Dnm1</v>
      </c>
      <c r="D1910" s="8"/>
      <c r="E1910" s="8">
        <v>97154</v>
      </c>
      <c r="F1910" s="8"/>
      <c r="G1910" s="15" t="s">
        <v>10</v>
      </c>
      <c r="H1910" s="15" t="s">
        <v>10</v>
      </c>
      <c r="I1910" s="15">
        <v>1.1319748847539326</v>
      </c>
      <c r="J1910" s="15">
        <v>1.1319748847539326</v>
      </c>
      <c r="K1910" s="15">
        <v>1.1319748847539326</v>
      </c>
      <c r="L1910" s="15">
        <v>1.1319748847539326</v>
      </c>
      <c r="M1910" s="15">
        <v>1.1319748847539326</v>
      </c>
      <c r="N1910" s="15">
        <v>1.1319748847539326</v>
      </c>
      <c r="O1910" s="15">
        <v>1.1319748847539326</v>
      </c>
      <c r="P1910" s="15">
        <v>1.1319748847539326</v>
      </c>
      <c r="Q1910" s="8"/>
      <c r="R1910" s="9" t="s">
        <v>1894</v>
      </c>
    </row>
    <row r="1911" spans="1:18" x14ac:dyDescent="0.25">
      <c r="A1911" s="6" t="str">
        <f>HYPERLINK("proteomic_fractions_linear_files/Yang_linear_img/448261635.jpg", "448261635")</f>
        <v>448261635</v>
      </c>
      <c r="B1911" s="7"/>
      <c r="C1911" s="6" t="str">
        <f>HYPERLINK("http://www.ncbi.nlm.nih.gov/protein/448261635","Dnm1l")</f>
        <v>Dnm1l</v>
      </c>
      <c r="D1911" s="8"/>
      <c r="E1911" s="8">
        <v>80082</v>
      </c>
      <c r="F1911" s="8"/>
      <c r="G1911" s="15" t="s">
        <v>10</v>
      </c>
      <c r="H1911" s="15" t="s">
        <v>10</v>
      </c>
      <c r="I1911" s="15">
        <v>1.0387332309142983</v>
      </c>
      <c r="J1911" s="15">
        <v>1.0387332309142983</v>
      </c>
      <c r="K1911" s="15">
        <v>1.1870997647823063</v>
      </c>
      <c r="L1911" s="15">
        <v>1.1870997647823063</v>
      </c>
      <c r="M1911" s="15">
        <v>1.0387332309142983</v>
      </c>
      <c r="N1911" s="15">
        <v>1.0387332309142983</v>
      </c>
      <c r="O1911" s="15">
        <v>1.0387332309142983</v>
      </c>
      <c r="P1911" s="15">
        <v>1.0387332309142983</v>
      </c>
      <c r="Q1911" s="8"/>
      <c r="R1911" s="9" t="s">
        <v>1895</v>
      </c>
    </row>
    <row r="1912" spans="1:18" x14ac:dyDescent="0.25">
      <c r="A1912" s="6" t="str">
        <f>HYPERLINK("proteomic_fractions_linear_files/Yang_linear_img/448261637.jpg", "448261637")</f>
        <v>448261637</v>
      </c>
      <c r="B1912" s="7"/>
      <c r="C1912" s="6" t="str">
        <f>HYPERLINK("http://www.ncbi.nlm.nih.gov/protein/448261637","Dnm1l")</f>
        <v>Dnm1l</v>
      </c>
      <c r="D1912" s="8"/>
      <c r="E1912" s="8">
        <v>68570</v>
      </c>
      <c r="F1912" s="8"/>
      <c r="G1912" s="15" t="s">
        <v>10</v>
      </c>
      <c r="H1912" s="15" t="s">
        <v>10</v>
      </c>
      <c r="I1912" s="15">
        <v>1.2043283836687515</v>
      </c>
      <c r="J1912" s="15">
        <v>1.2043283836687515</v>
      </c>
      <c r="K1912" s="15">
        <v>1.3763475533707901</v>
      </c>
      <c r="L1912" s="15">
        <v>1.3763475533707901</v>
      </c>
      <c r="M1912" s="15">
        <v>1.2043283836687515</v>
      </c>
      <c r="N1912" s="15">
        <v>1.2043283836687515</v>
      </c>
      <c r="O1912" s="15">
        <v>1.2043283836687515</v>
      </c>
      <c r="P1912" s="15">
        <v>1.2043283836687515</v>
      </c>
      <c r="Q1912" s="8"/>
      <c r="R1912" s="9" t="s">
        <v>1896</v>
      </c>
    </row>
    <row r="1913" spans="1:18" x14ac:dyDescent="0.25">
      <c r="A1913" s="6" t="str">
        <f>HYPERLINK("proteomic_fractions_linear_files/Yang_linear_img/71061455.jpg", "71061455")</f>
        <v>71061455</v>
      </c>
      <c r="B1913" s="7"/>
      <c r="C1913" s="6" t="str">
        <f>HYPERLINK("http://www.ncbi.nlm.nih.gov/protein/71061455","Dnm1l")</f>
        <v>Dnm1l</v>
      </c>
      <c r="D1913" s="8"/>
      <c r="E1913" s="8">
        <v>77880</v>
      </c>
      <c r="F1913" s="8"/>
      <c r="G1913" s="15" t="s">
        <v>10</v>
      </c>
      <c r="H1913" s="15" t="s">
        <v>10</v>
      </c>
      <c r="I1913" s="15">
        <v>1.0653674163223572</v>
      </c>
      <c r="J1913" s="15">
        <v>1.0653674163223572</v>
      </c>
      <c r="K1913" s="15">
        <v>1.2175382202895451</v>
      </c>
      <c r="L1913" s="15">
        <v>1.2175382202895451</v>
      </c>
      <c r="M1913" s="15">
        <v>1.0653674163223572</v>
      </c>
      <c r="N1913" s="15">
        <v>1.0653674163223572</v>
      </c>
      <c r="O1913" s="15">
        <v>1.0653674163223572</v>
      </c>
      <c r="P1913" s="15">
        <v>1.0653674163223572</v>
      </c>
      <c r="Q1913" s="8"/>
      <c r="R1913" s="9" t="s">
        <v>1897</v>
      </c>
    </row>
    <row r="1914" spans="1:18" x14ac:dyDescent="0.25">
      <c r="A1914" s="6" t="str">
        <f>HYPERLINK("proteomic_fractions_linear_files/Yang_linear_img/71061458.jpg", "71061458")</f>
        <v>71061458</v>
      </c>
      <c r="B1914" s="7"/>
      <c r="C1914" s="6" t="str">
        <f>HYPERLINK("http://www.ncbi.nlm.nih.gov/protein/71061458","Dnm1l")</f>
        <v>Dnm1l</v>
      </c>
      <c r="D1914" s="8"/>
      <c r="E1914" s="8">
        <v>79402</v>
      </c>
      <c r="F1914" s="8"/>
      <c r="G1914" s="15" t="s">
        <v>10</v>
      </c>
      <c r="H1914" s="15" t="s">
        <v>10</v>
      </c>
      <c r="I1914" s="15">
        <v>1.0518817528246058</v>
      </c>
      <c r="J1914" s="15">
        <v>1.0518817528246058</v>
      </c>
      <c r="K1914" s="15">
        <v>1.2021263440833483</v>
      </c>
      <c r="L1914" s="15">
        <v>1.2021263440833483</v>
      </c>
      <c r="M1914" s="15">
        <v>1.0518817528246058</v>
      </c>
      <c r="N1914" s="15">
        <v>1.0518817528246058</v>
      </c>
      <c r="O1914" s="15">
        <v>1.0518817528246058</v>
      </c>
      <c r="P1914" s="15">
        <v>1.0518817528246058</v>
      </c>
      <c r="Q1914" s="8"/>
      <c r="R1914" s="9" t="s">
        <v>1898</v>
      </c>
    </row>
    <row r="1915" spans="1:18" x14ac:dyDescent="0.25">
      <c r="A1915" s="6" t="str">
        <f>HYPERLINK("proteomic_fractions_linear_files/Yang_linear_img/359751391.jpg", "359751391")</f>
        <v>359751391</v>
      </c>
      <c r="B1915" s="7"/>
      <c r="C1915" s="6" t="str">
        <f>HYPERLINK("http://www.ncbi.nlm.nih.gov/protein/359751391","Dnm2")</f>
        <v>Dnm2</v>
      </c>
      <c r="D1915" s="8"/>
      <c r="E1915" s="8">
        <v>98015</v>
      </c>
      <c r="F1915" s="8"/>
      <c r="G1915" s="15">
        <v>1.3134860014807854</v>
      </c>
      <c r="H1915" s="15">
        <v>1.3134860014807854</v>
      </c>
      <c r="I1915" s="15">
        <v>1.1204241206237904</v>
      </c>
      <c r="J1915" s="15">
        <v>1.1204241206237904</v>
      </c>
      <c r="K1915" s="15">
        <v>1.1204241206237904</v>
      </c>
      <c r="L1915" s="15">
        <v>1.1204241206237904</v>
      </c>
      <c r="M1915" s="15">
        <v>1.1204241206237904</v>
      </c>
      <c r="N1915" s="15">
        <v>1.1204241206237904</v>
      </c>
      <c r="O1915" s="15">
        <v>1.1204241206237904</v>
      </c>
      <c r="P1915" s="15">
        <v>1.1204241206237904</v>
      </c>
      <c r="Q1915" s="8"/>
      <c r="R1915" s="9" t="s">
        <v>1899</v>
      </c>
    </row>
    <row r="1916" spans="1:18" x14ac:dyDescent="0.25">
      <c r="A1916" s="6" t="str">
        <f>HYPERLINK("proteomic_fractions_linear_files/Yang_linear_img/359751394.jpg", "359751394")</f>
        <v>359751394</v>
      </c>
      <c r="B1916" s="7"/>
      <c r="C1916" s="6" t="str">
        <f>HYPERLINK("http://www.ncbi.nlm.nih.gov/protein/359751394","Dnm2")</f>
        <v>Dnm2</v>
      </c>
      <c r="D1916" s="8"/>
      <c r="E1916" s="8">
        <v>97602</v>
      </c>
      <c r="F1916" s="8"/>
      <c r="G1916" s="15">
        <v>1.3134860014807854</v>
      </c>
      <c r="H1916" s="15">
        <v>1.3134860014807854</v>
      </c>
      <c r="I1916" s="15">
        <v>1.1204241206237904</v>
      </c>
      <c r="J1916" s="15">
        <v>1.1204241206237904</v>
      </c>
      <c r="K1916" s="15">
        <v>1.1204241206237904</v>
      </c>
      <c r="L1916" s="15">
        <v>1.1204241206237904</v>
      </c>
      <c r="M1916" s="15">
        <v>1.1204241206237904</v>
      </c>
      <c r="N1916" s="15">
        <v>1.1204241206237904</v>
      </c>
      <c r="O1916" s="15">
        <v>1.1204241206237904</v>
      </c>
      <c r="P1916" s="15">
        <v>1.1204241206237904</v>
      </c>
      <c r="Q1916" s="8"/>
      <c r="R1916" s="9" t="s">
        <v>1900</v>
      </c>
    </row>
    <row r="1917" spans="1:18" x14ac:dyDescent="0.25">
      <c r="A1917" s="6" t="str">
        <f>HYPERLINK("proteomic_fractions_linear_files/Yang_linear_img/359751399.jpg", "359751399")</f>
        <v>359751399</v>
      </c>
      <c r="B1917" s="7"/>
      <c r="C1917" s="6" t="str">
        <f>HYPERLINK("http://www.ncbi.nlm.nih.gov/protein/359751399","Dnm2")</f>
        <v>Dnm2</v>
      </c>
      <c r="D1917" s="8"/>
      <c r="E1917" s="8">
        <v>97065</v>
      </c>
      <c r="F1917" s="8"/>
      <c r="G1917" s="15">
        <v>1.3270270942795563</v>
      </c>
      <c r="H1917" s="15">
        <v>1.3270270942795563</v>
      </c>
      <c r="I1917" s="15">
        <v>1.1319748847539326</v>
      </c>
      <c r="J1917" s="15">
        <v>1.1319748847539326</v>
      </c>
      <c r="K1917" s="15">
        <v>1.1319748847539326</v>
      </c>
      <c r="L1917" s="15">
        <v>1.1319748847539326</v>
      </c>
      <c r="M1917" s="15">
        <v>1.1319748847539326</v>
      </c>
      <c r="N1917" s="15">
        <v>1.1319748847539326</v>
      </c>
      <c r="O1917" s="15">
        <v>1.1319748847539326</v>
      </c>
      <c r="P1917" s="15">
        <v>1.1319748847539326</v>
      </c>
      <c r="Q1917" s="8"/>
      <c r="R1917" s="9" t="s">
        <v>1901</v>
      </c>
    </row>
    <row r="1918" spans="1:18" x14ac:dyDescent="0.25">
      <c r="A1918" s="6" t="str">
        <f>HYPERLINK("proteomic_fractions_linear_files/Yang_linear_img/87299637.jpg", "87299637")</f>
        <v>87299637</v>
      </c>
      <c r="B1918" s="7"/>
      <c r="C1918" s="6" t="str">
        <f>HYPERLINK("http://www.ncbi.nlm.nih.gov/protein/87299637","Dnm2")</f>
        <v>Dnm2</v>
      </c>
      <c r="D1918" s="8"/>
      <c r="E1918" s="8">
        <v>97856</v>
      </c>
      <c r="F1918" s="8"/>
      <c r="G1918" s="15">
        <v>1.3134860014807854</v>
      </c>
      <c r="H1918" s="15">
        <v>1.3134860014807854</v>
      </c>
      <c r="I1918" s="15">
        <v>1.1204241206237904</v>
      </c>
      <c r="J1918" s="15">
        <v>1.1204241206237904</v>
      </c>
      <c r="K1918" s="15">
        <v>1.1204241206237904</v>
      </c>
      <c r="L1918" s="15">
        <v>1.1204241206237904</v>
      </c>
      <c r="M1918" s="15">
        <v>1.1204241206237904</v>
      </c>
      <c r="N1918" s="15">
        <v>1.1204241206237904</v>
      </c>
      <c r="O1918" s="15">
        <v>1.1204241206237904</v>
      </c>
      <c r="P1918" s="15">
        <v>1.1204241206237904</v>
      </c>
      <c r="Q1918" s="8"/>
      <c r="R1918" s="9" t="s">
        <v>1902</v>
      </c>
    </row>
    <row r="1919" spans="1:18" x14ac:dyDescent="0.25">
      <c r="A1919" s="6" t="str">
        <f>HYPERLINK("proteomic_fractions_linear_files/Yang_linear_img/27369922.jpg", "27369922")</f>
        <v>27369922</v>
      </c>
      <c r="B1919" s="7"/>
      <c r="C1919" s="6" t="str">
        <f>HYPERLINK("http://www.ncbi.nlm.nih.gov/protein/27369922","Dnm3")</f>
        <v>Dnm3</v>
      </c>
      <c r="D1919" s="8"/>
      <c r="E1919" s="8">
        <v>96673</v>
      </c>
      <c r="F1919" s="8"/>
      <c r="G1919" s="15" t="s">
        <v>10</v>
      </c>
      <c r="H1919" s="15" t="s">
        <v>10</v>
      </c>
      <c r="I1919" s="15">
        <v>1.1319748847539326</v>
      </c>
      <c r="J1919" s="15">
        <v>1.1319748847539326</v>
      </c>
      <c r="K1919" s="15">
        <v>1.1319748847539326</v>
      </c>
      <c r="L1919" s="15">
        <v>1.1319748847539326</v>
      </c>
      <c r="M1919" s="15">
        <v>1.1319748847539326</v>
      </c>
      <c r="N1919" s="15">
        <v>1.1319748847539326</v>
      </c>
      <c r="O1919" s="15">
        <v>1.1319748847539326</v>
      </c>
      <c r="P1919" s="15">
        <v>1.1319748847539326</v>
      </c>
      <c r="Q1919" s="8"/>
      <c r="R1919" s="9" t="s">
        <v>1903</v>
      </c>
    </row>
    <row r="1920" spans="1:18" x14ac:dyDescent="0.25">
      <c r="A1920" s="6" t="str">
        <f>HYPERLINK("proteomic_fractions_linear_files/Yang_linear_img/84490431.jpg", "84490431")</f>
        <v>84490431</v>
      </c>
      <c r="B1920" s="7"/>
      <c r="C1920" s="6" t="str">
        <f>HYPERLINK("http://www.ncbi.nlm.nih.gov/protein/84490431","Dnm3")</f>
        <v>Dnm3</v>
      </c>
      <c r="D1920" s="8"/>
      <c r="E1920" s="8">
        <v>97060</v>
      </c>
      <c r="F1920" s="8"/>
      <c r="G1920" s="15" t="s">
        <v>10</v>
      </c>
      <c r="H1920" s="15" t="s">
        <v>10</v>
      </c>
      <c r="I1920" s="15">
        <v>1.1319748847539326</v>
      </c>
      <c r="J1920" s="15">
        <v>1.1319748847539326</v>
      </c>
      <c r="K1920" s="15">
        <v>1.1319748847539326</v>
      </c>
      <c r="L1920" s="15">
        <v>1.1319748847539326</v>
      </c>
      <c r="M1920" s="15">
        <v>1.1319748847539326</v>
      </c>
      <c r="N1920" s="15">
        <v>1.1319748847539326</v>
      </c>
      <c r="O1920" s="15">
        <v>1.1319748847539326</v>
      </c>
      <c r="P1920" s="15">
        <v>1.1319748847539326</v>
      </c>
      <c r="Q1920" s="8"/>
      <c r="R1920" s="9" t="s">
        <v>1904</v>
      </c>
    </row>
    <row r="1921" spans="1:18" x14ac:dyDescent="0.25">
      <c r="A1921" s="6" t="str">
        <f>HYPERLINK("proteomic_fractions_linear_files/Yang_linear_img/313661497.jpg", "313661497")</f>
        <v>313661497</v>
      </c>
      <c r="B1921" s="7"/>
      <c r="C1921" s="6" t="str">
        <f>HYPERLINK("http://www.ncbi.nlm.nih.gov/protein/313661497","Dnmt1")</f>
        <v>Dnmt1</v>
      </c>
      <c r="D1921" s="8"/>
      <c r="E1921" s="8">
        <v>169827</v>
      </c>
      <c r="F1921" s="8"/>
      <c r="G1921" s="15">
        <v>1.3727108683991123</v>
      </c>
      <c r="H1921" s="15">
        <v>1.3727108683991123</v>
      </c>
      <c r="I1921" s="15">
        <v>1.3727108683991123</v>
      </c>
      <c r="J1921" s="15">
        <v>1.3727108683991123</v>
      </c>
      <c r="K1921" s="15">
        <v>1.3727108683991123</v>
      </c>
      <c r="L1921" s="15">
        <v>1.3727108683991123</v>
      </c>
      <c r="M1921" s="15">
        <v>1.3727108683991123</v>
      </c>
      <c r="N1921" s="15">
        <v>1.3727108683991123</v>
      </c>
      <c r="O1921" s="15">
        <v>1.3727108683991123</v>
      </c>
      <c r="P1921" s="15">
        <v>1.3727108683991123</v>
      </c>
      <c r="Q1921" s="8"/>
      <c r="R1921" s="9" t="s">
        <v>1905</v>
      </c>
    </row>
    <row r="1922" spans="1:18" x14ac:dyDescent="0.25">
      <c r="A1922" s="6" t="str">
        <f>HYPERLINK("proteomic_fractions_linear_files/Yang_linear_img/313661499.jpg", "313661499")</f>
        <v>313661499</v>
      </c>
      <c r="B1922" s="7"/>
      <c r="C1922" s="6" t="str">
        <f>HYPERLINK("http://www.ncbi.nlm.nih.gov/protein/313661499","Dnmt1")</f>
        <v>Dnmt1</v>
      </c>
      <c r="D1922" s="8"/>
      <c r="E1922" s="8">
        <v>169866</v>
      </c>
      <c r="F1922" s="8"/>
      <c r="G1922" s="15">
        <v>1.3727108683991123</v>
      </c>
      <c r="H1922" s="15">
        <v>1.3727108683991123</v>
      </c>
      <c r="I1922" s="15">
        <v>1.3727108683991123</v>
      </c>
      <c r="J1922" s="15">
        <v>1.3727108683991123</v>
      </c>
      <c r="K1922" s="15">
        <v>1.3727108683991123</v>
      </c>
      <c r="L1922" s="15">
        <v>1.3727108683991123</v>
      </c>
      <c r="M1922" s="15">
        <v>1.3727108683991123</v>
      </c>
      <c r="N1922" s="15">
        <v>1.3727108683991123</v>
      </c>
      <c r="O1922" s="15">
        <v>1.3727108683991123</v>
      </c>
      <c r="P1922" s="15">
        <v>1.3727108683991123</v>
      </c>
      <c r="Q1922" s="8"/>
      <c r="R1922" s="9" t="s">
        <v>1906</v>
      </c>
    </row>
    <row r="1923" spans="1:18" x14ac:dyDescent="0.25">
      <c r="A1923" s="6" t="str">
        <f>HYPERLINK("proteomic_fractions_linear_files/Yang_linear_img/327180732.jpg", "327180732")</f>
        <v>327180732</v>
      </c>
      <c r="B1923" s="7"/>
      <c r="C1923" s="6" t="str">
        <f>HYPERLINK("http://www.ncbi.nlm.nih.gov/protein/327180732","Dnmt1")</f>
        <v>Dnmt1</v>
      </c>
      <c r="D1923" s="8"/>
      <c r="E1923" s="8">
        <v>183059</v>
      </c>
      <c r="F1923" s="8"/>
      <c r="G1923" s="15">
        <v>1.2751958886767709</v>
      </c>
      <c r="H1923" s="15">
        <v>1.2751958886767709</v>
      </c>
      <c r="I1923" s="15">
        <v>1.2751958886767709</v>
      </c>
      <c r="J1923" s="15">
        <v>1.2751958886767709</v>
      </c>
      <c r="K1923" s="15">
        <v>1.2751958886767709</v>
      </c>
      <c r="L1923" s="15">
        <v>1.2751958886767709</v>
      </c>
      <c r="M1923" s="15">
        <v>1.2751958886767709</v>
      </c>
      <c r="N1923" s="15">
        <v>1.2751958886767709</v>
      </c>
      <c r="O1923" s="15">
        <v>6.9656936294741123E-2</v>
      </c>
      <c r="P1923" s="15">
        <v>1.2751958886767709</v>
      </c>
      <c r="Q1923" s="8"/>
      <c r="R1923" s="9" t="s">
        <v>1907</v>
      </c>
    </row>
    <row r="1924" spans="1:18" x14ac:dyDescent="0.25">
      <c r="A1924" s="6" t="str">
        <f>HYPERLINK("proteomic_fractions_linear_files/Yang_linear_img/327180734.jpg", "327180734")</f>
        <v>327180734</v>
      </c>
      <c r="B1924" s="7"/>
      <c r="C1924" s="6" t="str">
        <f>HYPERLINK("http://www.ncbi.nlm.nih.gov/protein/327180734","Dnmt1")</f>
        <v>Dnmt1</v>
      </c>
      <c r="D1924" s="8"/>
      <c r="E1924" s="8">
        <v>183020</v>
      </c>
      <c r="F1924" s="8"/>
      <c r="G1924" s="15">
        <v>1.2751958886767709</v>
      </c>
      <c r="H1924" s="15">
        <v>1.2751958886767709</v>
      </c>
      <c r="I1924" s="15">
        <v>1.2751958886767709</v>
      </c>
      <c r="J1924" s="15">
        <v>1.2751958886767709</v>
      </c>
      <c r="K1924" s="15">
        <v>1.2751958886767709</v>
      </c>
      <c r="L1924" s="15">
        <v>1.2751958886767709</v>
      </c>
      <c r="M1924" s="15">
        <v>1.2751958886767709</v>
      </c>
      <c r="N1924" s="15">
        <v>1.2751958886767709</v>
      </c>
      <c r="O1924" s="15">
        <v>6.9656936294741123E-2</v>
      </c>
      <c r="P1924" s="15">
        <v>1.2751958886767709</v>
      </c>
      <c r="Q1924" s="8"/>
      <c r="R1924" s="9" t="s">
        <v>1908</v>
      </c>
    </row>
    <row r="1925" spans="1:18" x14ac:dyDescent="0.25">
      <c r="A1925" s="6" t="str">
        <f>HYPERLINK("proteomic_fractions_linear_files/Yang_linear_img/161016820.jpg", "161016820")</f>
        <v>161016820</v>
      </c>
      <c r="B1925" s="7"/>
      <c r="C1925" s="6" t="str">
        <f>HYPERLINK("http://www.ncbi.nlm.nih.gov/protein/161016820","Dnpep")</f>
        <v>Dnpep</v>
      </c>
      <c r="D1925" s="8"/>
      <c r="E1925" s="8">
        <v>52076</v>
      </c>
      <c r="F1925" s="8"/>
      <c r="G1925" s="15">
        <v>1.2587166025104679</v>
      </c>
      <c r="H1925" s="15">
        <v>1.2587166025104679</v>
      </c>
      <c r="I1925" s="15">
        <v>0.92865337662337022</v>
      </c>
      <c r="J1925" s="15">
        <v>0.92865337662337022</v>
      </c>
      <c r="K1925" s="15">
        <v>1.0215494159615592</v>
      </c>
      <c r="L1925" s="15">
        <v>1.0215494159615592</v>
      </c>
      <c r="M1925" s="15">
        <v>0.92865337662337022</v>
      </c>
      <c r="N1925" s="15">
        <v>0.92865337662337022</v>
      </c>
      <c r="O1925" s="15">
        <v>0.92865337662337022</v>
      </c>
      <c r="P1925" s="15">
        <v>0.92865337662337022</v>
      </c>
      <c r="Q1925" s="8"/>
      <c r="R1925" s="9" t="s">
        <v>1909</v>
      </c>
    </row>
    <row r="1926" spans="1:18" x14ac:dyDescent="0.25">
      <c r="A1926" s="6" t="str">
        <f>HYPERLINK("proteomic_fractions_linear_files/Yang_linear_img/161016822.jpg", "161016822")</f>
        <v>161016822</v>
      </c>
      <c r="B1926" s="7"/>
      <c r="C1926" s="6" t="str">
        <f>HYPERLINK("http://www.ncbi.nlm.nih.gov/protein/161016822","Dnpep")</f>
        <v>Dnpep</v>
      </c>
      <c r="D1926" s="8"/>
      <c r="E1926" s="8">
        <v>52335</v>
      </c>
      <c r="F1926" s="8"/>
      <c r="G1926" s="15">
        <v>1.2587166025104679</v>
      </c>
      <c r="H1926" s="15">
        <v>1.2587166025104679</v>
      </c>
      <c r="I1926" s="15">
        <v>0.92865337662337022</v>
      </c>
      <c r="J1926" s="15">
        <v>0.92865337662337022</v>
      </c>
      <c r="K1926" s="15">
        <v>1.0215494159615592</v>
      </c>
      <c r="L1926" s="15">
        <v>1.0215494159615592</v>
      </c>
      <c r="M1926" s="15">
        <v>0.92865337662337022</v>
      </c>
      <c r="N1926" s="15">
        <v>0.92865337662337022</v>
      </c>
      <c r="O1926" s="15">
        <v>0.92865337662337022</v>
      </c>
      <c r="P1926" s="15">
        <v>0.92865337662337022</v>
      </c>
      <c r="Q1926" s="8"/>
      <c r="R1926" s="9" t="s">
        <v>1910</v>
      </c>
    </row>
    <row r="1927" spans="1:18" x14ac:dyDescent="0.25">
      <c r="A1927" s="6" t="str">
        <f>HYPERLINK("proteomic_fractions_linear_files/Yang_linear_img/110625744.jpg", "110625744")</f>
        <v>110625744</v>
      </c>
      <c r="B1927" s="7"/>
      <c r="C1927" s="6" t="str">
        <f>HYPERLINK("http://www.ncbi.nlm.nih.gov/protein/110625744","Dnph1")</f>
        <v>Dnph1</v>
      </c>
      <c r="D1927" s="8"/>
      <c r="E1927" s="8">
        <v>18846</v>
      </c>
      <c r="F1927" s="8"/>
      <c r="G1927" s="15" t="s">
        <v>10</v>
      </c>
      <c r="H1927" s="15" t="s">
        <v>10</v>
      </c>
      <c r="I1927" s="15">
        <v>0.97343679813495176</v>
      </c>
      <c r="J1927" s="15">
        <v>0.97343679813495176</v>
      </c>
      <c r="K1927" s="15">
        <v>1.0263763067386986</v>
      </c>
      <c r="L1927" s="15">
        <v>1.0263763067386986</v>
      </c>
      <c r="M1927" s="15" t="s">
        <v>10</v>
      </c>
      <c r="N1927" s="15" t="s">
        <v>10</v>
      </c>
      <c r="O1927" s="15">
        <v>0.97343679813495176</v>
      </c>
      <c r="P1927" s="15">
        <v>0.97343679813495176</v>
      </c>
      <c r="Q1927" s="8"/>
      <c r="R1927" s="9" t="s">
        <v>1911</v>
      </c>
    </row>
    <row r="1928" spans="1:18" x14ac:dyDescent="0.25">
      <c r="A1928" s="6" t="str">
        <f>HYPERLINK("proteomic_fractions_linear_files/Yang_linear_img/24418931.jpg", "24418931")</f>
        <v>24418931</v>
      </c>
      <c r="B1928" s="7"/>
      <c r="C1928" s="6" t="str">
        <f>HYPERLINK("http://www.ncbi.nlm.nih.gov/protein/24418931","Dnttip2")</f>
        <v>Dnttip2</v>
      </c>
      <c r="D1928" s="8"/>
      <c r="E1928" s="8">
        <v>84146</v>
      </c>
      <c r="F1928" s="8"/>
      <c r="G1928" s="15">
        <v>1.8268198944790695</v>
      </c>
      <c r="H1928" s="15">
        <v>1.8268198944790695</v>
      </c>
      <c r="I1928" s="15" t="s">
        <v>10</v>
      </c>
      <c r="J1928" s="15" t="s">
        <v>10</v>
      </c>
      <c r="K1928" s="15" t="s">
        <v>10</v>
      </c>
      <c r="L1928" s="15" t="s">
        <v>10</v>
      </c>
      <c r="M1928" s="15" t="s">
        <v>10</v>
      </c>
      <c r="N1928" s="15" t="s">
        <v>10</v>
      </c>
      <c r="O1928" s="15" t="s">
        <v>10</v>
      </c>
      <c r="P1928" s="15" t="s">
        <v>10</v>
      </c>
      <c r="Q1928" s="8"/>
      <c r="R1928" s="9" t="s">
        <v>1912</v>
      </c>
    </row>
    <row r="1929" spans="1:18" x14ac:dyDescent="0.25">
      <c r="A1929" s="6" t="str">
        <f>HYPERLINK("proteomic_fractions_linear_files/Yang_linear_img/88853584.jpg", "88853584")</f>
        <v>88853584</v>
      </c>
      <c r="B1929" s="7"/>
      <c r="C1929" s="6" t="str">
        <f>HYPERLINK("http://www.ncbi.nlm.nih.gov/protein/88853584","Dock1")</f>
        <v>Dock1</v>
      </c>
      <c r="D1929" s="8"/>
      <c r="E1929" s="8">
        <v>214955</v>
      </c>
      <c r="F1929" s="8"/>
      <c r="G1929" s="15" t="s">
        <v>10</v>
      </c>
      <c r="H1929" s="15" t="s">
        <v>10</v>
      </c>
      <c r="I1929" s="15">
        <v>1.0853992912923212</v>
      </c>
      <c r="J1929" s="15">
        <v>1.0853992912923212</v>
      </c>
      <c r="K1929" s="15">
        <v>1.0853992912923212</v>
      </c>
      <c r="L1929" s="15">
        <v>1.0853992912923212</v>
      </c>
      <c r="M1929" s="15">
        <v>1.0853992912923212</v>
      </c>
      <c r="N1929" s="15">
        <v>1.0853992912923212</v>
      </c>
      <c r="O1929" s="15">
        <v>1.0853992912923212</v>
      </c>
      <c r="P1929" s="15">
        <v>1.0853992912923212</v>
      </c>
      <c r="Q1929" s="8"/>
      <c r="R1929" s="9" t="s">
        <v>1913</v>
      </c>
    </row>
    <row r="1930" spans="1:18" x14ac:dyDescent="0.25">
      <c r="A1930" s="6" t="str">
        <f>HYPERLINK("proteomic_fractions_linear_files/Yang_linear_img/148277096.jpg", "148277096")</f>
        <v>148277096</v>
      </c>
      <c r="B1930" s="7"/>
      <c r="C1930" s="6" t="str">
        <f>HYPERLINK("http://www.ncbi.nlm.nih.gov/protein/148277096","Dock3")</f>
        <v>Dock3</v>
      </c>
      <c r="D1930" s="8"/>
      <c r="E1930" s="8">
        <v>233148</v>
      </c>
      <c r="F1930" s="8"/>
      <c r="G1930" s="15" t="s">
        <v>10</v>
      </c>
      <c r="H1930" s="15" t="s">
        <v>10</v>
      </c>
      <c r="I1930" s="15" t="s">
        <v>10</v>
      </c>
      <c r="J1930" s="15" t="s">
        <v>10</v>
      </c>
      <c r="K1930" s="15">
        <v>1.0015487022654466</v>
      </c>
      <c r="L1930" s="15">
        <v>1.0015487022654466</v>
      </c>
      <c r="M1930" s="15" t="s">
        <v>10</v>
      </c>
      <c r="N1930" s="15" t="s">
        <v>10</v>
      </c>
      <c r="O1930" s="15" t="s">
        <v>10</v>
      </c>
      <c r="P1930" s="15" t="s">
        <v>10</v>
      </c>
      <c r="Q1930" s="8"/>
      <c r="R1930" s="9" t="s">
        <v>1914</v>
      </c>
    </row>
    <row r="1931" spans="1:18" x14ac:dyDescent="0.25">
      <c r="A1931" s="6" t="str">
        <f>HYPERLINK("proteomic_fractions_linear_files/Yang_linear_img/124358946.jpg", "124358946")</f>
        <v>124358946</v>
      </c>
      <c r="B1931" s="7"/>
      <c r="C1931" s="6" t="str">
        <f>HYPERLINK("http://www.ncbi.nlm.nih.gov/protein/124358946","Dock5")</f>
        <v>Dock5</v>
      </c>
      <c r="D1931" s="8"/>
      <c r="E1931" s="8">
        <v>214299</v>
      </c>
      <c r="F1931" s="8"/>
      <c r="G1931" s="15" t="s">
        <v>10</v>
      </c>
      <c r="H1931" s="15" t="s">
        <v>10</v>
      </c>
      <c r="I1931" s="15" t="s">
        <v>10</v>
      </c>
      <c r="J1931" s="15" t="s">
        <v>10</v>
      </c>
      <c r="K1931" s="15" t="s">
        <v>10</v>
      </c>
      <c r="L1931" s="15" t="s">
        <v>10</v>
      </c>
      <c r="M1931" s="15">
        <v>1.0904712505974254</v>
      </c>
      <c r="N1931" s="15">
        <v>1.0904712505974254</v>
      </c>
      <c r="O1931" s="15" t="s">
        <v>10</v>
      </c>
      <c r="P1931" s="15" t="s">
        <v>10</v>
      </c>
      <c r="Q1931" s="8"/>
      <c r="R1931" s="9" t="s">
        <v>1915</v>
      </c>
    </row>
    <row r="1932" spans="1:18" x14ac:dyDescent="0.25">
      <c r="A1932" s="6" t="str">
        <f>HYPERLINK("proteomic_fractions_linear_files/Yang_linear_img/78191789.jpg", "78191789")</f>
        <v>78191789</v>
      </c>
      <c r="B1932" s="7"/>
      <c r="C1932" s="6" t="str">
        <f>HYPERLINK("http://www.ncbi.nlm.nih.gov/protein/78191789","Dock7")</f>
        <v>Dock7</v>
      </c>
      <c r="D1932" s="8"/>
      <c r="E1932" s="8">
        <v>237966</v>
      </c>
      <c r="F1932" s="8"/>
      <c r="G1932" s="15" t="s">
        <v>10</v>
      </c>
      <c r="H1932" s="15" t="s">
        <v>10</v>
      </c>
      <c r="I1932" s="15" t="s">
        <v>10</v>
      </c>
      <c r="J1932" s="15" t="s">
        <v>10</v>
      </c>
      <c r="K1932" s="15">
        <v>1.2679971623382302</v>
      </c>
      <c r="L1932" s="15">
        <v>1.2679971623382302</v>
      </c>
      <c r="M1932" s="15">
        <v>1.2679971623382302</v>
      </c>
      <c r="N1932" s="15">
        <v>1.2679971623382302</v>
      </c>
      <c r="O1932" s="15" t="s">
        <v>10</v>
      </c>
      <c r="P1932" s="15" t="s">
        <v>10</v>
      </c>
      <c r="Q1932" s="8"/>
      <c r="R1932" s="9" t="s">
        <v>1916</v>
      </c>
    </row>
    <row r="1933" spans="1:18" x14ac:dyDescent="0.25">
      <c r="A1933" s="6" t="str">
        <f>HYPERLINK("proteomic_fractions_linear_files/Yang_linear_img/62241030.jpg", "62241030")</f>
        <v>62241030</v>
      </c>
      <c r="B1933" s="7"/>
      <c r="C1933" s="6" t="str">
        <f>HYPERLINK("http://www.ncbi.nlm.nih.gov/protein/62241030","Dock8")</f>
        <v>Dock8</v>
      </c>
      <c r="D1933" s="8"/>
      <c r="E1933" s="8">
        <v>238848</v>
      </c>
      <c r="F1933" s="8"/>
      <c r="G1933" s="15" t="s">
        <v>10</v>
      </c>
      <c r="H1933" s="15" t="s">
        <v>10</v>
      </c>
      <c r="I1933" s="15">
        <v>0.22226179761506729</v>
      </c>
      <c r="J1933" s="15">
        <v>0.22226179761506729</v>
      </c>
      <c r="K1933" s="15">
        <v>1.262691734880748</v>
      </c>
      <c r="L1933" s="15">
        <v>1.262691734880748</v>
      </c>
      <c r="M1933" s="15">
        <v>1.262691734880748</v>
      </c>
      <c r="N1933" s="15">
        <v>1.262691734880748</v>
      </c>
      <c r="O1933" s="15" t="s">
        <v>10</v>
      </c>
      <c r="P1933" s="15" t="s">
        <v>10</v>
      </c>
      <c r="Q1933" s="8"/>
      <c r="R1933" s="9" t="s">
        <v>1917</v>
      </c>
    </row>
    <row r="1934" spans="1:18" x14ac:dyDescent="0.25">
      <c r="A1934" s="6" t="str">
        <f>HYPERLINK("proteomic_fractions_linear_files/Yang_linear_img/124486664.jpg", "124486664")</f>
        <v>124486664</v>
      </c>
      <c r="B1934" s="7"/>
      <c r="C1934" s="6" t="str">
        <f>HYPERLINK("http://www.ncbi.nlm.nih.gov/protein/124486664","Dock9")</f>
        <v>Dock9</v>
      </c>
      <c r="D1934" s="8"/>
      <c r="E1934" s="8">
        <v>241259</v>
      </c>
      <c r="F1934" s="8"/>
      <c r="G1934" s="15" t="s">
        <v>10</v>
      </c>
      <c r="H1934" s="15" t="s">
        <v>10</v>
      </c>
      <c r="I1934" s="15">
        <v>0.96830227231472643</v>
      </c>
      <c r="J1934" s="15">
        <v>0.96830227231472643</v>
      </c>
      <c r="K1934" s="15">
        <v>1.2522129652966754</v>
      </c>
      <c r="L1934" s="15">
        <v>1.2522129652966754</v>
      </c>
      <c r="M1934" s="15" t="s">
        <v>10</v>
      </c>
      <c r="N1934" s="15" t="s">
        <v>10</v>
      </c>
      <c r="O1934" s="15">
        <v>0.96830227231472643</v>
      </c>
      <c r="P1934" s="15">
        <v>0.96830227231472643</v>
      </c>
      <c r="Q1934" s="8"/>
      <c r="R1934" s="9" t="s">
        <v>1918</v>
      </c>
    </row>
    <row r="1935" spans="1:18" x14ac:dyDescent="0.25">
      <c r="A1935" s="6" t="str">
        <f>HYPERLINK("proteomic_fractions_linear_files/Yang_linear_img/190194397.jpg", "190194397")</f>
        <v>190194397</v>
      </c>
      <c r="B1935" s="7"/>
      <c r="C1935" s="6" t="str">
        <f>HYPERLINK("http://www.ncbi.nlm.nih.gov/protein/190194397","Dock9")</f>
        <v>Dock9</v>
      </c>
      <c r="D1935" s="8"/>
      <c r="E1935" s="8">
        <v>234787</v>
      </c>
      <c r="F1935" s="8"/>
      <c r="G1935" s="15" t="s">
        <v>10</v>
      </c>
      <c r="H1935" s="15" t="s">
        <v>10</v>
      </c>
      <c r="I1935" s="15">
        <v>0.99302488352276197</v>
      </c>
      <c r="J1935" s="15">
        <v>0.99302488352276197</v>
      </c>
      <c r="K1935" s="15">
        <v>1.284184360155314</v>
      </c>
      <c r="L1935" s="15">
        <v>1.284184360155314</v>
      </c>
      <c r="M1935" s="15" t="s">
        <v>10</v>
      </c>
      <c r="N1935" s="15" t="s">
        <v>10</v>
      </c>
      <c r="O1935" s="15">
        <v>0.99302488352276197</v>
      </c>
      <c r="P1935" s="15">
        <v>0.99302488352276197</v>
      </c>
      <c r="Q1935" s="8"/>
      <c r="R1935" s="9" t="s">
        <v>1919</v>
      </c>
    </row>
    <row r="1936" spans="1:18" x14ac:dyDescent="0.25">
      <c r="A1936" s="6" t="str">
        <f>HYPERLINK("proteomic_fractions_linear_files/Yang_linear_img/190194399.jpg", "190194399")</f>
        <v>190194399</v>
      </c>
      <c r="B1936" s="7"/>
      <c r="C1936" s="6" t="str">
        <f>HYPERLINK("http://www.ncbi.nlm.nih.gov/protein/190194399","Dock9")</f>
        <v>Dock9</v>
      </c>
      <c r="D1936" s="8"/>
      <c r="E1936" s="8">
        <v>235212</v>
      </c>
      <c r="F1936" s="8"/>
      <c r="G1936" s="15" t="s">
        <v>10</v>
      </c>
      <c r="H1936" s="15" t="s">
        <v>10</v>
      </c>
      <c r="I1936" s="15">
        <v>0.99302488352276197</v>
      </c>
      <c r="J1936" s="15">
        <v>0.99302488352276197</v>
      </c>
      <c r="K1936" s="15">
        <v>1.284184360155314</v>
      </c>
      <c r="L1936" s="15">
        <v>1.284184360155314</v>
      </c>
      <c r="M1936" s="15" t="s">
        <v>10</v>
      </c>
      <c r="N1936" s="15" t="s">
        <v>10</v>
      </c>
      <c r="O1936" s="15">
        <v>0.99302488352276197</v>
      </c>
      <c r="P1936" s="15">
        <v>0.99302488352276197</v>
      </c>
      <c r="Q1936" s="8"/>
      <c r="R1936" s="9" t="s">
        <v>1920</v>
      </c>
    </row>
    <row r="1937" spans="1:18" x14ac:dyDescent="0.25">
      <c r="A1937" s="6" t="str">
        <f>HYPERLINK("proteomic_fractions_linear_files/Yang_linear_img/190194401.jpg", "190194401")</f>
        <v>190194401</v>
      </c>
      <c r="B1937" s="7"/>
      <c r="C1937" s="6" t="str">
        <f>HYPERLINK("http://www.ncbi.nlm.nih.gov/protein/190194401","Dock9")</f>
        <v>Dock9</v>
      </c>
      <c r="D1937" s="8"/>
      <c r="E1937" s="8">
        <v>233641</v>
      </c>
      <c r="F1937" s="8"/>
      <c r="G1937" s="15" t="s">
        <v>10</v>
      </c>
      <c r="H1937" s="15" t="s">
        <v>10</v>
      </c>
      <c r="I1937" s="15">
        <v>0.99726857960619264</v>
      </c>
      <c r="J1937" s="15">
        <v>0.99726857960619264</v>
      </c>
      <c r="K1937" s="15">
        <v>1.289672327506405</v>
      </c>
      <c r="L1937" s="15">
        <v>1.289672327506405</v>
      </c>
      <c r="M1937" s="15" t="s">
        <v>10</v>
      </c>
      <c r="N1937" s="15" t="s">
        <v>10</v>
      </c>
      <c r="O1937" s="15">
        <v>0.99726857960619264</v>
      </c>
      <c r="P1937" s="15">
        <v>0.99726857960619264</v>
      </c>
      <c r="Q1937" s="8"/>
      <c r="R1937" s="9" t="s">
        <v>1921</v>
      </c>
    </row>
    <row r="1938" spans="1:18" x14ac:dyDescent="0.25">
      <c r="A1938" s="6" t="str">
        <f>HYPERLINK("proteomic_fractions_linear_files/Yang_linear_img/284005490.jpg", "284005490")</f>
        <v>284005490</v>
      </c>
      <c r="B1938" s="7"/>
      <c r="C1938" s="6" t="str">
        <f>HYPERLINK("http://www.ncbi.nlm.nih.gov/protein/284005490","Dohh")</f>
        <v>Dohh</v>
      </c>
      <c r="D1938" s="8"/>
      <c r="E1938" s="8">
        <v>32774</v>
      </c>
      <c r="F1938" s="8"/>
      <c r="G1938" s="15" t="s">
        <v>10</v>
      </c>
      <c r="H1938" s="15" t="s">
        <v>10</v>
      </c>
      <c r="I1938" s="15" t="s">
        <v>10</v>
      </c>
      <c r="J1938" s="15" t="s">
        <v>10</v>
      </c>
      <c r="K1938" s="15" t="s">
        <v>10</v>
      </c>
      <c r="L1938" s="15" t="s">
        <v>10</v>
      </c>
      <c r="M1938" s="15" t="s">
        <v>10</v>
      </c>
      <c r="N1938" s="15" t="s">
        <v>10</v>
      </c>
      <c r="O1938" s="15">
        <v>0.84600640296006246</v>
      </c>
      <c r="P1938" s="15">
        <v>0.84600640296006246</v>
      </c>
      <c r="Q1938" s="8"/>
      <c r="R1938" s="9" t="s">
        <v>1922</v>
      </c>
    </row>
    <row r="1939" spans="1:18" x14ac:dyDescent="0.25">
      <c r="A1939" s="6" t="str">
        <f>HYPERLINK("proteomic_fractions_linear_files/Yang_linear_img/190194414.jpg", "190194414")</f>
        <v>190194414</v>
      </c>
      <c r="B1939" s="7"/>
      <c r="C1939" s="6" t="str">
        <f>HYPERLINK("http://www.ncbi.nlm.nih.gov/protein/190194414","Dopey1")</f>
        <v>Dopey1</v>
      </c>
      <c r="D1939" s="8"/>
      <c r="E1939" s="8">
        <v>276511</v>
      </c>
      <c r="F1939" s="8"/>
      <c r="G1939" s="15" t="s">
        <v>10</v>
      </c>
      <c r="H1939" s="15" t="s">
        <v>10</v>
      </c>
      <c r="I1939" s="15" t="s">
        <v>10</v>
      </c>
      <c r="J1939" s="15" t="s">
        <v>10</v>
      </c>
      <c r="K1939" s="15" t="s">
        <v>10</v>
      </c>
      <c r="L1939" s="15" t="s">
        <v>10</v>
      </c>
      <c r="M1939" s="15">
        <v>1.0894704860523421</v>
      </c>
      <c r="N1939" s="15">
        <v>1.0894704860523421</v>
      </c>
      <c r="O1939" s="15" t="s">
        <v>10</v>
      </c>
      <c r="P1939" s="15" t="s">
        <v>10</v>
      </c>
      <c r="Q1939" s="8"/>
      <c r="R1939" s="9" t="s">
        <v>1923</v>
      </c>
    </row>
    <row r="1940" spans="1:18" x14ac:dyDescent="0.25">
      <c r="A1940" s="6" t="str">
        <f>HYPERLINK("proteomic_fractions_linear_files/Yang_linear_img/62243808.jpg", "62243808")</f>
        <v>62243808</v>
      </c>
      <c r="B1940" s="7"/>
      <c r="C1940" s="6" t="str">
        <f>HYPERLINK("http://www.ncbi.nlm.nih.gov/protein/62243808","Dopey2")</f>
        <v>Dopey2</v>
      </c>
      <c r="D1940" s="8"/>
      <c r="E1940" s="8">
        <v>257354</v>
      </c>
      <c r="F1940" s="8"/>
      <c r="G1940" s="15" t="s">
        <v>10</v>
      </c>
      <c r="H1940" s="15" t="s">
        <v>10</v>
      </c>
      <c r="I1940" s="15">
        <v>0.90801886236517149</v>
      </c>
      <c r="J1940" s="15">
        <v>0.90801886236517149</v>
      </c>
      <c r="K1940" s="15" t="s">
        <v>10</v>
      </c>
      <c r="L1940" s="15" t="s">
        <v>10</v>
      </c>
      <c r="M1940" s="15">
        <v>1.5916091740834233</v>
      </c>
      <c r="N1940" s="15">
        <v>1.5916091740834233</v>
      </c>
      <c r="O1940" s="15">
        <v>1.1742541814649758</v>
      </c>
      <c r="P1940" s="15">
        <v>1.1742541814649758</v>
      </c>
      <c r="Q1940" s="8"/>
      <c r="R1940" s="9" t="s">
        <v>1924</v>
      </c>
    </row>
    <row r="1941" spans="1:18" x14ac:dyDescent="0.25">
      <c r="A1941" s="6" t="str">
        <f>HYPERLINK("proteomic_fractions_linear_files/Yang_linear_img/31541998.jpg", "31541998")</f>
        <v>31541998</v>
      </c>
      <c r="B1941" s="7"/>
      <c r="C1941" s="6" t="str">
        <f>HYPERLINK("http://www.ncbi.nlm.nih.gov/protein/31541998","Dpcd")</f>
        <v>Dpcd</v>
      </c>
      <c r="D1941" s="8"/>
      <c r="E1941" s="8">
        <v>22903</v>
      </c>
      <c r="F1941" s="8"/>
      <c r="G1941" s="15" t="s">
        <v>10</v>
      </c>
      <c r="H1941" s="15" t="s">
        <v>10</v>
      </c>
      <c r="I1941" s="15" t="s">
        <v>10</v>
      </c>
      <c r="J1941" s="15" t="s">
        <v>10</v>
      </c>
      <c r="K1941" s="15">
        <v>1.0676008962294312</v>
      </c>
      <c r="L1941" s="15">
        <v>1.0676008962294312</v>
      </c>
      <c r="M1941" s="15">
        <v>1.0047640597703238</v>
      </c>
      <c r="N1941" s="15">
        <v>1.0047640597703238</v>
      </c>
      <c r="O1941" s="15" t="s">
        <v>10</v>
      </c>
      <c r="P1941" s="15" t="s">
        <v>10</v>
      </c>
      <c r="Q1941" s="8"/>
      <c r="R1941" s="9" t="s">
        <v>1925</v>
      </c>
    </row>
    <row r="1942" spans="1:18" x14ac:dyDescent="0.25">
      <c r="A1942" s="6" t="str">
        <f>HYPERLINK("proteomic_fractions_linear_files/Yang_linear_img/21313683.jpg", "21313683")</f>
        <v>21313683</v>
      </c>
      <c r="B1942" s="7"/>
      <c r="C1942" s="6" t="str">
        <f>HYPERLINK("http://www.ncbi.nlm.nih.gov/protein/21313683","Dpep3")</f>
        <v>Dpep3</v>
      </c>
      <c r="D1942" s="8"/>
      <c r="E1942" s="8">
        <v>47285</v>
      </c>
      <c r="F1942" s="8"/>
      <c r="G1942" s="15" t="s">
        <v>10</v>
      </c>
      <c r="H1942" s="15" t="s">
        <v>10</v>
      </c>
      <c r="I1942" s="15" t="s">
        <v>10</v>
      </c>
      <c r="J1942" s="15" t="s">
        <v>10</v>
      </c>
      <c r="K1942" s="15">
        <v>1.2504937784168904</v>
      </c>
      <c r="L1942" s="15">
        <v>1.2504937784168904</v>
      </c>
      <c r="M1942" s="15" t="s">
        <v>10</v>
      </c>
      <c r="N1942" s="15" t="s">
        <v>10</v>
      </c>
      <c r="O1942" s="15" t="s">
        <v>10</v>
      </c>
      <c r="P1942" s="15" t="s">
        <v>10</v>
      </c>
      <c r="Q1942" s="8"/>
      <c r="R1942" s="9" t="s">
        <v>1926</v>
      </c>
    </row>
    <row r="1943" spans="1:18" x14ac:dyDescent="0.25">
      <c r="A1943" s="6" t="str">
        <f>HYPERLINK("proteomic_fractions_linear_files/Yang_linear_img/6755314.jpg", "6755314")</f>
        <v>6755314</v>
      </c>
      <c r="B1943" s="7"/>
      <c r="C1943" s="6" t="str">
        <f>HYPERLINK("http://www.ncbi.nlm.nih.gov/protein/6755314","Dpf2")</f>
        <v>Dpf2</v>
      </c>
      <c r="D1943" s="8"/>
      <c r="E1943" s="8">
        <v>44099</v>
      </c>
      <c r="F1943" s="8"/>
      <c r="G1943" s="15">
        <v>1.0028543010673969</v>
      </c>
      <c r="H1943" s="15">
        <v>1.0028543010673969</v>
      </c>
      <c r="I1943" s="15" t="s">
        <v>10</v>
      </c>
      <c r="J1943" s="15" t="s">
        <v>10</v>
      </c>
      <c r="K1943" s="15" t="s">
        <v>10</v>
      </c>
      <c r="L1943" s="15" t="s">
        <v>10</v>
      </c>
      <c r="M1943" s="15" t="s">
        <v>10</v>
      </c>
      <c r="N1943" s="15" t="s">
        <v>10</v>
      </c>
      <c r="O1943" s="15" t="s">
        <v>10</v>
      </c>
      <c r="P1943" s="15" t="s">
        <v>10</v>
      </c>
      <c r="Q1943" s="8"/>
      <c r="R1943" s="9" t="s">
        <v>1927</v>
      </c>
    </row>
    <row r="1944" spans="1:18" x14ac:dyDescent="0.25">
      <c r="A1944" s="6" t="str">
        <f>HYPERLINK("proteomic_fractions_linear_files/Yang_linear_img/118026919.jpg", "118026919")</f>
        <v>118026919</v>
      </c>
      <c r="B1944" s="7"/>
      <c r="C1944" s="6" t="str">
        <f>HYPERLINK("http://www.ncbi.nlm.nih.gov/protein/118026919","Dph1")</f>
        <v>Dph1</v>
      </c>
      <c r="D1944" s="8"/>
      <c r="E1944" s="8">
        <v>47873</v>
      </c>
      <c r="F1944" s="8"/>
      <c r="G1944" s="15" t="s">
        <v>10</v>
      </c>
      <c r="H1944" s="15" t="s">
        <v>10</v>
      </c>
      <c r="I1944" s="15" t="s">
        <v>10</v>
      </c>
      <c r="J1944" s="15" t="s">
        <v>10</v>
      </c>
      <c r="K1944" s="15">
        <v>1.006041158008651</v>
      </c>
      <c r="L1944" s="15">
        <v>1.006041158008651</v>
      </c>
      <c r="M1944" s="15" t="s">
        <v>10</v>
      </c>
      <c r="N1944" s="15" t="s">
        <v>10</v>
      </c>
      <c r="O1944" s="15">
        <v>0.91928310931178059</v>
      </c>
      <c r="P1944" s="15">
        <v>0.91928310931178059</v>
      </c>
      <c r="Q1944" s="8"/>
      <c r="R1944" s="9" t="s">
        <v>1928</v>
      </c>
    </row>
    <row r="1945" spans="1:18" x14ac:dyDescent="0.25">
      <c r="A1945" s="6" t="str">
        <f>HYPERLINK("proteomic_fractions_linear_files/Yang_linear_img/33468993.jpg", "33468993")</f>
        <v>33468993</v>
      </c>
      <c r="B1945" s="7"/>
      <c r="C1945" s="6" t="str">
        <f>HYPERLINK("http://www.ncbi.nlm.nih.gov/protein/33468993","Dph2")</f>
        <v>Dph2</v>
      </c>
      <c r="D1945" s="8"/>
      <c r="E1945" s="8">
        <v>52234</v>
      </c>
      <c r="F1945" s="8"/>
      <c r="G1945" s="15" t="s">
        <v>10</v>
      </c>
      <c r="H1945" s="15" t="s">
        <v>10</v>
      </c>
      <c r="I1945" s="15" t="s">
        <v>10</v>
      </c>
      <c r="J1945" s="15" t="s">
        <v>10</v>
      </c>
      <c r="K1945" s="15" t="s">
        <v>10</v>
      </c>
      <c r="L1945" s="15" t="s">
        <v>10</v>
      </c>
      <c r="M1945" s="15" t="s">
        <v>10</v>
      </c>
      <c r="N1945" s="15" t="s">
        <v>10</v>
      </c>
      <c r="O1945" s="15">
        <v>1.0215494159615592</v>
      </c>
      <c r="P1945" s="15">
        <v>1.0215494159615592</v>
      </c>
      <c r="Q1945" s="8"/>
      <c r="R1945" s="9" t="s">
        <v>1929</v>
      </c>
    </row>
    <row r="1946" spans="1:18" x14ac:dyDescent="0.25">
      <c r="A1946" s="6" t="str">
        <f>HYPERLINK("proteomic_fractions_linear_files/Yang_linear_img/40254183.jpg", "40254183")</f>
        <v>40254183</v>
      </c>
      <c r="B1946" s="7"/>
      <c r="C1946" s="6" t="str">
        <f>HYPERLINK("http://www.ncbi.nlm.nih.gov/protein/40254183","Dph5")</f>
        <v>Dph5</v>
      </c>
      <c r="D1946" s="8"/>
      <c r="E1946" s="8">
        <v>31087</v>
      </c>
      <c r="F1946" s="8"/>
      <c r="G1946" s="15" t="s">
        <v>10</v>
      </c>
      <c r="H1946" s="15" t="s">
        <v>10</v>
      </c>
      <c r="I1946" s="15" t="s">
        <v>10</v>
      </c>
      <c r="J1946" s="15" t="s">
        <v>10</v>
      </c>
      <c r="K1946" s="15" t="s">
        <v>10</v>
      </c>
      <c r="L1946" s="15" t="s">
        <v>10</v>
      </c>
      <c r="M1946" s="15" t="s">
        <v>10</v>
      </c>
      <c r="N1946" s="15" t="s">
        <v>10</v>
      </c>
      <c r="O1946" s="15">
        <v>0.96404538360364944</v>
      </c>
      <c r="P1946" s="15">
        <v>0.96404538360364944</v>
      </c>
      <c r="Q1946" s="8"/>
      <c r="R1946" s="9" t="s">
        <v>1930</v>
      </c>
    </row>
    <row r="1947" spans="1:18" x14ac:dyDescent="0.25">
      <c r="A1947" s="6" t="str">
        <f>HYPERLINK("proteomic_fractions_linear_files/Yang_linear_img/13385136.jpg", "13385136")</f>
        <v>13385136</v>
      </c>
      <c r="B1947" s="7"/>
      <c r="C1947" s="6" t="str">
        <f>HYPERLINK("http://www.ncbi.nlm.nih.gov/protein/13385136","Dph6")</f>
        <v>Dph6</v>
      </c>
      <c r="D1947" s="8"/>
      <c r="E1947" s="8">
        <v>29791</v>
      </c>
      <c r="F1947" s="8"/>
      <c r="G1947" s="15" t="s">
        <v>10</v>
      </c>
      <c r="H1947" s="15" t="s">
        <v>10</v>
      </c>
      <c r="I1947" s="15" t="s">
        <v>10</v>
      </c>
      <c r="J1947" s="15" t="s">
        <v>10</v>
      </c>
      <c r="K1947" s="15" t="s">
        <v>10</v>
      </c>
      <c r="L1947" s="15" t="s">
        <v>10</v>
      </c>
      <c r="M1947" s="15" t="s">
        <v>10</v>
      </c>
      <c r="N1947" s="15" t="s">
        <v>10</v>
      </c>
      <c r="O1947" s="15">
        <v>0.81849402044256392</v>
      </c>
      <c r="P1947" s="15">
        <v>0.81849402044256392</v>
      </c>
      <c r="Q1947" s="8"/>
      <c r="R1947" s="9" t="s">
        <v>1931</v>
      </c>
    </row>
    <row r="1948" spans="1:18" x14ac:dyDescent="0.25">
      <c r="A1948" s="6" t="str">
        <f>HYPERLINK("proteomic_fractions_linear_files/Yang_linear_img/21313066.jpg", "21313066")</f>
        <v>21313066</v>
      </c>
      <c r="B1948" s="7"/>
      <c r="C1948" s="6" t="str">
        <f>HYPERLINK("http://www.ncbi.nlm.nih.gov/protein/21313066","Dph7")</f>
        <v>Dph7</v>
      </c>
      <c r="D1948" s="8"/>
      <c r="E1948" s="8">
        <v>53070</v>
      </c>
      <c r="F1948" s="8"/>
      <c r="G1948" s="15" t="s">
        <v>10</v>
      </c>
      <c r="H1948" s="15" t="s">
        <v>10</v>
      </c>
      <c r="I1948" s="15" t="s">
        <v>10</v>
      </c>
      <c r="J1948" s="15" t="s">
        <v>10</v>
      </c>
      <c r="K1948" s="15" t="s">
        <v>10</v>
      </c>
      <c r="L1948" s="15" t="s">
        <v>10</v>
      </c>
      <c r="M1948" s="15" t="s">
        <v>10</v>
      </c>
      <c r="N1948" s="15" t="s">
        <v>10</v>
      </c>
      <c r="O1948" s="15">
        <v>1.0022748986792656</v>
      </c>
      <c r="P1948" s="15">
        <v>1.0022748986792656</v>
      </c>
      <c r="Q1948" s="8"/>
      <c r="R1948" s="9" t="s">
        <v>1932</v>
      </c>
    </row>
    <row r="1949" spans="1:18" x14ac:dyDescent="0.25">
      <c r="A1949" s="6" t="str">
        <f>HYPERLINK("proteomic_fractions_linear_files/Yang_linear_img/6753670.jpg", "6753670")</f>
        <v>6753670</v>
      </c>
      <c r="B1949" s="7"/>
      <c r="C1949" s="6" t="str">
        <f>HYPERLINK("http://www.ncbi.nlm.nih.gov/protein/6753670","Dpm1")</f>
        <v>Dpm1</v>
      </c>
      <c r="D1949" s="8"/>
      <c r="E1949" s="8">
        <v>29044</v>
      </c>
      <c r="F1949" s="8"/>
      <c r="G1949" s="15">
        <v>0.79688184050749811</v>
      </c>
      <c r="H1949" s="15">
        <v>0.79688184050749811</v>
      </c>
      <c r="I1949" s="15">
        <v>0.84671795218196266</v>
      </c>
      <c r="J1949" s="15">
        <v>0.84671795218196266</v>
      </c>
      <c r="K1949" s="15">
        <v>0.90173303846293107</v>
      </c>
      <c r="L1949" s="15">
        <v>0.90173303846293107</v>
      </c>
      <c r="M1949" s="15">
        <v>0.84671795218196266</v>
      </c>
      <c r="N1949" s="15">
        <v>0.84671795218196266</v>
      </c>
      <c r="O1949" s="15" t="s">
        <v>10</v>
      </c>
      <c r="P1949" s="15" t="s">
        <v>10</v>
      </c>
      <c r="Q1949" s="8"/>
      <c r="R1949" s="9" t="s">
        <v>1933</v>
      </c>
    </row>
    <row r="1950" spans="1:18" x14ac:dyDescent="0.25">
      <c r="A1950" s="6" t="str">
        <f>HYPERLINK("proteomic_fractions_linear_files/Yang_linear_img/58037125.jpg", "58037125")</f>
        <v>58037125</v>
      </c>
      <c r="B1950" s="7"/>
      <c r="C1950" s="6" t="str">
        <f>HYPERLINK("http://www.ncbi.nlm.nih.gov/protein/58037125","Dpm3")</f>
        <v>Dpm3</v>
      </c>
      <c r="D1950" s="8"/>
      <c r="E1950" s="8">
        <v>8010</v>
      </c>
      <c r="F1950" s="8"/>
      <c r="G1950" s="15">
        <v>2.1962424706698709</v>
      </c>
      <c r="H1950" s="15">
        <v>2.1962424706698709</v>
      </c>
      <c r="I1950" s="15">
        <v>1.4123298997006517</v>
      </c>
      <c r="J1950" s="15">
        <v>1.4123298997006517</v>
      </c>
      <c r="K1950" s="15">
        <v>1.5934024177422033</v>
      </c>
      <c r="L1950" s="15">
        <v>1.5934024177422033</v>
      </c>
      <c r="M1950" s="15" t="s">
        <v>10</v>
      </c>
      <c r="N1950" s="15" t="s">
        <v>10</v>
      </c>
      <c r="O1950" s="15" t="s">
        <v>10</v>
      </c>
      <c r="P1950" s="15" t="s">
        <v>10</v>
      </c>
      <c r="Q1950" s="8"/>
      <c r="R1950" s="9" t="s">
        <v>1934</v>
      </c>
    </row>
    <row r="1951" spans="1:18" x14ac:dyDescent="0.25">
      <c r="A1951" s="6" t="str">
        <f>HYPERLINK("proteomic_fractions_linear_files/Yang_linear_img/244791124.jpg", "244791124")</f>
        <v>244791124</v>
      </c>
      <c r="B1951" s="7"/>
      <c r="C1951" s="6" t="str">
        <f>HYPERLINK("http://www.ncbi.nlm.nih.gov/protein/244791124","Dpp3")</f>
        <v>Dpp3</v>
      </c>
      <c r="D1951" s="8"/>
      <c r="E1951" s="8">
        <v>82767</v>
      </c>
      <c r="F1951" s="8"/>
      <c r="G1951" s="15">
        <v>1.1441925443684882</v>
      </c>
      <c r="H1951" s="15">
        <v>1.1441925443684882</v>
      </c>
      <c r="I1951" s="15">
        <v>1.001188656302938</v>
      </c>
      <c r="J1951" s="15">
        <v>1.001188656302938</v>
      </c>
      <c r="K1951" s="15">
        <v>1.001188656302938</v>
      </c>
      <c r="L1951" s="15">
        <v>1.001188656302938</v>
      </c>
      <c r="M1951" s="15">
        <v>1.001188656302938</v>
      </c>
      <c r="N1951" s="15">
        <v>1.001188656302938</v>
      </c>
      <c r="O1951" s="15">
        <v>1.001188656302938</v>
      </c>
      <c r="P1951" s="15">
        <v>1.001188656302938</v>
      </c>
      <c r="Q1951" s="8"/>
      <c r="R1951" s="9" t="s">
        <v>1935</v>
      </c>
    </row>
    <row r="1952" spans="1:18" x14ac:dyDescent="0.25">
      <c r="A1952" s="6" t="str">
        <f>HYPERLINK("proteomic_fractions_linear_files/Yang_linear_img/227116292.jpg", "227116292")</f>
        <v>227116292</v>
      </c>
      <c r="B1952" s="7"/>
      <c r="C1952" s="6" t="str">
        <f>HYPERLINK("http://www.ncbi.nlm.nih.gov/protein/227116292","Dpp4")</f>
        <v>Dpp4</v>
      </c>
      <c r="D1952" s="8"/>
      <c r="E1952" s="8">
        <v>83671</v>
      </c>
      <c r="F1952" s="8"/>
      <c r="G1952" s="15" t="s">
        <v>10</v>
      </c>
      <c r="H1952" s="15" t="s">
        <v>10</v>
      </c>
      <c r="I1952" s="15" t="s">
        <v>10</v>
      </c>
      <c r="J1952" s="15" t="s">
        <v>10</v>
      </c>
      <c r="K1952" s="15">
        <v>1.8268198944790695</v>
      </c>
      <c r="L1952" s="15">
        <v>1.8268198944790695</v>
      </c>
      <c r="M1952" s="15" t="s">
        <v>10</v>
      </c>
      <c r="N1952" s="15" t="s">
        <v>10</v>
      </c>
      <c r="O1952" s="15" t="s">
        <v>10</v>
      </c>
      <c r="P1952" s="15" t="s">
        <v>10</v>
      </c>
      <c r="Q1952" s="8"/>
      <c r="R1952" s="9" t="s">
        <v>1936</v>
      </c>
    </row>
    <row r="1953" spans="1:18" x14ac:dyDescent="0.25">
      <c r="A1953" s="6" t="str">
        <f>HYPERLINK("proteomic_fractions_linear_files/Yang_linear_img/6753674.jpg", "6753674")</f>
        <v>6753674</v>
      </c>
      <c r="B1953" s="7"/>
      <c r="C1953" s="6" t="str">
        <f>HYPERLINK("http://www.ncbi.nlm.nih.gov/protein/6753674","Dpp4")</f>
        <v>Dpp4</v>
      </c>
      <c r="D1953" s="8"/>
      <c r="E1953" s="8">
        <v>87306</v>
      </c>
      <c r="F1953" s="8"/>
      <c r="G1953" s="15" t="s">
        <v>10</v>
      </c>
      <c r="H1953" s="15" t="s">
        <v>10</v>
      </c>
      <c r="I1953" s="15" t="s">
        <v>10</v>
      </c>
      <c r="J1953" s="15" t="s">
        <v>10</v>
      </c>
      <c r="K1953" s="15">
        <v>1.7638261050142741</v>
      </c>
      <c r="L1953" s="15">
        <v>1.7638261050142741</v>
      </c>
      <c r="M1953" s="15" t="s">
        <v>10</v>
      </c>
      <c r="N1953" s="15" t="s">
        <v>10</v>
      </c>
      <c r="O1953" s="15" t="s">
        <v>10</v>
      </c>
      <c r="P1953" s="15" t="s">
        <v>10</v>
      </c>
      <c r="Q1953" s="8"/>
      <c r="R1953" s="9" t="s">
        <v>1937</v>
      </c>
    </row>
    <row r="1954" spans="1:18" x14ac:dyDescent="0.25">
      <c r="A1954" s="6" t="str">
        <f>HYPERLINK("proteomic_fractions_linear_files/Yang_linear_img/31981425.jpg", "31981425")</f>
        <v>31981425</v>
      </c>
      <c r="B1954" s="7"/>
      <c r="C1954" s="6" t="str">
        <f>HYPERLINK("http://www.ncbi.nlm.nih.gov/protein/31981425","Dpp7")</f>
        <v>Dpp7</v>
      </c>
      <c r="D1954" s="8"/>
      <c r="E1954" s="8">
        <v>52223</v>
      </c>
      <c r="F1954" s="8"/>
      <c r="G1954" s="15">
        <v>1.2587166025104679</v>
      </c>
      <c r="H1954" s="15">
        <v>1.2587166025104679</v>
      </c>
      <c r="I1954" s="15">
        <v>1.0215494159615592</v>
      </c>
      <c r="J1954" s="15">
        <v>1.0215494159615592</v>
      </c>
      <c r="K1954" s="15">
        <v>1.1302539920306509</v>
      </c>
      <c r="L1954" s="15">
        <v>1.1302539920306509</v>
      </c>
      <c r="M1954" s="15">
        <v>1.0215494159615592</v>
      </c>
      <c r="N1954" s="15">
        <v>1.0215494159615592</v>
      </c>
      <c r="O1954" s="15">
        <v>1.0215494159615592</v>
      </c>
      <c r="P1954" s="15">
        <v>1.0215494159615592</v>
      </c>
      <c r="Q1954" s="8"/>
      <c r="R1954" s="9" t="s">
        <v>1938</v>
      </c>
    </row>
    <row r="1955" spans="1:18" x14ac:dyDescent="0.25">
      <c r="A1955" s="6" t="str">
        <f>HYPERLINK("proteomic_fractions_linear_files/Yang_linear_img/255003757.jpg", "255003757")</f>
        <v>255003757</v>
      </c>
      <c r="B1955" s="7"/>
      <c r="C1955" s="6" t="str">
        <f>HYPERLINK("http://www.ncbi.nlm.nih.gov/protein/255003757","Dpp9")</f>
        <v>Dpp9</v>
      </c>
      <c r="D1955" s="8"/>
      <c r="E1955" s="8">
        <v>97871</v>
      </c>
      <c r="F1955" s="8"/>
      <c r="G1955" s="15" t="s">
        <v>10</v>
      </c>
      <c r="H1955" s="15" t="s">
        <v>10</v>
      </c>
      <c r="I1955" s="15" t="s">
        <v>10</v>
      </c>
      <c r="J1955" s="15" t="s">
        <v>10</v>
      </c>
      <c r="K1955" s="15">
        <v>1.1204241206237904</v>
      </c>
      <c r="L1955" s="15">
        <v>1.1204241206237904</v>
      </c>
      <c r="M1955" s="15" t="s">
        <v>10</v>
      </c>
      <c r="N1955" s="15" t="s">
        <v>10</v>
      </c>
      <c r="O1955" s="15">
        <v>0.96906103247535214</v>
      </c>
      <c r="P1955" s="15">
        <v>0.96906103247535214</v>
      </c>
      <c r="Q1955" s="8"/>
      <c r="R1955" s="9" t="s">
        <v>1939</v>
      </c>
    </row>
    <row r="1956" spans="1:18" x14ac:dyDescent="0.25">
      <c r="A1956" s="6" t="str">
        <f>HYPERLINK("proteomic_fractions_linear_files/Yang_linear_img/226246654.jpg", "226246654")</f>
        <v>226246654</v>
      </c>
      <c r="B1956" s="7"/>
      <c r="C1956" s="6" t="str">
        <f>HYPERLINK("http://www.ncbi.nlm.nih.gov/protein/226246654","Dpy30")</f>
        <v>Dpy30</v>
      </c>
      <c r="D1956" s="8"/>
      <c r="E1956" s="8">
        <v>11082</v>
      </c>
      <c r="F1956" s="8"/>
      <c r="G1956" s="15" t="s">
        <v>10</v>
      </c>
      <c r="H1956" s="15" t="s">
        <v>10</v>
      </c>
      <c r="I1956" s="15">
        <v>1.5196795018733658</v>
      </c>
      <c r="J1956" s="15">
        <v>1.5196795018733658</v>
      </c>
      <c r="K1956" s="15">
        <v>1.5196795018733658</v>
      </c>
      <c r="L1956" s="15">
        <v>1.5196795018733658</v>
      </c>
      <c r="M1956" s="15">
        <v>1.447949253016525</v>
      </c>
      <c r="N1956" s="15">
        <v>1.5972672513962698</v>
      </c>
      <c r="O1956" s="15">
        <v>1.5196795018733658</v>
      </c>
      <c r="P1956" s="15">
        <v>1.5196795018733658</v>
      </c>
      <c r="Q1956" s="8"/>
      <c r="R1956" s="9" t="s">
        <v>1940</v>
      </c>
    </row>
    <row r="1957" spans="1:18" x14ac:dyDescent="0.25">
      <c r="A1957" s="6" t="str">
        <f>HYPERLINK("proteomic_fractions_linear_files/Yang_linear_img/40254595.jpg", "40254595")</f>
        <v>40254595</v>
      </c>
      <c r="B1957" s="7"/>
      <c r="C1957" s="6" t="str">
        <f>HYPERLINK("http://www.ncbi.nlm.nih.gov/protein/40254595","Dpysl2")</f>
        <v>Dpysl2</v>
      </c>
      <c r="D1957" s="8"/>
      <c r="E1957" s="8">
        <v>62147</v>
      </c>
      <c r="F1957" s="8"/>
      <c r="G1957" s="15">
        <v>1.3403009431152235</v>
      </c>
      <c r="H1957" s="15">
        <v>1.3403009431152235</v>
      </c>
      <c r="I1957" s="15">
        <v>1.0556977956539408</v>
      </c>
      <c r="J1957" s="15">
        <v>1.0556977956539408</v>
      </c>
      <c r="K1957" s="15">
        <v>1.1844541974464877</v>
      </c>
      <c r="L1957" s="15">
        <v>1.1844541974464877</v>
      </c>
      <c r="M1957" s="15">
        <v>1.0556977956539408</v>
      </c>
      <c r="N1957" s="15">
        <v>1.0556977956539408</v>
      </c>
      <c r="O1957" s="15">
        <v>0.85678338112904961</v>
      </c>
      <c r="P1957" s="15">
        <v>0.85678338112904961</v>
      </c>
      <c r="Q1957" s="8"/>
      <c r="R1957" s="9" t="s">
        <v>1941</v>
      </c>
    </row>
    <row r="1958" spans="1:18" x14ac:dyDescent="0.25">
      <c r="A1958" s="6" t="str">
        <f>HYPERLINK("proteomic_fractions_linear_files/Yang_linear_img/209862992.jpg", "209862992")</f>
        <v>209862992</v>
      </c>
      <c r="B1958" s="7"/>
      <c r="C1958" s="6" t="str">
        <f>HYPERLINK("http://www.ncbi.nlm.nih.gov/protein/209862992","Dpysl3")</f>
        <v>Dpysl3</v>
      </c>
      <c r="D1958" s="8"/>
      <c r="E1958" s="8">
        <v>61649</v>
      </c>
      <c r="F1958" s="8"/>
      <c r="G1958" s="15" t="s">
        <v>10</v>
      </c>
      <c r="H1958" s="15" t="s">
        <v>10</v>
      </c>
      <c r="I1958" s="15">
        <v>1.0556977956539408</v>
      </c>
      <c r="J1958" s="15">
        <v>1.0556977956539408</v>
      </c>
      <c r="K1958" s="15">
        <v>1.1844541974464877</v>
      </c>
      <c r="L1958" s="15">
        <v>1.1844541974464877</v>
      </c>
      <c r="M1958" s="15">
        <v>1.0556977956539408</v>
      </c>
      <c r="N1958" s="15">
        <v>1.0556977956539408</v>
      </c>
      <c r="O1958" s="15">
        <v>0.85678338112904961</v>
      </c>
      <c r="P1958" s="15">
        <v>0.85678338112904961</v>
      </c>
      <c r="Q1958" s="8"/>
      <c r="R1958" s="9" t="s">
        <v>1942</v>
      </c>
    </row>
    <row r="1959" spans="1:18" x14ac:dyDescent="0.25">
      <c r="A1959" s="6" t="str">
        <f>HYPERLINK("proteomic_fractions_linear_files/Yang_linear_img/6681219.jpg", "6681219")</f>
        <v>6681219</v>
      </c>
      <c r="B1959" s="7"/>
      <c r="C1959" s="6" t="str">
        <f>HYPERLINK("http://www.ncbi.nlm.nih.gov/protein/6681219","Dpysl3")</f>
        <v>Dpysl3</v>
      </c>
      <c r="D1959" s="8"/>
      <c r="E1959" s="8">
        <v>61805</v>
      </c>
      <c r="F1959" s="8"/>
      <c r="G1959" s="15" t="s">
        <v>10</v>
      </c>
      <c r="H1959" s="15" t="s">
        <v>10</v>
      </c>
      <c r="I1959" s="15">
        <v>1.0556977956539408</v>
      </c>
      <c r="J1959" s="15">
        <v>1.0556977956539408</v>
      </c>
      <c r="K1959" s="15">
        <v>1.1844541974464877</v>
      </c>
      <c r="L1959" s="15">
        <v>1.1844541974464877</v>
      </c>
      <c r="M1959" s="15">
        <v>1.0556977956539408</v>
      </c>
      <c r="N1959" s="15">
        <v>1.0556977956539408</v>
      </c>
      <c r="O1959" s="15">
        <v>0.85678338112904961</v>
      </c>
      <c r="P1959" s="15">
        <v>0.85678338112904961</v>
      </c>
      <c r="Q1959" s="8"/>
      <c r="R1959" s="9" t="s">
        <v>1943</v>
      </c>
    </row>
    <row r="1960" spans="1:18" x14ac:dyDescent="0.25">
      <c r="A1960" s="6" t="str">
        <f>HYPERLINK("proteomic_fractions_linear_files/Yang_linear_img/12746424.jpg", "12746424")</f>
        <v>12746424</v>
      </c>
      <c r="B1960" s="7"/>
      <c r="C1960" s="6" t="str">
        <f>HYPERLINK("http://www.ncbi.nlm.nih.gov/protein/12746424","Dpysl5")</f>
        <v>Dpysl5</v>
      </c>
      <c r="D1960" s="8"/>
      <c r="E1960" s="8">
        <v>61386</v>
      </c>
      <c r="F1960" s="8"/>
      <c r="G1960" s="15" t="s">
        <v>10</v>
      </c>
      <c r="H1960" s="15" t="s">
        <v>10</v>
      </c>
      <c r="I1960" s="15">
        <v>1.0730043168941694</v>
      </c>
      <c r="J1960" s="15">
        <v>1.0730043168941694</v>
      </c>
      <c r="K1960" s="15">
        <v>1.2038714793718401</v>
      </c>
      <c r="L1960" s="15">
        <v>1.2038714793718401</v>
      </c>
      <c r="M1960" s="15">
        <v>1.0730043168941694</v>
      </c>
      <c r="N1960" s="15">
        <v>1.0730043168941694</v>
      </c>
      <c r="O1960" s="15">
        <v>1.0730043168941694</v>
      </c>
      <c r="P1960" s="15">
        <v>1.0730043168941694</v>
      </c>
      <c r="Q1960" s="8"/>
      <c r="R1960" s="9" t="s">
        <v>1944</v>
      </c>
    </row>
    <row r="1961" spans="1:18" x14ac:dyDescent="0.25">
      <c r="A1961" s="6" t="str">
        <f>HYPERLINK("proteomic_fractions_linear_files/Yang_linear_img/27754097.jpg", "27754097")</f>
        <v>27754097</v>
      </c>
      <c r="B1961" s="7"/>
      <c r="C1961" s="6" t="str">
        <f>HYPERLINK("http://www.ncbi.nlm.nih.gov/protein/27754097","Dr1")</f>
        <v>Dr1</v>
      </c>
      <c r="D1961" s="8"/>
      <c r="E1961" s="8">
        <v>19300</v>
      </c>
      <c r="F1961" s="8"/>
      <c r="G1961" s="15" t="s">
        <v>10</v>
      </c>
      <c r="H1961" s="15" t="s">
        <v>10</v>
      </c>
      <c r="I1961" s="15" t="s">
        <v>10</v>
      </c>
      <c r="J1961" s="15" t="s">
        <v>10</v>
      </c>
      <c r="K1961" s="15">
        <v>0.97343679813495176</v>
      </c>
      <c r="L1961" s="15">
        <v>0.97343679813495176</v>
      </c>
      <c r="M1961" s="15">
        <v>1.0263763067386986</v>
      </c>
      <c r="N1961" s="15">
        <v>1.0263763067386986</v>
      </c>
      <c r="O1961" s="15">
        <v>0.92473367186099831</v>
      </c>
      <c r="P1961" s="15">
        <v>0.92473367186099831</v>
      </c>
      <c r="Q1961" s="8"/>
      <c r="R1961" s="9" t="s">
        <v>1945</v>
      </c>
    </row>
    <row r="1962" spans="1:18" x14ac:dyDescent="0.25">
      <c r="A1962" s="6" t="str">
        <f>HYPERLINK("proteomic_fractions_linear_files/Yang_linear_img/21313106.jpg", "21313106")</f>
        <v>21313106</v>
      </c>
      <c r="B1962" s="7"/>
      <c r="C1962" s="6" t="str">
        <f>HYPERLINK("http://www.ncbi.nlm.nih.gov/protein/21313106","Dram2")</f>
        <v>Dram2</v>
      </c>
      <c r="D1962" s="8"/>
      <c r="E1962" s="8">
        <v>30097</v>
      </c>
      <c r="F1962" s="8"/>
      <c r="G1962" s="15" t="s">
        <v>10</v>
      </c>
      <c r="H1962" s="15" t="s">
        <v>10</v>
      </c>
      <c r="I1962" s="15">
        <v>0.68658137288854237</v>
      </c>
      <c r="J1962" s="15">
        <v>0.68658137288854237</v>
      </c>
      <c r="K1962" s="15">
        <v>0.72652474235595832</v>
      </c>
      <c r="L1962" s="15">
        <v>0.72652474235595832</v>
      </c>
      <c r="M1962" s="15" t="s">
        <v>10</v>
      </c>
      <c r="N1962" s="15" t="s">
        <v>10</v>
      </c>
      <c r="O1962" s="15" t="s">
        <v>10</v>
      </c>
      <c r="P1962" s="15" t="s">
        <v>10</v>
      </c>
      <c r="Q1962" s="8"/>
      <c r="R1962" s="9" t="s">
        <v>1946</v>
      </c>
    </row>
    <row r="1963" spans="1:18" x14ac:dyDescent="0.25">
      <c r="A1963" s="6" t="str">
        <f>HYPERLINK("proteomic_fractions_linear_files/Yang_linear_img/70980526.jpg", "70980526")</f>
        <v>70980526</v>
      </c>
      <c r="B1963" s="7"/>
      <c r="C1963" s="6" t="str">
        <f>HYPERLINK("http://www.ncbi.nlm.nih.gov/protein/70980526","Dram2")</f>
        <v>Dram2</v>
      </c>
      <c r="D1963" s="8"/>
      <c r="E1963" s="8">
        <v>20193</v>
      </c>
      <c r="F1963" s="8"/>
      <c r="G1963" s="15" t="s">
        <v>10</v>
      </c>
      <c r="H1963" s="15" t="s">
        <v>10</v>
      </c>
      <c r="I1963" s="15">
        <v>1.0298720593328137</v>
      </c>
      <c r="J1963" s="15">
        <v>1.0298720593328137</v>
      </c>
      <c r="K1963" s="15">
        <v>1.0897871135339376</v>
      </c>
      <c r="L1963" s="15">
        <v>1.0897871135339376</v>
      </c>
      <c r="M1963" s="15" t="s">
        <v>10</v>
      </c>
      <c r="N1963" s="15" t="s">
        <v>10</v>
      </c>
      <c r="O1963" s="15" t="s">
        <v>10</v>
      </c>
      <c r="P1963" s="15" t="s">
        <v>10</v>
      </c>
      <c r="Q1963" s="8"/>
      <c r="R1963" s="9" t="s">
        <v>1947</v>
      </c>
    </row>
    <row r="1964" spans="1:18" x14ac:dyDescent="0.25">
      <c r="A1964" s="6" t="str">
        <f>HYPERLINK("proteomic_fractions_linear_files/Yang_linear_img/21313424.jpg", "21313424")</f>
        <v>21313424</v>
      </c>
      <c r="B1964" s="7"/>
      <c r="C1964" s="6" t="str">
        <f>HYPERLINK("http://www.ncbi.nlm.nih.gov/protein/21313424","Drap1")</f>
        <v>Drap1</v>
      </c>
      <c r="D1964" s="8"/>
      <c r="E1964" s="8">
        <v>22147</v>
      </c>
      <c r="F1964" s="8"/>
      <c r="G1964" s="15" t="s">
        <v>10</v>
      </c>
      <c r="H1964" s="15" t="s">
        <v>10</v>
      </c>
      <c r="I1964" s="15">
        <v>0.60441200104552428</v>
      </c>
      <c r="J1964" s="15">
        <v>0.57941906099716478</v>
      </c>
      <c r="K1964" s="15">
        <v>1.2690096044400936</v>
      </c>
      <c r="L1964" s="15">
        <v>1.2690096044400936</v>
      </c>
      <c r="M1964" s="15">
        <v>1.1886480961556818</v>
      </c>
      <c r="N1964" s="15">
        <v>1.1886480961556818</v>
      </c>
      <c r="O1964" s="15">
        <v>1.1161282096944054</v>
      </c>
      <c r="P1964" s="15">
        <v>1.1161282096944054</v>
      </c>
      <c r="Q1964" s="8"/>
      <c r="R1964" s="9" t="s">
        <v>1948</v>
      </c>
    </row>
    <row r="1965" spans="1:18" x14ac:dyDescent="0.25">
      <c r="A1965" s="6" t="str">
        <f>HYPERLINK("proteomic_fractions_linear_files/Yang_linear_img/6681225.jpg", "6681225")</f>
        <v>6681225</v>
      </c>
      <c r="B1965" s="7"/>
      <c r="C1965" s="6" t="str">
        <f>HYPERLINK("http://www.ncbi.nlm.nih.gov/protein/6681225","Drg1")</f>
        <v>Drg1</v>
      </c>
      <c r="D1965" s="8"/>
      <c r="E1965" s="8">
        <v>40381</v>
      </c>
      <c r="F1965" s="8"/>
      <c r="G1965" s="15">
        <v>1.3280142407500271</v>
      </c>
      <c r="H1965" s="15">
        <v>1.3280142407500271</v>
      </c>
      <c r="I1965" s="15">
        <v>1.0126829550805687</v>
      </c>
      <c r="J1965" s="15">
        <v>1.0126829550805687</v>
      </c>
      <c r="K1965" s="15">
        <v>1.0126829550805687</v>
      </c>
      <c r="L1965" s="15">
        <v>1.0126829550805687</v>
      </c>
      <c r="M1965" s="15">
        <v>1.0126829550805687</v>
      </c>
      <c r="N1965" s="15">
        <v>1.0126829550805687</v>
      </c>
      <c r="O1965" s="15">
        <v>0.8638344132618796</v>
      </c>
      <c r="P1965" s="15">
        <v>0.8638344132618796</v>
      </c>
      <c r="Q1965" s="8"/>
      <c r="R1965" s="9" t="s">
        <v>1949</v>
      </c>
    </row>
    <row r="1966" spans="1:18" x14ac:dyDescent="0.25">
      <c r="A1966" s="6" t="str">
        <f>HYPERLINK("proteomic_fractions_linear_files/Yang_linear_img/10946678.jpg", "10946678")</f>
        <v>10946678</v>
      </c>
      <c r="B1966" s="7"/>
      <c r="C1966" s="6" t="str">
        <f>HYPERLINK("http://www.ncbi.nlm.nih.gov/protein/10946678","Drg2")</f>
        <v>Drg2</v>
      </c>
      <c r="D1966" s="8"/>
      <c r="E1966" s="8">
        <v>40587</v>
      </c>
      <c r="F1966" s="8"/>
      <c r="G1966" s="15" t="s">
        <v>10</v>
      </c>
      <c r="H1966" s="15" t="s">
        <v>10</v>
      </c>
      <c r="I1966" s="15">
        <v>0.91076405910059977</v>
      </c>
      <c r="J1966" s="15">
        <v>0.91076405910059977</v>
      </c>
      <c r="K1966" s="15">
        <v>0.98798337081031085</v>
      </c>
      <c r="L1966" s="15">
        <v>0.98798337081031085</v>
      </c>
      <c r="M1966" s="15">
        <v>0.91076405910059977</v>
      </c>
      <c r="N1966" s="15">
        <v>0.91076405910059977</v>
      </c>
      <c r="O1966" s="15">
        <v>0.84276528123110206</v>
      </c>
      <c r="P1966" s="15">
        <v>0.84276528123110206</v>
      </c>
      <c r="Q1966" s="8"/>
      <c r="R1966" s="9" t="s">
        <v>1950</v>
      </c>
    </row>
    <row r="1967" spans="1:18" x14ac:dyDescent="0.25">
      <c r="A1967" s="6" t="str">
        <f>HYPERLINK("proteomic_fractions_linear_files/Yang_linear_img/194328670.jpg", "194328670")</f>
        <v>194328670</v>
      </c>
      <c r="B1967" s="7"/>
      <c r="C1967" s="6" t="str">
        <f>HYPERLINK("http://www.ncbi.nlm.nih.gov/protein/194328670","Drosha")</f>
        <v>Drosha</v>
      </c>
      <c r="D1967" s="8"/>
      <c r="E1967" s="8">
        <v>158698</v>
      </c>
      <c r="F1967" s="8"/>
      <c r="G1967" s="15" t="s">
        <v>10</v>
      </c>
      <c r="H1967" s="15" t="s">
        <v>10</v>
      </c>
      <c r="I1967" s="15" t="s">
        <v>10</v>
      </c>
      <c r="J1967" s="15" t="s">
        <v>10</v>
      </c>
      <c r="K1967" s="15">
        <v>0.965112397083282</v>
      </c>
      <c r="L1967" s="15">
        <v>0.965112397083282</v>
      </c>
      <c r="M1967" s="15" t="s">
        <v>10</v>
      </c>
      <c r="N1967" s="15" t="s">
        <v>10</v>
      </c>
      <c r="O1967" s="15" t="s">
        <v>10</v>
      </c>
      <c r="P1967" s="15" t="s">
        <v>10</v>
      </c>
      <c r="Q1967" s="8"/>
      <c r="R1967" s="9" t="s">
        <v>1951</v>
      </c>
    </row>
    <row r="1968" spans="1:18" x14ac:dyDescent="0.25">
      <c r="A1968" s="6" t="str">
        <f>HYPERLINK("proteomic_fractions_linear_files/Yang_linear_img/62821774.jpg", "62821774")</f>
        <v>62821774</v>
      </c>
      <c r="B1968" s="7"/>
      <c r="C1968" s="6" t="str">
        <f>HYPERLINK("http://www.ncbi.nlm.nih.gov/protein/62821774","Dscc1")</f>
        <v>Dscc1</v>
      </c>
      <c r="D1968" s="8"/>
      <c r="E1968" s="8">
        <v>45391</v>
      </c>
      <c r="F1968" s="8"/>
      <c r="G1968" s="15" t="s">
        <v>10</v>
      </c>
      <c r="H1968" s="15" t="s">
        <v>10</v>
      </c>
      <c r="I1968" s="15" t="s">
        <v>10</v>
      </c>
      <c r="J1968" s="15" t="s">
        <v>10</v>
      </c>
      <c r="K1968" s="15">
        <v>0.98056864993256598</v>
      </c>
      <c r="L1968" s="15">
        <v>0.98056864993256598</v>
      </c>
      <c r="M1968" s="15">
        <v>0.90016262673828318</v>
      </c>
      <c r="N1968" s="15">
        <v>0.90016262673828318</v>
      </c>
      <c r="O1968" s="15">
        <v>0.8298072538472131</v>
      </c>
      <c r="P1968" s="15">
        <v>0.8298072538472131</v>
      </c>
      <c r="Q1968" s="8"/>
      <c r="R1968" s="9" t="s">
        <v>1952</v>
      </c>
    </row>
    <row r="1969" spans="1:18" x14ac:dyDescent="0.25">
      <c r="A1969" s="6" t="str">
        <f>HYPERLINK("proteomic_fractions_linear_files/Yang_linear_img/6681145.jpg", "6681145")</f>
        <v>6681145</v>
      </c>
      <c r="B1969" s="7"/>
      <c r="C1969" s="6" t="str">
        <f>HYPERLINK("http://www.ncbi.nlm.nih.gov/protein/6681145","Dscr3")</f>
        <v>Dscr3</v>
      </c>
      <c r="D1969" s="8"/>
      <c r="E1969" s="8">
        <v>32839</v>
      </c>
      <c r="F1969" s="8"/>
      <c r="G1969" s="15" t="s">
        <v>10</v>
      </c>
      <c r="H1969" s="15" t="s">
        <v>10</v>
      </c>
      <c r="I1969" s="15">
        <v>0.9722446319919269</v>
      </c>
      <c r="J1969" s="15">
        <v>0.9722446319919269</v>
      </c>
      <c r="K1969" s="15">
        <v>0.9722446319919269</v>
      </c>
      <c r="L1969" s="15">
        <v>0.9722446319919269</v>
      </c>
      <c r="M1969" s="15">
        <v>0.9722446319919269</v>
      </c>
      <c r="N1969" s="15">
        <v>0.9722446319919269</v>
      </c>
      <c r="O1969" s="15">
        <v>0.90561839065797367</v>
      </c>
      <c r="P1969" s="15">
        <v>0.90561839065797367</v>
      </c>
      <c r="Q1969" s="8"/>
      <c r="R1969" s="9" t="s">
        <v>1953</v>
      </c>
    </row>
    <row r="1970" spans="1:18" x14ac:dyDescent="0.25">
      <c r="A1970" s="6" t="str">
        <f>HYPERLINK("proteomic_fractions_linear_files/Yang_linear_img/169234958.jpg", "169234958")</f>
        <v>169234958</v>
      </c>
      <c r="B1970" s="7"/>
      <c r="C1970" s="6" t="str">
        <f>HYPERLINK("http://www.ncbi.nlm.nih.gov/protein/169234958","Dsg1a")</f>
        <v>Dsg1a</v>
      </c>
      <c r="D1970" s="8"/>
      <c r="E1970" s="8">
        <v>108772</v>
      </c>
      <c r="F1970" s="8"/>
      <c r="G1970" s="15">
        <v>0.10780656537452876</v>
      </c>
      <c r="H1970" s="15">
        <v>0.10780656537452876</v>
      </c>
      <c r="I1970" s="15" t="s">
        <v>10</v>
      </c>
      <c r="J1970" s="15" t="s">
        <v>10</v>
      </c>
      <c r="K1970" s="15" t="s">
        <v>10</v>
      </c>
      <c r="L1970" s="15" t="s">
        <v>10</v>
      </c>
      <c r="M1970" s="15" t="s">
        <v>10</v>
      </c>
      <c r="N1970" s="15" t="s">
        <v>10</v>
      </c>
      <c r="O1970" s="15" t="s">
        <v>10</v>
      </c>
      <c r="P1970" s="15" t="s">
        <v>10</v>
      </c>
      <c r="Q1970" s="8"/>
      <c r="R1970" s="9" t="s">
        <v>1954</v>
      </c>
    </row>
    <row r="1971" spans="1:18" x14ac:dyDescent="0.25">
      <c r="A1971" s="6" t="str">
        <f>HYPERLINK("proteomic_fractions_linear_files/Yang_linear_img/32129201.jpg", "32129201")</f>
        <v>32129201</v>
      </c>
      <c r="B1971" s="7"/>
      <c r="C1971" s="6" t="str">
        <f>HYPERLINK("http://www.ncbi.nlm.nih.gov/protein/32129201","Dsg1b")</f>
        <v>Dsg1b</v>
      </c>
      <c r="D1971" s="8"/>
      <c r="E1971" s="8">
        <v>108629</v>
      </c>
      <c r="F1971" s="8"/>
      <c r="G1971" s="15">
        <v>0.10780656537452876</v>
      </c>
      <c r="H1971" s="15">
        <v>0.10780656537452876</v>
      </c>
      <c r="I1971" s="15" t="s">
        <v>10</v>
      </c>
      <c r="J1971" s="15" t="s">
        <v>10</v>
      </c>
      <c r="K1971" s="15" t="s">
        <v>10</v>
      </c>
      <c r="L1971" s="15" t="s">
        <v>10</v>
      </c>
      <c r="M1971" s="15" t="s">
        <v>10</v>
      </c>
      <c r="N1971" s="15" t="s">
        <v>10</v>
      </c>
      <c r="O1971" s="15" t="s">
        <v>10</v>
      </c>
      <c r="P1971" s="15" t="s">
        <v>10</v>
      </c>
      <c r="Q1971" s="8"/>
      <c r="R1971" s="9" t="s">
        <v>1955</v>
      </c>
    </row>
    <row r="1972" spans="1:18" x14ac:dyDescent="0.25">
      <c r="A1972" s="6" t="str">
        <f>HYPERLINK("proteomic_fractions_linear_files/Yang_linear_img/161016843.jpg", "161016843")</f>
        <v>161016843</v>
      </c>
      <c r="B1972" s="7"/>
      <c r="C1972" s="6" t="str">
        <f>HYPERLINK("http://www.ncbi.nlm.nih.gov/protein/161016843","Dsg2")</f>
        <v>Dsg2</v>
      </c>
      <c r="D1972" s="8"/>
      <c r="E1972" s="8">
        <v>116324</v>
      </c>
      <c r="F1972" s="8"/>
      <c r="G1972" s="15" t="s">
        <v>10</v>
      </c>
      <c r="H1972" s="15" t="s">
        <v>10</v>
      </c>
      <c r="I1972" s="15">
        <v>0.81868949295331472</v>
      </c>
      <c r="J1972" s="15">
        <v>0.81868949295331472</v>
      </c>
      <c r="K1972" s="15">
        <v>1.6100502727581065</v>
      </c>
      <c r="L1972" s="15">
        <v>1.6100502727581065</v>
      </c>
      <c r="M1972" s="15" t="s">
        <v>10</v>
      </c>
      <c r="N1972" s="15" t="s">
        <v>10</v>
      </c>
      <c r="O1972" s="15" t="s">
        <v>10</v>
      </c>
      <c r="P1972" s="15" t="s">
        <v>10</v>
      </c>
      <c r="Q1972" s="8"/>
      <c r="R1972" s="9" t="s">
        <v>1956</v>
      </c>
    </row>
    <row r="1973" spans="1:18" x14ac:dyDescent="0.25">
      <c r="A1973" s="6" t="str">
        <f>HYPERLINK("proteomic_fractions_linear_files/Yang_linear_img/254540034.jpg", "254540034")</f>
        <v>254540034</v>
      </c>
      <c r="B1973" s="7"/>
      <c r="C1973" s="6" t="str">
        <f>HYPERLINK("http://www.ncbi.nlm.nih.gov/protein/254540034","Dsn1")</f>
        <v>Dsn1</v>
      </c>
      <c r="D1973" s="8"/>
      <c r="E1973" s="8">
        <v>39422</v>
      </c>
      <c r="F1973" s="8"/>
      <c r="G1973" s="15" t="s">
        <v>10</v>
      </c>
      <c r="H1973" s="15" t="s">
        <v>10</v>
      </c>
      <c r="I1973" s="15">
        <v>1.038649184698019</v>
      </c>
      <c r="J1973" s="15">
        <v>1.038649184698019</v>
      </c>
      <c r="K1973" s="15">
        <v>1.1314253653068069</v>
      </c>
      <c r="L1973" s="15">
        <v>1.1314253653068069</v>
      </c>
      <c r="M1973" s="15">
        <v>1.038649184698019</v>
      </c>
      <c r="N1973" s="15">
        <v>1.038649184698019</v>
      </c>
      <c r="O1973" s="15">
        <v>0.95746990828524592</v>
      </c>
      <c r="P1973" s="15">
        <v>0.95746990828524592</v>
      </c>
      <c r="Q1973" s="8"/>
      <c r="R1973" s="9" t="s">
        <v>1957</v>
      </c>
    </row>
    <row r="1974" spans="1:18" x14ac:dyDescent="0.25">
      <c r="A1974" s="6" t="str">
        <f>HYPERLINK("proteomic_fractions_linear_files/Yang_linear_img/190194418.jpg", "190194418")</f>
        <v>190194418</v>
      </c>
      <c r="B1974" s="7"/>
      <c r="C1974" s="6" t="str">
        <f>HYPERLINK("http://www.ncbi.nlm.nih.gov/protein/190194418","Dsp")</f>
        <v>Dsp</v>
      </c>
      <c r="D1974" s="8"/>
      <c r="E1974" s="8">
        <v>332783</v>
      </c>
      <c r="F1974" s="8"/>
      <c r="G1974" s="15">
        <v>0.70078332620975692</v>
      </c>
      <c r="H1974" s="15">
        <v>0.70078332620975692</v>
      </c>
      <c r="I1974" s="15">
        <v>0.90625623013963597</v>
      </c>
      <c r="J1974" s="15">
        <v>0.90625623013963597</v>
      </c>
      <c r="K1974" s="15">
        <v>0.90625623013963597</v>
      </c>
      <c r="L1974" s="15">
        <v>0.90625623013963597</v>
      </c>
      <c r="M1974" s="15">
        <v>0.90625623013963597</v>
      </c>
      <c r="N1974" s="15">
        <v>0.90625623013963597</v>
      </c>
      <c r="O1974" s="15">
        <v>0.90625623013963597</v>
      </c>
      <c r="P1974" s="15">
        <v>0.90625623013963597</v>
      </c>
      <c r="Q1974" s="8"/>
      <c r="R1974" s="9" t="s">
        <v>1958</v>
      </c>
    </row>
    <row r="1975" spans="1:18" x14ac:dyDescent="0.25">
      <c r="A1975" s="6" t="str">
        <f>HYPERLINK("proteomic_fractions_linear_files/Yang_linear_img/454525117.jpg", "454525117")</f>
        <v>454525117</v>
      </c>
      <c r="B1975" s="7"/>
      <c r="C1975" s="6" t="str">
        <f>HYPERLINK("http://www.ncbi.nlm.nih.gov/protein/454525117","Dst")</f>
        <v>Dst</v>
      </c>
      <c r="D1975" s="8"/>
      <c r="E1975" s="8">
        <v>870406</v>
      </c>
      <c r="F1975" s="8"/>
      <c r="G1975" s="15" t="s">
        <v>10</v>
      </c>
      <c r="H1975" s="15" t="s">
        <v>10</v>
      </c>
      <c r="I1975" s="15">
        <v>0.34687738463965379</v>
      </c>
      <c r="J1975" s="15">
        <v>0.34687738463965379</v>
      </c>
      <c r="K1975" s="15">
        <v>2.8223931739398755E-2</v>
      </c>
      <c r="L1975" s="15">
        <v>2.8223931739398755E-2</v>
      </c>
      <c r="M1975" s="15" t="s">
        <v>10</v>
      </c>
      <c r="N1975" s="15" t="s">
        <v>10</v>
      </c>
      <c r="O1975" s="15" t="s">
        <v>10</v>
      </c>
      <c r="P1975" s="15" t="s">
        <v>10</v>
      </c>
      <c r="Q1975" s="8"/>
      <c r="R1975" s="9" t="s">
        <v>1959</v>
      </c>
    </row>
    <row r="1976" spans="1:18" x14ac:dyDescent="0.25">
      <c r="A1976" s="6" t="str">
        <f>HYPERLINK("proteomic_fractions_linear_files/Yang_linear_img/111154076.jpg", "111154076")</f>
        <v>111154076</v>
      </c>
      <c r="B1976" s="7"/>
      <c r="C1976" s="6" t="str">
        <f>HYPERLINK("http://www.ncbi.nlm.nih.gov/protein/111154076","Dst")</f>
        <v>Dst</v>
      </c>
      <c r="D1976" s="8"/>
      <c r="E1976" s="8">
        <v>834091</v>
      </c>
      <c r="F1976" s="8"/>
      <c r="G1976" s="15" t="s">
        <v>10</v>
      </c>
      <c r="H1976" s="15" t="s">
        <v>10</v>
      </c>
      <c r="I1976" s="15">
        <v>0.36185050915647338</v>
      </c>
      <c r="J1976" s="15">
        <v>0.36185050915647338</v>
      </c>
      <c r="K1976" s="15">
        <v>0.49045990136623474</v>
      </c>
      <c r="L1976" s="15">
        <v>0.49045990136623474</v>
      </c>
      <c r="M1976" s="15">
        <v>0.71162206914784676</v>
      </c>
      <c r="N1976" s="15">
        <v>0.71162206914784676</v>
      </c>
      <c r="O1976" s="15">
        <v>0.49045990136623474</v>
      </c>
      <c r="P1976" s="15">
        <v>0.49045990136623474</v>
      </c>
      <c r="Q1976" s="8"/>
      <c r="R1976" s="9" t="s">
        <v>1960</v>
      </c>
    </row>
    <row r="1977" spans="1:18" x14ac:dyDescent="0.25">
      <c r="A1977" s="6" t="str">
        <f>HYPERLINK("proteomic_fractions_linear_files/Yang_linear_img/111154082.jpg", "111154082")</f>
        <v>111154082</v>
      </c>
      <c r="B1977" s="7"/>
      <c r="C1977" s="6" t="str">
        <f>HYPERLINK("http://www.ncbi.nlm.nih.gov/protein/111154082","Dst")</f>
        <v>Dst</v>
      </c>
      <c r="D1977" s="8"/>
      <c r="E1977" s="8">
        <v>615086</v>
      </c>
      <c r="F1977" s="8"/>
      <c r="G1977" s="15" t="s">
        <v>10</v>
      </c>
      <c r="H1977" s="15" t="s">
        <v>10</v>
      </c>
      <c r="I1977" s="15">
        <v>0.49070459290487606</v>
      </c>
      <c r="J1977" s="15">
        <v>0.49070459290487606</v>
      </c>
      <c r="K1977" s="15">
        <v>0.66511147599908904</v>
      </c>
      <c r="L1977" s="15">
        <v>0.66511147599908904</v>
      </c>
      <c r="M1977" s="15">
        <v>0.96502895230781172</v>
      </c>
      <c r="N1977" s="15">
        <v>0.96502895230781172</v>
      </c>
      <c r="O1977" s="15">
        <v>0.66511147599908904</v>
      </c>
      <c r="P1977" s="15">
        <v>0.66511147599908904</v>
      </c>
      <c r="Q1977" s="8"/>
      <c r="R1977" s="9" t="s">
        <v>1961</v>
      </c>
    </row>
    <row r="1978" spans="1:18" x14ac:dyDescent="0.25">
      <c r="A1978" s="6" t="str">
        <f>HYPERLINK("proteomic_fractions_linear_files/Yang_linear_img/9790219.jpg", "9790219")</f>
        <v>9790219</v>
      </c>
      <c r="B1978" s="7"/>
      <c r="C1978" s="6" t="str">
        <f>HYPERLINK("http://www.ncbi.nlm.nih.gov/protein/9790219","Dstn")</f>
        <v>Dstn</v>
      </c>
      <c r="D1978" s="8"/>
      <c r="E1978" s="8">
        <v>18391</v>
      </c>
      <c r="F1978" s="8"/>
      <c r="G1978" s="15">
        <v>1.3641567007376065</v>
      </c>
      <c r="H1978" s="15">
        <v>1.3641567007376065</v>
      </c>
      <c r="I1978" s="15">
        <v>0.9286930289226123</v>
      </c>
      <c r="J1978" s="15">
        <v>0.9286930289226123</v>
      </c>
      <c r="K1978" s="15">
        <v>0.9286930289226123</v>
      </c>
      <c r="L1978" s="15">
        <v>0.9286930289226123</v>
      </c>
      <c r="M1978" s="15">
        <v>0.97610776474216487</v>
      </c>
      <c r="N1978" s="15">
        <v>0.97610776474216487</v>
      </c>
      <c r="O1978" s="15">
        <v>0.9286930289226123</v>
      </c>
      <c r="P1978" s="15">
        <v>0.9286930289226123</v>
      </c>
      <c r="Q1978" s="8"/>
      <c r="R1978" s="9" t="s">
        <v>1962</v>
      </c>
    </row>
    <row r="1979" spans="1:18" x14ac:dyDescent="0.25">
      <c r="A1979" s="6" t="str">
        <f>HYPERLINK("proteomic_fractions_linear_files/Yang_linear_img/13384676.jpg", "13384676")</f>
        <v>13384676</v>
      </c>
      <c r="B1979" s="7"/>
      <c r="C1979" s="6" t="str">
        <f>HYPERLINK("http://www.ncbi.nlm.nih.gov/protein/13384676","Dtd1")</f>
        <v>Dtd1</v>
      </c>
      <c r="D1979" s="8"/>
      <c r="E1979" s="8">
        <v>23253</v>
      </c>
      <c r="F1979" s="8"/>
      <c r="G1979" s="15" t="s">
        <v>10</v>
      </c>
      <c r="H1979" s="15" t="s">
        <v>10</v>
      </c>
      <c r="I1979" s="15">
        <v>1.0676008962294312</v>
      </c>
      <c r="J1979" s="15">
        <v>1.0676008962294312</v>
      </c>
      <c r="K1979" s="15">
        <v>1.0676008962294312</v>
      </c>
      <c r="L1979" s="15">
        <v>1.0676008962294312</v>
      </c>
      <c r="M1979" s="15">
        <v>1.5023207187163123</v>
      </c>
      <c r="N1979" s="15">
        <v>1.5023207187163123</v>
      </c>
      <c r="O1979" s="15">
        <v>0.94764096829038047</v>
      </c>
      <c r="P1979" s="15">
        <v>0.94764096829038047</v>
      </c>
      <c r="Q1979" s="8"/>
      <c r="R1979" s="9" t="s">
        <v>1963</v>
      </c>
    </row>
    <row r="1980" spans="1:18" x14ac:dyDescent="0.25">
      <c r="A1980" s="6" t="str">
        <f>HYPERLINK("proteomic_fractions_linear_files/Yang_linear_img/31324532.jpg", "31324532")</f>
        <v>31324532</v>
      </c>
      <c r="B1980" s="7"/>
      <c r="C1980" s="6" t="str">
        <f>HYPERLINK("http://www.ncbi.nlm.nih.gov/protein/31324532","Dtd2")</f>
        <v>Dtd2</v>
      </c>
      <c r="D1980" s="8"/>
      <c r="E1980" s="8">
        <v>18105</v>
      </c>
      <c r="F1980" s="8"/>
      <c r="G1980" s="15" t="s">
        <v>10</v>
      </c>
      <c r="H1980" s="15" t="s">
        <v>10</v>
      </c>
      <c r="I1980" s="15">
        <v>0.9286930289226123</v>
      </c>
      <c r="J1980" s="15">
        <v>0.9286930289226123</v>
      </c>
      <c r="K1980" s="15">
        <v>0.9286930289226123</v>
      </c>
      <c r="L1980" s="15">
        <v>0.9286930289226123</v>
      </c>
      <c r="M1980" s="15">
        <v>0.97610776474216487</v>
      </c>
      <c r="N1980" s="15">
        <v>0.97610776474216487</v>
      </c>
      <c r="O1980" s="15">
        <v>0.9286930289226123</v>
      </c>
      <c r="P1980" s="15">
        <v>0.9286930289226123</v>
      </c>
      <c r="Q1980" s="8"/>
      <c r="R1980" s="9" t="s">
        <v>1964</v>
      </c>
    </row>
    <row r="1981" spans="1:18" x14ac:dyDescent="0.25">
      <c r="A1981" s="6" t="str">
        <f>HYPERLINK("proteomic_fractions_linear_files/Yang_linear_img/46519164.jpg", "46519164")</f>
        <v>46519164</v>
      </c>
      <c r="B1981" s="7"/>
      <c r="C1981" s="6" t="str">
        <f>HYPERLINK("http://www.ncbi.nlm.nih.gov/protein/46519164","Dtna")</f>
        <v>Dtna</v>
      </c>
      <c r="D1981" s="8"/>
      <c r="E1981" s="8">
        <v>76817</v>
      </c>
      <c r="F1981" s="8"/>
      <c r="G1981" s="15" t="s">
        <v>10</v>
      </c>
      <c r="H1981" s="15" t="s">
        <v>10</v>
      </c>
      <c r="I1981" s="15" t="s">
        <v>10</v>
      </c>
      <c r="J1981" s="15" t="s">
        <v>10</v>
      </c>
      <c r="K1981" s="15">
        <v>0.95371636677509408</v>
      </c>
      <c r="L1981" s="15">
        <v>0.95371636677509408</v>
      </c>
      <c r="M1981" s="15" t="s">
        <v>10</v>
      </c>
      <c r="N1981" s="15" t="s">
        <v>10</v>
      </c>
      <c r="O1981" s="15" t="s">
        <v>10</v>
      </c>
      <c r="P1981" s="15" t="s">
        <v>10</v>
      </c>
      <c r="Q1981" s="8"/>
      <c r="R1981" s="9" t="s">
        <v>1965</v>
      </c>
    </row>
    <row r="1982" spans="1:18" x14ac:dyDescent="0.25">
      <c r="A1982" s="6" t="str">
        <f>HYPERLINK("proteomic_fractions_linear_files/Yang_linear_img/247269547.jpg", "247269547")</f>
        <v>247269547</v>
      </c>
      <c r="B1982" s="7"/>
      <c r="C1982" s="6" t="str">
        <f>HYPERLINK("http://www.ncbi.nlm.nih.gov/protein/247269547","Dtnb")</f>
        <v>Dtnb</v>
      </c>
      <c r="D1982" s="8"/>
      <c r="E1982" s="8">
        <v>68051</v>
      </c>
      <c r="F1982" s="8"/>
      <c r="G1982" s="15">
        <v>1.222039095193292</v>
      </c>
      <c r="H1982" s="15">
        <v>1.222039095193292</v>
      </c>
      <c r="I1982" s="15">
        <v>1.0799435329659153</v>
      </c>
      <c r="J1982" s="15">
        <v>1.0799435329659153</v>
      </c>
      <c r="K1982" s="15">
        <v>1.0799435329659153</v>
      </c>
      <c r="L1982" s="15">
        <v>1.0799435329659153</v>
      </c>
      <c r="M1982" s="15" t="s">
        <v>10</v>
      </c>
      <c r="N1982" s="15" t="s">
        <v>10</v>
      </c>
      <c r="O1982" s="15" t="s">
        <v>10</v>
      </c>
      <c r="P1982" s="15" t="s">
        <v>10</v>
      </c>
      <c r="Q1982" s="8"/>
      <c r="R1982" s="9" t="s">
        <v>1966</v>
      </c>
    </row>
    <row r="1983" spans="1:18" x14ac:dyDescent="0.25">
      <c r="A1983" s="6" t="str">
        <f>HYPERLINK("proteomic_fractions_linear_files/Yang_linear_img/247269964.jpg", "247269964")</f>
        <v>247269964</v>
      </c>
      <c r="B1983" s="7"/>
      <c r="C1983" s="6" t="str">
        <f>HYPERLINK("http://www.ncbi.nlm.nih.gov/protein/247269964","Dtnb")</f>
        <v>Dtnb</v>
      </c>
      <c r="D1983" s="8"/>
      <c r="E1983" s="8">
        <v>74268</v>
      </c>
      <c r="F1983" s="8"/>
      <c r="G1983" s="15">
        <v>1.1229548442316737</v>
      </c>
      <c r="H1983" s="15">
        <v>1.1229548442316737</v>
      </c>
      <c r="I1983" s="15">
        <v>0.99238054380651686</v>
      </c>
      <c r="J1983" s="15">
        <v>0.99238054380651686</v>
      </c>
      <c r="K1983" s="15">
        <v>0.99238054380651686</v>
      </c>
      <c r="L1983" s="15">
        <v>0.99238054380651686</v>
      </c>
      <c r="M1983" s="15" t="s">
        <v>10</v>
      </c>
      <c r="N1983" s="15" t="s">
        <v>10</v>
      </c>
      <c r="O1983" s="15" t="s">
        <v>10</v>
      </c>
      <c r="P1983" s="15" t="s">
        <v>10</v>
      </c>
      <c r="Q1983" s="8"/>
      <c r="R1983" s="9" t="s">
        <v>1967</v>
      </c>
    </row>
    <row r="1984" spans="1:18" x14ac:dyDescent="0.25">
      <c r="A1984" s="6" t="str">
        <f>HYPERLINK("proteomic_fractions_linear_files/Yang_linear_img/133930784.jpg", "133930784")</f>
        <v>133930784</v>
      </c>
      <c r="B1984" s="7"/>
      <c r="C1984" s="6" t="str">
        <f>HYPERLINK("http://www.ncbi.nlm.nih.gov/protein/133930784","Dtx3l")</f>
        <v>Dtx3l</v>
      </c>
      <c r="D1984" s="8"/>
      <c r="E1984" s="8">
        <v>82913</v>
      </c>
      <c r="F1984" s="8"/>
      <c r="G1984" s="15" t="s">
        <v>10</v>
      </c>
      <c r="H1984" s="15" t="s">
        <v>10</v>
      </c>
      <c r="I1984" s="15">
        <v>1.1441925443684882</v>
      </c>
      <c r="J1984" s="15">
        <v>1.1441925443684882</v>
      </c>
      <c r="K1984" s="15">
        <v>1.3229104074835116</v>
      </c>
      <c r="L1984" s="15">
        <v>1.3229104074835116</v>
      </c>
      <c r="M1984" s="15">
        <v>1.3229104074835116</v>
      </c>
      <c r="N1984" s="15">
        <v>1.3229104074835116</v>
      </c>
      <c r="O1984" s="15" t="s">
        <v>10</v>
      </c>
      <c r="P1984" s="15" t="s">
        <v>10</v>
      </c>
      <c r="Q1984" s="8"/>
      <c r="R1984" s="9" t="s">
        <v>1968</v>
      </c>
    </row>
    <row r="1985" spans="1:18" x14ac:dyDescent="0.25">
      <c r="A1985" s="6" t="str">
        <f>HYPERLINK("proteomic_fractions_linear_files/Yang_linear_img/12963517.jpg", "12963517")</f>
        <v>12963517</v>
      </c>
      <c r="B1985" s="7"/>
      <c r="C1985" s="6" t="str">
        <f>HYPERLINK("http://www.ncbi.nlm.nih.gov/protein/12963517","Dtymk")</f>
        <v>Dtymk</v>
      </c>
      <c r="D1985" s="8"/>
      <c r="E1985" s="8">
        <v>8816</v>
      </c>
      <c r="F1985" s="8"/>
      <c r="G1985" s="15">
        <v>3.5648969839703986</v>
      </c>
      <c r="H1985" s="15">
        <v>3.5648969839703986</v>
      </c>
      <c r="I1985" s="15">
        <v>2.421749141186528</v>
      </c>
      <c r="J1985" s="15">
        <v>2.421749141186528</v>
      </c>
      <c r="K1985" s="15">
        <v>2.421749141186528</v>
      </c>
      <c r="L1985" s="15">
        <v>2.421749141186528</v>
      </c>
      <c r="M1985" s="15">
        <v>2.421749141186528</v>
      </c>
      <c r="N1985" s="15">
        <v>2.421749141186528</v>
      </c>
      <c r="O1985" s="15">
        <v>2.421749141186528</v>
      </c>
      <c r="P1985" s="15">
        <v>2.421749141186528</v>
      </c>
      <c r="Q1985" s="8"/>
      <c r="R1985" s="9" t="s">
        <v>1969</v>
      </c>
    </row>
    <row r="1986" spans="1:18" x14ac:dyDescent="0.25">
      <c r="A1986" s="6" t="str">
        <f>HYPERLINK("proteomic_fractions_linear_files/Yang_linear_img/157785665.jpg", "157785665")</f>
        <v>157785665</v>
      </c>
      <c r="B1986" s="7"/>
      <c r="C1986" s="6" t="str">
        <f>HYPERLINK("http://www.ncbi.nlm.nih.gov/protein/157785665","Dtymk")</f>
        <v>Dtymk</v>
      </c>
      <c r="D1986" s="8"/>
      <c r="E1986" s="8">
        <v>23783</v>
      </c>
      <c r="F1986" s="8"/>
      <c r="G1986" s="15">
        <v>1.3368363689888996</v>
      </c>
      <c r="H1986" s="15">
        <v>1.3368363689888996</v>
      </c>
      <c r="I1986" s="15">
        <v>0.90815592794494793</v>
      </c>
      <c r="J1986" s="15">
        <v>0.90815592794494793</v>
      </c>
      <c r="K1986" s="15">
        <v>0.90815592794494793</v>
      </c>
      <c r="L1986" s="15">
        <v>0.90815592794494793</v>
      </c>
      <c r="M1986" s="15">
        <v>0.90815592794494793</v>
      </c>
      <c r="N1986" s="15">
        <v>0.90815592794494793</v>
      </c>
      <c r="O1986" s="15">
        <v>0.90815592794494793</v>
      </c>
      <c r="P1986" s="15">
        <v>0.90815592794494793</v>
      </c>
      <c r="Q1986" s="8"/>
      <c r="R1986" s="9" t="s">
        <v>1970</v>
      </c>
    </row>
    <row r="1987" spans="1:18" x14ac:dyDescent="0.25">
      <c r="A1987" s="6" t="str">
        <f>HYPERLINK("proteomic_fractions_linear_files/Yang_linear_img/31980834.jpg", "31980834")</f>
        <v>31980834</v>
      </c>
      <c r="B1987" s="7"/>
      <c r="C1987" s="6" t="str">
        <f>HYPERLINK("http://www.ncbi.nlm.nih.gov/protein/31980834","Dus1l")</f>
        <v>Dus1l</v>
      </c>
      <c r="D1987" s="8"/>
      <c r="E1987" s="8">
        <v>53381</v>
      </c>
      <c r="F1987" s="8"/>
      <c r="G1987" s="15" t="s">
        <v>10</v>
      </c>
      <c r="H1987" s="15" t="s">
        <v>10</v>
      </c>
      <c r="I1987" s="15" t="s">
        <v>10</v>
      </c>
      <c r="J1987" s="15" t="s">
        <v>10</v>
      </c>
      <c r="K1987" s="15" t="s">
        <v>10</v>
      </c>
      <c r="L1987" s="15" t="s">
        <v>10</v>
      </c>
      <c r="M1987" s="15" t="s">
        <v>10</v>
      </c>
      <c r="N1987" s="15" t="s">
        <v>10</v>
      </c>
      <c r="O1987" s="15">
        <v>1.0022748986792656</v>
      </c>
      <c r="P1987" s="15">
        <v>1.0022748986792656</v>
      </c>
      <c r="Q1987" s="8"/>
      <c r="R1987" s="9" t="s">
        <v>1971</v>
      </c>
    </row>
    <row r="1988" spans="1:18" x14ac:dyDescent="0.25">
      <c r="A1988" s="6" t="str">
        <f>HYPERLINK("proteomic_fractions_linear_files/Yang_linear_img/255003775.jpg", "255003775")</f>
        <v>255003775</v>
      </c>
      <c r="B1988" s="7"/>
      <c r="C1988" s="6" t="str">
        <f>HYPERLINK("http://www.ncbi.nlm.nih.gov/protein/255003775","Dus3l")</f>
        <v>Dus3l</v>
      </c>
      <c r="D1988" s="8"/>
      <c r="E1988" s="8">
        <v>71020</v>
      </c>
      <c r="F1988" s="8"/>
      <c r="G1988" s="15" t="s">
        <v>10</v>
      </c>
      <c r="H1988" s="15" t="s">
        <v>10</v>
      </c>
      <c r="I1988" s="15">
        <v>1.1704036404668148</v>
      </c>
      <c r="J1988" s="15">
        <v>1.1704036404668148</v>
      </c>
      <c r="K1988" s="15">
        <v>1.1704036404668148</v>
      </c>
      <c r="L1988" s="15">
        <v>1.1704036404668148</v>
      </c>
      <c r="M1988" s="15">
        <v>1.1704036404668148</v>
      </c>
      <c r="N1988" s="15">
        <v>1.1704036404668148</v>
      </c>
      <c r="O1988" s="15" t="s">
        <v>10</v>
      </c>
      <c r="P1988" s="15" t="s">
        <v>10</v>
      </c>
      <c r="Q1988" s="8"/>
      <c r="R1988" s="9" t="s">
        <v>1972</v>
      </c>
    </row>
    <row r="1989" spans="1:18" x14ac:dyDescent="0.25">
      <c r="A1989" s="6" t="str">
        <f>HYPERLINK("proteomic_fractions_linear_files/Yang_linear_img/19527288.jpg", "19527288")</f>
        <v>19527288</v>
      </c>
      <c r="B1989" s="7"/>
      <c r="C1989" s="6" t="str">
        <f>HYPERLINK("http://www.ncbi.nlm.nih.gov/protein/19527288","Dusp22")</f>
        <v>Dusp22</v>
      </c>
      <c r="D1989" s="8"/>
      <c r="E1989" s="8">
        <v>20866</v>
      </c>
      <c r="F1989" s="8"/>
      <c r="G1989" s="15" t="s">
        <v>10</v>
      </c>
      <c r="H1989" s="15" t="s">
        <v>10</v>
      </c>
      <c r="I1989" s="15">
        <v>0.88072853164590881</v>
      </c>
      <c r="J1989" s="15">
        <v>0.88072853164590881</v>
      </c>
      <c r="K1989" s="15">
        <v>0.83666379835042703</v>
      </c>
      <c r="L1989" s="15">
        <v>0.83666379835042703</v>
      </c>
      <c r="M1989" s="15">
        <v>0.88072853164590881</v>
      </c>
      <c r="N1989" s="15">
        <v>0.88072853164590881</v>
      </c>
      <c r="O1989" s="15">
        <v>0.83666379835042703</v>
      </c>
      <c r="P1989" s="15">
        <v>0.83666379835042703</v>
      </c>
      <c r="Q1989" s="8"/>
      <c r="R1989" s="9" t="s">
        <v>1973</v>
      </c>
    </row>
    <row r="1990" spans="1:18" x14ac:dyDescent="0.25">
      <c r="A1990" s="6" t="str">
        <f>HYPERLINK("proteomic_fractions_linear_files/Yang_linear_img/83816915.jpg", "83816915")</f>
        <v>83816915</v>
      </c>
      <c r="B1990" s="7"/>
      <c r="C1990" s="6" t="str">
        <f>HYPERLINK("http://www.ncbi.nlm.nih.gov/protein/83816915","Dusp22")</f>
        <v>Dusp22</v>
      </c>
      <c r="D1990" s="8"/>
      <c r="E1990" s="8">
        <v>23358</v>
      </c>
      <c r="F1990" s="8"/>
      <c r="G1990" s="15" t="s">
        <v>10</v>
      </c>
      <c r="H1990" s="15" t="s">
        <v>10</v>
      </c>
      <c r="I1990" s="15">
        <v>0.80414344193756893</v>
      </c>
      <c r="J1990" s="15">
        <v>0.80414344193756893</v>
      </c>
      <c r="K1990" s="15">
        <v>0.7639104245808247</v>
      </c>
      <c r="L1990" s="15">
        <v>0.7639104245808247</v>
      </c>
      <c r="M1990" s="15">
        <v>0.80414344193756893</v>
      </c>
      <c r="N1990" s="15">
        <v>0.80414344193756893</v>
      </c>
      <c r="O1990" s="15">
        <v>0.7639104245808247</v>
      </c>
      <c r="P1990" s="15">
        <v>0.7639104245808247</v>
      </c>
      <c r="Q1990" s="8"/>
      <c r="R1990" s="9" t="s">
        <v>1974</v>
      </c>
    </row>
    <row r="1991" spans="1:18" x14ac:dyDescent="0.25">
      <c r="A1991" s="6" t="str">
        <f>HYPERLINK("proteomic_fractions_linear_files/Yang_linear_img/29171320.jpg", "29171320")</f>
        <v>29171320</v>
      </c>
      <c r="B1991" s="7"/>
      <c r="C1991" s="6" t="str">
        <f>HYPERLINK("http://www.ncbi.nlm.nih.gov/protein/29171320","Dusp28")</f>
        <v>Dusp28</v>
      </c>
      <c r="D1991" s="8"/>
      <c r="E1991" s="8">
        <v>17374</v>
      </c>
      <c r="F1991" s="8"/>
      <c r="G1991" s="15" t="s">
        <v>10</v>
      </c>
      <c r="H1991" s="15" t="s">
        <v>10</v>
      </c>
      <c r="I1991" s="15" t="s">
        <v>10</v>
      </c>
      <c r="J1991" s="15" t="s">
        <v>10</v>
      </c>
      <c r="K1991" s="15" t="s">
        <v>10</v>
      </c>
      <c r="L1991" s="15" t="s">
        <v>10</v>
      </c>
      <c r="M1991" s="15" t="s">
        <v>10</v>
      </c>
      <c r="N1991" s="15" t="s">
        <v>10</v>
      </c>
      <c r="O1991" s="15">
        <v>1.0335258685505275</v>
      </c>
      <c r="P1991" s="15">
        <v>1.0335258685505275</v>
      </c>
      <c r="Q1991" s="8"/>
      <c r="R1991" s="9" t="s">
        <v>1975</v>
      </c>
    </row>
    <row r="1992" spans="1:18" x14ac:dyDescent="0.25">
      <c r="A1992" s="6" t="str">
        <f>HYPERLINK("proteomic_fractions_linear_files/Yang_linear_img/21312314.jpg", "21312314")</f>
        <v>21312314</v>
      </c>
      <c r="B1992" s="7"/>
      <c r="C1992" s="6" t="str">
        <f>HYPERLINK("http://www.ncbi.nlm.nih.gov/protein/21312314","Dusp3")</f>
        <v>Dusp3</v>
      </c>
      <c r="D1992" s="8"/>
      <c r="E1992" s="8">
        <v>20341</v>
      </c>
      <c r="F1992" s="8"/>
      <c r="G1992" s="15" t="s">
        <v>10</v>
      </c>
      <c r="H1992" s="15" t="s">
        <v>10</v>
      </c>
      <c r="I1992" s="15">
        <v>1.0298720593328137</v>
      </c>
      <c r="J1992" s="15">
        <v>1.0298720593328137</v>
      </c>
      <c r="K1992" s="15">
        <v>1.0298720593328137</v>
      </c>
      <c r="L1992" s="15">
        <v>1.0298720593328137</v>
      </c>
      <c r="M1992" s="15">
        <v>1.0298720593328137</v>
      </c>
      <c r="N1992" s="15">
        <v>1.0298720593328137</v>
      </c>
      <c r="O1992" s="15">
        <v>1.0298720593328137</v>
      </c>
      <c r="P1992" s="15">
        <v>1.0298720593328137</v>
      </c>
      <c r="Q1992" s="8"/>
      <c r="R1992" s="9" t="s">
        <v>1976</v>
      </c>
    </row>
    <row r="1993" spans="1:18" x14ac:dyDescent="0.25">
      <c r="A1993" s="6" t="str">
        <f>HYPERLINK("proteomic_fractions_linear_files/Yang_linear_img/21281687.jpg", "21281687")</f>
        <v>21281687</v>
      </c>
      <c r="B1993" s="7"/>
      <c r="C1993" s="6" t="str">
        <f>HYPERLINK("http://www.ncbi.nlm.nih.gov/protein/21281687","Dut")</f>
        <v>Dut</v>
      </c>
      <c r="D1993" s="8"/>
      <c r="E1993" s="8">
        <v>17253</v>
      </c>
      <c r="F1993" s="8"/>
      <c r="G1993" s="15">
        <v>1.0335258685505275</v>
      </c>
      <c r="H1993" s="15">
        <v>1.0335258685505275</v>
      </c>
      <c r="I1993" s="15">
        <v>1.0335258685505275</v>
      </c>
      <c r="J1993" s="15">
        <v>1.0879587743861225</v>
      </c>
      <c r="K1993" s="15">
        <v>1.0879587743861225</v>
      </c>
      <c r="L1993" s="15">
        <v>1.0879587743861225</v>
      </c>
      <c r="M1993" s="15">
        <v>1.0879587743861225</v>
      </c>
      <c r="N1993" s="15">
        <v>1.0879587743861225</v>
      </c>
      <c r="O1993" s="15">
        <v>1.0879587743861225</v>
      </c>
      <c r="P1993" s="15">
        <v>1.0879587743861225</v>
      </c>
      <c r="Q1993" s="8"/>
      <c r="R1993" s="9" t="s">
        <v>1977</v>
      </c>
    </row>
    <row r="1994" spans="1:18" x14ac:dyDescent="0.25">
      <c r="A1994" s="6" t="str">
        <f>HYPERLINK("proteomic_fractions_linear_files/Yang_linear_img/227497222.jpg", "227497222")</f>
        <v>227497222</v>
      </c>
      <c r="B1994" s="7"/>
      <c r="C1994" s="6" t="str">
        <f>HYPERLINK("http://www.ncbi.nlm.nih.gov/protein/227497222","Dut")</f>
        <v>Dut</v>
      </c>
      <c r="D1994" s="8"/>
      <c r="E1994" s="8">
        <v>21120</v>
      </c>
      <c r="F1994" s="8"/>
      <c r="G1994" s="15">
        <v>0.83666379835042703</v>
      </c>
      <c r="H1994" s="15">
        <v>0.83666379835042703</v>
      </c>
      <c r="I1994" s="15">
        <v>0.83666379835042703</v>
      </c>
      <c r="J1994" s="15">
        <v>0.88072853164590881</v>
      </c>
      <c r="K1994" s="15">
        <v>0.88072853164590881</v>
      </c>
      <c r="L1994" s="15">
        <v>0.88072853164590881</v>
      </c>
      <c r="M1994" s="15">
        <v>0.88072853164590881</v>
      </c>
      <c r="N1994" s="15">
        <v>0.88072853164590881</v>
      </c>
      <c r="O1994" s="15">
        <v>0.88072853164590881</v>
      </c>
      <c r="P1994" s="15">
        <v>0.88072853164590881</v>
      </c>
      <c r="Q1994" s="8"/>
      <c r="R1994" s="9" t="s">
        <v>1978</v>
      </c>
    </row>
    <row r="1995" spans="1:18" x14ac:dyDescent="0.25">
      <c r="A1995" s="6" t="str">
        <f>HYPERLINK("proteomic_fractions_linear_files/Yang_linear_img/87299588.jpg", "87299588")</f>
        <v>87299588</v>
      </c>
      <c r="B1995" s="7"/>
      <c r="C1995" s="6" t="str">
        <f>HYPERLINK("http://www.ncbi.nlm.nih.gov/protein/87299588","Dvl2")</f>
        <v>Dvl2</v>
      </c>
      <c r="D1995" s="8"/>
      <c r="E1995" s="8">
        <v>78730</v>
      </c>
      <c r="F1995" s="8"/>
      <c r="G1995" s="15" t="s">
        <v>10</v>
      </c>
      <c r="H1995" s="15" t="s">
        <v>10</v>
      </c>
      <c r="I1995" s="15" t="s">
        <v>10</v>
      </c>
      <c r="J1995" s="15" t="s">
        <v>10</v>
      </c>
      <c r="K1995" s="15">
        <v>1.2021263440833483</v>
      </c>
      <c r="L1995" s="15">
        <v>1.2021263440833483</v>
      </c>
      <c r="M1995" s="15" t="s">
        <v>10</v>
      </c>
      <c r="N1995" s="15" t="s">
        <v>10</v>
      </c>
      <c r="O1995" s="15" t="s">
        <v>10</v>
      </c>
      <c r="P1995" s="15" t="s">
        <v>10</v>
      </c>
      <c r="Q1995" s="8"/>
      <c r="R1995" s="9" t="s">
        <v>1979</v>
      </c>
    </row>
    <row r="1996" spans="1:18" x14ac:dyDescent="0.25">
      <c r="A1996" s="6" t="str">
        <f>HYPERLINK("proteomic_fractions_linear_files/Yang_linear_img/117168287.jpg", "117168287")</f>
        <v>117168287</v>
      </c>
      <c r="B1996" s="7"/>
      <c r="C1996" s="6" t="str">
        <f>HYPERLINK("http://www.ncbi.nlm.nih.gov/protein/117168287","Dvl3")</f>
        <v>Dvl3</v>
      </c>
      <c r="D1996" s="8"/>
      <c r="E1996" s="8">
        <v>77992</v>
      </c>
      <c r="F1996" s="8"/>
      <c r="G1996" s="15" t="s">
        <v>10</v>
      </c>
      <c r="H1996" s="15" t="s">
        <v>10</v>
      </c>
      <c r="I1996" s="15" t="s">
        <v>10</v>
      </c>
      <c r="J1996" s="15" t="s">
        <v>10</v>
      </c>
      <c r="K1996" s="15">
        <v>1.2175382202895451</v>
      </c>
      <c r="L1996" s="15">
        <v>1.2175382202895451</v>
      </c>
      <c r="M1996" s="15" t="s">
        <v>10</v>
      </c>
      <c r="N1996" s="15" t="s">
        <v>10</v>
      </c>
      <c r="O1996" s="15" t="s">
        <v>10</v>
      </c>
      <c r="P1996" s="15" t="s">
        <v>10</v>
      </c>
      <c r="Q1996" s="8"/>
      <c r="R1996" s="9" t="s">
        <v>1980</v>
      </c>
    </row>
    <row r="1997" spans="1:18" x14ac:dyDescent="0.25">
      <c r="A1997" s="6" t="str">
        <f>HYPERLINK("proteomic_fractions_linear_files/Yang_linear_img/254939704.jpg", "254939704")</f>
        <v>254939704</v>
      </c>
      <c r="B1997" s="7"/>
      <c r="C1997" s="6" t="str">
        <f>HYPERLINK("http://www.ncbi.nlm.nih.gov/protein/254939704","Dxo")</f>
        <v>Dxo</v>
      </c>
      <c r="D1997" s="8"/>
      <c r="E1997" s="8">
        <v>45199</v>
      </c>
      <c r="F1997" s="8"/>
      <c r="G1997" s="15" t="s">
        <v>10</v>
      </c>
      <c r="H1997" s="15" t="s">
        <v>10</v>
      </c>
      <c r="I1997" s="15" t="s">
        <v>10</v>
      </c>
      <c r="J1997" s="15" t="s">
        <v>10</v>
      </c>
      <c r="K1997" s="15">
        <v>0.98056864993256598</v>
      </c>
      <c r="L1997" s="15">
        <v>0.98056864993256598</v>
      </c>
      <c r="M1997" s="15" t="s">
        <v>10</v>
      </c>
      <c r="N1997" s="15" t="s">
        <v>10</v>
      </c>
      <c r="O1997" s="15" t="s">
        <v>10</v>
      </c>
      <c r="P1997" s="15" t="s">
        <v>10</v>
      </c>
      <c r="Q1997" s="8"/>
      <c r="R1997" s="9" t="s">
        <v>1981</v>
      </c>
    </row>
    <row r="1998" spans="1:18" x14ac:dyDescent="0.25">
      <c r="A1998" s="6" t="str">
        <f>HYPERLINK("proteomic_fractions_linear_files/Yang_linear_img/25282389.jpg", "25282389")</f>
        <v>25282389</v>
      </c>
      <c r="B1998" s="7"/>
      <c r="C1998" s="6" t="str">
        <f>HYPERLINK("http://www.ncbi.nlm.nih.gov/protein/25282389","Dym")</f>
        <v>Dym</v>
      </c>
      <c r="D1998" s="8"/>
      <c r="E1998" s="8">
        <v>75717</v>
      </c>
      <c r="F1998" s="8"/>
      <c r="G1998" s="15" t="s">
        <v>10</v>
      </c>
      <c r="H1998" s="15" t="s">
        <v>10</v>
      </c>
      <c r="I1998" s="15">
        <v>0.96626526633792431</v>
      </c>
      <c r="J1998" s="15">
        <v>0.96626526633792431</v>
      </c>
      <c r="K1998" s="15" t="s">
        <v>10</v>
      </c>
      <c r="L1998" s="15" t="s">
        <v>10</v>
      </c>
      <c r="M1998" s="15">
        <v>0.96626526633792431</v>
      </c>
      <c r="N1998" s="15">
        <v>0.96626526633792431</v>
      </c>
      <c r="O1998" s="15" t="s">
        <v>10</v>
      </c>
      <c r="P1998" s="15" t="s">
        <v>10</v>
      </c>
      <c r="Q1998" s="8"/>
      <c r="R1998" s="9" t="s">
        <v>1982</v>
      </c>
    </row>
    <row r="1999" spans="1:18" x14ac:dyDescent="0.25">
      <c r="A1999" s="6" t="str">
        <f>HYPERLINK("proteomic_fractions_linear_files/Yang_linear_img/134288917.jpg", "134288917")</f>
        <v>134288917</v>
      </c>
      <c r="B1999" s="7"/>
      <c r="C1999" s="6" t="str">
        <f>HYPERLINK("http://www.ncbi.nlm.nih.gov/protein/134288917","Dync1h1")</f>
        <v>Dync1h1</v>
      </c>
      <c r="D1999" s="8"/>
      <c r="E1999" s="8">
        <v>531917</v>
      </c>
      <c r="F1999" s="8"/>
      <c r="G1999" s="15">
        <v>0.56726188841447134</v>
      </c>
      <c r="H1999" s="15">
        <v>0.56726188841447134</v>
      </c>
      <c r="I1999" s="15">
        <v>0.56726188841447134</v>
      </c>
      <c r="J1999" s="15">
        <v>0.56726188841447134</v>
      </c>
      <c r="K1999" s="15">
        <v>0.7688788679312778</v>
      </c>
      <c r="L1999" s="15">
        <v>0.7688788679312778</v>
      </c>
      <c r="M1999" s="15">
        <v>0.7688788679312778</v>
      </c>
      <c r="N1999" s="15">
        <v>0.7688788679312778</v>
      </c>
      <c r="O1999" s="15">
        <v>0.7688788679312778</v>
      </c>
      <c r="P1999" s="15">
        <v>0.7688788679312778</v>
      </c>
      <c r="Q1999" s="8"/>
      <c r="R1999" s="9" t="s">
        <v>1983</v>
      </c>
    </row>
    <row r="2000" spans="1:18" x14ac:dyDescent="0.25">
      <c r="A2000" s="6" t="str">
        <f>HYPERLINK("proteomic_fractions_linear_files/Yang_linear_img/311893374.jpg", "311893374")</f>
        <v>311893374</v>
      </c>
      <c r="B2000" s="7"/>
      <c r="C2000" s="6" t="str">
        <f>HYPERLINK("http://www.ncbi.nlm.nih.gov/protein/311893374","Dync1i2")</f>
        <v>Dync1i2</v>
      </c>
      <c r="D2000" s="8"/>
      <c r="E2000" s="8">
        <v>73188</v>
      </c>
      <c r="F2000" s="8"/>
      <c r="G2000" s="15" t="s">
        <v>10</v>
      </c>
      <c r="H2000" s="15" t="s">
        <v>10</v>
      </c>
      <c r="I2000" s="15">
        <v>1.0059747978312636</v>
      </c>
      <c r="J2000" s="15">
        <v>1.0059747978312636</v>
      </c>
      <c r="K2000" s="15">
        <v>1.1383377873033405</v>
      </c>
      <c r="L2000" s="15">
        <v>1.1383377873033405</v>
      </c>
      <c r="M2000" s="15">
        <v>1.1383377873033405</v>
      </c>
      <c r="N2000" s="15">
        <v>1.1383377873033405</v>
      </c>
      <c r="O2000" s="15">
        <v>1.1383377873033405</v>
      </c>
      <c r="P2000" s="15">
        <v>1.1383377873033405</v>
      </c>
      <c r="Q2000" s="8"/>
      <c r="R2000" s="9" t="s">
        <v>1984</v>
      </c>
    </row>
    <row r="2001" spans="1:18" x14ac:dyDescent="0.25">
      <c r="A2001" s="6" t="str">
        <f>HYPERLINK("proteomic_fractions_linear_files/Yang_linear_img/311893376.jpg", "311893376")</f>
        <v>311893376</v>
      </c>
      <c r="B2001" s="7"/>
      <c r="C2001" s="6" t="str">
        <f>HYPERLINK("http://www.ncbi.nlm.nih.gov/protein/311893376","Dync1i2")</f>
        <v>Dync1i2</v>
      </c>
      <c r="D2001" s="8"/>
      <c r="E2001" s="8">
        <v>72670</v>
      </c>
      <c r="F2001" s="8"/>
      <c r="G2001" s="15" t="s">
        <v>10</v>
      </c>
      <c r="H2001" s="15" t="s">
        <v>10</v>
      </c>
      <c r="I2001" s="15">
        <v>1.0059747978312636</v>
      </c>
      <c r="J2001" s="15">
        <v>1.0059747978312636</v>
      </c>
      <c r="K2001" s="15">
        <v>1.1383377873033405</v>
      </c>
      <c r="L2001" s="15">
        <v>1.1383377873033405</v>
      </c>
      <c r="M2001" s="15">
        <v>1.1383377873033405</v>
      </c>
      <c r="N2001" s="15">
        <v>1.1383377873033405</v>
      </c>
      <c r="O2001" s="15">
        <v>1.1383377873033405</v>
      </c>
      <c r="P2001" s="15">
        <v>1.1383377873033405</v>
      </c>
      <c r="Q2001" s="8"/>
      <c r="R2001" s="9" t="s">
        <v>1985</v>
      </c>
    </row>
    <row r="2002" spans="1:18" x14ac:dyDescent="0.25">
      <c r="A2002" s="6" t="str">
        <f>HYPERLINK("proteomic_fractions_linear_files/Yang_linear_img/311893378.jpg", "311893378")</f>
        <v>311893378</v>
      </c>
      <c r="B2002" s="7"/>
      <c r="C2002" s="6" t="str">
        <f>HYPERLINK("http://www.ncbi.nlm.nih.gov/protein/311893378","Dync1i2")</f>
        <v>Dync1i2</v>
      </c>
      <c r="D2002" s="8"/>
      <c r="E2002" s="8">
        <v>70482</v>
      </c>
      <c r="F2002" s="8"/>
      <c r="G2002" s="15" t="s">
        <v>10</v>
      </c>
      <c r="H2002" s="15" t="s">
        <v>10</v>
      </c>
      <c r="I2002" s="15">
        <v>1.0490880034526036</v>
      </c>
      <c r="J2002" s="15">
        <v>1.0490880034526036</v>
      </c>
      <c r="K2002" s="15">
        <v>1.1871236924734836</v>
      </c>
      <c r="L2002" s="15">
        <v>1.1871236924734836</v>
      </c>
      <c r="M2002" s="15">
        <v>1.1871236924734836</v>
      </c>
      <c r="N2002" s="15">
        <v>1.1871236924734836</v>
      </c>
      <c r="O2002" s="15">
        <v>1.1871236924734836</v>
      </c>
      <c r="P2002" s="15">
        <v>1.1871236924734836</v>
      </c>
      <c r="Q2002" s="8"/>
      <c r="R2002" s="9" t="s">
        <v>1986</v>
      </c>
    </row>
    <row r="2003" spans="1:18" x14ac:dyDescent="0.25">
      <c r="A2003" s="6" t="str">
        <f>HYPERLINK("proteomic_fractions_linear_files/Yang_linear_img/311893380.jpg", "311893380")</f>
        <v>311893380</v>
      </c>
      <c r="B2003" s="7"/>
      <c r="C2003" s="6" t="str">
        <f>HYPERLINK("http://www.ncbi.nlm.nih.gov/protein/311893380","Dync1i2")</f>
        <v>Dync1i2</v>
      </c>
      <c r="D2003" s="8"/>
      <c r="E2003" s="8">
        <v>69075</v>
      </c>
      <c r="F2003" s="8"/>
      <c r="G2003" s="15" t="s">
        <v>10</v>
      </c>
      <c r="H2003" s="15" t="s">
        <v>10</v>
      </c>
      <c r="I2003" s="15">
        <v>1.0642921774156846</v>
      </c>
      <c r="J2003" s="15">
        <v>1.0642921774156846</v>
      </c>
      <c r="K2003" s="15">
        <v>1.2043283836687515</v>
      </c>
      <c r="L2003" s="15">
        <v>1.2043283836687515</v>
      </c>
      <c r="M2003" s="15">
        <v>1.2043283836687515</v>
      </c>
      <c r="N2003" s="15">
        <v>1.2043283836687515</v>
      </c>
      <c r="O2003" s="15">
        <v>1.2043283836687515</v>
      </c>
      <c r="P2003" s="15">
        <v>1.2043283836687515</v>
      </c>
      <c r="Q2003" s="8"/>
      <c r="R2003" s="9" t="s">
        <v>1987</v>
      </c>
    </row>
    <row r="2004" spans="1:18" x14ac:dyDescent="0.25">
      <c r="A2004" s="6" t="str">
        <f>HYPERLINK("proteomic_fractions_linear_files/Yang_linear_img/6753658.jpg", "6753658")</f>
        <v>6753658</v>
      </c>
      <c r="B2004" s="7"/>
      <c r="C2004" s="6" t="str">
        <f>HYPERLINK("http://www.ncbi.nlm.nih.gov/protein/6753658","Dync1i2")</f>
        <v>Dync1i2</v>
      </c>
      <c r="D2004" s="8"/>
      <c r="E2004" s="8">
        <v>68263</v>
      </c>
      <c r="F2004" s="8"/>
      <c r="G2004" s="15" t="s">
        <v>10</v>
      </c>
      <c r="H2004" s="15" t="s">
        <v>10</v>
      </c>
      <c r="I2004" s="15">
        <v>1.0799435329659153</v>
      </c>
      <c r="J2004" s="15">
        <v>1.0799435329659153</v>
      </c>
      <c r="K2004" s="15">
        <v>1.222039095193292</v>
      </c>
      <c r="L2004" s="15">
        <v>1.222039095193292</v>
      </c>
      <c r="M2004" s="15">
        <v>1.222039095193292</v>
      </c>
      <c r="N2004" s="15">
        <v>1.222039095193292</v>
      </c>
      <c r="O2004" s="15">
        <v>1.222039095193292</v>
      </c>
      <c r="P2004" s="15">
        <v>1.222039095193292</v>
      </c>
      <c r="Q2004" s="8"/>
      <c r="R2004" s="9" t="s">
        <v>1988</v>
      </c>
    </row>
    <row r="2005" spans="1:18" x14ac:dyDescent="0.25">
      <c r="A2005" s="6" t="str">
        <f>HYPERLINK("proteomic_fractions_linear_files/Yang_linear_img/22122795.jpg", "22122795")</f>
        <v>22122795</v>
      </c>
      <c r="B2005" s="7"/>
      <c r="C2005" s="6" t="str">
        <f>HYPERLINK("http://www.ncbi.nlm.nih.gov/protein/22122795","Dync1li1")</f>
        <v>Dync1li1</v>
      </c>
      <c r="D2005" s="8"/>
      <c r="E2005" s="8">
        <v>56483</v>
      </c>
      <c r="F2005" s="8"/>
      <c r="G2005" s="15" t="s">
        <v>10</v>
      </c>
      <c r="H2005" s="15" t="s">
        <v>10</v>
      </c>
      <c r="I2005" s="15">
        <v>1.0495215640284616</v>
      </c>
      <c r="J2005" s="15">
        <v>1.0495215640284616</v>
      </c>
      <c r="K2005" s="15">
        <v>1.0495215640284616</v>
      </c>
      <c r="L2005" s="15">
        <v>1.0495215640284616</v>
      </c>
      <c r="M2005" s="15">
        <v>1.0495215640284616</v>
      </c>
      <c r="N2005" s="15">
        <v>1.0495215640284616</v>
      </c>
      <c r="O2005" s="15">
        <v>0.94858160053573359</v>
      </c>
      <c r="P2005" s="15">
        <v>0.94858160053573359</v>
      </c>
      <c r="Q2005" s="8"/>
      <c r="R2005" s="9" t="s">
        <v>1989</v>
      </c>
    </row>
    <row r="2006" spans="1:18" x14ac:dyDescent="0.25">
      <c r="A2006" s="6" t="str">
        <f>HYPERLINK("proteomic_fractions_linear_files/Yang_linear_img/225543181.jpg", "225543181")</f>
        <v>225543181</v>
      </c>
      <c r="B2006" s="7"/>
      <c r="C2006" s="6" t="str">
        <f>HYPERLINK("http://www.ncbi.nlm.nih.gov/protein/225543181","Dync1li2")</f>
        <v>Dync1li2</v>
      </c>
      <c r="D2006" s="8"/>
      <c r="E2006" s="8">
        <v>54088</v>
      </c>
      <c r="F2006" s="8"/>
      <c r="G2006" s="15" t="s">
        <v>10</v>
      </c>
      <c r="H2006" s="15" t="s">
        <v>10</v>
      </c>
      <c r="I2006" s="15">
        <v>0.98371425240742738</v>
      </c>
      <c r="J2006" s="15">
        <v>0.98371425240742738</v>
      </c>
      <c r="K2006" s="15">
        <v>0.98371425240742738</v>
      </c>
      <c r="L2006" s="15">
        <v>0.98371425240742738</v>
      </c>
      <c r="M2006" s="15">
        <v>0.98371425240742738</v>
      </c>
      <c r="N2006" s="15">
        <v>0.98371425240742738</v>
      </c>
      <c r="O2006" s="15">
        <v>0.89425880711880101</v>
      </c>
      <c r="P2006" s="15">
        <v>0.89425880711880101</v>
      </c>
      <c r="Q2006" s="8"/>
      <c r="R2006" s="9" t="s">
        <v>1990</v>
      </c>
    </row>
    <row r="2007" spans="1:18" x14ac:dyDescent="0.25">
      <c r="A2007" s="6" t="str">
        <f>HYPERLINK("proteomic_fractions_linear_files/Yang_linear_img/72534792.jpg", "72534792")</f>
        <v>72534792</v>
      </c>
      <c r="B2007" s="7"/>
      <c r="C2007" s="6" t="str">
        <f>HYPERLINK("http://www.ncbi.nlm.nih.gov/protein/72534792","Dync2h1")</f>
        <v>Dync2h1</v>
      </c>
      <c r="D2007" s="8"/>
      <c r="E2007" s="8">
        <v>492211</v>
      </c>
      <c r="F2007" s="8"/>
      <c r="G2007" s="15" t="s">
        <v>10</v>
      </c>
      <c r="H2007" s="15" t="s">
        <v>10</v>
      </c>
      <c r="I2007" s="15">
        <v>0.61338074113109509</v>
      </c>
      <c r="J2007" s="15">
        <v>0.61338074113109509</v>
      </c>
      <c r="K2007" s="15">
        <v>0.83138934499886141</v>
      </c>
      <c r="L2007" s="15">
        <v>0.83138934499886141</v>
      </c>
      <c r="M2007" s="15">
        <v>0.83138934499886141</v>
      </c>
      <c r="N2007" s="15">
        <v>1.2062861903847646</v>
      </c>
      <c r="O2007" s="15" t="s">
        <v>10</v>
      </c>
      <c r="P2007" s="15" t="s">
        <v>10</v>
      </c>
      <c r="Q2007" s="8"/>
      <c r="R2007" s="9" t="s">
        <v>1991</v>
      </c>
    </row>
    <row r="2008" spans="1:18" x14ac:dyDescent="0.25">
      <c r="A2008" s="6" t="str">
        <f>HYPERLINK("proteomic_fractions_linear_files/Yang_linear_img/26986541.jpg", "26986541")</f>
        <v>26986541</v>
      </c>
      <c r="B2008" s="7"/>
      <c r="C2008" s="6" t="str">
        <f>HYPERLINK("http://www.ncbi.nlm.nih.gov/protein/26986541","Dync2li1")</f>
        <v>Dync2li1</v>
      </c>
      <c r="D2008" s="8"/>
      <c r="E2008" s="8">
        <v>39338</v>
      </c>
      <c r="F2008" s="8"/>
      <c r="G2008" s="15" t="s">
        <v>10</v>
      </c>
      <c r="H2008" s="15" t="s">
        <v>10</v>
      </c>
      <c r="I2008" s="15" t="s">
        <v>10</v>
      </c>
      <c r="J2008" s="15" t="s">
        <v>10</v>
      </c>
      <c r="K2008" s="15" t="s">
        <v>10</v>
      </c>
      <c r="L2008" s="15" t="s">
        <v>10</v>
      </c>
      <c r="M2008" s="15">
        <v>0.8859840136019278</v>
      </c>
      <c r="N2008" s="15">
        <v>0.8859840136019278</v>
      </c>
      <c r="O2008" s="15" t="s">
        <v>10</v>
      </c>
      <c r="P2008" s="15" t="s">
        <v>10</v>
      </c>
      <c r="Q2008" s="8"/>
      <c r="R2008" s="9" t="s">
        <v>1992</v>
      </c>
    </row>
    <row r="2009" spans="1:18" x14ac:dyDescent="0.25">
      <c r="A2009" s="6" t="str">
        <f>HYPERLINK("proteomic_fractions_linear_files/Yang_linear_img/213688406.jpg", "213688406")</f>
        <v>213688406</v>
      </c>
      <c r="B2009" s="7"/>
      <c r="C2009" s="6" t="str">
        <f>HYPERLINK("http://www.ncbi.nlm.nih.gov/protein/213688406","Dynll1")</f>
        <v>Dynll1</v>
      </c>
      <c r="D2009" s="8"/>
      <c r="E2009" s="8">
        <v>10235</v>
      </c>
      <c r="F2009" s="8"/>
      <c r="G2009" s="15">
        <v>1.2232861292331356</v>
      </c>
      <c r="H2009" s="15">
        <v>1.2232861292331356</v>
      </c>
      <c r="I2009" s="15">
        <v>1.2747219341937626</v>
      </c>
      <c r="J2009" s="15">
        <v>1.2747219341937626</v>
      </c>
      <c r="K2009" s="15">
        <v>1.2747219341937626</v>
      </c>
      <c r="L2009" s="15">
        <v>1.2747219341937626</v>
      </c>
      <c r="M2009" s="15">
        <v>1.3297064023001535</v>
      </c>
      <c r="N2009" s="15">
        <v>1.3297064023001535</v>
      </c>
      <c r="O2009" s="15">
        <v>1.2232861292331356</v>
      </c>
      <c r="P2009" s="15">
        <v>1.2232861292331356</v>
      </c>
      <c r="Q2009" s="8"/>
      <c r="R2009" s="9" t="s">
        <v>1993</v>
      </c>
    </row>
    <row r="2010" spans="1:18" x14ac:dyDescent="0.25">
      <c r="A2010" s="6" t="str">
        <f>HYPERLINK("proteomic_fractions_linear_files/Yang_linear_img/281182473;18087731.jpg", "281182473;18087731")</f>
        <v>281182473;18087731</v>
      </c>
      <c r="B2010" s="8"/>
      <c r="C2010" s="6" t="str">
        <f>HYPERLINK("http://www.ncbi.nlm.nih.gov/protein/281182473;18087731","Dynll2")</f>
        <v>Dynll2</v>
      </c>
      <c r="D2010" s="8"/>
      <c r="E2010" s="8">
        <v>10219</v>
      </c>
      <c r="F2010" s="8"/>
      <c r="G2010" s="15">
        <v>1.2232861292331356</v>
      </c>
      <c r="H2010" s="15">
        <v>1.2232861292331356</v>
      </c>
      <c r="I2010" s="15" t="s">
        <v>10</v>
      </c>
      <c r="J2010" s="15" t="s">
        <v>10</v>
      </c>
      <c r="K2010" s="15">
        <v>1.2747219341937626</v>
      </c>
      <c r="L2010" s="15">
        <v>1.2747219341937626</v>
      </c>
      <c r="M2010" s="15" t="s">
        <v>10</v>
      </c>
      <c r="N2010" s="15" t="s">
        <v>10</v>
      </c>
      <c r="O2010" s="15" t="s">
        <v>10</v>
      </c>
      <c r="P2010" s="15" t="s">
        <v>10</v>
      </c>
      <c r="Q2010" s="8"/>
      <c r="R2010" s="9" t="s">
        <v>1994</v>
      </c>
    </row>
    <row r="2011" spans="1:18" x14ac:dyDescent="0.25">
      <c r="A2011" s="6" t="str">
        <f>HYPERLINK("proteomic_fractions_linear_files/Yang_linear_img/18087731.jpg", "18087731")</f>
        <v>18087731</v>
      </c>
      <c r="B2011" s="7"/>
      <c r="C2011" s="6" t="str">
        <f>HYPERLINK("http://www.ncbi.nlm.nih.gov/protein/18087731","Dynll2")</f>
        <v>Dynll2</v>
      </c>
      <c r="D2011" s="8"/>
      <c r="E2011" s="8">
        <v>10219</v>
      </c>
      <c r="F2011" s="8"/>
      <c r="G2011" s="15" t="s">
        <v>10</v>
      </c>
      <c r="H2011" s="15" t="s">
        <v>10</v>
      </c>
      <c r="I2011" s="15">
        <v>1.2747219341937626</v>
      </c>
      <c r="J2011" s="15">
        <v>1.2747219341937626</v>
      </c>
      <c r="K2011" s="15" t="s">
        <v>10</v>
      </c>
      <c r="L2011" s="15" t="s">
        <v>10</v>
      </c>
      <c r="M2011" s="15">
        <v>1.3297064023001535</v>
      </c>
      <c r="N2011" s="15">
        <v>1.3297064023001535</v>
      </c>
      <c r="O2011" s="15">
        <v>1.2232861292331356</v>
      </c>
      <c r="P2011" s="15">
        <v>1.2232861292331356</v>
      </c>
      <c r="Q2011" s="8"/>
      <c r="R2011" s="9" t="s">
        <v>1994</v>
      </c>
    </row>
    <row r="2012" spans="1:18" x14ac:dyDescent="0.25">
      <c r="A2012" s="6" t="str">
        <f>HYPERLINK("proteomic_fractions_linear_files/Yang_linear_img/254540041.jpg", "254540041")</f>
        <v>254540041</v>
      </c>
      <c r="B2012" s="7"/>
      <c r="C2012" s="6" t="str">
        <f>HYPERLINK("http://www.ncbi.nlm.nih.gov/protein/254540041","Dynlrb1")</f>
        <v>Dynlrb1</v>
      </c>
      <c r="D2012" s="8"/>
      <c r="E2012" s="8">
        <v>10859</v>
      </c>
      <c r="F2012" s="8"/>
      <c r="G2012" s="15">
        <v>1.1120782993028506</v>
      </c>
      <c r="H2012" s="15">
        <v>1.1120782993028506</v>
      </c>
      <c r="I2012" s="15">
        <v>1.1120782993028506</v>
      </c>
      <c r="J2012" s="15">
        <v>1.1120782993028506</v>
      </c>
      <c r="K2012" s="15">
        <v>1.2088240020910486</v>
      </c>
      <c r="L2012" s="15">
        <v>1.2088240020910486</v>
      </c>
      <c r="M2012" s="15">
        <v>1.1588381219943296</v>
      </c>
      <c r="N2012" s="15">
        <v>1.1588381219943296</v>
      </c>
      <c r="O2012" s="15">
        <v>1.1120782993028506</v>
      </c>
      <c r="P2012" s="15">
        <v>1.1120782993028506</v>
      </c>
      <c r="Q2012" s="8"/>
      <c r="R2012" s="9" t="s">
        <v>1995</v>
      </c>
    </row>
    <row r="2013" spans="1:18" x14ac:dyDescent="0.25">
      <c r="A2013" s="6" t="str">
        <f>HYPERLINK("proteomic_fractions_linear_files/Yang_linear_img/262231815.jpg", "262231815")</f>
        <v>262231815</v>
      </c>
      <c r="B2013" s="7"/>
      <c r="C2013" s="6" t="str">
        <f>HYPERLINK("http://www.ncbi.nlm.nih.gov/protein/262231815","Dynlt1a")</f>
        <v>Dynlt1a</v>
      </c>
      <c r="D2013" s="8"/>
      <c r="E2013" s="8">
        <v>12352</v>
      </c>
      <c r="F2013" s="8"/>
      <c r="G2013" s="15" t="s">
        <v>10</v>
      </c>
      <c r="H2013" s="15" t="s">
        <v>10</v>
      </c>
      <c r="I2013" s="15">
        <v>1.1571542083280542</v>
      </c>
      <c r="J2013" s="15">
        <v>1.1571542083280542</v>
      </c>
      <c r="K2013" s="15" t="s">
        <v>10</v>
      </c>
      <c r="L2013" s="15" t="s">
        <v>10</v>
      </c>
      <c r="M2013" s="15">
        <v>1.209789476822529</v>
      </c>
      <c r="N2013" s="15">
        <v>1.209789476822529</v>
      </c>
      <c r="O2013" s="15">
        <v>1.1080886685834612</v>
      </c>
      <c r="P2013" s="15">
        <v>1.1080886685834612</v>
      </c>
      <c r="Q2013" s="8"/>
      <c r="R2013" s="9" t="s">
        <v>1996</v>
      </c>
    </row>
    <row r="2014" spans="1:18" x14ac:dyDescent="0.25">
      <c r="A2014" s="6" t="str">
        <f>HYPERLINK("proteomic_fractions_linear_files/Yang_linear_img/6678265;262231815.jpg", "6678265;262231815")</f>
        <v>6678265;262231815</v>
      </c>
      <c r="B2014" s="8"/>
      <c r="C2014" s="6" t="str">
        <f>HYPERLINK("http://www.ncbi.nlm.nih.gov/protein/6678265;262231815","Dynlt1b")</f>
        <v>Dynlt1b</v>
      </c>
      <c r="D2014" s="8"/>
      <c r="E2014" s="8">
        <v>12352</v>
      </c>
      <c r="F2014" s="8"/>
      <c r="G2014" s="15" t="s">
        <v>10</v>
      </c>
      <c r="H2014" s="15" t="s">
        <v>10</v>
      </c>
      <c r="I2014" s="15" t="s">
        <v>10</v>
      </c>
      <c r="J2014" s="15" t="s">
        <v>10</v>
      </c>
      <c r="K2014" s="15">
        <v>1.209789476822529</v>
      </c>
      <c r="L2014" s="15">
        <v>1.209789476822529</v>
      </c>
      <c r="M2014" s="15" t="s">
        <v>10</v>
      </c>
      <c r="N2014" s="15" t="s">
        <v>10</v>
      </c>
      <c r="O2014" s="15" t="s">
        <v>10</v>
      </c>
      <c r="P2014" s="15" t="s">
        <v>10</v>
      </c>
      <c r="Q2014" s="8"/>
      <c r="R2014" s="9" t="s">
        <v>1997</v>
      </c>
    </row>
    <row r="2015" spans="1:18" x14ac:dyDescent="0.25">
      <c r="A2015" s="6" t="str">
        <f>HYPERLINK("proteomic_fractions_linear_files/Yang_linear_img/315711043.jpg", "315711043")</f>
        <v>315711043</v>
      </c>
      <c r="B2015" s="7"/>
      <c r="C2015" s="6" t="str">
        <f>HYPERLINK("http://www.ncbi.nlm.nih.gov/protein/315711043","Dynlt1f")</f>
        <v>Dynlt1f</v>
      </c>
      <c r="D2015" s="8"/>
      <c r="E2015" s="8">
        <v>11494</v>
      </c>
      <c r="F2015" s="8"/>
      <c r="G2015" s="15" t="s">
        <v>10</v>
      </c>
      <c r="H2015" s="15" t="s">
        <v>10</v>
      </c>
      <c r="I2015" s="15">
        <v>1.2623500454487864</v>
      </c>
      <c r="J2015" s="15">
        <v>1.2623500454487864</v>
      </c>
      <c r="K2015" s="15">
        <v>1.3197703383518498</v>
      </c>
      <c r="L2015" s="15">
        <v>1.3197703383518498</v>
      </c>
      <c r="M2015" s="15">
        <v>1.3197703383518498</v>
      </c>
      <c r="N2015" s="15">
        <v>1.3197703383518498</v>
      </c>
      <c r="O2015" s="15">
        <v>1.2088240020910486</v>
      </c>
      <c r="P2015" s="15">
        <v>1.2088240020910486</v>
      </c>
      <c r="Q2015" s="8"/>
      <c r="R2015" s="9" t="s">
        <v>1998</v>
      </c>
    </row>
    <row r="2016" spans="1:18" x14ac:dyDescent="0.25">
      <c r="A2016" s="6" t="str">
        <f>HYPERLINK("proteomic_fractions_linear_files/Yang_linear_img/31543851.jpg", "31543851")</f>
        <v>31543851</v>
      </c>
      <c r="B2016" s="7"/>
      <c r="C2016" s="6" t="str">
        <f>HYPERLINK("http://www.ncbi.nlm.nih.gov/protein/31543851","Dynlt3")</f>
        <v>Dynlt3</v>
      </c>
      <c r="D2016" s="8"/>
      <c r="E2016" s="8">
        <v>12826</v>
      </c>
      <c r="F2016" s="8"/>
      <c r="G2016" s="15" t="s">
        <v>10</v>
      </c>
      <c r="H2016" s="15" t="s">
        <v>10</v>
      </c>
      <c r="I2016" s="15" t="s">
        <v>10</v>
      </c>
      <c r="J2016" s="15" t="s">
        <v>10</v>
      </c>
      <c r="K2016" s="15">
        <v>1.1167287478361805</v>
      </c>
      <c r="L2016" s="15">
        <v>1.1167287478361805</v>
      </c>
      <c r="M2016" s="15">
        <v>1.1167287478361805</v>
      </c>
      <c r="N2016" s="15">
        <v>1.1167287478361805</v>
      </c>
      <c r="O2016" s="15" t="s">
        <v>10</v>
      </c>
      <c r="P2016" s="15" t="s">
        <v>10</v>
      </c>
      <c r="Q2016" s="8"/>
      <c r="R2016" s="9" t="s">
        <v>1999</v>
      </c>
    </row>
    <row r="2017" spans="1:18" x14ac:dyDescent="0.25">
      <c r="A2017" s="6" t="str">
        <f>HYPERLINK("proteomic_fractions_linear_files/Yang_linear_img/164607150.jpg", "164607150")</f>
        <v>164607150</v>
      </c>
      <c r="B2017" s="7"/>
      <c r="C2017" s="6" t="str">
        <f>HYPERLINK("http://www.ncbi.nlm.nih.gov/protein/164607150","Dyrk1a")</f>
        <v>Dyrk1a</v>
      </c>
      <c r="D2017" s="8"/>
      <c r="E2017" s="8">
        <v>85363</v>
      </c>
      <c r="F2017" s="8"/>
      <c r="G2017" s="15" t="s">
        <v>10</v>
      </c>
      <c r="H2017" s="15" t="s">
        <v>10</v>
      </c>
      <c r="I2017" s="15" t="s">
        <v>10</v>
      </c>
      <c r="J2017" s="15" t="s">
        <v>10</v>
      </c>
      <c r="K2017" s="15">
        <v>1.2917831037780172</v>
      </c>
      <c r="L2017" s="15">
        <v>1.2917831037780172</v>
      </c>
      <c r="M2017" s="15" t="s">
        <v>10</v>
      </c>
      <c r="N2017" s="15" t="s">
        <v>10</v>
      </c>
      <c r="O2017" s="15" t="s">
        <v>10</v>
      </c>
      <c r="P2017" s="15" t="s">
        <v>10</v>
      </c>
      <c r="Q2017" s="8"/>
      <c r="R2017" s="9" t="s">
        <v>2000</v>
      </c>
    </row>
    <row r="2018" spans="1:18" x14ac:dyDescent="0.25">
      <c r="A2018" s="6" t="str">
        <f>HYPERLINK("proteomic_fractions_linear_files/Yang_linear_img/406035327.jpg", "406035327")</f>
        <v>406035327</v>
      </c>
      <c r="B2018" s="7"/>
      <c r="C2018" s="6" t="str">
        <f>HYPERLINK("http://www.ncbi.nlm.nih.gov/protein/406035327","Dyrk1b")</f>
        <v>Dyrk1b</v>
      </c>
      <c r="D2018" s="8"/>
      <c r="E2018" s="8">
        <v>74964</v>
      </c>
      <c r="F2018" s="8"/>
      <c r="G2018" s="15" t="s">
        <v>10</v>
      </c>
      <c r="H2018" s="15" t="s">
        <v>10</v>
      </c>
      <c r="I2018" s="15" t="s">
        <v>10</v>
      </c>
      <c r="J2018" s="15" t="s">
        <v>10</v>
      </c>
      <c r="K2018" s="15">
        <v>1.4640208509484196</v>
      </c>
      <c r="L2018" s="15">
        <v>1.4640208509484196</v>
      </c>
      <c r="M2018" s="15" t="s">
        <v>10</v>
      </c>
      <c r="N2018" s="15" t="s">
        <v>10</v>
      </c>
      <c r="O2018" s="15" t="s">
        <v>10</v>
      </c>
      <c r="P2018" s="15" t="s">
        <v>10</v>
      </c>
      <c r="Q2018" s="8"/>
      <c r="R2018" s="9" t="s">
        <v>2001</v>
      </c>
    </row>
    <row r="2019" spans="1:18" x14ac:dyDescent="0.25">
      <c r="A2019" s="6" t="str">
        <f>HYPERLINK("proteomic_fractions_linear_files/Yang_linear_img/6753698.jpg", "6753698")</f>
        <v>6753698</v>
      </c>
      <c r="B2019" s="7"/>
      <c r="C2019" s="6" t="str">
        <f>HYPERLINK("http://www.ncbi.nlm.nih.gov/protein/6753698","Dyrk1b")</f>
        <v>Dyrk1b</v>
      </c>
      <c r="D2019" s="8"/>
      <c r="E2019" s="8">
        <v>64784</v>
      </c>
      <c r="F2019" s="8"/>
      <c r="G2019" s="15" t="s">
        <v>10</v>
      </c>
      <c r="H2019" s="15" t="s">
        <v>10</v>
      </c>
      <c r="I2019" s="15" t="s">
        <v>10</v>
      </c>
      <c r="J2019" s="15" t="s">
        <v>10</v>
      </c>
      <c r="K2019" s="15">
        <v>1.6892548280174071</v>
      </c>
      <c r="L2019" s="15">
        <v>1.6892548280174071</v>
      </c>
      <c r="M2019" s="15" t="s">
        <v>10</v>
      </c>
      <c r="N2019" s="15" t="s">
        <v>10</v>
      </c>
      <c r="O2019" s="15" t="s">
        <v>10</v>
      </c>
      <c r="P2019" s="15" t="s">
        <v>10</v>
      </c>
      <c r="Q2019" s="8"/>
      <c r="R2019" s="9" t="s">
        <v>2002</v>
      </c>
    </row>
    <row r="2020" spans="1:18" x14ac:dyDescent="0.25">
      <c r="A2020" s="6" t="str">
        <f>HYPERLINK("proteomic_fractions_linear_files/Yang_linear_img/83816922.jpg", "83816922")</f>
        <v>83816922</v>
      </c>
      <c r="B2020" s="7"/>
      <c r="C2020" s="6" t="str">
        <f>HYPERLINK("http://www.ncbi.nlm.nih.gov/protein/83816922","Dyrk1b")</f>
        <v>Dyrk1b</v>
      </c>
      <c r="D2020" s="8"/>
      <c r="E2020" s="8">
        <v>69047</v>
      </c>
      <c r="F2020" s="8"/>
      <c r="G2020" s="15" t="s">
        <v>10</v>
      </c>
      <c r="H2020" s="15" t="s">
        <v>10</v>
      </c>
      <c r="I2020" s="15" t="s">
        <v>10</v>
      </c>
      <c r="J2020" s="15" t="s">
        <v>10</v>
      </c>
      <c r="K2020" s="15">
        <v>1.5913270119004561</v>
      </c>
      <c r="L2020" s="15">
        <v>1.5913270119004561</v>
      </c>
      <c r="M2020" s="15" t="s">
        <v>10</v>
      </c>
      <c r="N2020" s="15" t="s">
        <v>10</v>
      </c>
      <c r="O2020" s="15" t="s">
        <v>10</v>
      </c>
      <c r="P2020" s="15" t="s">
        <v>10</v>
      </c>
      <c r="Q2020" s="8"/>
      <c r="R2020" s="9" t="s">
        <v>2003</v>
      </c>
    </row>
    <row r="2021" spans="1:18" x14ac:dyDescent="0.25">
      <c r="A2021" s="6" t="str">
        <f>HYPERLINK("proteomic_fractions_linear_files/Yang_linear_img/116174791.jpg", "116174791")</f>
        <v>116174791</v>
      </c>
      <c r="B2021" s="7"/>
      <c r="C2021" s="6" t="str">
        <f>HYPERLINK("http://www.ncbi.nlm.nih.gov/protein/116174791","Dysf")</f>
        <v>Dysf</v>
      </c>
      <c r="D2021" s="8"/>
      <c r="E2021" s="8">
        <v>239160</v>
      </c>
      <c r="F2021" s="8"/>
      <c r="G2021" s="15" t="s">
        <v>10</v>
      </c>
      <c r="H2021" s="15" t="s">
        <v>10</v>
      </c>
      <c r="I2021" s="15">
        <v>0.97640522020020526</v>
      </c>
      <c r="J2021" s="15">
        <v>0.97640522020020526</v>
      </c>
      <c r="K2021" s="15">
        <v>1.262691734880748</v>
      </c>
      <c r="L2021" s="15">
        <v>1.262691734880748</v>
      </c>
      <c r="M2021" s="15" t="s">
        <v>10</v>
      </c>
      <c r="N2021" s="15" t="s">
        <v>10</v>
      </c>
      <c r="O2021" s="15" t="s">
        <v>10</v>
      </c>
      <c r="P2021" s="15" t="s">
        <v>10</v>
      </c>
      <c r="Q2021" s="8"/>
      <c r="R2021" s="9" t="s">
        <v>2004</v>
      </c>
    </row>
    <row r="2022" spans="1:18" x14ac:dyDescent="0.25">
      <c r="A2022" s="6" t="str">
        <f>HYPERLINK("proteomic_fractions_linear_files/Yang_linear_img/118026931.jpg", "118026931")</f>
        <v>118026931</v>
      </c>
      <c r="B2022" s="7"/>
      <c r="C2022" s="6" t="str">
        <f>HYPERLINK("http://www.ncbi.nlm.nih.gov/protein/118026931","Dysf")</f>
        <v>Dysf</v>
      </c>
      <c r="D2022" s="8"/>
      <c r="E2022" s="8">
        <v>239004</v>
      </c>
      <c r="F2022" s="8"/>
      <c r="G2022" s="15" t="s">
        <v>10</v>
      </c>
      <c r="H2022" s="15" t="s">
        <v>10</v>
      </c>
      <c r="I2022" s="15">
        <v>0.97640522020020526</v>
      </c>
      <c r="J2022" s="15">
        <v>0.97640522020020526</v>
      </c>
      <c r="K2022" s="15">
        <v>1.262691734880748</v>
      </c>
      <c r="L2022" s="15">
        <v>1.262691734880748</v>
      </c>
      <c r="M2022" s="15" t="s">
        <v>10</v>
      </c>
      <c r="N2022" s="15" t="s">
        <v>10</v>
      </c>
      <c r="O2022" s="15" t="s">
        <v>10</v>
      </c>
      <c r="P2022" s="15" t="s">
        <v>10</v>
      </c>
      <c r="Q2022" s="8"/>
      <c r="R2022" s="9" t="s">
        <v>2005</v>
      </c>
    </row>
    <row r="2023" spans="1:18" x14ac:dyDescent="0.25">
      <c r="A2023" s="6" t="str">
        <f>HYPERLINK("proteomic_fractions_linear_files/Yang_linear_img/124249054.jpg", "124249054")</f>
        <v>124249054</v>
      </c>
      <c r="B2023" s="7"/>
      <c r="C2023" s="6" t="str">
        <f>HYPERLINK("http://www.ncbi.nlm.nih.gov/protein/124249054","Dzip3")</f>
        <v>Dzip3</v>
      </c>
      <c r="D2023" s="8"/>
      <c r="E2023" s="8">
        <v>113770</v>
      </c>
      <c r="F2023" s="8"/>
      <c r="G2023" s="15" t="s">
        <v>10</v>
      </c>
      <c r="H2023" s="15" t="s">
        <v>10</v>
      </c>
      <c r="I2023" s="15">
        <v>0.3030997941269753</v>
      </c>
      <c r="J2023" s="15">
        <v>0.3030997941269753</v>
      </c>
      <c r="K2023" s="15">
        <v>0.3030997941269753</v>
      </c>
      <c r="L2023" s="15">
        <v>0.3030997941269753</v>
      </c>
      <c r="M2023" s="15" t="s">
        <v>10</v>
      </c>
      <c r="N2023" s="15" t="s">
        <v>10</v>
      </c>
      <c r="O2023" s="15" t="s">
        <v>10</v>
      </c>
      <c r="P2023" s="15" t="s">
        <v>10</v>
      </c>
      <c r="Q2023" s="8"/>
      <c r="R2023" s="9" t="s">
        <v>2006</v>
      </c>
    </row>
    <row r="2024" spans="1:18" x14ac:dyDescent="0.25">
      <c r="A2024" s="6" t="str">
        <f>HYPERLINK("proteomic_fractions_linear_files/Yang_linear_img/158517947.jpg", "158517947")</f>
        <v>158517947</v>
      </c>
      <c r="B2024" s="7"/>
      <c r="C2024" s="6" t="str">
        <f>HYPERLINK("http://www.ncbi.nlm.nih.gov/protein/158517947","Dzip3")</f>
        <v>Dzip3</v>
      </c>
      <c r="D2024" s="8"/>
      <c r="E2024" s="8">
        <v>137890</v>
      </c>
      <c r="F2024" s="8"/>
      <c r="G2024" s="15" t="s">
        <v>10</v>
      </c>
      <c r="H2024" s="15" t="s">
        <v>10</v>
      </c>
      <c r="I2024" s="15">
        <v>0.25038678645271872</v>
      </c>
      <c r="J2024" s="15">
        <v>0.25038678645271872</v>
      </c>
      <c r="K2024" s="15">
        <v>0.25038678645271872</v>
      </c>
      <c r="L2024" s="15">
        <v>0.25038678645271872</v>
      </c>
      <c r="M2024" s="15" t="s">
        <v>10</v>
      </c>
      <c r="N2024" s="15" t="s">
        <v>10</v>
      </c>
      <c r="O2024" s="15" t="s">
        <v>10</v>
      </c>
      <c r="P2024" s="15" t="s">
        <v>10</v>
      </c>
      <c r="Q2024" s="8"/>
      <c r="R2024" s="9" t="s">
        <v>2007</v>
      </c>
    </row>
    <row r="2025" spans="1:18" x14ac:dyDescent="0.25">
      <c r="A2025" s="6" t="str">
        <f>HYPERLINK("proteomic_fractions_linear_files/Yang_linear_img/149234198.jpg", "149234198")</f>
        <v>149234198</v>
      </c>
      <c r="B2025" s="7"/>
      <c r="C2025" s="6" t="str">
        <f>HYPERLINK("http://www.ncbi.nlm.nih.gov/protein/149234198","E030010N08Rik")</f>
        <v>E030010N08Rik</v>
      </c>
      <c r="D2025" s="8"/>
      <c r="E2025" s="8">
        <v>193919</v>
      </c>
      <c r="F2025" s="8"/>
      <c r="G2025" s="15" t="s">
        <v>10</v>
      </c>
      <c r="H2025" s="15" t="s">
        <v>10</v>
      </c>
      <c r="I2025" s="15" t="s">
        <v>10</v>
      </c>
      <c r="J2025" s="15" t="s">
        <v>10</v>
      </c>
      <c r="K2025" s="15" t="s">
        <v>10</v>
      </c>
      <c r="L2025" s="15" t="s">
        <v>10</v>
      </c>
      <c r="M2025" s="15" t="s">
        <v>10</v>
      </c>
      <c r="N2025" s="15" t="s">
        <v>10</v>
      </c>
      <c r="O2025" s="15">
        <v>1.2028909671538612</v>
      </c>
      <c r="P2025" s="15">
        <v>1.2028909671538612</v>
      </c>
      <c r="Q2025" s="8"/>
      <c r="R2025" s="9" t="s">
        <v>8041</v>
      </c>
    </row>
    <row r="2026" spans="1:18" x14ac:dyDescent="0.25">
      <c r="A2026" s="6" t="str">
        <f>HYPERLINK("proteomic_fractions_linear_files/Yang_linear_img/309264118.jpg", "309264118")</f>
        <v>309264118</v>
      </c>
      <c r="B2026" s="7"/>
      <c r="C2026" s="6" t="str">
        <f>HYPERLINK("http://www.ncbi.nlm.nih.gov/protein/309264118","E030010N08Rik")</f>
        <v>E030010N08Rik</v>
      </c>
      <c r="D2026" s="8"/>
      <c r="E2026" s="8">
        <v>193947</v>
      </c>
      <c r="F2026" s="8"/>
      <c r="G2026" s="15" t="s">
        <v>10</v>
      </c>
      <c r="H2026" s="15" t="s">
        <v>10</v>
      </c>
      <c r="I2026" s="15" t="s">
        <v>10</v>
      </c>
      <c r="J2026" s="15" t="s">
        <v>10</v>
      </c>
      <c r="K2026" s="15" t="s">
        <v>10</v>
      </c>
      <c r="L2026" s="15" t="s">
        <v>10</v>
      </c>
      <c r="M2026" s="15" t="s">
        <v>10</v>
      </c>
      <c r="N2026" s="15" t="s">
        <v>10</v>
      </c>
      <c r="O2026" s="15">
        <v>1.2028909671538612</v>
      </c>
      <c r="P2026" s="15">
        <v>1.2028909671538612</v>
      </c>
      <c r="Q2026" s="8"/>
      <c r="R2026" s="9" t="s">
        <v>8041</v>
      </c>
    </row>
    <row r="2027" spans="1:18" x14ac:dyDescent="0.25">
      <c r="A2027" s="6" t="str">
        <f>HYPERLINK("proteomic_fractions_linear_files/Yang_linear_img/170650679.jpg", "170650679")</f>
        <v>170650679</v>
      </c>
      <c r="B2027" s="7"/>
      <c r="C2027" s="6" t="str">
        <f>HYPERLINK("http://www.ncbi.nlm.nih.gov/protein/170650679","E130309D02Rik")</f>
        <v>E130309D02Rik</v>
      </c>
      <c r="D2027" s="8"/>
      <c r="E2027" s="8">
        <v>49777</v>
      </c>
      <c r="F2027" s="8"/>
      <c r="G2027" s="15" t="s">
        <v>10</v>
      </c>
      <c r="H2027" s="15" t="s">
        <v>10</v>
      </c>
      <c r="I2027" s="15" t="s">
        <v>10</v>
      </c>
      <c r="J2027" s="15" t="s">
        <v>10</v>
      </c>
      <c r="K2027" s="15">
        <v>0.96579951168830502</v>
      </c>
      <c r="L2027" s="15">
        <v>0.96579951168830502</v>
      </c>
      <c r="M2027" s="15" t="s">
        <v>10</v>
      </c>
      <c r="N2027" s="15" t="s">
        <v>10</v>
      </c>
      <c r="O2027" s="15" t="s">
        <v>10</v>
      </c>
      <c r="P2027" s="15" t="s">
        <v>10</v>
      </c>
      <c r="Q2027" s="8"/>
      <c r="R2027" s="9" t="s">
        <v>2008</v>
      </c>
    </row>
    <row r="2028" spans="1:18" x14ac:dyDescent="0.25">
      <c r="A2028" s="6" t="str">
        <f>HYPERLINK("proteomic_fractions_linear_files/Yang_linear_img/29244450.jpg", "29244450")</f>
        <v>29244450</v>
      </c>
      <c r="B2028" s="7"/>
      <c r="C2028" s="6" t="str">
        <f>HYPERLINK("http://www.ncbi.nlm.nih.gov/protein/29244450","E130311K13Rik")</f>
        <v>E130311K13Rik</v>
      </c>
      <c r="D2028" s="8"/>
      <c r="E2028" s="8">
        <v>33537</v>
      </c>
      <c r="F2028" s="8"/>
      <c r="G2028" s="15" t="s">
        <v>10</v>
      </c>
      <c r="H2028" s="15" t="s">
        <v>10</v>
      </c>
      <c r="I2028" s="15">
        <v>0.82112386169653118</v>
      </c>
      <c r="J2028" s="15">
        <v>0.82112386169653118</v>
      </c>
      <c r="K2028" s="15" t="s">
        <v>10</v>
      </c>
      <c r="L2028" s="15" t="s">
        <v>10</v>
      </c>
      <c r="M2028" s="15" t="s">
        <v>10</v>
      </c>
      <c r="N2028" s="15" t="s">
        <v>10</v>
      </c>
      <c r="O2028" s="15" t="s">
        <v>10</v>
      </c>
      <c r="P2028" s="15" t="s">
        <v>10</v>
      </c>
      <c r="Q2028" s="8"/>
      <c r="R2028" s="9" t="s">
        <v>2009</v>
      </c>
    </row>
    <row r="2029" spans="1:18" x14ac:dyDescent="0.25">
      <c r="A2029" s="6" t="str">
        <f>HYPERLINK("proteomic_fractions_linear_files/Yang_linear_img/319402141.jpg", "319402141")</f>
        <v>319402141</v>
      </c>
      <c r="B2029" s="7"/>
      <c r="C2029" s="6" t="str">
        <f>HYPERLINK("http://www.ncbi.nlm.nih.gov/protein/319402141","E330021D16Rik")</f>
        <v>E330021D16Rik</v>
      </c>
      <c r="D2029" s="8"/>
      <c r="E2029" s="8">
        <v>42107</v>
      </c>
      <c r="F2029" s="8"/>
      <c r="G2029" s="15" t="s">
        <v>10</v>
      </c>
      <c r="H2029" s="15" t="s">
        <v>10</v>
      </c>
      <c r="I2029" s="15" t="s">
        <v>10</v>
      </c>
      <c r="J2029" s="15" t="s">
        <v>10</v>
      </c>
      <c r="K2029" s="15" t="s">
        <v>10</v>
      </c>
      <c r="L2029" s="15" t="s">
        <v>10</v>
      </c>
      <c r="M2029" s="15" t="s">
        <v>10</v>
      </c>
      <c r="N2029" s="15" t="s">
        <v>10</v>
      </c>
      <c r="O2029" s="15">
        <v>1.1497613234384585</v>
      </c>
      <c r="P2029" s="15">
        <v>1.1497613234384585</v>
      </c>
      <c r="Q2029" s="8"/>
      <c r="R2029" s="9" t="s">
        <v>2010</v>
      </c>
    </row>
    <row r="2030" spans="1:18" x14ac:dyDescent="0.25">
      <c r="A2030" s="6" t="str">
        <f>HYPERLINK("proteomic_fractions_linear_files/Yang_linear_img/46048300.jpg", "46048300")</f>
        <v>46048300</v>
      </c>
      <c r="B2030" s="7"/>
      <c r="C2030" s="6" t="str">
        <f>HYPERLINK("http://www.ncbi.nlm.nih.gov/protein/46048300","E430025E21Rik")</f>
        <v>E430025E21Rik</v>
      </c>
      <c r="D2030" s="8"/>
      <c r="E2030" s="8">
        <v>133980</v>
      </c>
      <c r="F2030" s="8"/>
      <c r="G2030" s="15">
        <v>3.0525638637271628</v>
      </c>
      <c r="H2030" s="15">
        <v>3.0525638637271628</v>
      </c>
      <c r="I2030" s="15">
        <v>2.2521143629589462</v>
      </c>
      <c r="J2030" s="15">
        <v>2.2521143629589462</v>
      </c>
      <c r="K2030" s="15">
        <v>0.96060916526206697</v>
      </c>
      <c r="L2030" s="15">
        <v>0.96060916526206697</v>
      </c>
      <c r="M2030" s="15">
        <v>0.96060916526206697</v>
      </c>
      <c r="N2030" s="15">
        <v>0.96060916526206697</v>
      </c>
      <c r="O2030" s="15">
        <v>0.96060916526206697</v>
      </c>
      <c r="P2030" s="15">
        <v>0.96060916526206697</v>
      </c>
      <c r="Q2030" s="8"/>
      <c r="R2030" s="9" t="s">
        <v>2011</v>
      </c>
    </row>
    <row r="2031" spans="1:18" x14ac:dyDescent="0.25">
      <c r="A2031" s="6" t="str">
        <f>HYPERLINK("proteomic_fractions_linear_files/Yang_linear_img/21312986.jpg", "21312986")</f>
        <v>21312986</v>
      </c>
      <c r="B2031" s="7"/>
      <c r="C2031" s="6" t="str">
        <f>HYPERLINK("http://www.ncbi.nlm.nih.gov/protein/21312986","Ears2")</f>
        <v>Ears2</v>
      </c>
      <c r="D2031" s="8"/>
      <c r="E2031" s="8">
        <v>53933</v>
      </c>
      <c r="F2031" s="8"/>
      <c r="G2031" s="15">
        <v>0.98371425240742738</v>
      </c>
      <c r="H2031" s="15">
        <v>0.98371425240742738</v>
      </c>
      <c r="I2031" s="15">
        <v>0.98371425240742738</v>
      </c>
      <c r="J2031" s="15">
        <v>0.98371425240742738</v>
      </c>
      <c r="K2031" s="15">
        <v>0.75013552228190272</v>
      </c>
      <c r="L2031" s="15">
        <v>0.75013552228190272</v>
      </c>
      <c r="M2031" s="15">
        <v>0.69150604487267764</v>
      </c>
      <c r="N2031" s="15">
        <v>0.69150604487267764</v>
      </c>
      <c r="O2031" s="15" t="s">
        <v>10</v>
      </c>
      <c r="P2031" s="15" t="s">
        <v>10</v>
      </c>
      <c r="Q2031" s="8"/>
      <c r="R2031" s="9" t="s">
        <v>2012</v>
      </c>
    </row>
    <row r="2032" spans="1:18" x14ac:dyDescent="0.25">
      <c r="A2032" s="6" t="str">
        <f>HYPERLINK("proteomic_fractions_linear_files/Yang_linear_img/31982524.jpg", "31982524")</f>
        <v>31982524</v>
      </c>
      <c r="B2032" s="7"/>
      <c r="C2032" s="6" t="str">
        <f>HYPERLINK("http://www.ncbi.nlm.nih.gov/protein/31982524","Ebag9")</f>
        <v>Ebag9</v>
      </c>
      <c r="D2032" s="8"/>
      <c r="E2032" s="8">
        <v>24188</v>
      </c>
      <c r="F2032" s="8"/>
      <c r="G2032" s="15" t="s">
        <v>10</v>
      </c>
      <c r="H2032" s="15" t="s">
        <v>10</v>
      </c>
      <c r="I2032" s="15">
        <v>1.3368363689888996</v>
      </c>
      <c r="J2032" s="15">
        <v>1.3368363689888996</v>
      </c>
      <c r="K2032" s="15" t="s">
        <v>10</v>
      </c>
      <c r="L2032" s="15" t="s">
        <v>10</v>
      </c>
      <c r="M2032" s="15" t="s">
        <v>10</v>
      </c>
      <c r="N2032" s="15" t="s">
        <v>10</v>
      </c>
      <c r="O2032" s="15" t="s">
        <v>10</v>
      </c>
      <c r="P2032" s="15" t="s">
        <v>10</v>
      </c>
      <c r="Q2032" s="8"/>
      <c r="R2032" s="9" t="s">
        <v>2013</v>
      </c>
    </row>
    <row r="2033" spans="1:18" x14ac:dyDescent="0.25">
      <c r="A2033" s="6" t="str">
        <f>HYPERLINK("proteomic_fractions_linear_files/Yang_linear_img/6681255.jpg", "6681255")</f>
        <v>6681255</v>
      </c>
      <c r="B2033" s="7"/>
      <c r="C2033" s="6" t="str">
        <f>HYPERLINK("http://www.ncbi.nlm.nih.gov/protein/6681255","Ebp")</f>
        <v>Ebp</v>
      </c>
      <c r="D2033" s="8"/>
      <c r="E2033" s="8">
        <v>26084</v>
      </c>
      <c r="F2033" s="8"/>
      <c r="G2033" s="15" t="s">
        <v>10</v>
      </c>
      <c r="H2033" s="15" t="s">
        <v>10</v>
      </c>
      <c r="I2033" s="15">
        <v>0.75004422415520289</v>
      </c>
      <c r="J2033" s="15">
        <v>0.75004422415520289</v>
      </c>
      <c r="K2033" s="15">
        <v>0.75004422415520289</v>
      </c>
      <c r="L2033" s="15">
        <v>0.75004422415520289</v>
      </c>
      <c r="M2033" s="15">
        <v>0.75004422415520289</v>
      </c>
      <c r="N2033" s="15">
        <v>0.75004422415520289</v>
      </c>
      <c r="O2033" s="15" t="s">
        <v>10</v>
      </c>
      <c r="P2033" s="15" t="s">
        <v>10</v>
      </c>
      <c r="Q2033" s="8"/>
      <c r="R2033" s="9" t="s">
        <v>2014</v>
      </c>
    </row>
    <row r="2034" spans="1:18" x14ac:dyDescent="0.25">
      <c r="A2034" s="6" t="str">
        <f>HYPERLINK("proteomic_fractions_linear_files/Yang_linear_img/7949037.jpg", "7949037")</f>
        <v>7949037</v>
      </c>
      <c r="B2034" s="7"/>
      <c r="C2034" s="6" t="str">
        <f>HYPERLINK("http://www.ncbi.nlm.nih.gov/protein/7949037","Ech1")</f>
        <v>Ech1</v>
      </c>
      <c r="D2034" s="8"/>
      <c r="E2034" s="8">
        <v>32433</v>
      </c>
      <c r="F2034" s="8"/>
      <c r="G2034" s="15">
        <v>1.2658536938507108</v>
      </c>
      <c r="H2034" s="15">
        <v>1.2658536938507108</v>
      </c>
      <c r="I2034" s="15">
        <v>0.93391896536603536</v>
      </c>
      <c r="J2034" s="15">
        <v>0.93391896536603536</v>
      </c>
      <c r="K2034" s="15">
        <v>0.93391896536603536</v>
      </c>
      <c r="L2034" s="15">
        <v>0.93391896536603536</v>
      </c>
      <c r="M2034" s="15" t="s">
        <v>10</v>
      </c>
      <c r="N2034" s="15" t="s">
        <v>10</v>
      </c>
      <c r="O2034" s="15" t="s">
        <v>10</v>
      </c>
      <c r="P2034" s="15" t="s">
        <v>10</v>
      </c>
      <c r="Q2034" s="8"/>
      <c r="R2034" s="9" t="s">
        <v>2015</v>
      </c>
    </row>
    <row r="2035" spans="1:18" x14ac:dyDescent="0.25">
      <c r="A2035" s="6" t="str">
        <f>HYPERLINK("proteomic_fractions_linear_files/Yang_linear_img/158854020.jpg", "158854020")</f>
        <v>158854020</v>
      </c>
      <c r="B2035" s="7"/>
      <c r="C2035" s="6" t="str">
        <f>HYPERLINK("http://www.ncbi.nlm.nih.gov/protein/158854020","Echdc1")</f>
        <v>Echdc1</v>
      </c>
      <c r="D2035" s="8"/>
      <c r="E2035" s="8">
        <v>35336</v>
      </c>
      <c r="F2035" s="8"/>
      <c r="G2035" s="15" t="s">
        <v>10</v>
      </c>
      <c r="H2035" s="15" t="s">
        <v>10</v>
      </c>
      <c r="I2035" s="15">
        <v>0.85386876833466085</v>
      </c>
      <c r="J2035" s="15">
        <v>0.85386876833466085</v>
      </c>
      <c r="K2035" s="15">
        <v>0.85386876833466085</v>
      </c>
      <c r="L2035" s="15">
        <v>0.85386876833466085</v>
      </c>
      <c r="M2035" s="15">
        <v>0.85386876833466085</v>
      </c>
      <c r="N2035" s="15">
        <v>0.85386876833466085</v>
      </c>
      <c r="O2035" s="15">
        <v>0.74715023186928575</v>
      </c>
      <c r="P2035" s="15">
        <v>0.74715023186928575</v>
      </c>
      <c r="Q2035" s="8"/>
      <c r="R2035" s="9" t="s">
        <v>2016</v>
      </c>
    </row>
    <row r="2036" spans="1:18" x14ac:dyDescent="0.25">
      <c r="A2036" s="6" t="str">
        <f>HYPERLINK("proteomic_fractions_linear_files/Yang_linear_img/158854022.jpg", "158854022")</f>
        <v>158854022</v>
      </c>
      <c r="B2036" s="7"/>
      <c r="C2036" s="6" t="str">
        <f>HYPERLINK("http://www.ncbi.nlm.nih.gov/protein/158854022","Echdc1")</f>
        <v>Echdc1</v>
      </c>
      <c r="D2036" s="8"/>
      <c r="E2036" s="8">
        <v>32596</v>
      </c>
      <c r="F2036" s="8"/>
      <c r="G2036" s="15" t="s">
        <v>10</v>
      </c>
      <c r="H2036" s="15" t="s">
        <v>10</v>
      </c>
      <c r="I2036" s="15">
        <v>0.90561839065797367</v>
      </c>
      <c r="J2036" s="15">
        <v>0.90561839065797367</v>
      </c>
      <c r="K2036" s="15">
        <v>0.90561839065797367</v>
      </c>
      <c r="L2036" s="15">
        <v>0.90561839065797367</v>
      </c>
      <c r="M2036" s="15">
        <v>0.90561839065797367</v>
      </c>
      <c r="N2036" s="15">
        <v>0.90561839065797367</v>
      </c>
      <c r="O2036" s="15">
        <v>0.79243206410378786</v>
      </c>
      <c r="P2036" s="15">
        <v>0.79243206410378786</v>
      </c>
      <c r="Q2036" s="8"/>
      <c r="R2036" s="9" t="s">
        <v>2017</v>
      </c>
    </row>
    <row r="2037" spans="1:18" x14ac:dyDescent="0.25">
      <c r="A2037" s="6" t="str">
        <f>HYPERLINK("proteomic_fractions_linear_files/Yang_linear_img/225543400.jpg", "225543400")</f>
        <v>225543400</v>
      </c>
      <c r="B2037" s="7"/>
      <c r="C2037" s="6" t="str">
        <f>HYPERLINK("http://www.ncbi.nlm.nih.gov/protein/225543400","Echdc2")</f>
        <v>Echdc2</v>
      </c>
      <c r="D2037" s="8"/>
      <c r="E2037" s="8">
        <v>29756</v>
      </c>
      <c r="F2037" s="8"/>
      <c r="G2037" s="15">
        <v>1.2447108807708198</v>
      </c>
      <c r="H2037" s="15">
        <v>1.2447108807708198</v>
      </c>
      <c r="I2037" s="15">
        <v>0.87167527051416671</v>
      </c>
      <c r="J2037" s="15">
        <v>0.87167527051416671</v>
      </c>
      <c r="K2037" s="15" t="s">
        <v>10</v>
      </c>
      <c r="L2037" s="15" t="s">
        <v>10</v>
      </c>
      <c r="M2037" s="15" t="s">
        <v>10</v>
      </c>
      <c r="N2037" s="15" t="s">
        <v>10</v>
      </c>
      <c r="O2037" s="15" t="s">
        <v>10</v>
      </c>
      <c r="P2037" s="15" t="s">
        <v>10</v>
      </c>
      <c r="Q2037" s="8"/>
      <c r="R2037" s="9" t="s">
        <v>2018</v>
      </c>
    </row>
    <row r="2038" spans="1:18" x14ac:dyDescent="0.25">
      <c r="A2038" s="6" t="str">
        <f>HYPERLINK("proteomic_fractions_linear_files/Yang_linear_img/363543337.jpg", "363543337")</f>
        <v>363543337</v>
      </c>
      <c r="B2038" s="7"/>
      <c r="C2038" s="6" t="str">
        <f>HYPERLINK("http://www.ncbi.nlm.nih.gov/protein/363543337","Echdc2")</f>
        <v>Echdc2</v>
      </c>
      <c r="D2038" s="8"/>
      <c r="E2038" s="8">
        <v>20051</v>
      </c>
      <c r="F2038" s="8"/>
      <c r="G2038" s="15">
        <v>1.8670663211562295</v>
      </c>
      <c r="H2038" s="15">
        <v>1.8670663211562295</v>
      </c>
      <c r="I2038" s="15">
        <v>1.30751290577125</v>
      </c>
      <c r="J2038" s="15">
        <v>1.30751290577125</v>
      </c>
      <c r="K2038" s="15" t="s">
        <v>10</v>
      </c>
      <c r="L2038" s="15" t="s">
        <v>10</v>
      </c>
      <c r="M2038" s="15" t="s">
        <v>10</v>
      </c>
      <c r="N2038" s="15" t="s">
        <v>10</v>
      </c>
      <c r="O2038" s="15" t="s">
        <v>10</v>
      </c>
      <c r="P2038" s="15" t="s">
        <v>10</v>
      </c>
      <c r="Q2038" s="8"/>
      <c r="R2038" s="9" t="s">
        <v>2019</v>
      </c>
    </row>
    <row r="2039" spans="1:18" x14ac:dyDescent="0.25">
      <c r="A2039" s="6" t="str">
        <f>HYPERLINK("proteomic_fractions_linear_files/Yang_linear_img/31980955.jpg", "31980955")</f>
        <v>31980955</v>
      </c>
      <c r="B2039" s="7"/>
      <c r="C2039" s="6" t="str">
        <f>HYPERLINK("http://www.ncbi.nlm.nih.gov/protein/31980955","Echdc3")</f>
        <v>Echdc3</v>
      </c>
      <c r="D2039" s="8"/>
      <c r="E2039" s="8">
        <v>25301</v>
      </c>
      <c r="F2039" s="8"/>
      <c r="G2039" s="15" t="s">
        <v>10</v>
      </c>
      <c r="H2039" s="15" t="s">
        <v>10</v>
      </c>
      <c r="I2039" s="15">
        <v>1.0460103246170001</v>
      </c>
      <c r="J2039" s="15">
        <v>1.0460103246170001</v>
      </c>
      <c r="K2039" s="15">
        <v>3.7987192473033802</v>
      </c>
      <c r="L2039" s="15">
        <v>3.7987192473033802</v>
      </c>
      <c r="M2039" s="15" t="s">
        <v>10</v>
      </c>
      <c r="N2039" s="15" t="s">
        <v>10</v>
      </c>
      <c r="O2039" s="15" t="s">
        <v>10</v>
      </c>
      <c r="P2039" s="15" t="s">
        <v>10</v>
      </c>
      <c r="Q2039" s="8"/>
      <c r="R2039" s="9" t="s">
        <v>2020</v>
      </c>
    </row>
    <row r="2040" spans="1:18" x14ac:dyDescent="0.25">
      <c r="A2040" s="6" t="str">
        <f>HYPERLINK("proteomic_fractions_linear_files/Yang_linear_img/29789289.jpg", "29789289")</f>
        <v>29789289</v>
      </c>
      <c r="B2040" s="7"/>
      <c r="C2040" s="6" t="str">
        <f>HYPERLINK("http://www.ncbi.nlm.nih.gov/protein/29789289","Echs1")</f>
        <v>Echs1</v>
      </c>
      <c r="D2040" s="8"/>
      <c r="E2040" s="8">
        <v>28475</v>
      </c>
      <c r="F2040" s="8"/>
      <c r="G2040" s="15">
        <v>0.82534190623990877</v>
      </c>
      <c r="H2040" s="15">
        <v>0.82534190623990877</v>
      </c>
      <c r="I2040" s="15">
        <v>0.87695787904560418</v>
      </c>
      <c r="J2040" s="15">
        <v>0.87695787904560418</v>
      </c>
      <c r="K2040" s="15">
        <v>0.87695787904560418</v>
      </c>
      <c r="L2040" s="15">
        <v>0.87695787904560418</v>
      </c>
      <c r="M2040" s="15">
        <v>0.87695787904560418</v>
      </c>
      <c r="N2040" s="15">
        <v>0.87695787904560418</v>
      </c>
      <c r="O2040" s="15">
        <v>0.77841936680995538</v>
      </c>
      <c r="P2040" s="15">
        <v>0.77841936680995538</v>
      </c>
      <c r="Q2040" s="8"/>
      <c r="R2040" s="9" t="s">
        <v>2021</v>
      </c>
    </row>
    <row r="2041" spans="1:18" x14ac:dyDescent="0.25">
      <c r="A2041" s="6" t="str">
        <f>HYPERLINK("proteomic_fractions_linear_files/Yang_linear_img/31981810.jpg", "31981810")</f>
        <v>31981810</v>
      </c>
      <c r="B2041" s="7"/>
      <c r="C2041" s="6" t="str">
        <f>HYPERLINK("http://www.ncbi.nlm.nih.gov/protein/31981810","Eci1")</f>
        <v>Eci1</v>
      </c>
      <c r="D2041" s="8"/>
      <c r="E2041" s="8">
        <v>29224</v>
      </c>
      <c r="F2041" s="8"/>
      <c r="G2041" s="15">
        <v>1.2876319456249858</v>
      </c>
      <c r="H2041" s="15">
        <v>1.2876319456249858</v>
      </c>
      <c r="I2041" s="15">
        <v>0.90173303846293107</v>
      </c>
      <c r="J2041" s="15">
        <v>0.90173303846293107</v>
      </c>
      <c r="K2041" s="15">
        <v>0.90173303846293107</v>
      </c>
      <c r="L2041" s="15">
        <v>0.90173303846293107</v>
      </c>
      <c r="M2041" s="15" t="s">
        <v>10</v>
      </c>
      <c r="N2041" s="15" t="s">
        <v>10</v>
      </c>
      <c r="O2041" s="15">
        <v>0.75157731967857766</v>
      </c>
      <c r="P2041" s="15">
        <v>0.75157731967857766</v>
      </c>
      <c r="Q2041" s="8"/>
      <c r="R2041" s="9" t="s">
        <v>2022</v>
      </c>
    </row>
    <row r="2042" spans="1:18" x14ac:dyDescent="0.25">
      <c r="A2042" s="6" t="str">
        <f>HYPERLINK("proteomic_fractions_linear_files/Yang_linear_img/160333193.jpg", "160333193")</f>
        <v>160333193</v>
      </c>
      <c r="B2042" s="7"/>
      <c r="C2042" s="6" t="str">
        <f>HYPERLINK("http://www.ncbi.nlm.nih.gov/protein/160333193","Eci2")</f>
        <v>Eci2</v>
      </c>
      <c r="D2042" s="8"/>
      <c r="E2042" s="8">
        <v>39145</v>
      </c>
      <c r="F2042" s="8"/>
      <c r="G2042" s="15">
        <v>1.3620658879487455</v>
      </c>
      <c r="H2042" s="15">
        <v>1.3620658879487455</v>
      </c>
      <c r="I2042" s="15">
        <v>0.95746990828524592</v>
      </c>
      <c r="J2042" s="15">
        <v>0.95746990828524592</v>
      </c>
      <c r="K2042" s="15">
        <v>0.95746990828524592</v>
      </c>
      <c r="L2042" s="15">
        <v>1.038649184698019</v>
      </c>
      <c r="M2042" s="15" t="s">
        <v>10</v>
      </c>
      <c r="N2042" s="15" t="s">
        <v>10</v>
      </c>
      <c r="O2042" s="15" t="s">
        <v>10</v>
      </c>
      <c r="P2042" s="15" t="s">
        <v>10</v>
      </c>
      <c r="Q2042" s="8"/>
      <c r="R2042" s="9" t="s">
        <v>2023</v>
      </c>
    </row>
    <row r="2043" spans="1:18" x14ac:dyDescent="0.25">
      <c r="A2043" s="6" t="str">
        <f>HYPERLINK("proteomic_fractions_linear_files/Yang_linear_img/160333195.jpg", "160333195")</f>
        <v>160333195</v>
      </c>
      <c r="B2043" s="7"/>
      <c r="C2043" s="6" t="str">
        <f>HYPERLINK("http://www.ncbi.nlm.nih.gov/protein/160333195","Eci2")</f>
        <v>Eci2</v>
      </c>
      <c r="D2043" s="8"/>
      <c r="E2043" s="8">
        <v>39372</v>
      </c>
      <c r="F2043" s="8"/>
      <c r="G2043" s="15">
        <v>1.3620658879487455</v>
      </c>
      <c r="H2043" s="15">
        <v>1.3620658879487455</v>
      </c>
      <c r="I2043" s="15">
        <v>0.95746990828524592</v>
      </c>
      <c r="J2043" s="15">
        <v>0.95746990828524592</v>
      </c>
      <c r="K2043" s="15">
        <v>0.95746990828524592</v>
      </c>
      <c r="L2043" s="15">
        <v>1.038649184698019</v>
      </c>
      <c r="M2043" s="15" t="s">
        <v>10</v>
      </c>
      <c r="N2043" s="15" t="s">
        <v>10</v>
      </c>
      <c r="O2043" s="15" t="s">
        <v>10</v>
      </c>
      <c r="P2043" s="15" t="s">
        <v>10</v>
      </c>
      <c r="Q2043" s="8"/>
      <c r="R2043" s="9" t="s">
        <v>2024</v>
      </c>
    </row>
    <row r="2044" spans="1:18" x14ac:dyDescent="0.25">
      <c r="A2044" s="6" t="str">
        <f>HYPERLINK("proteomic_fractions_linear_files/Yang_linear_img/21312210.jpg", "21312210")</f>
        <v>21312210</v>
      </c>
      <c r="B2044" s="7"/>
      <c r="C2044" s="6" t="str">
        <f>HYPERLINK("http://www.ncbi.nlm.nih.gov/protein/21312210","Eci3")</f>
        <v>Eci3</v>
      </c>
      <c r="D2044" s="8"/>
      <c r="E2044" s="8">
        <v>35099</v>
      </c>
      <c r="F2044" s="8"/>
      <c r="G2044" s="15" t="s">
        <v>10</v>
      </c>
      <c r="H2044" s="15" t="s">
        <v>10</v>
      </c>
      <c r="I2044" s="15">
        <v>1.0668950406607027</v>
      </c>
      <c r="J2044" s="15">
        <v>1.0668950406607027</v>
      </c>
      <c r="K2044" s="15">
        <v>1.1573519486635071</v>
      </c>
      <c r="L2044" s="15">
        <v>1.1573519486635071</v>
      </c>
      <c r="M2044" s="15" t="s">
        <v>10</v>
      </c>
      <c r="N2044" s="15" t="s">
        <v>10</v>
      </c>
      <c r="O2044" s="15" t="s">
        <v>10</v>
      </c>
      <c r="P2044" s="15" t="s">
        <v>10</v>
      </c>
      <c r="Q2044" s="8"/>
      <c r="R2044" s="9" t="s">
        <v>2025</v>
      </c>
    </row>
    <row r="2045" spans="1:18" x14ac:dyDescent="0.25">
      <c r="A2045" s="6" t="str">
        <f>HYPERLINK("proteomic_fractions_linear_files/Yang_linear_img/6755522.jpg", "6755522")</f>
        <v>6755522</v>
      </c>
      <c r="B2045" s="7"/>
      <c r="C2045" s="6" t="str">
        <f>HYPERLINK("http://www.ncbi.nlm.nih.gov/protein/6755522","Ecsit")</f>
        <v>Ecsit</v>
      </c>
      <c r="D2045" s="8"/>
      <c r="E2045" s="8">
        <v>44657</v>
      </c>
      <c r="F2045" s="8"/>
      <c r="G2045" s="15" t="s">
        <v>10</v>
      </c>
      <c r="H2045" s="15" t="s">
        <v>10</v>
      </c>
      <c r="I2045" s="15">
        <v>1.0731105685425613</v>
      </c>
      <c r="J2045" s="15">
        <v>1.0731105685425613</v>
      </c>
      <c r="K2045" s="15" t="s">
        <v>10</v>
      </c>
      <c r="L2045" s="15" t="s">
        <v>10</v>
      </c>
      <c r="M2045" s="15" t="s">
        <v>10</v>
      </c>
      <c r="N2045" s="15" t="s">
        <v>10</v>
      </c>
      <c r="O2045" s="15" t="s">
        <v>10</v>
      </c>
      <c r="P2045" s="15" t="s">
        <v>10</v>
      </c>
      <c r="Q2045" s="8"/>
      <c r="R2045" s="9" t="s">
        <v>2026</v>
      </c>
    </row>
    <row r="2046" spans="1:18" x14ac:dyDescent="0.25">
      <c r="A2046" s="6" t="str">
        <f>HYPERLINK("proteomic_fractions_linear_files/Yang_linear_img/24418913.jpg", "24418913")</f>
        <v>24418913</v>
      </c>
      <c r="B2046" s="7"/>
      <c r="C2046" s="6" t="str">
        <f>HYPERLINK("http://www.ncbi.nlm.nih.gov/protein/24418913","Edc3")</f>
        <v>Edc3</v>
      </c>
      <c r="D2046" s="8"/>
      <c r="E2046" s="8">
        <v>55826</v>
      </c>
      <c r="F2046" s="8"/>
      <c r="G2046" s="15" t="s">
        <v>10</v>
      </c>
      <c r="H2046" s="15" t="s">
        <v>10</v>
      </c>
      <c r="I2046" s="15" t="s">
        <v>10</v>
      </c>
      <c r="J2046" s="15" t="s">
        <v>10</v>
      </c>
      <c r="K2046" s="15">
        <v>1.1688082737597203</v>
      </c>
      <c r="L2046" s="15">
        <v>1.1688082737597203</v>
      </c>
      <c r="M2046" s="15">
        <v>1.1688082737597203</v>
      </c>
      <c r="N2046" s="15">
        <v>1.1688082737597203</v>
      </c>
      <c r="O2046" s="15" t="s">
        <v>10</v>
      </c>
      <c r="P2046" s="15" t="s">
        <v>10</v>
      </c>
      <c r="Q2046" s="8"/>
      <c r="R2046" s="9" t="s">
        <v>2027</v>
      </c>
    </row>
    <row r="2047" spans="1:18" x14ac:dyDescent="0.25">
      <c r="A2047" s="6" t="str">
        <f>HYPERLINK("proteomic_fractions_linear_files/Yang_linear_img/31712002.jpg", "31712002")</f>
        <v>31712002</v>
      </c>
      <c r="B2047" s="7"/>
      <c r="C2047" s="6" t="str">
        <f>HYPERLINK("http://www.ncbi.nlm.nih.gov/protein/31712002","Edc4")</f>
        <v>Edc4</v>
      </c>
      <c r="D2047" s="8"/>
      <c r="E2047" s="8">
        <v>150522</v>
      </c>
      <c r="F2047" s="8"/>
      <c r="G2047" s="15" t="s">
        <v>10</v>
      </c>
      <c r="H2047" s="15" t="s">
        <v>10</v>
      </c>
      <c r="I2047" s="15" t="s">
        <v>10</v>
      </c>
      <c r="J2047" s="15" t="s">
        <v>10</v>
      </c>
      <c r="K2047" s="15">
        <v>1.545436077005623</v>
      </c>
      <c r="L2047" s="15">
        <v>1.545436077005623</v>
      </c>
      <c r="M2047" s="15">
        <v>1.2368598121850354</v>
      </c>
      <c r="N2047" s="15">
        <v>1.2368598121850354</v>
      </c>
      <c r="O2047" s="15">
        <v>1.2368598121850354</v>
      </c>
      <c r="P2047" s="15">
        <v>1.2368598121850354</v>
      </c>
      <c r="Q2047" s="8"/>
      <c r="R2047" s="9" t="s">
        <v>2028</v>
      </c>
    </row>
    <row r="2048" spans="1:18" x14ac:dyDescent="0.25">
      <c r="A2048" s="6" t="str">
        <f>HYPERLINK("proteomic_fractions_linear_files/Yang_linear_img/10946942.jpg", "10946942")</f>
        <v>10946942</v>
      </c>
      <c r="B2048" s="7"/>
      <c r="C2048" s="6" t="str">
        <f>HYPERLINK("http://www.ncbi.nlm.nih.gov/protein/10946942","Edf1")</f>
        <v>Edf1</v>
      </c>
      <c r="D2048" s="8"/>
      <c r="E2048" s="8">
        <v>16238</v>
      </c>
      <c r="F2048" s="8"/>
      <c r="G2048" s="15">
        <v>1.5346762883298073</v>
      </c>
      <c r="H2048" s="15">
        <v>1.5346762883298073</v>
      </c>
      <c r="I2048" s="15">
        <v>1.0447796575379389</v>
      </c>
      <c r="J2048" s="15">
        <v>1.0447796575379389</v>
      </c>
      <c r="K2048" s="15">
        <v>1.0981212353349354</v>
      </c>
      <c r="L2048" s="15">
        <v>1.0981212353349354</v>
      </c>
      <c r="M2048" s="15">
        <v>1.0981212353349354</v>
      </c>
      <c r="N2048" s="15">
        <v>1.0981212353349354</v>
      </c>
      <c r="O2048" s="15">
        <v>1.0447796575379389</v>
      </c>
      <c r="P2048" s="15">
        <v>1.0447796575379389</v>
      </c>
      <c r="Q2048" s="8"/>
      <c r="R2048" s="9" t="s">
        <v>2029</v>
      </c>
    </row>
    <row r="2049" spans="1:18" x14ac:dyDescent="0.25">
      <c r="A2049" s="6" t="str">
        <f>HYPERLINK("proteomic_fractions_linear_files/Yang_linear_img/50053824.jpg", "50053824")</f>
        <v>50053824</v>
      </c>
      <c r="B2049" s="7"/>
      <c r="C2049" s="6" t="str">
        <f>HYPERLINK("http://www.ncbi.nlm.nih.gov/protein/50053824","Eea1")</f>
        <v>Eea1</v>
      </c>
      <c r="D2049" s="8"/>
      <c r="E2049" s="8">
        <v>160784</v>
      </c>
      <c r="F2049" s="8"/>
      <c r="G2049" s="15" t="s">
        <v>10</v>
      </c>
      <c r="H2049" s="15" t="s">
        <v>10</v>
      </c>
      <c r="I2049" s="15">
        <v>0.95312342320647103</v>
      </c>
      <c r="J2049" s="15">
        <v>0.95312342320647103</v>
      </c>
      <c r="K2049" s="15">
        <v>1.4494462585580687</v>
      </c>
      <c r="L2049" s="15">
        <v>1.4494462585580687</v>
      </c>
      <c r="M2049" s="15" t="s">
        <v>10</v>
      </c>
      <c r="N2049" s="15" t="s">
        <v>10</v>
      </c>
      <c r="O2049" s="15">
        <v>1.1600362213660891</v>
      </c>
      <c r="P2049" s="15">
        <v>1.1600362213660891</v>
      </c>
      <c r="Q2049" s="8"/>
      <c r="R2049" s="9" t="s">
        <v>2030</v>
      </c>
    </row>
    <row r="2050" spans="1:18" x14ac:dyDescent="0.25">
      <c r="A2050" s="6" t="str">
        <f>HYPERLINK("proteomic_fractions_linear_files/Yang_linear_img/6681273.jpg", "6681273")</f>
        <v>6681273</v>
      </c>
      <c r="B2050" s="7"/>
      <c r="C2050" s="6" t="str">
        <f>HYPERLINK("http://www.ncbi.nlm.nih.gov/protein/6681273","Eef1a2")</f>
        <v>Eef1a2</v>
      </c>
      <c r="D2050" s="8"/>
      <c r="E2050" s="8">
        <v>50323</v>
      </c>
      <c r="F2050" s="8"/>
      <c r="G2050" s="15">
        <v>1.1754641517118771</v>
      </c>
      <c r="H2050" s="15">
        <v>1.1754641517118771</v>
      </c>
      <c r="I2050" s="15">
        <v>0.88251178493930937</v>
      </c>
      <c r="J2050" s="15">
        <v>0.88251178493930937</v>
      </c>
      <c r="K2050" s="15">
        <v>0.88251178493930937</v>
      </c>
      <c r="L2050" s="15">
        <v>0.88251178493930937</v>
      </c>
      <c r="M2050" s="15">
        <v>0.96579951168830502</v>
      </c>
      <c r="N2050" s="15">
        <v>0.96579951168830502</v>
      </c>
      <c r="O2050" s="15">
        <v>0.81014636406445495</v>
      </c>
      <c r="P2050" s="15">
        <v>0.81014636406445495</v>
      </c>
      <c r="Q2050" s="8"/>
      <c r="R2050" s="9" t="s">
        <v>2031</v>
      </c>
    </row>
    <row r="2051" spans="1:18" x14ac:dyDescent="0.25">
      <c r="A2051" s="6" t="str">
        <f>HYPERLINK("proteomic_fractions_linear_files/Yang_linear_img/31980922.jpg", "31980922")</f>
        <v>31980922</v>
      </c>
      <c r="B2051" s="7"/>
      <c r="C2051" s="6" t="str">
        <f>HYPERLINK("http://www.ncbi.nlm.nih.gov/protein/31980922","Eef1b2")</f>
        <v>Eef1b2</v>
      </c>
      <c r="D2051" s="8"/>
      <c r="E2051" s="8">
        <v>24563</v>
      </c>
      <c r="F2051" s="8"/>
      <c r="G2051" s="15">
        <v>1.4936530569249837</v>
      </c>
      <c r="H2051" s="15">
        <v>1.4936530569249837</v>
      </c>
      <c r="I2051" s="15">
        <v>1.0460103246170001</v>
      </c>
      <c r="J2051" s="15">
        <v>1.2833629142293435</v>
      </c>
      <c r="K2051" s="15">
        <v>1.1167284519072824</v>
      </c>
      <c r="L2051" s="15">
        <v>1.1167284519072824</v>
      </c>
      <c r="M2051" s="15">
        <v>1.1954162756685252</v>
      </c>
      <c r="N2051" s="15">
        <v>1.1954162756685252</v>
      </c>
      <c r="O2051" s="15">
        <v>0.92438293498869784</v>
      </c>
      <c r="P2051" s="15">
        <v>0.92438293498869784</v>
      </c>
      <c r="Q2051" s="8"/>
      <c r="R2051" s="9" t="s">
        <v>2032</v>
      </c>
    </row>
    <row r="2052" spans="1:18" x14ac:dyDescent="0.25">
      <c r="A2052" s="6" t="str">
        <f>HYPERLINK("proteomic_fractions_linear_files/Yang_linear_img/549806736.jpg", "549806736")</f>
        <v>549806736</v>
      </c>
      <c r="B2052" s="7"/>
      <c r="C2052" s="6" t="str">
        <f>HYPERLINK("http://www.ncbi.nlm.nih.gov/protein/549806736","Eef1d")</f>
        <v>Eef1d</v>
      </c>
      <c r="D2052" s="8"/>
      <c r="E2052" s="8">
        <v>30503</v>
      </c>
      <c r="F2052" s="8"/>
      <c r="G2052" s="15">
        <v>1.4234061047408215</v>
      </c>
      <c r="H2052" s="15">
        <v>1.4234061047408215</v>
      </c>
      <c r="I2052" s="15" t="s">
        <v>10</v>
      </c>
      <c r="J2052" s="15" t="s">
        <v>10</v>
      </c>
      <c r="K2052" s="15" t="s">
        <v>10</v>
      </c>
      <c r="L2052" s="15" t="s">
        <v>10</v>
      </c>
      <c r="M2052" s="15" t="s">
        <v>10</v>
      </c>
      <c r="N2052" s="15" t="s">
        <v>10</v>
      </c>
      <c r="O2052" s="15" t="s">
        <v>10</v>
      </c>
      <c r="P2052" s="15" t="s">
        <v>10</v>
      </c>
      <c r="Q2052" s="8"/>
      <c r="R2052" s="9" t="s">
        <v>2033</v>
      </c>
    </row>
    <row r="2053" spans="1:18" x14ac:dyDescent="0.25">
      <c r="A2053" s="6" t="str">
        <f>HYPERLINK("proteomic_fractions_linear_files/Yang_linear_img/549806774.jpg", "549806774")</f>
        <v>549806774</v>
      </c>
      <c r="B2053" s="7"/>
      <c r="C2053" s="6" t="str">
        <f>HYPERLINK("http://www.ncbi.nlm.nih.gov/protein/549806774","Eef1d")</f>
        <v>Eef1d</v>
      </c>
      <c r="D2053" s="8"/>
      <c r="E2053" s="8">
        <v>28597</v>
      </c>
      <c r="F2053" s="8"/>
      <c r="G2053" s="15">
        <v>1.5215720429988093</v>
      </c>
      <c r="H2053" s="15">
        <v>1.5215720429988093</v>
      </c>
      <c r="I2053" s="15" t="s">
        <v>10</v>
      </c>
      <c r="J2053" s="15" t="s">
        <v>10</v>
      </c>
      <c r="K2053" s="15" t="s">
        <v>10</v>
      </c>
      <c r="L2053" s="15" t="s">
        <v>10</v>
      </c>
      <c r="M2053" s="15" t="s">
        <v>10</v>
      </c>
      <c r="N2053" s="15" t="s">
        <v>10</v>
      </c>
      <c r="O2053" s="15" t="s">
        <v>10</v>
      </c>
      <c r="P2053" s="15" t="s">
        <v>10</v>
      </c>
      <c r="Q2053" s="8"/>
      <c r="R2053" s="9" t="s">
        <v>2034</v>
      </c>
    </row>
    <row r="2054" spans="1:18" x14ac:dyDescent="0.25">
      <c r="A2054" s="6" t="str">
        <f>HYPERLINK("proteomic_fractions_linear_files/Yang_linear_img/54287684.jpg", "54287684")</f>
        <v>54287684</v>
      </c>
      <c r="B2054" s="7"/>
      <c r="C2054" s="6" t="str">
        <f>HYPERLINK("http://www.ncbi.nlm.nih.gov/protein/54287684","Eef1d")</f>
        <v>Eef1d</v>
      </c>
      <c r="D2054" s="8"/>
      <c r="E2054" s="8">
        <v>31161</v>
      </c>
      <c r="F2054" s="8"/>
      <c r="G2054" s="15">
        <v>1.4234061047408215</v>
      </c>
      <c r="H2054" s="15">
        <v>1.4234061047408215</v>
      </c>
      <c r="I2054" s="15">
        <v>1.0349700921204383</v>
      </c>
      <c r="J2054" s="15">
        <v>1.0349700921204383</v>
      </c>
      <c r="K2054" s="15">
        <v>1.1146250493701673</v>
      </c>
      <c r="L2054" s="15">
        <v>1.1146250493701673</v>
      </c>
      <c r="M2054" s="15">
        <v>0.96404538360364944</v>
      </c>
      <c r="N2054" s="15">
        <v>0.96404538360364944</v>
      </c>
      <c r="O2054" s="15">
        <v>0.96404538360364944</v>
      </c>
      <c r="P2054" s="15">
        <v>0.96404538360364944</v>
      </c>
      <c r="Q2054" s="8"/>
      <c r="R2054" s="9" t="s">
        <v>2035</v>
      </c>
    </row>
    <row r="2055" spans="1:18" x14ac:dyDescent="0.25">
      <c r="A2055" s="6" t="str">
        <f>HYPERLINK("proteomic_fractions_linear_files/Yang_linear_img/56699438.jpg", "56699438")</f>
        <v>56699438</v>
      </c>
      <c r="B2055" s="7"/>
      <c r="C2055" s="6" t="str">
        <f>HYPERLINK("http://www.ncbi.nlm.nih.gov/protein/56699438","Eef1d")</f>
        <v>Eef1d</v>
      </c>
      <c r="D2055" s="8"/>
      <c r="E2055" s="8">
        <v>72800</v>
      </c>
      <c r="F2055" s="8"/>
      <c r="G2055" s="15">
        <v>0.60446012667075988</v>
      </c>
      <c r="H2055" s="15">
        <v>0.60446012667075988</v>
      </c>
      <c r="I2055" s="15">
        <v>0.43950784733881626</v>
      </c>
      <c r="J2055" s="15">
        <v>0.43950784733881626</v>
      </c>
      <c r="K2055" s="15">
        <v>0.47333392507500249</v>
      </c>
      <c r="L2055" s="15">
        <v>0.47333392507500249</v>
      </c>
      <c r="M2055" s="15">
        <v>0.40938913550291961</v>
      </c>
      <c r="N2055" s="15">
        <v>0.40938913550291961</v>
      </c>
      <c r="O2055" s="15">
        <v>0.40938913550291961</v>
      </c>
      <c r="P2055" s="15">
        <v>0.40938913550291961</v>
      </c>
      <c r="Q2055" s="8"/>
      <c r="R2055" s="9" t="s">
        <v>2036</v>
      </c>
    </row>
    <row r="2056" spans="1:18" x14ac:dyDescent="0.25">
      <c r="A2056" s="6" t="str">
        <f>HYPERLINK("proteomic_fractions_linear_files/Yang_linear_img/13384756.jpg", "13384756")</f>
        <v>13384756</v>
      </c>
      <c r="B2056" s="7"/>
      <c r="C2056" s="6" t="str">
        <f>HYPERLINK("http://www.ncbi.nlm.nih.gov/protein/13384756","Eef1e1")</f>
        <v>Eef1e1</v>
      </c>
      <c r="D2056" s="8"/>
      <c r="E2056" s="8">
        <v>19728</v>
      </c>
      <c r="F2056" s="8"/>
      <c r="G2056" s="15" t="s">
        <v>10</v>
      </c>
      <c r="H2056" s="15" t="s">
        <v>10</v>
      </c>
      <c r="I2056" s="15">
        <v>0.92476495822820426</v>
      </c>
      <c r="J2056" s="15">
        <v>0.92476495822820426</v>
      </c>
      <c r="K2056" s="15">
        <v>0.92476495822820426</v>
      </c>
      <c r="L2056" s="15">
        <v>0.92476495822820426</v>
      </c>
      <c r="M2056" s="15">
        <v>0.97505749140176368</v>
      </c>
      <c r="N2056" s="15">
        <v>0.97505749140176368</v>
      </c>
      <c r="O2056" s="15" t="s">
        <v>10</v>
      </c>
      <c r="P2056" s="15" t="s">
        <v>10</v>
      </c>
      <c r="Q2056" s="8"/>
      <c r="R2056" s="9" t="s">
        <v>2037</v>
      </c>
    </row>
    <row r="2057" spans="1:18" x14ac:dyDescent="0.25">
      <c r="A2057" s="6" t="str">
        <f>HYPERLINK("proteomic_fractions_linear_files/Yang_linear_img/110625979.jpg", "110625979")</f>
        <v>110625979</v>
      </c>
      <c r="B2057" s="7"/>
      <c r="C2057" s="6" t="str">
        <f>HYPERLINK("http://www.ncbi.nlm.nih.gov/protein/110625979","Eef1g")</f>
        <v>Eef1g</v>
      </c>
      <c r="D2057" s="8"/>
      <c r="E2057" s="8">
        <v>49930</v>
      </c>
      <c r="F2057" s="8"/>
      <c r="G2057" s="15">
        <v>1.1754641517118771</v>
      </c>
      <c r="H2057" s="15">
        <v>1.1754641517118771</v>
      </c>
      <c r="I2057" s="15">
        <v>0.88251178493930937</v>
      </c>
      <c r="J2057" s="15">
        <v>0.88251178493930937</v>
      </c>
      <c r="K2057" s="15">
        <v>0.96579951168830502</v>
      </c>
      <c r="L2057" s="15">
        <v>0.96579951168830502</v>
      </c>
      <c r="M2057" s="15">
        <v>0.96579951168830502</v>
      </c>
      <c r="N2057" s="15">
        <v>0.96579951168830502</v>
      </c>
      <c r="O2057" s="15">
        <v>0.88251178493930937</v>
      </c>
      <c r="P2057" s="15">
        <v>0.88251178493930937</v>
      </c>
      <c r="Q2057" s="8"/>
      <c r="R2057" s="9" t="s">
        <v>2038</v>
      </c>
    </row>
    <row r="2058" spans="1:18" x14ac:dyDescent="0.25">
      <c r="A2058" s="6" t="str">
        <f>HYPERLINK("proteomic_fractions_linear_files/Yang_linear_img/33859482.jpg", "33859482")</f>
        <v>33859482</v>
      </c>
      <c r="B2058" s="7"/>
      <c r="C2058" s="6" t="str">
        <f>HYPERLINK("http://www.ncbi.nlm.nih.gov/protein/33859482","Eef2")</f>
        <v>Eef2</v>
      </c>
      <c r="D2058" s="8"/>
      <c r="E2058" s="8">
        <v>95183</v>
      </c>
      <c r="F2058" s="8"/>
      <c r="G2058" s="15">
        <v>0.99966295981667908</v>
      </c>
      <c r="H2058" s="15">
        <v>0.99966295981667908</v>
      </c>
      <c r="I2058" s="15">
        <v>1.1558059349592786</v>
      </c>
      <c r="J2058" s="15">
        <v>1.1558059349592786</v>
      </c>
      <c r="K2058" s="15">
        <v>1.1558059349592786</v>
      </c>
      <c r="L2058" s="15">
        <v>1.1558059349592786</v>
      </c>
      <c r="M2058" s="15">
        <v>1.1558059349592786</v>
      </c>
      <c r="N2058" s="15">
        <v>1.1558059349592786</v>
      </c>
      <c r="O2058" s="15">
        <v>0.99966295981667908</v>
      </c>
      <c r="P2058" s="15">
        <v>0.99966295981667908</v>
      </c>
      <c r="Q2058" s="8"/>
      <c r="R2058" s="9" t="s">
        <v>2039</v>
      </c>
    </row>
    <row r="2059" spans="1:18" x14ac:dyDescent="0.25">
      <c r="A2059" s="6" t="str">
        <f>HYPERLINK("proteomic_fractions_linear_files/Yang_linear_img/6681275.jpg", "6681275")</f>
        <v>6681275</v>
      </c>
      <c r="B2059" s="7"/>
      <c r="C2059" s="6" t="str">
        <f>HYPERLINK("http://www.ncbi.nlm.nih.gov/protein/6681275","Eef2k")</f>
        <v>Eef2k</v>
      </c>
      <c r="D2059" s="8"/>
      <c r="E2059" s="8">
        <v>81608</v>
      </c>
      <c r="F2059" s="8"/>
      <c r="G2059" s="15" t="s">
        <v>10</v>
      </c>
      <c r="H2059" s="15" t="s">
        <v>10</v>
      </c>
      <c r="I2059" s="15" t="s">
        <v>10</v>
      </c>
      <c r="J2059" s="15" t="s">
        <v>10</v>
      </c>
      <c r="K2059" s="15" t="s">
        <v>10</v>
      </c>
      <c r="L2059" s="15" t="s">
        <v>10</v>
      </c>
      <c r="M2059" s="15" t="s">
        <v>10</v>
      </c>
      <c r="N2059" s="15" t="s">
        <v>10</v>
      </c>
      <c r="O2059" s="15">
        <v>1.1581461119827379</v>
      </c>
      <c r="P2059" s="15">
        <v>1.1581461119827379</v>
      </c>
      <c r="Q2059" s="8"/>
      <c r="R2059" s="9" t="s">
        <v>2040</v>
      </c>
    </row>
    <row r="2060" spans="1:18" x14ac:dyDescent="0.25">
      <c r="A2060" s="6" t="str">
        <f>HYPERLINK("proteomic_fractions_linear_files/Yang_linear_img/12746442.jpg", "12746442")</f>
        <v>12746442</v>
      </c>
      <c r="B2060" s="7"/>
      <c r="C2060" s="6" t="str">
        <f>HYPERLINK("http://www.ncbi.nlm.nih.gov/protein/12746442","Eefsec")</f>
        <v>Eefsec</v>
      </c>
      <c r="D2060" s="8"/>
      <c r="E2060" s="8">
        <v>63408</v>
      </c>
      <c r="F2060" s="8"/>
      <c r="G2060" s="15" t="s">
        <v>10</v>
      </c>
      <c r="H2060" s="15" t="s">
        <v>10</v>
      </c>
      <c r="I2060" s="15">
        <v>1.038940687786418</v>
      </c>
      <c r="J2060" s="15">
        <v>1.038940687786418</v>
      </c>
      <c r="K2060" s="15">
        <v>1.1656533371695594</v>
      </c>
      <c r="L2060" s="15">
        <v>1.1656533371695594</v>
      </c>
      <c r="M2060" s="15">
        <v>1.1656533371695594</v>
      </c>
      <c r="N2060" s="15">
        <v>1.1656533371695594</v>
      </c>
      <c r="O2060" s="15">
        <v>1.038940687786418</v>
      </c>
      <c r="P2060" s="15">
        <v>1.038940687786418</v>
      </c>
      <c r="Q2060" s="8"/>
      <c r="R2060" s="9" t="s">
        <v>2041</v>
      </c>
    </row>
    <row r="2061" spans="1:18" x14ac:dyDescent="0.25">
      <c r="A2061" s="6" t="str">
        <f>HYPERLINK("proteomic_fractions_linear_files/Yang_linear_img/13386360.jpg", "13386360")</f>
        <v>13386360</v>
      </c>
      <c r="B2061" s="7"/>
      <c r="C2061" s="6" t="str">
        <f>HYPERLINK("http://www.ncbi.nlm.nih.gov/protein/13386360","Efhd1")</f>
        <v>Efhd1</v>
      </c>
      <c r="D2061" s="8"/>
      <c r="E2061" s="8">
        <v>26869</v>
      </c>
      <c r="F2061" s="8"/>
      <c r="G2061" s="15" t="s">
        <v>10</v>
      </c>
      <c r="H2061" s="15" t="s">
        <v>10</v>
      </c>
      <c r="I2061" s="15">
        <v>1.1068669219153011</v>
      </c>
      <c r="J2061" s="15">
        <v>1.1068669219153011</v>
      </c>
      <c r="K2061" s="15">
        <v>1.1068669219153011</v>
      </c>
      <c r="L2061" s="15">
        <v>1.1068669219153011</v>
      </c>
      <c r="M2061" s="15" t="s">
        <v>10</v>
      </c>
      <c r="N2061" s="15" t="s">
        <v>10</v>
      </c>
      <c r="O2061" s="15">
        <v>0.96852807834907406</v>
      </c>
      <c r="P2061" s="15">
        <v>0.96852807834907406</v>
      </c>
      <c r="Q2061" s="8"/>
      <c r="R2061" s="9" t="s">
        <v>2042</v>
      </c>
    </row>
    <row r="2062" spans="1:18" x14ac:dyDescent="0.25">
      <c r="A2062" s="6" t="str">
        <f>HYPERLINK("proteomic_fractions_linear_files/Yang_linear_img/31981086.jpg", "31981086")</f>
        <v>31981086</v>
      </c>
      <c r="B2062" s="7"/>
      <c r="C2062" s="6" t="str">
        <f>HYPERLINK("http://www.ncbi.nlm.nih.gov/protein/31981086","Efhd2")</f>
        <v>Efhd2</v>
      </c>
      <c r="D2062" s="8"/>
      <c r="E2062" s="8">
        <v>26669</v>
      </c>
      <c r="F2062" s="8"/>
      <c r="G2062" s="15" t="s">
        <v>10</v>
      </c>
      <c r="H2062" s="15" t="s">
        <v>10</v>
      </c>
      <c r="I2062" s="15">
        <v>1.1068669219153011</v>
      </c>
      <c r="J2062" s="15">
        <v>1.1068669219153011</v>
      </c>
      <c r="K2062" s="15">
        <v>1.1068669219153011</v>
      </c>
      <c r="L2062" s="15">
        <v>1.1068669219153011</v>
      </c>
      <c r="M2062" s="15">
        <v>1.1068669219153011</v>
      </c>
      <c r="N2062" s="15">
        <v>1.1068669219153011</v>
      </c>
      <c r="O2062" s="15">
        <v>0.96852807834907406</v>
      </c>
      <c r="P2062" s="15">
        <v>0.96852807834907406</v>
      </c>
      <c r="Q2062" s="8"/>
      <c r="R2062" s="9" t="s">
        <v>2043</v>
      </c>
    </row>
    <row r="2063" spans="1:18" x14ac:dyDescent="0.25">
      <c r="A2063" s="6" t="str">
        <f>HYPERLINK("proteomic_fractions_linear_files/Yang_linear_img/31542597.jpg", "31542597")</f>
        <v>31542597</v>
      </c>
      <c r="B2063" s="7"/>
      <c r="C2063" s="6" t="str">
        <f>HYPERLINK("http://www.ncbi.nlm.nih.gov/protein/31542597","Efnb2")</f>
        <v>Efnb2</v>
      </c>
      <c r="D2063" s="8"/>
      <c r="E2063" s="8">
        <v>33916</v>
      </c>
      <c r="F2063" s="8"/>
      <c r="G2063" s="15" t="s">
        <v>10</v>
      </c>
      <c r="H2063" s="15" t="s">
        <v>10</v>
      </c>
      <c r="I2063" s="15">
        <v>0.42698452123148078</v>
      </c>
      <c r="J2063" s="15">
        <v>0.42698452123148078</v>
      </c>
      <c r="K2063" s="15">
        <v>0.44695112628865546</v>
      </c>
      <c r="L2063" s="15">
        <v>0.44695112628865546</v>
      </c>
      <c r="M2063" s="15" t="s">
        <v>10</v>
      </c>
      <c r="N2063" s="15" t="s">
        <v>10</v>
      </c>
      <c r="O2063" s="15" t="s">
        <v>10</v>
      </c>
      <c r="P2063" s="15" t="s">
        <v>10</v>
      </c>
      <c r="Q2063" s="8"/>
      <c r="R2063" s="9" t="s">
        <v>2044</v>
      </c>
    </row>
    <row r="2064" spans="1:18" x14ac:dyDescent="0.25">
      <c r="A2064" s="6" t="str">
        <f>HYPERLINK("proteomic_fractions_linear_files/Yang_linear_img/54020730.jpg", "54020730")</f>
        <v>54020730</v>
      </c>
      <c r="B2064" s="7"/>
      <c r="C2064" s="6" t="str">
        <f>HYPERLINK("http://www.ncbi.nlm.nih.gov/protein/54020730","Efr3a")</f>
        <v>Efr3a</v>
      </c>
      <c r="D2064" s="8"/>
      <c r="E2064" s="8">
        <v>92482</v>
      </c>
      <c r="F2064" s="8"/>
      <c r="G2064" s="15" t="s">
        <v>10</v>
      </c>
      <c r="H2064" s="15" t="s">
        <v>10</v>
      </c>
      <c r="I2064" s="15">
        <v>1.0322606650280925</v>
      </c>
      <c r="J2064" s="15">
        <v>1.0322606650280925</v>
      </c>
      <c r="K2064" s="15" t="s">
        <v>10</v>
      </c>
      <c r="L2064" s="15" t="s">
        <v>10</v>
      </c>
      <c r="M2064" s="15" t="s">
        <v>10</v>
      </c>
      <c r="N2064" s="15" t="s">
        <v>10</v>
      </c>
      <c r="O2064" s="15" t="s">
        <v>10</v>
      </c>
      <c r="P2064" s="15" t="s">
        <v>10</v>
      </c>
      <c r="Q2064" s="8"/>
      <c r="R2064" s="9" t="s">
        <v>2045</v>
      </c>
    </row>
    <row r="2065" spans="1:18" x14ac:dyDescent="0.25">
      <c r="A2065" s="6" t="str">
        <f>HYPERLINK("proteomic_fractions_linear_files/Yang_linear_img/227908782.jpg", "227908782")</f>
        <v>227908782</v>
      </c>
      <c r="B2065" s="7"/>
      <c r="C2065" s="6" t="str">
        <f>HYPERLINK("http://www.ncbi.nlm.nih.gov/protein/227908782","Eftud1")</f>
        <v>Eftud1</v>
      </c>
      <c r="D2065" s="8"/>
      <c r="E2065" s="8">
        <v>125646</v>
      </c>
      <c r="F2065" s="8"/>
      <c r="G2065" s="15" t="s">
        <v>10</v>
      </c>
      <c r="H2065" s="15" t="s">
        <v>10</v>
      </c>
      <c r="I2065" s="15">
        <v>1.217879929652713</v>
      </c>
      <c r="J2065" s="15">
        <v>1.217879929652713</v>
      </c>
      <c r="K2065" s="15">
        <v>1.4822685050788917</v>
      </c>
      <c r="L2065" s="15">
        <v>1.4822685050788917</v>
      </c>
      <c r="M2065" s="15" t="s">
        <v>10</v>
      </c>
      <c r="N2065" s="15" t="s">
        <v>10</v>
      </c>
      <c r="O2065" s="15">
        <v>1.217879929652713</v>
      </c>
      <c r="P2065" s="15">
        <v>1.217879929652713</v>
      </c>
      <c r="Q2065" s="8"/>
      <c r="R2065" s="9" t="s">
        <v>2046</v>
      </c>
    </row>
    <row r="2066" spans="1:18" x14ac:dyDescent="0.25">
      <c r="A2066" s="6" t="str">
        <f>HYPERLINK("proteomic_fractions_linear_files/Yang_linear_img/158508674.jpg", "158508674")</f>
        <v>158508674</v>
      </c>
      <c r="B2066" s="7"/>
      <c r="C2066" s="6" t="str">
        <f>HYPERLINK("http://www.ncbi.nlm.nih.gov/protein/158508674","Eftud2")</f>
        <v>Eftud2</v>
      </c>
      <c r="D2066" s="8"/>
      <c r="E2066" s="8">
        <v>109361</v>
      </c>
      <c r="F2066" s="8"/>
      <c r="G2066" s="15">
        <v>1.4078245058370811</v>
      </c>
      <c r="H2066" s="15">
        <v>1.4078245058370811</v>
      </c>
      <c r="I2066" s="15">
        <v>1.0073537965241419</v>
      </c>
      <c r="J2066" s="15">
        <v>1.0073537965241419</v>
      </c>
      <c r="K2066" s="15">
        <v>1.0073537965241419</v>
      </c>
      <c r="L2066" s="15">
        <v>1.0073537965241419</v>
      </c>
      <c r="M2066" s="15">
        <v>1.1809323683038253</v>
      </c>
      <c r="N2066" s="15">
        <v>1.1809323683038253</v>
      </c>
      <c r="O2066" s="15">
        <v>0.87126588240903224</v>
      </c>
      <c r="P2066" s="15">
        <v>0.87126588240903224</v>
      </c>
      <c r="Q2066" s="8"/>
      <c r="R2066" s="9" t="s">
        <v>2047</v>
      </c>
    </row>
    <row r="2067" spans="1:18" x14ac:dyDescent="0.25">
      <c r="A2067" s="6" t="str">
        <f>HYPERLINK("proteomic_fractions_linear_files/Yang_linear_img/6755594.jpg", "6755594")</f>
        <v>6755594</v>
      </c>
      <c r="B2067" s="7"/>
      <c r="C2067" s="6" t="str">
        <f>HYPERLINK("http://www.ncbi.nlm.nih.gov/protein/6755594","Eftud2")</f>
        <v>Eftud2</v>
      </c>
      <c r="D2067" s="8"/>
      <c r="E2067" s="8">
        <v>109230</v>
      </c>
      <c r="F2067" s="8"/>
      <c r="G2067" s="15">
        <v>1.4078245058370811</v>
      </c>
      <c r="H2067" s="15">
        <v>1.4078245058370811</v>
      </c>
      <c r="I2067" s="15">
        <v>1.0073537965241419</v>
      </c>
      <c r="J2067" s="15">
        <v>1.0073537965241419</v>
      </c>
      <c r="K2067" s="15">
        <v>1.0073537965241419</v>
      </c>
      <c r="L2067" s="15">
        <v>1.0073537965241419</v>
      </c>
      <c r="M2067" s="15">
        <v>1.1809323683038253</v>
      </c>
      <c r="N2067" s="15">
        <v>1.1809323683038253</v>
      </c>
      <c r="O2067" s="15">
        <v>0.87126588240903224</v>
      </c>
      <c r="P2067" s="15">
        <v>0.87126588240903224</v>
      </c>
      <c r="Q2067" s="8"/>
      <c r="R2067" s="9" t="s">
        <v>2048</v>
      </c>
    </row>
    <row r="2068" spans="1:18" x14ac:dyDescent="0.25">
      <c r="A2068" s="6" t="str">
        <f>HYPERLINK("proteomic_fractions_linear_files/Yang_linear_img/46560582.jpg", "46560582")</f>
        <v>46560582</v>
      </c>
      <c r="B2068" s="7"/>
      <c r="C2068" s="6" t="str">
        <f>HYPERLINK("http://www.ncbi.nlm.nih.gov/protein/46560582","Egfr")</f>
        <v>Egfr</v>
      </c>
      <c r="D2068" s="8"/>
      <c r="E2068" s="8">
        <v>132527</v>
      </c>
      <c r="F2068" s="8"/>
      <c r="G2068" s="15">
        <v>1.4042543732326342</v>
      </c>
      <c r="H2068" s="15">
        <v>1.4042543732326342</v>
      </c>
      <c r="I2068" s="15">
        <v>1.7545928393071359</v>
      </c>
      <c r="J2068" s="15">
        <v>1.7545928393071359</v>
      </c>
      <c r="K2068" s="15">
        <v>1.7545928393071359</v>
      </c>
      <c r="L2068" s="15">
        <v>1.7545928393071359</v>
      </c>
      <c r="M2068" s="15" t="s">
        <v>10</v>
      </c>
      <c r="N2068" s="15" t="s">
        <v>10</v>
      </c>
      <c r="O2068" s="15" t="s">
        <v>10</v>
      </c>
      <c r="P2068" s="15" t="s">
        <v>10</v>
      </c>
      <c r="Q2068" s="8"/>
      <c r="R2068" s="9" t="s">
        <v>2049</v>
      </c>
    </row>
    <row r="2069" spans="1:18" x14ac:dyDescent="0.25">
      <c r="A2069" s="6" t="str">
        <f>HYPERLINK("proteomic_fractions_linear_files/Yang_linear_img/6681283.jpg", "6681283")</f>
        <v>6681283</v>
      </c>
      <c r="B2069" s="7"/>
      <c r="C2069" s="6" t="str">
        <f>HYPERLINK("http://www.ncbi.nlm.nih.gov/protein/6681283","Egfr")</f>
        <v>Egfr</v>
      </c>
      <c r="D2069" s="8"/>
      <c r="E2069" s="8">
        <v>70338</v>
      </c>
      <c r="F2069" s="8"/>
      <c r="G2069" s="15">
        <v>2.6680833091420051</v>
      </c>
      <c r="H2069" s="15">
        <v>2.6680833091420051</v>
      </c>
      <c r="I2069" s="15">
        <v>2.1921838733748835</v>
      </c>
      <c r="J2069" s="15">
        <v>2.1921838733748835</v>
      </c>
      <c r="K2069" s="15">
        <v>3.3337263946835582</v>
      </c>
      <c r="L2069" s="15">
        <v>3.3337263946835582</v>
      </c>
      <c r="M2069" s="15" t="s">
        <v>10</v>
      </c>
      <c r="N2069" s="15" t="s">
        <v>10</v>
      </c>
      <c r="O2069" s="15" t="s">
        <v>10</v>
      </c>
      <c r="P2069" s="15" t="s">
        <v>10</v>
      </c>
      <c r="Q2069" s="8"/>
      <c r="R2069" s="9" t="s">
        <v>2050</v>
      </c>
    </row>
    <row r="2070" spans="1:18" x14ac:dyDescent="0.25">
      <c r="A2070" s="6" t="str">
        <f>HYPERLINK("proteomic_fractions_linear_files/Yang_linear_img/158303306.jpg", "158303306")</f>
        <v>158303306</v>
      </c>
      <c r="B2070" s="7"/>
      <c r="C2070" s="6" t="str">
        <f>HYPERLINK("http://www.ncbi.nlm.nih.gov/protein/158303306","Egln1")</f>
        <v>Egln1</v>
      </c>
      <c r="D2070" s="8"/>
      <c r="E2070" s="8">
        <v>42980</v>
      </c>
      <c r="F2070" s="8"/>
      <c r="G2070" s="15" t="s">
        <v>10</v>
      </c>
      <c r="H2070" s="15" t="s">
        <v>10</v>
      </c>
      <c r="I2070" s="15">
        <v>1.0261764941154761</v>
      </c>
      <c r="J2070" s="15">
        <v>1.0261764941154761</v>
      </c>
      <c r="K2070" s="15">
        <v>1.123022688009657</v>
      </c>
      <c r="L2070" s="15">
        <v>1.123022688009657</v>
      </c>
      <c r="M2070" s="15" t="s">
        <v>10</v>
      </c>
      <c r="N2070" s="15" t="s">
        <v>10</v>
      </c>
      <c r="O2070" s="15">
        <v>0.942030655888901</v>
      </c>
      <c r="P2070" s="15">
        <v>0.942030655888901</v>
      </c>
      <c r="Q2070" s="8"/>
      <c r="R2070" s="9" t="s">
        <v>2051</v>
      </c>
    </row>
    <row r="2071" spans="1:18" x14ac:dyDescent="0.25">
      <c r="A2071" s="6" t="str">
        <f>HYPERLINK("proteomic_fractions_linear_files/Yang_linear_img/167736351.jpg", "167736351")</f>
        <v>167736351</v>
      </c>
      <c r="B2071" s="7"/>
      <c r="C2071" s="6" t="str">
        <f>HYPERLINK("http://www.ncbi.nlm.nih.gov/protein/167736351","Ehbp1l1")</f>
        <v>Ehbp1l1</v>
      </c>
      <c r="D2071" s="8"/>
      <c r="E2071" s="8">
        <v>184672</v>
      </c>
      <c r="F2071" s="8"/>
      <c r="G2071" s="15" t="s">
        <v>10</v>
      </c>
      <c r="H2071" s="15" t="s">
        <v>10</v>
      </c>
      <c r="I2071" s="15" t="s">
        <v>10</v>
      </c>
      <c r="J2071" s="15" t="s">
        <v>10</v>
      </c>
      <c r="K2071" s="15">
        <v>1.2614099871775626</v>
      </c>
      <c r="L2071" s="15">
        <v>1.2614099871775626</v>
      </c>
      <c r="M2071" s="15" t="s">
        <v>10</v>
      </c>
      <c r="N2071" s="15" t="s">
        <v>10</v>
      </c>
      <c r="O2071" s="15" t="s">
        <v>10</v>
      </c>
      <c r="P2071" s="15" t="s">
        <v>10</v>
      </c>
      <c r="Q2071" s="8"/>
      <c r="R2071" s="9" t="s">
        <v>2052</v>
      </c>
    </row>
    <row r="2072" spans="1:18" x14ac:dyDescent="0.25">
      <c r="A2072" s="6" t="str">
        <f>HYPERLINK("proteomic_fractions_linear_files/Yang_linear_img/7106303.jpg", "7106303")</f>
        <v>7106303</v>
      </c>
      <c r="B2072" s="7"/>
      <c r="C2072" s="6" t="str">
        <f>HYPERLINK("http://www.ncbi.nlm.nih.gov/protein/7106303","Ehd1")</f>
        <v>Ehd1</v>
      </c>
      <c r="D2072" s="8"/>
      <c r="E2072" s="8">
        <v>60472</v>
      </c>
      <c r="F2072" s="8"/>
      <c r="G2072" s="15">
        <v>1.2239360040280374</v>
      </c>
      <c r="H2072" s="15">
        <v>1.2239360040280374</v>
      </c>
      <c r="I2072" s="15">
        <v>0.97955345975989749</v>
      </c>
      <c r="J2072" s="15">
        <v>0.97955345975989749</v>
      </c>
      <c r="K2072" s="15">
        <v>1.0908877221757389</v>
      </c>
      <c r="L2072" s="15">
        <v>1.0908877221757389</v>
      </c>
      <c r="M2072" s="15">
        <v>0.97955345975989749</v>
      </c>
      <c r="N2072" s="15">
        <v>0.97955345975989749</v>
      </c>
      <c r="O2072" s="15">
        <v>0.97955345975989749</v>
      </c>
      <c r="P2072" s="15">
        <v>0.97955345975989749</v>
      </c>
      <c r="Q2072" s="8"/>
      <c r="R2072" s="9" t="s">
        <v>2053</v>
      </c>
    </row>
    <row r="2073" spans="1:18" x14ac:dyDescent="0.25">
      <c r="A2073" s="6" t="str">
        <f>HYPERLINK("proteomic_fractions_linear_files/Yang_linear_img/55742711.jpg", "55742711")</f>
        <v>55742711</v>
      </c>
      <c r="B2073" s="7"/>
      <c r="C2073" s="6" t="str">
        <f>HYPERLINK("http://www.ncbi.nlm.nih.gov/protein/55742711","Ehd2")</f>
        <v>Ehd2</v>
      </c>
      <c r="D2073" s="8"/>
      <c r="E2073" s="8">
        <v>61044</v>
      </c>
      <c r="F2073" s="8"/>
      <c r="G2073" s="15" t="s">
        <v>10</v>
      </c>
      <c r="H2073" s="15" t="s">
        <v>10</v>
      </c>
      <c r="I2073" s="15" t="s">
        <v>10</v>
      </c>
      <c r="J2073" s="15" t="s">
        <v>10</v>
      </c>
      <c r="K2073" s="15" t="s">
        <v>10</v>
      </c>
      <c r="L2073" s="15" t="s">
        <v>10</v>
      </c>
      <c r="M2073" s="15">
        <v>1.0730043168941694</v>
      </c>
      <c r="N2073" s="15">
        <v>1.0730043168941694</v>
      </c>
      <c r="O2073" s="15" t="s">
        <v>10</v>
      </c>
      <c r="P2073" s="15" t="s">
        <v>10</v>
      </c>
      <c r="Q2073" s="8"/>
      <c r="R2073" s="9" t="s">
        <v>2054</v>
      </c>
    </row>
    <row r="2074" spans="1:18" x14ac:dyDescent="0.25">
      <c r="A2074" s="6" t="str">
        <f>HYPERLINK("proteomic_fractions_linear_files/Yang_linear_img/215983062.jpg", "215983062")</f>
        <v>215983062</v>
      </c>
      <c r="B2074" s="7"/>
      <c r="C2074" s="6" t="str">
        <f>HYPERLINK("http://www.ncbi.nlm.nih.gov/protein/215983062","Ehd3")</f>
        <v>Ehd3</v>
      </c>
      <c r="D2074" s="8"/>
      <c r="E2074" s="8">
        <v>60690</v>
      </c>
      <c r="F2074" s="8"/>
      <c r="G2074" s="15" t="s">
        <v>10</v>
      </c>
      <c r="H2074" s="15" t="s">
        <v>10</v>
      </c>
      <c r="I2074" s="15">
        <v>0.96349520632121066</v>
      </c>
      <c r="J2074" s="15">
        <v>0.96349520632121066</v>
      </c>
      <c r="K2074" s="15">
        <v>1.0730043168941694</v>
      </c>
      <c r="L2074" s="15">
        <v>1.0730043168941694</v>
      </c>
      <c r="M2074" s="15">
        <v>0.96349520632121066</v>
      </c>
      <c r="N2074" s="15">
        <v>0.96349520632121066</v>
      </c>
      <c r="O2074" s="15">
        <v>0.96349520632121066</v>
      </c>
      <c r="P2074" s="15">
        <v>0.96349520632121066</v>
      </c>
      <c r="Q2074" s="8"/>
      <c r="R2074" s="9" t="s">
        <v>2055</v>
      </c>
    </row>
    <row r="2075" spans="1:18" x14ac:dyDescent="0.25">
      <c r="A2075" s="6" t="str">
        <f>HYPERLINK("proteomic_fractions_linear_files/Yang_linear_img/31981592.jpg", "31981592")</f>
        <v>31981592</v>
      </c>
      <c r="B2075" s="7"/>
      <c r="C2075" s="6" t="str">
        <f>HYPERLINK("http://www.ncbi.nlm.nih.gov/protein/31981592","Ehd4")</f>
        <v>Ehd4</v>
      </c>
      <c r="D2075" s="8"/>
      <c r="E2075" s="8">
        <v>61350</v>
      </c>
      <c r="F2075" s="8"/>
      <c r="G2075" s="15">
        <v>1.0730043168941694</v>
      </c>
      <c r="H2075" s="15">
        <v>1.0730043168941694</v>
      </c>
      <c r="I2075" s="15">
        <v>1.0730043168941694</v>
      </c>
      <c r="J2075" s="15">
        <v>1.0730043168941694</v>
      </c>
      <c r="K2075" s="15">
        <v>1.2038714793718401</v>
      </c>
      <c r="L2075" s="15">
        <v>1.2038714793718401</v>
      </c>
      <c r="M2075" s="15">
        <v>1.0730043168941694</v>
      </c>
      <c r="N2075" s="15">
        <v>1.0730043168941694</v>
      </c>
      <c r="O2075" s="15">
        <v>1.0730043168941694</v>
      </c>
      <c r="P2075" s="15">
        <v>1.0730043168941694</v>
      </c>
      <c r="Q2075" s="8"/>
      <c r="R2075" s="9" t="s">
        <v>2056</v>
      </c>
    </row>
    <row r="2076" spans="1:18" x14ac:dyDescent="0.25">
      <c r="A2076" s="6" t="str">
        <f>HYPERLINK("proteomic_fractions_linear_files/Yang_linear_img/31541815.jpg", "31541815")</f>
        <v>31541815</v>
      </c>
      <c r="B2076" s="7"/>
      <c r="C2076" s="6" t="str">
        <f>HYPERLINK("http://www.ncbi.nlm.nih.gov/protein/31541815","Ehhadh")</f>
        <v>Ehhadh</v>
      </c>
      <c r="D2076" s="8"/>
      <c r="E2076" s="8">
        <v>78171</v>
      </c>
      <c r="F2076" s="8"/>
      <c r="G2076" s="15" t="s">
        <v>10</v>
      </c>
      <c r="H2076" s="15" t="s">
        <v>10</v>
      </c>
      <c r="I2076" s="15">
        <v>1.0653674163223572</v>
      </c>
      <c r="J2076" s="15">
        <v>1.0653674163223572</v>
      </c>
      <c r="K2076" s="15">
        <v>1.0653674163223572</v>
      </c>
      <c r="L2076" s="15">
        <v>1.0653674163223572</v>
      </c>
      <c r="M2076" s="15" t="s">
        <v>10</v>
      </c>
      <c r="N2076" s="15" t="s">
        <v>10</v>
      </c>
      <c r="O2076" s="15" t="s">
        <v>10</v>
      </c>
      <c r="P2076" s="15" t="s">
        <v>10</v>
      </c>
      <c r="Q2076" s="8"/>
      <c r="R2076" s="9" t="s">
        <v>2057</v>
      </c>
    </row>
    <row r="2077" spans="1:18" x14ac:dyDescent="0.25">
      <c r="A2077" s="6" t="str">
        <f>HYPERLINK("proteomic_fractions_linear_files/Yang_linear_img/313747488.jpg", "313747488")</f>
        <v>313747488</v>
      </c>
      <c r="B2077" s="7"/>
      <c r="C2077" s="6" t="str">
        <f>HYPERLINK("http://www.ncbi.nlm.nih.gov/protein/313747488","Ei24")</f>
        <v>Ei24</v>
      </c>
      <c r="D2077" s="8"/>
      <c r="E2077" s="8">
        <v>40733</v>
      </c>
      <c r="F2077" s="8"/>
      <c r="G2077" s="15" t="s">
        <v>10</v>
      </c>
      <c r="H2077" s="15" t="s">
        <v>10</v>
      </c>
      <c r="I2077" s="15">
        <v>0.68093198287029411</v>
      </c>
      <c r="J2077" s="15">
        <v>0.68093198287029411</v>
      </c>
      <c r="K2077" s="15">
        <v>0.68093198287029411</v>
      </c>
      <c r="L2077" s="15">
        <v>0.68093198287029411</v>
      </c>
      <c r="M2077" s="15" t="s">
        <v>10</v>
      </c>
      <c r="N2077" s="15" t="s">
        <v>10</v>
      </c>
      <c r="O2077" s="15" t="s">
        <v>10</v>
      </c>
      <c r="P2077" s="15" t="s">
        <v>10</v>
      </c>
      <c r="Q2077" s="8"/>
      <c r="R2077" s="9" t="s">
        <v>2058</v>
      </c>
    </row>
    <row r="2078" spans="1:18" x14ac:dyDescent="0.25">
      <c r="A2078" s="6" t="str">
        <f>HYPERLINK("proteomic_fractions_linear_files/Yang_linear_img/22165347.jpg", "22165347")</f>
        <v>22165347</v>
      </c>
      <c r="B2078" s="7"/>
      <c r="C2078" s="6" t="str">
        <f>HYPERLINK("http://www.ncbi.nlm.nih.gov/protein/22165347","Eif1")</f>
        <v>Eif1</v>
      </c>
      <c r="D2078" s="8"/>
      <c r="E2078" s="8">
        <v>12615</v>
      </c>
      <c r="F2078" s="8"/>
      <c r="G2078" s="15">
        <v>1.0228510786924256</v>
      </c>
      <c r="H2078" s="15">
        <v>1.0228510786924256</v>
      </c>
      <c r="I2078" s="15">
        <v>1.068142346148973</v>
      </c>
      <c r="J2078" s="15">
        <v>1.0228510786924256</v>
      </c>
      <c r="K2078" s="15">
        <v>1.1167287478361805</v>
      </c>
      <c r="L2078" s="15">
        <v>1.1167287478361805</v>
      </c>
      <c r="M2078" s="15">
        <v>1.1167287478361805</v>
      </c>
      <c r="N2078" s="15">
        <v>1.1167287478361805</v>
      </c>
      <c r="O2078" s="15">
        <v>1.0228510786924256</v>
      </c>
      <c r="P2078" s="15">
        <v>1.0228510786924256</v>
      </c>
      <c r="Q2078" s="8"/>
      <c r="R2078" s="9" t="s">
        <v>2059</v>
      </c>
    </row>
    <row r="2079" spans="1:18" x14ac:dyDescent="0.25">
      <c r="A2079" s="6" t="str">
        <f>HYPERLINK("proteomic_fractions_linear_files/Yang_linear_img/158631225.jpg", "158631225")</f>
        <v>158631225</v>
      </c>
      <c r="B2079" s="7"/>
      <c r="C2079" s="6" t="str">
        <f>HYPERLINK("http://www.ncbi.nlm.nih.gov/protein/158631225","Eif1a")</f>
        <v>Eif1a</v>
      </c>
      <c r="D2079" s="8"/>
      <c r="E2079" s="8">
        <v>16371</v>
      </c>
      <c r="F2079" s="8"/>
      <c r="G2079" s="15">
        <v>1.0447796575379389</v>
      </c>
      <c r="H2079" s="15">
        <v>1.0447796575379389</v>
      </c>
      <c r="I2079" s="15">
        <v>1.0981212353349354</v>
      </c>
      <c r="J2079" s="15">
        <v>1.0981212353349354</v>
      </c>
      <c r="K2079" s="15">
        <v>1.1559561977852553</v>
      </c>
      <c r="L2079" s="15">
        <v>1.1559561977852553</v>
      </c>
      <c r="M2079" s="15">
        <v>1.0981212353349354</v>
      </c>
      <c r="N2079" s="15">
        <v>1.0981212353349354</v>
      </c>
      <c r="O2079" s="15">
        <v>1.0981212353349354</v>
      </c>
      <c r="P2079" s="15">
        <v>1.0981212353349354</v>
      </c>
      <c r="Q2079" s="8"/>
      <c r="R2079" s="9" t="s">
        <v>2060</v>
      </c>
    </row>
    <row r="2080" spans="1:18" x14ac:dyDescent="0.25">
      <c r="A2080" s="6" t="str">
        <f>HYPERLINK("proteomic_fractions_linear_files/Yang_linear_img/58037183.jpg", "58037183")</f>
        <v>58037183</v>
      </c>
      <c r="B2080" s="7"/>
      <c r="C2080" s="6" t="str">
        <f>HYPERLINK("http://www.ncbi.nlm.nih.gov/protein/58037183","Eif1ad")</f>
        <v>Eif1ad</v>
      </c>
      <c r="D2080" s="8"/>
      <c r="E2080" s="8">
        <v>19389</v>
      </c>
      <c r="F2080" s="8"/>
      <c r="G2080" s="15" t="s">
        <v>10</v>
      </c>
      <c r="H2080" s="15" t="s">
        <v>10</v>
      </c>
      <c r="I2080" s="15" t="s">
        <v>10</v>
      </c>
      <c r="J2080" s="15" t="s">
        <v>10</v>
      </c>
      <c r="K2080" s="15" t="s">
        <v>10</v>
      </c>
      <c r="L2080" s="15" t="s">
        <v>10</v>
      </c>
      <c r="M2080" s="15">
        <v>1.0840758519292775</v>
      </c>
      <c r="N2080" s="15">
        <v>1.0840758519292775</v>
      </c>
      <c r="O2080" s="15">
        <v>1.1471443300357238</v>
      </c>
      <c r="P2080" s="15">
        <v>1.1471443300357238</v>
      </c>
      <c r="Q2080" s="8"/>
      <c r="R2080" s="9" t="s">
        <v>2061</v>
      </c>
    </row>
    <row r="2081" spans="1:18" x14ac:dyDescent="0.25">
      <c r="A2081" s="6" t="str">
        <f>HYPERLINK("proteomic_fractions_linear_files/Yang_linear_img/31541824.jpg", "31541824")</f>
        <v>31541824</v>
      </c>
      <c r="B2081" s="7"/>
      <c r="C2081" s="6" t="str">
        <f>HYPERLINK("http://www.ncbi.nlm.nih.gov/protein/31541824","Eif1ax")</f>
        <v>Eif1ax</v>
      </c>
      <c r="D2081" s="8"/>
      <c r="E2081" s="8">
        <v>16329</v>
      </c>
      <c r="F2081" s="8"/>
      <c r="G2081" s="15">
        <v>1.0447796575379389</v>
      </c>
      <c r="H2081" s="15">
        <v>1.0447796575379389</v>
      </c>
      <c r="I2081" s="15">
        <v>1.0981212353349354</v>
      </c>
      <c r="J2081" s="15">
        <v>1.0981212353349354</v>
      </c>
      <c r="K2081" s="15">
        <v>1.1559561977852553</v>
      </c>
      <c r="L2081" s="15">
        <v>1.1559561977852553</v>
      </c>
      <c r="M2081" s="15">
        <v>1.0981212353349354</v>
      </c>
      <c r="N2081" s="15">
        <v>1.0981212353349354</v>
      </c>
      <c r="O2081" s="15">
        <v>1.0981212353349354</v>
      </c>
      <c r="P2081" s="15">
        <v>1.0981212353349354</v>
      </c>
      <c r="Q2081" s="8"/>
      <c r="R2081" s="9" t="s">
        <v>2062</v>
      </c>
    </row>
    <row r="2082" spans="1:18" x14ac:dyDescent="0.25">
      <c r="A2082" s="6" t="str">
        <f>HYPERLINK("proteomic_fractions_linear_files/Yang_linear_img/21312159.jpg", "21312159")</f>
        <v>21312159</v>
      </c>
      <c r="B2082" s="7"/>
      <c r="C2082" s="6" t="str">
        <f>HYPERLINK("http://www.ncbi.nlm.nih.gov/protein/21312159","Eif1b")</f>
        <v>Eif1b</v>
      </c>
      <c r="D2082" s="8"/>
      <c r="E2082" s="8">
        <v>12693</v>
      </c>
      <c r="F2082" s="8"/>
      <c r="G2082" s="15">
        <v>1.0228510786924256</v>
      </c>
      <c r="H2082" s="15">
        <v>1.0228510786924256</v>
      </c>
      <c r="I2082" s="15">
        <v>1.068142346148973</v>
      </c>
      <c r="J2082" s="15">
        <v>1.0228510786924256</v>
      </c>
      <c r="K2082" s="15">
        <v>1.1167287478361805</v>
      </c>
      <c r="L2082" s="15">
        <v>1.1167287478361805</v>
      </c>
      <c r="M2082" s="15">
        <v>1.1167287478361805</v>
      </c>
      <c r="N2082" s="15">
        <v>1.1167287478361805</v>
      </c>
      <c r="O2082" s="15">
        <v>1.0228510786924256</v>
      </c>
      <c r="P2082" s="15">
        <v>1.0228510786924256</v>
      </c>
      <c r="Q2082" s="8"/>
      <c r="R2082" s="9" t="s">
        <v>2063</v>
      </c>
    </row>
    <row r="2083" spans="1:18" x14ac:dyDescent="0.25">
      <c r="A2083" s="6" t="str">
        <f>HYPERLINK("proteomic_fractions_linear_files/Yang_linear_img/54020676.jpg", "54020676")</f>
        <v>54020676</v>
      </c>
      <c r="B2083" s="7"/>
      <c r="C2083" s="6" t="str">
        <f>HYPERLINK("http://www.ncbi.nlm.nih.gov/protein/54020676","Eif2a")</f>
        <v>Eif2a</v>
      </c>
      <c r="D2083" s="8"/>
      <c r="E2083" s="8">
        <v>64272</v>
      </c>
      <c r="F2083" s="8"/>
      <c r="G2083" s="15">
        <v>1.2984165386428728</v>
      </c>
      <c r="H2083" s="15">
        <v>1.0227072395397552</v>
      </c>
      <c r="I2083" s="15">
        <v>1.0227072395397552</v>
      </c>
      <c r="J2083" s="15">
        <v>1.0227072395397552</v>
      </c>
      <c r="K2083" s="15">
        <v>1.0227072395397552</v>
      </c>
      <c r="L2083" s="15">
        <v>1.0227072395397552</v>
      </c>
      <c r="M2083" s="15">
        <v>1.0227072395397552</v>
      </c>
      <c r="N2083" s="15">
        <v>1.0227072395397552</v>
      </c>
      <c r="O2083" s="15" t="s">
        <v>10</v>
      </c>
      <c r="P2083" s="15" t="s">
        <v>10</v>
      </c>
      <c r="Q2083" s="8"/>
      <c r="R2083" s="9" t="s">
        <v>2064</v>
      </c>
    </row>
    <row r="2084" spans="1:18" x14ac:dyDescent="0.25">
      <c r="A2084" s="6" t="str">
        <f>HYPERLINK("proteomic_fractions_linear_files/Yang_linear_img/6755160.jpg", "6755160")</f>
        <v>6755160</v>
      </c>
      <c r="B2084" s="7"/>
      <c r="C2084" s="6" t="str">
        <f>HYPERLINK("http://www.ncbi.nlm.nih.gov/protein/6755160","Eif2ak2")</f>
        <v>Eif2ak2</v>
      </c>
      <c r="D2084" s="8"/>
      <c r="E2084" s="8">
        <v>58149</v>
      </c>
      <c r="F2084" s="8"/>
      <c r="G2084" s="15" t="s">
        <v>10</v>
      </c>
      <c r="H2084" s="15" t="s">
        <v>10</v>
      </c>
      <c r="I2084" s="15">
        <v>0.59574787121508943</v>
      </c>
      <c r="J2084" s="15">
        <v>0.59574787121508943</v>
      </c>
      <c r="K2084" s="15">
        <v>1.1285045401817988</v>
      </c>
      <c r="L2084" s="15">
        <v>1.1285045401817988</v>
      </c>
      <c r="M2084" s="15">
        <v>1.0133311652688595</v>
      </c>
      <c r="N2084" s="15">
        <v>1.0133311652688595</v>
      </c>
      <c r="O2084" s="15">
        <v>0.55317366992644112</v>
      </c>
      <c r="P2084" s="15">
        <v>0.55317366992644112</v>
      </c>
      <c r="Q2084" s="8"/>
      <c r="R2084" s="9" t="s">
        <v>2065</v>
      </c>
    </row>
    <row r="2085" spans="1:18" x14ac:dyDescent="0.25">
      <c r="A2085" s="6" t="str">
        <f>HYPERLINK("proteomic_fractions_linear_files/Yang_linear_img/166851838.jpg", "166851838")</f>
        <v>166851838</v>
      </c>
      <c r="B2085" s="7"/>
      <c r="C2085" s="6" t="str">
        <f>HYPERLINK("http://www.ncbi.nlm.nih.gov/protein/166851838","Eif2ak4")</f>
        <v>Eif2ak4</v>
      </c>
      <c r="D2085" s="8"/>
      <c r="E2085" s="8">
        <v>186371</v>
      </c>
      <c r="F2085" s="8"/>
      <c r="G2085" s="15" t="s">
        <v>10</v>
      </c>
      <c r="H2085" s="15" t="s">
        <v>10</v>
      </c>
      <c r="I2085" s="15" t="s">
        <v>10</v>
      </c>
      <c r="J2085" s="15" t="s">
        <v>10</v>
      </c>
      <c r="K2085" s="15">
        <v>1.254628213052952</v>
      </c>
      <c r="L2085" s="15">
        <v>1.254628213052952</v>
      </c>
      <c r="M2085" s="15" t="s">
        <v>10</v>
      </c>
      <c r="N2085" s="15" t="s">
        <v>10</v>
      </c>
      <c r="O2085" s="15" t="s">
        <v>10</v>
      </c>
      <c r="P2085" s="15" t="s">
        <v>10</v>
      </c>
      <c r="Q2085" s="8"/>
      <c r="R2085" s="9" t="s">
        <v>2066</v>
      </c>
    </row>
    <row r="2086" spans="1:18" x14ac:dyDescent="0.25">
      <c r="A2086" s="6" t="str">
        <f>HYPERLINK("proteomic_fractions_linear_files/Yang_linear_img/295317391.jpg", "295317391")</f>
        <v>295317391</v>
      </c>
      <c r="B2086" s="7"/>
      <c r="C2086" s="6" t="str">
        <f>HYPERLINK("http://www.ncbi.nlm.nih.gov/protein/295317391","Eif2ak4")</f>
        <v>Eif2ak4</v>
      </c>
      <c r="D2086" s="8"/>
      <c r="E2086" s="8">
        <v>174049</v>
      </c>
      <c r="F2086" s="8"/>
      <c r="G2086" s="15" t="s">
        <v>10</v>
      </c>
      <c r="H2086" s="15" t="s">
        <v>10</v>
      </c>
      <c r="I2086" s="15" t="s">
        <v>10</v>
      </c>
      <c r="J2086" s="15" t="s">
        <v>10</v>
      </c>
      <c r="K2086" s="15">
        <v>1.3411542967117762</v>
      </c>
      <c r="L2086" s="15">
        <v>1.3411542967117762</v>
      </c>
      <c r="M2086" s="15" t="s">
        <v>10</v>
      </c>
      <c r="N2086" s="15" t="s">
        <v>10</v>
      </c>
      <c r="O2086" s="15" t="s">
        <v>10</v>
      </c>
      <c r="P2086" s="15" t="s">
        <v>10</v>
      </c>
      <c r="Q2086" s="8"/>
      <c r="R2086" s="9" t="s">
        <v>2067</v>
      </c>
    </row>
    <row r="2087" spans="1:18" x14ac:dyDescent="0.25">
      <c r="A2087" s="6" t="str">
        <f>HYPERLINK("proteomic_fractions_linear_files/Yang_linear_img/21703744.jpg", "21703744")</f>
        <v>21703744</v>
      </c>
      <c r="B2087" s="7"/>
      <c r="C2087" s="6" t="str">
        <f>HYPERLINK("http://www.ncbi.nlm.nih.gov/protein/21703744","Eif2b1")</f>
        <v>Eif2b1</v>
      </c>
      <c r="D2087" s="8"/>
      <c r="E2087" s="8">
        <v>33685</v>
      </c>
      <c r="F2087" s="8"/>
      <c r="G2087" s="15" t="s">
        <v>10</v>
      </c>
      <c r="H2087" s="15" t="s">
        <v>10</v>
      </c>
      <c r="I2087" s="15">
        <v>0.82112386169653118</v>
      </c>
      <c r="J2087" s="15">
        <v>0.82112386169653118</v>
      </c>
      <c r="K2087" s="15">
        <v>0.87898255563862149</v>
      </c>
      <c r="L2087" s="15">
        <v>0.87898255563862149</v>
      </c>
      <c r="M2087" s="15">
        <v>0.87898255563862149</v>
      </c>
      <c r="N2087" s="15">
        <v>0.87898255563862149</v>
      </c>
      <c r="O2087" s="15">
        <v>0.76912523868897065</v>
      </c>
      <c r="P2087" s="15">
        <v>0.76912523868897065</v>
      </c>
      <c r="Q2087" s="8"/>
      <c r="R2087" s="9" t="s">
        <v>2068</v>
      </c>
    </row>
    <row r="2088" spans="1:18" x14ac:dyDescent="0.25">
      <c r="A2088" s="6" t="str">
        <f>HYPERLINK("proteomic_fractions_linear_files/Yang_linear_img/21703888.jpg", "21703888")</f>
        <v>21703888</v>
      </c>
      <c r="B2088" s="7"/>
      <c r="C2088" s="6" t="str">
        <f>HYPERLINK("http://www.ncbi.nlm.nih.gov/protein/21703888","Eif2b2")</f>
        <v>Eif2b2</v>
      </c>
      <c r="D2088" s="8"/>
      <c r="E2088" s="8">
        <v>38767</v>
      </c>
      <c r="F2088" s="8"/>
      <c r="G2088" s="15" t="s">
        <v>10</v>
      </c>
      <c r="H2088" s="15" t="s">
        <v>10</v>
      </c>
      <c r="I2088" s="15" t="s">
        <v>10</v>
      </c>
      <c r="J2088" s="15" t="s">
        <v>10</v>
      </c>
      <c r="K2088" s="15">
        <v>0.95746990828524592</v>
      </c>
      <c r="L2088" s="15">
        <v>0.95746990828524592</v>
      </c>
      <c r="M2088" s="15">
        <v>0.95746990828524592</v>
      </c>
      <c r="N2088" s="15">
        <v>0.95746990828524592</v>
      </c>
      <c r="O2088" s="15">
        <v>0.8859840136019278</v>
      </c>
      <c r="P2088" s="15">
        <v>0.8859840136019278</v>
      </c>
      <c r="Q2088" s="8"/>
      <c r="R2088" s="9" t="s">
        <v>2069</v>
      </c>
    </row>
    <row r="2089" spans="1:18" x14ac:dyDescent="0.25">
      <c r="A2089" s="6" t="str">
        <f>HYPERLINK("proteomic_fractions_linear_files/Yang_linear_img/110626005.jpg", "110626005")</f>
        <v>110626005</v>
      </c>
      <c r="B2089" s="7"/>
      <c r="C2089" s="6" t="str">
        <f>HYPERLINK("http://www.ncbi.nlm.nih.gov/protein/110626005","Eif2b3")</f>
        <v>Eif2b3</v>
      </c>
      <c r="D2089" s="8"/>
      <c r="E2089" s="8">
        <v>49671</v>
      </c>
      <c r="F2089" s="8"/>
      <c r="G2089" s="15" t="s">
        <v>10</v>
      </c>
      <c r="H2089" s="15" t="s">
        <v>10</v>
      </c>
      <c r="I2089" s="15" t="s">
        <v>10</v>
      </c>
      <c r="J2089" s="15" t="s">
        <v>10</v>
      </c>
      <c r="K2089" s="15" t="s">
        <v>10</v>
      </c>
      <c r="L2089" s="15" t="s">
        <v>10</v>
      </c>
      <c r="M2089" s="15">
        <v>1.0624113926000216</v>
      </c>
      <c r="N2089" s="15">
        <v>1.0624113926000216</v>
      </c>
      <c r="O2089" s="15" t="s">
        <v>10</v>
      </c>
      <c r="P2089" s="15" t="s">
        <v>10</v>
      </c>
      <c r="Q2089" s="8"/>
      <c r="R2089" s="9" t="s">
        <v>2070</v>
      </c>
    </row>
    <row r="2090" spans="1:18" x14ac:dyDescent="0.25">
      <c r="A2090" s="6" t="str">
        <f>HYPERLINK("proteomic_fractions_linear_files/Yang_linear_img/162287102.jpg", "162287102")</f>
        <v>162287102</v>
      </c>
      <c r="B2090" s="7"/>
      <c r="C2090" s="6" t="str">
        <f>HYPERLINK("http://www.ncbi.nlm.nih.gov/protein/162287102","Eif2b3")</f>
        <v>Eif2b3</v>
      </c>
      <c r="D2090" s="8"/>
      <c r="E2090" s="8">
        <v>50358</v>
      </c>
      <c r="F2090" s="8"/>
      <c r="G2090" s="15" t="s">
        <v>10</v>
      </c>
      <c r="H2090" s="15" t="s">
        <v>10</v>
      </c>
      <c r="I2090" s="15" t="s">
        <v>10</v>
      </c>
      <c r="J2090" s="15" t="s">
        <v>10</v>
      </c>
      <c r="K2090" s="15" t="s">
        <v>10</v>
      </c>
      <c r="L2090" s="15" t="s">
        <v>10</v>
      </c>
      <c r="M2090" s="15">
        <v>1.0624113926000216</v>
      </c>
      <c r="N2090" s="15">
        <v>1.0624113926000216</v>
      </c>
      <c r="O2090" s="15" t="s">
        <v>10</v>
      </c>
      <c r="P2090" s="15" t="s">
        <v>10</v>
      </c>
      <c r="Q2090" s="8"/>
      <c r="R2090" s="9" t="s">
        <v>2071</v>
      </c>
    </row>
    <row r="2091" spans="1:18" x14ac:dyDescent="0.25">
      <c r="A2091" s="6" t="str">
        <f>HYPERLINK("proteomic_fractions_linear_files/Yang_linear_img/188219551.jpg", "188219551")</f>
        <v>188219551</v>
      </c>
      <c r="B2091" s="7"/>
      <c r="C2091" s="6" t="str">
        <f>HYPERLINK("http://www.ncbi.nlm.nih.gov/protein/188219551","Eif2b4")</f>
        <v>Eif2b4</v>
      </c>
      <c r="D2091" s="8"/>
      <c r="E2091" s="8">
        <v>57493</v>
      </c>
      <c r="F2091" s="8"/>
      <c r="G2091" s="15" t="s">
        <v>10</v>
      </c>
      <c r="H2091" s="15" t="s">
        <v>10</v>
      </c>
      <c r="I2091" s="15">
        <v>1.1483028654481462</v>
      </c>
      <c r="J2091" s="15">
        <v>1.1483028654481462</v>
      </c>
      <c r="K2091" s="15">
        <v>1.1483028654481462</v>
      </c>
      <c r="L2091" s="15">
        <v>1.1483028654481462</v>
      </c>
      <c r="M2091" s="15">
        <v>1.1483028654481462</v>
      </c>
      <c r="N2091" s="15">
        <v>1.1483028654481462</v>
      </c>
      <c r="O2091" s="15">
        <v>1.0311089050104185</v>
      </c>
      <c r="P2091" s="15">
        <v>1.0311089050104185</v>
      </c>
      <c r="Q2091" s="8"/>
      <c r="R2091" s="9" t="s">
        <v>2072</v>
      </c>
    </row>
    <row r="2092" spans="1:18" x14ac:dyDescent="0.25">
      <c r="A2092" s="6" t="str">
        <f>HYPERLINK("proteomic_fractions_linear_files/Yang_linear_img/188219553.jpg", "188219553")</f>
        <v>188219553</v>
      </c>
      <c r="B2092" s="7"/>
      <c r="C2092" s="6" t="str">
        <f>HYPERLINK("http://www.ncbi.nlm.nih.gov/protein/188219553","Eif2b4")</f>
        <v>Eif2b4</v>
      </c>
      <c r="D2092" s="8"/>
      <c r="E2092" s="8">
        <v>59527</v>
      </c>
      <c r="F2092" s="8"/>
      <c r="G2092" s="15" t="s">
        <v>10</v>
      </c>
      <c r="H2092" s="15" t="s">
        <v>10</v>
      </c>
      <c r="I2092" s="15">
        <v>1.0908877221757389</v>
      </c>
      <c r="J2092" s="15">
        <v>1.0908877221757389</v>
      </c>
      <c r="K2092" s="15">
        <v>1.0908877221757389</v>
      </c>
      <c r="L2092" s="15">
        <v>1.0908877221757389</v>
      </c>
      <c r="M2092" s="15">
        <v>1.0908877221757389</v>
      </c>
      <c r="N2092" s="15">
        <v>1.0908877221757389</v>
      </c>
      <c r="O2092" s="15">
        <v>0.97955345975989749</v>
      </c>
      <c r="P2092" s="15">
        <v>0.97955345975989749</v>
      </c>
      <c r="Q2092" s="8"/>
      <c r="R2092" s="9" t="s">
        <v>2073</v>
      </c>
    </row>
    <row r="2093" spans="1:18" x14ac:dyDescent="0.25">
      <c r="A2093" s="6" t="str">
        <f>HYPERLINK("proteomic_fractions_linear_files/Yang_linear_img/26986557.jpg", "26986557")</f>
        <v>26986557</v>
      </c>
      <c r="B2093" s="7"/>
      <c r="C2093" s="6" t="str">
        <f>HYPERLINK("http://www.ncbi.nlm.nih.gov/protein/26986557","Eif2b5")</f>
        <v>Eif2b5</v>
      </c>
      <c r="D2093" s="8"/>
      <c r="E2093" s="8">
        <v>79956</v>
      </c>
      <c r="F2093" s="8"/>
      <c r="G2093" s="15" t="s">
        <v>10</v>
      </c>
      <c r="H2093" s="15" t="s">
        <v>10</v>
      </c>
      <c r="I2093" s="15">
        <v>1.0387332309142983</v>
      </c>
      <c r="J2093" s="15">
        <v>1.0387332309142983</v>
      </c>
      <c r="K2093" s="15">
        <v>1.1870997647823063</v>
      </c>
      <c r="L2093" s="15">
        <v>1.1870997647823063</v>
      </c>
      <c r="M2093" s="15">
        <v>1.0387332309142983</v>
      </c>
      <c r="N2093" s="15">
        <v>1.0387332309142983</v>
      </c>
      <c r="O2093" s="15" t="s">
        <v>10</v>
      </c>
      <c r="P2093" s="15" t="s">
        <v>10</v>
      </c>
      <c r="Q2093" s="8"/>
      <c r="R2093" s="9" t="s">
        <v>2074</v>
      </c>
    </row>
    <row r="2094" spans="1:18" x14ac:dyDescent="0.25">
      <c r="A2094" s="6" t="str">
        <f>HYPERLINK("proteomic_fractions_linear_files/Yang_linear_img/209862947.jpg", "209862947")</f>
        <v>209862947</v>
      </c>
      <c r="B2094" s="7"/>
      <c r="C2094" s="6" t="str">
        <f>HYPERLINK("http://www.ncbi.nlm.nih.gov/protein/209862947","Eif2d")</f>
        <v>Eif2d</v>
      </c>
      <c r="D2094" s="8"/>
      <c r="E2094" s="8">
        <v>62699</v>
      </c>
      <c r="F2094" s="8"/>
      <c r="G2094" s="15" t="s">
        <v>10</v>
      </c>
      <c r="H2094" s="15" t="s">
        <v>10</v>
      </c>
      <c r="I2094" s="15" t="s">
        <v>10</v>
      </c>
      <c r="J2094" s="15" t="s">
        <v>10</v>
      </c>
      <c r="K2094" s="15">
        <v>1.1656533371695594</v>
      </c>
      <c r="L2094" s="15">
        <v>1.1656533371695594</v>
      </c>
      <c r="M2094" s="15">
        <v>1.1656533371695594</v>
      </c>
      <c r="N2094" s="15">
        <v>1.1656533371695594</v>
      </c>
      <c r="O2094" s="15" t="s">
        <v>10</v>
      </c>
      <c r="P2094" s="15" t="s">
        <v>10</v>
      </c>
      <c r="Q2094" s="8"/>
      <c r="R2094" s="9" t="s">
        <v>2075</v>
      </c>
    </row>
    <row r="2095" spans="1:18" x14ac:dyDescent="0.25">
      <c r="A2095" s="6" t="str">
        <f>HYPERLINK("proteomic_fractions_linear_files/Yang_linear_img/229577222.jpg", "229577222")</f>
        <v>229577222</v>
      </c>
      <c r="B2095" s="7"/>
      <c r="C2095" s="6" t="str">
        <f>HYPERLINK("http://www.ncbi.nlm.nih.gov/protein/229577222","Eif2d")</f>
        <v>Eif2d</v>
      </c>
      <c r="D2095" s="8"/>
      <c r="E2095" s="8">
        <v>60747</v>
      </c>
      <c r="F2095" s="8"/>
      <c r="G2095" s="15" t="s">
        <v>10</v>
      </c>
      <c r="H2095" s="15" t="s">
        <v>10</v>
      </c>
      <c r="I2095" s="15" t="s">
        <v>10</v>
      </c>
      <c r="J2095" s="15" t="s">
        <v>10</v>
      </c>
      <c r="K2095" s="15">
        <v>1.2038714793718401</v>
      </c>
      <c r="L2095" s="15">
        <v>1.2038714793718401</v>
      </c>
      <c r="M2095" s="15">
        <v>1.2038714793718401</v>
      </c>
      <c r="N2095" s="15">
        <v>1.2038714793718401</v>
      </c>
      <c r="O2095" s="15" t="s">
        <v>10</v>
      </c>
      <c r="P2095" s="15" t="s">
        <v>10</v>
      </c>
      <c r="Q2095" s="8"/>
      <c r="R2095" s="9" t="s">
        <v>2076</v>
      </c>
    </row>
    <row r="2096" spans="1:18" x14ac:dyDescent="0.25">
      <c r="A2096" s="6" t="str">
        <f>HYPERLINK("proteomic_fractions_linear_files/Yang_linear_img/13385624.jpg", "13385624")</f>
        <v>13385624</v>
      </c>
      <c r="B2096" s="7"/>
      <c r="C2096" s="6" t="str">
        <f>HYPERLINK("http://www.ncbi.nlm.nih.gov/protein/13385624","Eif2s1")</f>
        <v>Eif2s1</v>
      </c>
      <c r="D2096" s="8"/>
      <c r="E2096" s="8">
        <v>35977</v>
      </c>
      <c r="F2096" s="8"/>
      <c r="G2096" s="15">
        <v>1.3413882106782014</v>
      </c>
      <c r="H2096" s="15">
        <v>1.3413882106782014</v>
      </c>
      <c r="I2096" s="15">
        <v>0.95981601473542177</v>
      </c>
      <c r="J2096" s="15">
        <v>0.95981601473542177</v>
      </c>
      <c r="K2096" s="15">
        <v>1.0372590673090165</v>
      </c>
      <c r="L2096" s="15">
        <v>1.0372590673090165</v>
      </c>
      <c r="M2096" s="15">
        <v>1.0372590673090165</v>
      </c>
      <c r="N2096" s="15">
        <v>1.0372590673090165</v>
      </c>
      <c r="O2096" s="15">
        <v>0.89122424599259964</v>
      </c>
      <c r="P2096" s="15">
        <v>0.89122424599259964</v>
      </c>
      <c r="Q2096" s="8"/>
      <c r="R2096" s="9" t="s">
        <v>2077</v>
      </c>
    </row>
    <row r="2097" spans="1:18" x14ac:dyDescent="0.25">
      <c r="A2097" s="6" t="str">
        <f>HYPERLINK("proteomic_fractions_linear_files/Yang_linear_img/14149756.jpg", "14149756")</f>
        <v>14149756</v>
      </c>
      <c r="B2097" s="7"/>
      <c r="C2097" s="6" t="str">
        <f>HYPERLINK("http://www.ncbi.nlm.nih.gov/protein/14149756","Eif2s2")</f>
        <v>Eif2s2</v>
      </c>
      <c r="D2097" s="8"/>
      <c r="E2097" s="8">
        <v>37961</v>
      </c>
      <c r="F2097" s="8"/>
      <c r="G2097" s="15">
        <v>1.5466633575156277</v>
      </c>
      <c r="H2097" s="15">
        <v>1.5466633575156277</v>
      </c>
      <c r="I2097" s="15">
        <v>1.2707888311688225</v>
      </c>
      <c r="J2097" s="15">
        <v>1.2707888311688225</v>
      </c>
      <c r="K2097" s="15">
        <v>1.2707888311688225</v>
      </c>
      <c r="L2097" s="15">
        <v>1.2707888311688225</v>
      </c>
      <c r="M2097" s="15">
        <v>1.2707888311688225</v>
      </c>
      <c r="N2097" s="15">
        <v>1.2707888311688225</v>
      </c>
      <c r="O2097" s="15">
        <v>1.1611997170254071</v>
      </c>
      <c r="P2097" s="15">
        <v>1.1611997170254071</v>
      </c>
      <c r="Q2097" s="8"/>
      <c r="R2097" s="9" t="s">
        <v>2078</v>
      </c>
    </row>
    <row r="2098" spans="1:18" x14ac:dyDescent="0.25">
      <c r="A2098" s="6" t="str">
        <f>HYPERLINK("proteomic_fractions_linear_files/Yang_linear_img/6753738.jpg", "6753738")</f>
        <v>6753738</v>
      </c>
      <c r="B2098" s="7"/>
      <c r="C2098" s="6" t="str">
        <f>HYPERLINK("http://www.ncbi.nlm.nih.gov/protein/6753738","Eif2s3x")</f>
        <v>Eif2s3x</v>
      </c>
      <c r="D2098" s="8"/>
      <c r="E2098" s="8">
        <v>50935</v>
      </c>
      <c r="F2098" s="8"/>
      <c r="G2098" s="15">
        <v>1.2833973202067517</v>
      </c>
      <c r="H2098" s="15">
        <v>1.2833973202067517</v>
      </c>
      <c r="I2098" s="15">
        <v>1.0415797966666878</v>
      </c>
      <c r="J2098" s="15">
        <v>1.0415797966666878</v>
      </c>
      <c r="K2098" s="15">
        <v>1.0415797966666878</v>
      </c>
      <c r="L2098" s="15">
        <v>1.0415797966666878</v>
      </c>
      <c r="M2098" s="15">
        <v>1.0415797966666878</v>
      </c>
      <c r="N2098" s="15">
        <v>1.0415797966666878</v>
      </c>
      <c r="O2098" s="15">
        <v>0.94686226636108339</v>
      </c>
      <c r="P2098" s="15">
        <v>0.94686226636108339</v>
      </c>
      <c r="Q2098" s="8"/>
      <c r="R2098" s="9" t="s">
        <v>2079</v>
      </c>
    </row>
    <row r="2099" spans="1:18" x14ac:dyDescent="0.25">
      <c r="A2099" s="6" t="str">
        <f>HYPERLINK("proteomic_fractions_linear_files/Yang_linear_img/7242148.jpg", "7242148")</f>
        <v>7242148</v>
      </c>
      <c r="B2099" s="7"/>
      <c r="C2099" s="6" t="str">
        <f>HYPERLINK("http://www.ncbi.nlm.nih.gov/protein/7242148","Eif2s3y")</f>
        <v>Eif2s3y</v>
      </c>
      <c r="D2099" s="8"/>
      <c r="E2099" s="8">
        <v>51000</v>
      </c>
      <c r="F2099" s="8"/>
      <c r="G2099" s="15">
        <v>1.2833973202067517</v>
      </c>
      <c r="H2099" s="15">
        <v>1.2833973202067517</v>
      </c>
      <c r="I2099" s="15">
        <v>1.0415797966666878</v>
      </c>
      <c r="J2099" s="15">
        <v>1.0415797966666878</v>
      </c>
      <c r="K2099" s="15">
        <v>1.0415797966666878</v>
      </c>
      <c r="L2099" s="15">
        <v>1.0415797966666878</v>
      </c>
      <c r="M2099" s="15">
        <v>1.0415797966666878</v>
      </c>
      <c r="N2099" s="15">
        <v>1.0415797966666878</v>
      </c>
      <c r="O2099" s="15">
        <v>0.94686226636108339</v>
      </c>
      <c r="P2099" s="15">
        <v>0.94686226636108339</v>
      </c>
      <c r="Q2099" s="8"/>
      <c r="R2099" s="9" t="s">
        <v>2080</v>
      </c>
    </row>
    <row r="2100" spans="1:18" x14ac:dyDescent="0.25">
      <c r="A2100" s="6" t="str">
        <f>HYPERLINK("proteomic_fractions_linear_files/Yang_linear_img/146219837.jpg", "146219837")</f>
        <v>146219837</v>
      </c>
      <c r="B2100" s="7"/>
      <c r="C2100" s="6" t="str">
        <f>HYPERLINK("http://www.ncbi.nlm.nih.gov/protein/146219837","Eif3a")</f>
        <v>Eif3a</v>
      </c>
      <c r="D2100" s="8"/>
      <c r="E2100" s="8">
        <v>161806</v>
      </c>
      <c r="F2100" s="8"/>
      <c r="G2100" s="15">
        <v>1.1528755039502492</v>
      </c>
      <c r="H2100" s="15">
        <v>1.1528755039502492</v>
      </c>
      <c r="I2100" s="15">
        <v>0.94723994528544342</v>
      </c>
      <c r="J2100" s="15">
        <v>0.94723994528544342</v>
      </c>
      <c r="K2100" s="15">
        <v>1.4404990594311671</v>
      </c>
      <c r="L2100" s="15">
        <v>1.4404990594311671</v>
      </c>
      <c r="M2100" s="15">
        <v>1.1528755039502492</v>
      </c>
      <c r="N2100" s="15">
        <v>1.1528755039502492</v>
      </c>
      <c r="O2100" s="15">
        <v>1.1528755039502492</v>
      </c>
      <c r="P2100" s="15">
        <v>1.1528755039502492</v>
      </c>
      <c r="Q2100" s="8"/>
      <c r="R2100" s="9" t="s">
        <v>2081</v>
      </c>
    </row>
    <row r="2101" spans="1:18" x14ac:dyDescent="0.25">
      <c r="A2101" s="6" t="str">
        <f>HYPERLINK("proteomic_fractions_linear_files/Yang_linear_img/29789343.jpg", "29789343")</f>
        <v>29789343</v>
      </c>
      <c r="B2101" s="7"/>
      <c r="C2101" s="6" t="str">
        <f>HYPERLINK("http://www.ncbi.nlm.nih.gov/protein/29789343","Eif3b")</f>
        <v>Eif3b</v>
      </c>
      <c r="D2101" s="8"/>
      <c r="E2101" s="8">
        <v>91239</v>
      </c>
      <c r="F2101" s="8"/>
      <c r="G2101" s="15">
        <v>1.4145233862100766</v>
      </c>
      <c r="H2101" s="15">
        <v>1.6862952872114487</v>
      </c>
      <c r="I2101" s="15">
        <v>1.206610591441005</v>
      </c>
      <c r="J2101" s="15">
        <v>1.206610591441005</v>
      </c>
      <c r="K2101" s="15">
        <v>1.4145233862100766</v>
      </c>
      <c r="L2101" s="15">
        <v>1.4145233862100766</v>
      </c>
      <c r="M2101" s="15">
        <v>1.4145233862100766</v>
      </c>
      <c r="N2101" s="15">
        <v>1.4145233862100766</v>
      </c>
      <c r="O2101" s="15">
        <v>1.4145233862100766</v>
      </c>
      <c r="P2101" s="15">
        <v>1.4145233862100766</v>
      </c>
      <c r="Q2101" s="8"/>
      <c r="R2101" s="9" t="s">
        <v>2082</v>
      </c>
    </row>
    <row r="2102" spans="1:18" x14ac:dyDescent="0.25">
      <c r="A2102" s="6" t="str">
        <f>HYPERLINK("proteomic_fractions_linear_files/Yang_linear_img/22203755.jpg", "22203755")</f>
        <v>22203755</v>
      </c>
      <c r="B2102" s="7"/>
      <c r="C2102" s="6" t="str">
        <f>HYPERLINK("http://www.ncbi.nlm.nih.gov/protein/22203755","Eif3c")</f>
        <v>Eif3c</v>
      </c>
      <c r="D2102" s="8"/>
      <c r="E2102" s="8">
        <v>105400</v>
      </c>
      <c r="F2102" s="8"/>
      <c r="G2102" s="15">
        <v>1.4614559155832556</v>
      </c>
      <c r="H2102" s="15">
        <v>1.4614559155832556</v>
      </c>
      <c r="I2102" s="15">
        <v>57.07714285714286</v>
      </c>
      <c r="J2102" s="15">
        <v>57.07714285714286</v>
      </c>
      <c r="K2102" s="15">
        <v>1.2259202680487331</v>
      </c>
      <c r="L2102" s="15">
        <v>1.2259202680487331</v>
      </c>
      <c r="M2102" s="15">
        <v>1.2259202680487331</v>
      </c>
      <c r="N2102" s="15">
        <v>1.2259202680487331</v>
      </c>
      <c r="O2102" s="15">
        <v>1.2259202680487331</v>
      </c>
      <c r="P2102" s="15">
        <v>1.2259202680487331</v>
      </c>
      <c r="Q2102" s="8"/>
      <c r="R2102" s="9" t="s">
        <v>2083</v>
      </c>
    </row>
    <row r="2103" spans="1:18" x14ac:dyDescent="0.25">
      <c r="A2103" s="6" t="str">
        <f>HYPERLINK("proteomic_fractions_linear_files/Yang_linear_img/125628629.jpg", "125628629")</f>
        <v>125628629</v>
      </c>
      <c r="B2103" s="7"/>
      <c r="C2103" s="6" t="str">
        <f>HYPERLINK("http://www.ncbi.nlm.nih.gov/protein/125628629","Eif3d")</f>
        <v>Eif3d</v>
      </c>
      <c r="D2103" s="8"/>
      <c r="E2103" s="8">
        <v>63858</v>
      </c>
      <c r="F2103" s="8"/>
      <c r="G2103" s="15">
        <v>1.2984165386428728</v>
      </c>
      <c r="H2103" s="15">
        <v>1.2984165386428728</v>
      </c>
      <c r="I2103" s="15">
        <v>1.1474400037762851</v>
      </c>
      <c r="J2103" s="15">
        <v>1.1474400037762851</v>
      </c>
      <c r="K2103" s="15">
        <v>1.1474400037762851</v>
      </c>
      <c r="L2103" s="15">
        <v>1.1474400037762851</v>
      </c>
      <c r="M2103" s="15">
        <v>1.1474400037762851</v>
      </c>
      <c r="N2103" s="15">
        <v>1.1474400037762851</v>
      </c>
      <c r="O2103" s="15" t="s">
        <v>10</v>
      </c>
      <c r="P2103" s="15" t="s">
        <v>10</v>
      </c>
      <c r="Q2103" s="8"/>
      <c r="R2103" s="9" t="s">
        <v>2084</v>
      </c>
    </row>
    <row r="2104" spans="1:18" x14ac:dyDescent="0.25">
      <c r="A2104" s="6" t="str">
        <f>HYPERLINK("proteomic_fractions_linear_files/Yang_linear_img/45476573.jpg", "45476573")</f>
        <v>45476573</v>
      </c>
      <c r="B2104" s="7"/>
      <c r="C2104" s="6" t="str">
        <f>HYPERLINK("http://www.ncbi.nlm.nih.gov/protein/45476573","Eif3e")</f>
        <v>Eif3e</v>
      </c>
      <c r="D2104" s="8"/>
      <c r="E2104" s="8">
        <v>52090</v>
      </c>
      <c r="F2104" s="8"/>
      <c r="G2104" s="15">
        <v>1.1302539920306509</v>
      </c>
      <c r="H2104" s="15">
        <v>1.1302539920306509</v>
      </c>
      <c r="I2104" s="15">
        <v>0.92865337662337022</v>
      </c>
      <c r="J2104" s="15">
        <v>0.92865337662337022</v>
      </c>
      <c r="K2104" s="15">
        <v>0.92865337662337022</v>
      </c>
      <c r="L2104" s="15">
        <v>0.92865337662337022</v>
      </c>
      <c r="M2104" s="15">
        <v>0.84856902398010514</v>
      </c>
      <c r="N2104" s="15">
        <v>0.84856902398010514</v>
      </c>
      <c r="O2104" s="15">
        <v>0.84856902398010514</v>
      </c>
      <c r="P2104" s="15">
        <v>0.84856902398010514</v>
      </c>
      <c r="Q2104" s="8"/>
      <c r="R2104" s="9" t="s">
        <v>2085</v>
      </c>
    </row>
    <row r="2105" spans="1:18" x14ac:dyDescent="0.25">
      <c r="A2105" s="6" t="str">
        <f>HYPERLINK("proteomic_fractions_linear_files/Yang_linear_img/225637531.jpg", "225637531")</f>
        <v>225637531</v>
      </c>
      <c r="B2105" s="7"/>
      <c r="C2105" s="6" t="str">
        <f>HYPERLINK("http://www.ncbi.nlm.nih.gov/protein/225637531","Eif3f")</f>
        <v>Eif3f</v>
      </c>
      <c r="D2105" s="8"/>
      <c r="E2105" s="8">
        <v>37853</v>
      </c>
      <c r="F2105" s="8"/>
      <c r="G2105" s="15">
        <v>1.5466633575156277</v>
      </c>
      <c r="H2105" s="15">
        <v>1.5466633575156277</v>
      </c>
      <c r="I2105" s="15">
        <v>1.2707888311688225</v>
      </c>
      <c r="J2105" s="15">
        <v>1.2707888311688225</v>
      </c>
      <c r="K2105" s="15">
        <v>1.2707888311688225</v>
      </c>
      <c r="L2105" s="15">
        <v>1.2707888311688225</v>
      </c>
      <c r="M2105" s="15">
        <v>1.2707888311688225</v>
      </c>
      <c r="N2105" s="15">
        <v>1.2707888311688225</v>
      </c>
      <c r="O2105" s="15">
        <v>1.1611997170254071</v>
      </c>
      <c r="P2105" s="15">
        <v>1.1611997170254071</v>
      </c>
      <c r="Q2105" s="8"/>
      <c r="R2105" s="9" t="s">
        <v>2086</v>
      </c>
    </row>
    <row r="2106" spans="1:18" x14ac:dyDescent="0.25">
      <c r="A2106" s="6" t="str">
        <f>HYPERLINK("proteomic_fractions_linear_files/Yang_linear_img/31980808.jpg", "31980808")</f>
        <v>31980808</v>
      </c>
      <c r="B2106" s="7"/>
      <c r="C2106" s="6" t="str">
        <f>HYPERLINK("http://www.ncbi.nlm.nih.gov/protein/31980808","Eif3g")</f>
        <v>Eif3g</v>
      </c>
      <c r="D2106" s="8"/>
      <c r="E2106" s="8">
        <v>35507</v>
      </c>
      <c r="F2106" s="8"/>
      <c r="G2106" s="15">
        <v>1.6325890995998291</v>
      </c>
      <c r="H2106" s="15">
        <v>1.6325890995998291</v>
      </c>
      <c r="I2106" s="15">
        <v>1.2257108124157075</v>
      </c>
      <c r="J2106" s="15">
        <v>1.2257108124157075</v>
      </c>
      <c r="K2106" s="15">
        <v>1.2257108124157075</v>
      </c>
      <c r="L2106" s="15">
        <v>1.2257108124157075</v>
      </c>
      <c r="M2106" s="15">
        <v>1.2257108124157075</v>
      </c>
      <c r="N2106" s="15">
        <v>1.2257108124157075</v>
      </c>
      <c r="O2106" s="15">
        <v>1.125203283422854</v>
      </c>
      <c r="P2106" s="15">
        <v>1.125203283422854</v>
      </c>
      <c r="Q2106" s="8"/>
      <c r="R2106" s="9" t="s">
        <v>2087</v>
      </c>
    </row>
    <row r="2107" spans="1:18" x14ac:dyDescent="0.25">
      <c r="A2107" s="6" t="str">
        <f>HYPERLINK("proteomic_fractions_linear_files/Yang_linear_img/18079341.jpg", "18079341")</f>
        <v>18079341</v>
      </c>
      <c r="B2107" s="7"/>
      <c r="C2107" s="6" t="str">
        <f>HYPERLINK("http://www.ncbi.nlm.nih.gov/protein/18079341","Eif3h")</f>
        <v>Eif3h</v>
      </c>
      <c r="D2107" s="8"/>
      <c r="E2107" s="8">
        <v>39701</v>
      </c>
      <c r="F2107" s="8"/>
      <c r="G2107" s="15">
        <v>1.3280142407500271</v>
      </c>
      <c r="H2107" s="15">
        <v>1.3280142407500271</v>
      </c>
      <c r="I2107" s="15">
        <v>0.93353316057811475</v>
      </c>
      <c r="J2107" s="15">
        <v>0.93353316057811475</v>
      </c>
      <c r="K2107" s="15">
        <v>1.0126829550805687</v>
      </c>
      <c r="L2107" s="15">
        <v>1.0126829550805687</v>
      </c>
      <c r="M2107" s="15">
        <v>0.93353316057811475</v>
      </c>
      <c r="N2107" s="15">
        <v>0.93353316057811475</v>
      </c>
      <c r="O2107" s="15">
        <v>0.8638344132618796</v>
      </c>
      <c r="P2107" s="15">
        <v>0.8638344132618796</v>
      </c>
      <c r="Q2107" s="8"/>
      <c r="R2107" s="9" t="s">
        <v>2088</v>
      </c>
    </row>
    <row r="2108" spans="1:18" x14ac:dyDescent="0.25">
      <c r="A2108" s="6" t="str">
        <f>HYPERLINK("proteomic_fractions_linear_files/Yang_linear_img/9055370.jpg", "9055370")</f>
        <v>9055370</v>
      </c>
      <c r="B2108" s="7"/>
      <c r="C2108" s="6" t="str">
        <f>HYPERLINK("http://www.ncbi.nlm.nih.gov/protein/9055370","Eif3i")</f>
        <v>Eif3i</v>
      </c>
      <c r="D2108" s="8"/>
      <c r="E2108" s="8">
        <v>36330</v>
      </c>
      <c r="F2108" s="8"/>
      <c r="G2108" s="15">
        <v>1.3413882106782014</v>
      </c>
      <c r="H2108" s="15">
        <v>0.89122424599259964</v>
      </c>
      <c r="I2108" s="15">
        <v>0.95981601473542177</v>
      </c>
      <c r="J2108" s="15">
        <v>0.95981601473542177</v>
      </c>
      <c r="K2108" s="15">
        <v>1.0372590673090165</v>
      </c>
      <c r="L2108" s="15">
        <v>1.0372590673090165</v>
      </c>
      <c r="M2108" s="15">
        <v>1.0372590673090165</v>
      </c>
      <c r="N2108" s="15">
        <v>1.0372590673090165</v>
      </c>
      <c r="O2108" s="15">
        <v>0.89122424599259964</v>
      </c>
      <c r="P2108" s="15">
        <v>0.89122424599259964</v>
      </c>
      <c r="Q2108" s="8"/>
      <c r="R2108" s="9" t="s">
        <v>2089</v>
      </c>
    </row>
    <row r="2109" spans="1:18" x14ac:dyDescent="0.25">
      <c r="A2109" s="6" t="str">
        <f>HYPERLINK("proteomic_fractions_linear_files/Yang_linear_img/124244040.jpg", "124244040")</f>
        <v>124244040</v>
      </c>
      <c r="B2109" s="7"/>
      <c r="C2109" s="6" t="str">
        <f>HYPERLINK("http://www.ncbi.nlm.nih.gov/protein/124244040","Eif3j1")</f>
        <v>Eif3j1</v>
      </c>
      <c r="D2109" s="8"/>
      <c r="E2109" s="8">
        <v>29213</v>
      </c>
      <c r="F2109" s="8"/>
      <c r="G2109" s="15" t="s">
        <v>10</v>
      </c>
      <c r="H2109" s="15" t="s">
        <v>10</v>
      </c>
      <c r="I2109" s="15">
        <v>1.1914957424301789</v>
      </c>
      <c r="J2109" s="15">
        <v>1.1914957424301789</v>
      </c>
      <c r="K2109" s="15">
        <v>1.1914957424301789</v>
      </c>
      <c r="L2109" s="15">
        <v>1.1914957424301789</v>
      </c>
      <c r="M2109" s="15">
        <v>1.1914957424301789</v>
      </c>
      <c r="N2109" s="15">
        <v>1.1914957424301789</v>
      </c>
      <c r="O2109" s="15" t="s">
        <v>10</v>
      </c>
      <c r="P2109" s="15" t="s">
        <v>10</v>
      </c>
      <c r="Q2109" s="8"/>
      <c r="R2109" s="9" t="s">
        <v>2090</v>
      </c>
    </row>
    <row r="2110" spans="1:18" x14ac:dyDescent="0.25">
      <c r="A2110" s="6" t="str">
        <f>HYPERLINK("proteomic_fractions_linear_files/Yang_linear_img/365906249.jpg", "365906249")</f>
        <v>365906249</v>
      </c>
      <c r="B2110" s="7"/>
      <c r="C2110" s="6" t="str">
        <f>HYPERLINK("http://www.ncbi.nlm.nih.gov/protein/365906249","Eif3j2")</f>
        <v>Eif3j2</v>
      </c>
      <c r="D2110" s="8"/>
      <c r="E2110" s="8">
        <v>29355</v>
      </c>
      <c r="F2110" s="8"/>
      <c r="G2110" s="15" t="s">
        <v>10</v>
      </c>
      <c r="H2110" s="15" t="s">
        <v>10</v>
      </c>
      <c r="I2110" s="15">
        <v>1.1914957424301789</v>
      </c>
      <c r="J2110" s="15">
        <v>1.1914957424301789</v>
      </c>
      <c r="K2110" s="15">
        <v>1.1914957424301789</v>
      </c>
      <c r="L2110" s="15">
        <v>1.1914957424301789</v>
      </c>
      <c r="M2110" s="15">
        <v>1.1914957424301789</v>
      </c>
      <c r="N2110" s="15">
        <v>1.1914957424301789</v>
      </c>
      <c r="O2110" s="15" t="s">
        <v>10</v>
      </c>
      <c r="P2110" s="15" t="s">
        <v>10</v>
      </c>
      <c r="Q2110" s="8"/>
      <c r="R2110" s="9" t="s">
        <v>2091</v>
      </c>
    </row>
    <row r="2111" spans="1:18" x14ac:dyDescent="0.25">
      <c r="A2111" s="6" t="str">
        <f>HYPERLINK("proteomic_fractions_linear_files/Yang_linear_img/552953694.jpg", "552953694")</f>
        <v>552953694</v>
      </c>
      <c r="B2111" s="7"/>
      <c r="C2111" s="6" t="str">
        <f>HYPERLINK("http://www.ncbi.nlm.nih.gov/protein/552953694","Eif3k")</f>
        <v>Eif3k</v>
      </c>
      <c r="D2111" s="8"/>
      <c r="E2111" s="8">
        <v>22167</v>
      </c>
      <c r="F2111" s="8"/>
      <c r="G2111" s="15">
        <v>0.93624732666619426</v>
      </c>
      <c r="H2111" s="15">
        <v>0.93624732666619426</v>
      </c>
      <c r="I2111" s="15" t="s">
        <v>10</v>
      </c>
      <c r="J2111" s="15" t="s">
        <v>10</v>
      </c>
      <c r="K2111" s="15" t="s">
        <v>10</v>
      </c>
      <c r="L2111" s="15" t="s">
        <v>10</v>
      </c>
      <c r="M2111" s="15" t="s">
        <v>10</v>
      </c>
      <c r="N2111" s="15" t="s">
        <v>10</v>
      </c>
      <c r="O2111" s="15" t="s">
        <v>10</v>
      </c>
      <c r="P2111" s="15" t="s">
        <v>10</v>
      </c>
      <c r="Q2111" s="8"/>
      <c r="R2111" s="9" t="s">
        <v>2092</v>
      </c>
    </row>
    <row r="2112" spans="1:18" x14ac:dyDescent="0.25">
      <c r="A2112" s="6" t="str">
        <f>HYPERLINK("proteomic_fractions_linear_files/Yang_linear_img/553727155.jpg", "553727155")</f>
        <v>553727155</v>
      </c>
      <c r="B2112" s="7"/>
      <c r="C2112" s="6" t="str">
        <f>HYPERLINK("http://www.ncbi.nlm.nih.gov/protein/553727155","Eif3k")</f>
        <v>Eif3k</v>
      </c>
      <c r="D2112" s="8"/>
      <c r="E2112" s="8">
        <v>21176</v>
      </c>
      <c r="F2112" s="8"/>
      <c r="G2112" s="15">
        <v>0.98083053269791776</v>
      </c>
      <c r="H2112" s="15">
        <v>0.98083053269791776</v>
      </c>
      <c r="I2112" s="15" t="s">
        <v>10</v>
      </c>
      <c r="J2112" s="15" t="s">
        <v>10</v>
      </c>
      <c r="K2112" s="15" t="s">
        <v>10</v>
      </c>
      <c r="L2112" s="15" t="s">
        <v>10</v>
      </c>
      <c r="M2112" s="15" t="s">
        <v>10</v>
      </c>
      <c r="N2112" s="15" t="s">
        <v>10</v>
      </c>
      <c r="O2112" s="15" t="s">
        <v>10</v>
      </c>
      <c r="P2112" s="15" t="s">
        <v>10</v>
      </c>
      <c r="Q2112" s="8"/>
      <c r="R2112" s="9" t="s">
        <v>2093</v>
      </c>
    </row>
    <row r="2113" spans="1:18" x14ac:dyDescent="0.25">
      <c r="A2113" s="6" t="str">
        <f>HYPERLINK("proteomic_fractions_linear_files/Yang_linear_img/21312044.jpg", "21312044")</f>
        <v>21312044</v>
      </c>
      <c r="B2113" s="7"/>
      <c r="C2113" s="6" t="str">
        <f>HYPERLINK("http://www.ncbi.nlm.nih.gov/protein/21312044","Eif3k")</f>
        <v>Eif3k</v>
      </c>
      <c r="D2113" s="8"/>
      <c r="E2113" s="8">
        <v>24956</v>
      </c>
      <c r="F2113" s="8"/>
      <c r="G2113" s="15">
        <v>0.82389764746625094</v>
      </c>
      <c r="H2113" s="15">
        <v>0.82389764746625094</v>
      </c>
      <c r="I2113" s="15">
        <v>0.87182969082715001</v>
      </c>
      <c r="J2113" s="15">
        <v>0.87182969082715001</v>
      </c>
      <c r="K2113" s="15">
        <v>0.87182969082715001</v>
      </c>
      <c r="L2113" s="15">
        <v>0.87182969082715001</v>
      </c>
      <c r="M2113" s="15">
        <v>0.87182969082715001</v>
      </c>
      <c r="N2113" s="15">
        <v>0.87182969082715001</v>
      </c>
      <c r="O2113" s="15">
        <v>0.87182969082715001</v>
      </c>
      <c r="P2113" s="15">
        <v>0.87182969082715001</v>
      </c>
      <c r="Q2113" s="8"/>
      <c r="R2113" s="9" t="s">
        <v>2094</v>
      </c>
    </row>
    <row r="2114" spans="1:18" x14ac:dyDescent="0.25">
      <c r="A2114" s="6" t="str">
        <f>HYPERLINK("proteomic_fractions_linear_files/Yang_linear_img/51093840.jpg", "51093840")</f>
        <v>51093840</v>
      </c>
      <c r="B2114" s="7"/>
      <c r="C2114" s="6" t="str">
        <f>HYPERLINK("http://www.ncbi.nlm.nih.gov/protein/51093840","Eif3l")</f>
        <v>Eif3l</v>
      </c>
      <c r="D2114" s="8"/>
      <c r="E2114" s="8">
        <v>66482</v>
      </c>
      <c r="F2114" s="8"/>
      <c r="G2114" s="15">
        <v>1.2590705829264222</v>
      </c>
      <c r="H2114" s="15">
        <v>1.2590705829264222</v>
      </c>
      <c r="I2114" s="15">
        <v>0.99171611106885349</v>
      </c>
      <c r="J2114" s="15">
        <v>0.99171611106885349</v>
      </c>
      <c r="K2114" s="15">
        <v>0.99171611106885349</v>
      </c>
      <c r="L2114" s="15">
        <v>0.99171611106885349</v>
      </c>
      <c r="M2114" s="15">
        <v>0.99171611106885349</v>
      </c>
      <c r="N2114" s="15">
        <v>0.99171611106885349</v>
      </c>
      <c r="O2114" s="15">
        <v>0.99171611106885349</v>
      </c>
      <c r="P2114" s="15">
        <v>0.99171611106885349</v>
      </c>
      <c r="Q2114" s="8"/>
      <c r="R2114" s="9" t="s">
        <v>2095</v>
      </c>
    </row>
    <row r="2115" spans="1:18" x14ac:dyDescent="0.25">
      <c r="A2115" s="6" t="str">
        <f>HYPERLINK("proteomic_fractions_linear_files/Yang_linear_img/21703762.jpg", "21703762")</f>
        <v>21703762</v>
      </c>
      <c r="B2115" s="7"/>
      <c r="C2115" s="6" t="str">
        <f>HYPERLINK("http://www.ncbi.nlm.nih.gov/protein/21703762","Eif3m")</f>
        <v>Eif3m</v>
      </c>
      <c r="D2115" s="8"/>
      <c r="E2115" s="8">
        <v>42386</v>
      </c>
      <c r="F2115" s="8"/>
      <c r="G2115" s="15">
        <v>1.2647754673809781</v>
      </c>
      <c r="H2115" s="15">
        <v>1.2647754673809781</v>
      </c>
      <c r="I2115" s="15">
        <v>0.96445995721958921</v>
      </c>
      <c r="J2115" s="15">
        <v>0.96445995721958921</v>
      </c>
      <c r="K2115" s="15">
        <v>0.96445995721958921</v>
      </c>
      <c r="L2115" s="15">
        <v>0.96445995721958921</v>
      </c>
      <c r="M2115" s="15">
        <v>0.88907920055058554</v>
      </c>
      <c r="N2115" s="15">
        <v>0.88907920055058554</v>
      </c>
      <c r="O2115" s="15">
        <v>0.82269944120179006</v>
      </c>
      <c r="P2115" s="15">
        <v>0.82269944120179006</v>
      </c>
      <c r="Q2115" s="8"/>
      <c r="R2115" s="9" t="s">
        <v>2096</v>
      </c>
    </row>
    <row r="2116" spans="1:18" x14ac:dyDescent="0.25">
      <c r="A2116" s="6" t="str">
        <f>HYPERLINK("proteomic_fractions_linear_files/Yang_linear_img/21450625.jpg", "21450625")</f>
        <v>21450625</v>
      </c>
      <c r="B2116" s="7"/>
      <c r="C2116" s="6" t="str">
        <f>HYPERLINK("http://www.ncbi.nlm.nih.gov/protein/21450625","Eif4a1")</f>
        <v>Eif4a1</v>
      </c>
      <c r="D2116" s="8"/>
      <c r="E2116" s="8">
        <v>46023</v>
      </c>
      <c r="F2116" s="8"/>
      <c r="G2116" s="15">
        <v>1.2776784257737794</v>
      </c>
      <c r="H2116" s="15">
        <v>1.2776784257737794</v>
      </c>
      <c r="I2116" s="15">
        <v>0.95925194015142323</v>
      </c>
      <c r="J2116" s="15">
        <v>0.95925194015142323</v>
      </c>
      <c r="K2116" s="15">
        <v>0.95925194015142323</v>
      </c>
      <c r="L2116" s="15">
        <v>0.95925194015142323</v>
      </c>
      <c r="M2116" s="15">
        <v>0.95925194015142323</v>
      </c>
      <c r="N2116" s="15">
        <v>0.95925194015142323</v>
      </c>
      <c r="O2116" s="15">
        <v>0.88059387398310318</v>
      </c>
      <c r="P2116" s="15">
        <v>0.88059387398310318</v>
      </c>
      <c r="Q2116" s="8"/>
      <c r="R2116" s="9" t="s">
        <v>2097</v>
      </c>
    </row>
    <row r="2117" spans="1:18" x14ac:dyDescent="0.25">
      <c r="A2117" s="6" t="str">
        <f>HYPERLINK("proteomic_fractions_linear_files/Yang_linear_img/226823309.jpg", "226823309")</f>
        <v>226823309</v>
      </c>
      <c r="B2117" s="7"/>
      <c r="C2117" s="6" t="str">
        <f>HYPERLINK("http://www.ncbi.nlm.nih.gov/protein/226823309","Eif4a1")</f>
        <v>Eif4a1</v>
      </c>
      <c r="D2117" s="8"/>
      <c r="E2117" s="8">
        <v>41360</v>
      </c>
      <c r="F2117" s="8"/>
      <c r="G2117" s="15">
        <v>1.4334928679413135</v>
      </c>
      <c r="H2117" s="15">
        <v>1.4334928679413135</v>
      </c>
      <c r="I2117" s="15">
        <v>1.0762338840723285</v>
      </c>
      <c r="J2117" s="15">
        <v>1.0762338840723285</v>
      </c>
      <c r="K2117" s="15">
        <v>1.0762338840723285</v>
      </c>
      <c r="L2117" s="15">
        <v>1.0762338840723285</v>
      </c>
      <c r="M2117" s="15">
        <v>1.0762338840723285</v>
      </c>
      <c r="N2117" s="15">
        <v>1.0762338840723285</v>
      </c>
      <c r="O2117" s="15">
        <v>0.98798337081031085</v>
      </c>
      <c r="P2117" s="15">
        <v>0.98798337081031085</v>
      </c>
      <c r="Q2117" s="8"/>
      <c r="R2117" s="9" t="s">
        <v>2098</v>
      </c>
    </row>
    <row r="2118" spans="1:18" x14ac:dyDescent="0.25">
      <c r="A2118" s="6" t="str">
        <f>HYPERLINK("proteomic_fractions_linear_files/Yang_linear_img/176865892.jpg", "176865892")</f>
        <v>176865892</v>
      </c>
      <c r="B2118" s="7"/>
      <c r="C2118" s="6" t="str">
        <f>HYPERLINK("http://www.ncbi.nlm.nih.gov/protein/176865892","Eif4a2")</f>
        <v>Eif4a2</v>
      </c>
      <c r="D2118" s="8"/>
      <c r="E2118" s="8">
        <v>46271</v>
      </c>
      <c r="F2118" s="8"/>
      <c r="G2118" s="15">
        <v>1.2776784257737794</v>
      </c>
      <c r="H2118" s="15">
        <v>1.2776784257737794</v>
      </c>
      <c r="I2118" s="15">
        <v>0.95925194015142323</v>
      </c>
      <c r="J2118" s="15">
        <v>0.95925194015142323</v>
      </c>
      <c r="K2118" s="15">
        <v>0.95925194015142323</v>
      </c>
      <c r="L2118" s="15">
        <v>0.95925194015142323</v>
      </c>
      <c r="M2118" s="15">
        <v>0.95925194015142323</v>
      </c>
      <c r="N2118" s="15">
        <v>0.95925194015142323</v>
      </c>
      <c r="O2118" s="15">
        <v>0.88059387398310318</v>
      </c>
      <c r="P2118" s="15">
        <v>0.88059387398310318</v>
      </c>
      <c r="Q2118" s="8"/>
      <c r="R2118" s="9" t="s">
        <v>2099</v>
      </c>
    </row>
    <row r="2119" spans="1:18" x14ac:dyDescent="0.25">
      <c r="A2119" s="6" t="str">
        <f>HYPERLINK("proteomic_fractions_linear_files/Yang_linear_img/176865998.jpg", "176865998")</f>
        <v>176865998</v>
      </c>
      <c r="B2119" s="7"/>
      <c r="C2119" s="6" t="str">
        <f>HYPERLINK("http://www.ncbi.nlm.nih.gov/protein/176865998","Eif4a2")</f>
        <v>Eif4a2</v>
      </c>
      <c r="D2119" s="8"/>
      <c r="E2119" s="8">
        <v>36035</v>
      </c>
      <c r="F2119" s="8"/>
      <c r="G2119" s="15">
        <v>1.6325890995998291</v>
      </c>
      <c r="H2119" s="15">
        <v>1.6325890995998291</v>
      </c>
      <c r="I2119" s="15">
        <v>1.2257108124157075</v>
      </c>
      <c r="J2119" s="15">
        <v>1.2257108124157075</v>
      </c>
      <c r="K2119" s="15">
        <v>1.2257108124157075</v>
      </c>
      <c r="L2119" s="15">
        <v>1.2257108124157075</v>
      </c>
      <c r="M2119" s="15">
        <v>1.2257108124157075</v>
      </c>
      <c r="N2119" s="15">
        <v>1.2257108124157075</v>
      </c>
      <c r="O2119" s="15">
        <v>1.125203283422854</v>
      </c>
      <c r="P2119" s="15">
        <v>1.125203283422854</v>
      </c>
      <c r="Q2119" s="8"/>
      <c r="R2119" s="9" t="s">
        <v>2100</v>
      </c>
    </row>
    <row r="2120" spans="1:18" x14ac:dyDescent="0.25">
      <c r="A2120" s="6" t="str">
        <f>HYPERLINK("proteomic_fractions_linear_files/Yang_linear_img/176866061.jpg", "176866061")</f>
        <v>176866061</v>
      </c>
      <c r="B2120" s="7"/>
      <c r="C2120" s="6" t="str">
        <f>HYPERLINK("http://www.ncbi.nlm.nih.gov/protein/176866061","Eif4a2")</f>
        <v>Eif4a2</v>
      </c>
      <c r="D2120" s="8"/>
      <c r="E2120" s="8">
        <v>41159</v>
      </c>
      <c r="F2120" s="8"/>
      <c r="G2120" s="15">
        <v>1.4334928679413135</v>
      </c>
      <c r="H2120" s="15">
        <v>1.4334928679413135</v>
      </c>
      <c r="I2120" s="15">
        <v>1.0762338840723285</v>
      </c>
      <c r="J2120" s="15">
        <v>1.0762338840723285</v>
      </c>
      <c r="K2120" s="15">
        <v>1.1778042825467134</v>
      </c>
      <c r="L2120" s="15">
        <v>1.1778042825467134</v>
      </c>
      <c r="M2120" s="15">
        <v>1.0762338840723285</v>
      </c>
      <c r="N2120" s="15">
        <v>1.0762338840723285</v>
      </c>
      <c r="O2120" s="15">
        <v>0.98798337081031085</v>
      </c>
      <c r="P2120" s="15">
        <v>0.98798337081031085</v>
      </c>
      <c r="Q2120" s="8"/>
      <c r="R2120" s="9" t="s">
        <v>2101</v>
      </c>
    </row>
    <row r="2121" spans="1:18" x14ac:dyDescent="0.25">
      <c r="A2121" s="6" t="str">
        <f>HYPERLINK("proteomic_fractions_linear_files/Yang_linear_img/20149756.jpg", "20149756")</f>
        <v>20149756</v>
      </c>
      <c r="B2121" s="7"/>
      <c r="C2121" s="6" t="str">
        <f>HYPERLINK("http://www.ncbi.nlm.nih.gov/protein/20149756","Eif4a3")</f>
        <v>Eif4a3</v>
      </c>
      <c r="D2121" s="8"/>
      <c r="E2121" s="8">
        <v>46709</v>
      </c>
      <c r="F2121" s="8"/>
      <c r="G2121" s="15">
        <v>1.2504937784168904</v>
      </c>
      <c r="H2121" s="15">
        <v>1.2504937784168904</v>
      </c>
      <c r="I2121" s="15">
        <v>0.93884232440352056</v>
      </c>
      <c r="J2121" s="15">
        <v>0.93884232440352056</v>
      </c>
      <c r="K2121" s="15">
        <v>0.93884232440352056</v>
      </c>
      <c r="L2121" s="15">
        <v>0.93884232440352056</v>
      </c>
      <c r="M2121" s="15">
        <v>0.93884232440352056</v>
      </c>
      <c r="N2121" s="15">
        <v>0.93884232440352056</v>
      </c>
      <c r="O2121" s="15">
        <v>0.86185783411112227</v>
      </c>
      <c r="P2121" s="15">
        <v>0.86185783411112227</v>
      </c>
      <c r="Q2121" s="8"/>
      <c r="R2121" s="9" t="s">
        <v>2102</v>
      </c>
    </row>
    <row r="2122" spans="1:18" x14ac:dyDescent="0.25">
      <c r="A2122" s="6" t="str">
        <f>HYPERLINK("proteomic_fractions_linear_files/Yang_linear_img/167234372.jpg", "167234372")</f>
        <v>167234372</v>
      </c>
      <c r="B2122" s="7"/>
      <c r="C2122" s="6" t="str">
        <f>HYPERLINK("http://www.ncbi.nlm.nih.gov/protein/167234372","Eif4b")</f>
        <v>Eif4b</v>
      </c>
      <c r="D2122" s="8"/>
      <c r="E2122" s="8">
        <v>68709</v>
      </c>
      <c r="F2122" s="8"/>
      <c r="G2122" s="15">
        <v>0.46498656312657372</v>
      </c>
      <c r="H2122" s="15">
        <v>0.69985471861471382</v>
      </c>
      <c r="I2122" s="15">
        <v>0.31588032276346018</v>
      </c>
      <c r="J2122" s="15">
        <v>0.31588032276346018</v>
      </c>
      <c r="K2122" s="15">
        <v>1.3763475533707901</v>
      </c>
      <c r="L2122" s="15">
        <v>1.3763475533707901</v>
      </c>
      <c r="M2122" s="15">
        <v>0.46498656312657372</v>
      </c>
      <c r="N2122" s="15">
        <v>0.50077357290543745</v>
      </c>
      <c r="O2122" s="15">
        <v>0.31588032276346018</v>
      </c>
      <c r="P2122" s="15">
        <v>0.31588032276346018</v>
      </c>
      <c r="Q2122" s="8"/>
      <c r="R2122" s="9" t="s">
        <v>2103</v>
      </c>
    </row>
    <row r="2123" spans="1:18" x14ac:dyDescent="0.25">
      <c r="A2123" s="6" t="str">
        <f>HYPERLINK("proteomic_fractions_linear_files/Yang_linear_img/83627717.jpg", "83627717")</f>
        <v>83627717</v>
      </c>
      <c r="B2123" s="7"/>
      <c r="C2123" s="6" t="str">
        <f>HYPERLINK("http://www.ncbi.nlm.nih.gov/protein/83627717","Eif4e")</f>
        <v>Eif4e</v>
      </c>
      <c r="D2123" s="8"/>
      <c r="E2123" s="8">
        <v>24922</v>
      </c>
      <c r="F2123" s="8"/>
      <c r="G2123" s="15">
        <v>0.92438293498869784</v>
      </c>
      <c r="H2123" s="15">
        <v>0.92438293498869784</v>
      </c>
      <c r="I2123" s="15">
        <v>1.0460103246170001</v>
      </c>
      <c r="J2123" s="15">
        <v>1.0460103246170001</v>
      </c>
      <c r="K2123" s="15">
        <v>1.0460103246170001</v>
      </c>
      <c r="L2123" s="15">
        <v>0.9821928245310767</v>
      </c>
      <c r="M2123" s="15">
        <v>1.0460103246170001</v>
      </c>
      <c r="N2123" s="15">
        <v>1.0460103246170001</v>
      </c>
      <c r="O2123" s="15">
        <v>0.92438293498869784</v>
      </c>
      <c r="P2123" s="15">
        <v>0.92438293498869784</v>
      </c>
      <c r="Q2123" s="8"/>
      <c r="R2123" s="9" t="s">
        <v>2104</v>
      </c>
    </row>
    <row r="2124" spans="1:18" x14ac:dyDescent="0.25">
      <c r="A2124" s="6" t="str">
        <f>HYPERLINK("proteomic_fractions_linear_files/Yang_linear_img/85677506.jpg", "85677506")</f>
        <v>85677506</v>
      </c>
      <c r="B2124" s="7"/>
      <c r="C2124" s="6" t="str">
        <f>HYPERLINK("http://www.ncbi.nlm.nih.gov/protein/85677506","Eif4e2")</f>
        <v>Eif4e2</v>
      </c>
      <c r="D2124" s="8"/>
      <c r="E2124" s="8">
        <v>26796</v>
      </c>
      <c r="F2124" s="8"/>
      <c r="G2124" s="15" t="s">
        <v>10</v>
      </c>
      <c r="H2124" s="15" t="s">
        <v>10</v>
      </c>
      <c r="I2124" s="15">
        <v>1.0340078258400762</v>
      </c>
      <c r="J2124" s="15">
        <v>1.0340078258400762</v>
      </c>
      <c r="K2124" s="15">
        <v>1.0340078258400762</v>
      </c>
      <c r="L2124" s="15">
        <v>1.0340078258400762</v>
      </c>
      <c r="M2124" s="15">
        <v>1.0340078258400762</v>
      </c>
      <c r="N2124" s="15">
        <v>1.0340078258400762</v>
      </c>
      <c r="O2124" s="15">
        <v>0.96852807834907406</v>
      </c>
      <c r="P2124" s="15">
        <v>0.855910124989535</v>
      </c>
      <c r="Q2124" s="8"/>
      <c r="R2124" s="9" t="s">
        <v>2105</v>
      </c>
    </row>
    <row r="2125" spans="1:18" x14ac:dyDescent="0.25">
      <c r="A2125" s="6" t="str">
        <f>HYPERLINK("proteomic_fractions_linear_files/Yang_linear_img/85677508.jpg", "85677508")</f>
        <v>85677508</v>
      </c>
      <c r="B2125" s="7"/>
      <c r="C2125" s="6" t="str">
        <f>HYPERLINK("http://www.ncbi.nlm.nih.gov/protein/85677508","Eif4e2")</f>
        <v>Eif4e2</v>
      </c>
      <c r="D2125" s="8"/>
      <c r="E2125" s="8">
        <v>27529</v>
      </c>
      <c r="F2125" s="8"/>
      <c r="G2125" s="15" t="s">
        <v>10</v>
      </c>
      <c r="H2125" s="15" t="s">
        <v>10</v>
      </c>
      <c r="I2125" s="15">
        <v>0.99707897491721642</v>
      </c>
      <c r="J2125" s="15">
        <v>0.99707897491721642</v>
      </c>
      <c r="K2125" s="15">
        <v>0.99707897491721642</v>
      </c>
      <c r="L2125" s="15">
        <v>0.99707897491721642</v>
      </c>
      <c r="M2125" s="15">
        <v>0.99707897491721642</v>
      </c>
      <c r="N2125" s="15">
        <v>0.99707897491721642</v>
      </c>
      <c r="O2125" s="15">
        <v>0.93393778983660714</v>
      </c>
      <c r="P2125" s="15">
        <v>0.82534190623990877</v>
      </c>
      <c r="Q2125" s="8"/>
      <c r="R2125" s="9" t="s">
        <v>2106</v>
      </c>
    </row>
    <row r="2126" spans="1:18" x14ac:dyDescent="0.25">
      <c r="A2126" s="6" t="str">
        <f>HYPERLINK("proteomic_fractions_linear_files/Yang_linear_img/85677510.jpg", "85677510")</f>
        <v>85677510</v>
      </c>
      <c r="B2126" s="7"/>
      <c r="C2126" s="6" t="str">
        <f>HYPERLINK("http://www.ncbi.nlm.nih.gov/protein/85677510","Eif4e2")</f>
        <v>Eif4e2</v>
      </c>
      <c r="D2126" s="8"/>
      <c r="E2126" s="8">
        <v>28132</v>
      </c>
      <c r="F2126" s="8"/>
      <c r="G2126" s="15" t="s">
        <v>10</v>
      </c>
      <c r="H2126" s="15" t="s">
        <v>10</v>
      </c>
      <c r="I2126" s="15">
        <v>0.99707897491721642</v>
      </c>
      <c r="J2126" s="15">
        <v>0.99707897491721642</v>
      </c>
      <c r="K2126" s="15">
        <v>0.99707897491721642</v>
      </c>
      <c r="L2126" s="15">
        <v>0.99707897491721642</v>
      </c>
      <c r="M2126" s="15">
        <v>0.99707897491721642</v>
      </c>
      <c r="N2126" s="15">
        <v>0.99707897491721642</v>
      </c>
      <c r="O2126" s="15">
        <v>0.93393778983660714</v>
      </c>
      <c r="P2126" s="15">
        <v>0.82534190623990877</v>
      </c>
      <c r="Q2126" s="8"/>
      <c r="R2126" s="9" t="s">
        <v>2107</v>
      </c>
    </row>
    <row r="2127" spans="1:18" x14ac:dyDescent="0.25">
      <c r="A2127" s="6" t="str">
        <f>HYPERLINK("proteomic_fractions_linear_files/Yang_linear_img/6753742.jpg", "6753742")</f>
        <v>6753742</v>
      </c>
      <c r="B2127" s="7"/>
      <c r="C2127" s="6" t="str">
        <f>HYPERLINK("http://www.ncbi.nlm.nih.gov/protein/6753742","Eif4ebp2")</f>
        <v>Eif4ebp2</v>
      </c>
      <c r="D2127" s="8"/>
      <c r="E2127" s="8">
        <v>12767</v>
      </c>
      <c r="F2127" s="8"/>
      <c r="G2127" s="15" t="s">
        <v>10</v>
      </c>
      <c r="H2127" s="15" t="s">
        <v>10</v>
      </c>
      <c r="I2127" s="15" t="s">
        <v>10</v>
      </c>
      <c r="J2127" s="15" t="s">
        <v>10</v>
      </c>
      <c r="K2127" s="15" t="s">
        <v>10</v>
      </c>
      <c r="L2127" s="15" t="s">
        <v>10</v>
      </c>
      <c r="M2127" s="15" t="s">
        <v>10</v>
      </c>
      <c r="N2127" s="15" t="s">
        <v>10</v>
      </c>
      <c r="O2127" s="15">
        <v>1.1689490995241758</v>
      </c>
      <c r="P2127" s="15">
        <v>1.1689490995241758</v>
      </c>
      <c r="Q2127" s="8"/>
      <c r="R2127" s="9" t="s">
        <v>2108</v>
      </c>
    </row>
    <row r="2128" spans="1:18" x14ac:dyDescent="0.25">
      <c r="A2128" s="6" t="str">
        <f>HYPERLINK("proteomic_fractions_linear_files/Yang_linear_img/56699432.jpg", "56699432")</f>
        <v>56699432</v>
      </c>
      <c r="B2128" s="7"/>
      <c r="C2128" s="6" t="str">
        <f>HYPERLINK("http://www.ncbi.nlm.nih.gov/protein/56699432","Eif4g1")</f>
        <v>Eif4g1</v>
      </c>
      <c r="D2128" s="8"/>
      <c r="E2128" s="8">
        <v>175947</v>
      </c>
      <c r="F2128" s="8"/>
      <c r="G2128" s="15">
        <v>5.448796692422837</v>
      </c>
      <c r="H2128" s="15">
        <v>5.448796692422837</v>
      </c>
      <c r="I2128" s="15">
        <v>1.3259139069764152</v>
      </c>
      <c r="J2128" s="15">
        <v>1.3259139069764152</v>
      </c>
      <c r="K2128" s="15">
        <v>1.7146779808891977</v>
      </c>
      <c r="L2128" s="15">
        <v>1.7146779808891977</v>
      </c>
      <c r="M2128" s="15">
        <v>1.3259139069764152</v>
      </c>
      <c r="N2128" s="15">
        <v>1.3259139069764152</v>
      </c>
      <c r="O2128" s="15">
        <v>1.3259139069764152</v>
      </c>
      <c r="P2128" s="15">
        <v>1.3259139069764152</v>
      </c>
      <c r="Q2128" s="8"/>
      <c r="R2128" s="9" t="s">
        <v>2109</v>
      </c>
    </row>
    <row r="2129" spans="1:18" x14ac:dyDescent="0.25">
      <c r="A2129" s="6" t="str">
        <f>HYPERLINK("proteomic_fractions_linear_files/Yang_linear_img/56699434.jpg", "56699434")</f>
        <v>56699434</v>
      </c>
      <c r="B2129" s="7"/>
      <c r="C2129" s="6" t="str">
        <f>HYPERLINK("http://www.ncbi.nlm.nih.gov/protein/56699434","Eif4g1")</f>
        <v>Eif4g1</v>
      </c>
      <c r="D2129" s="8"/>
      <c r="E2129" s="8">
        <v>175201</v>
      </c>
      <c r="F2129" s="8"/>
      <c r="G2129" s="15">
        <v>5.4799326735223959</v>
      </c>
      <c r="H2129" s="15">
        <v>5.4799326735223959</v>
      </c>
      <c r="I2129" s="15">
        <v>1.3334905578734233</v>
      </c>
      <c r="J2129" s="15">
        <v>1.3334905578734233</v>
      </c>
      <c r="K2129" s="15">
        <v>1.7244761407799929</v>
      </c>
      <c r="L2129" s="15">
        <v>1.7244761407799929</v>
      </c>
      <c r="M2129" s="15">
        <v>1.3334905578734233</v>
      </c>
      <c r="N2129" s="15">
        <v>1.3334905578734233</v>
      </c>
      <c r="O2129" s="15">
        <v>1.3334905578734233</v>
      </c>
      <c r="P2129" s="15">
        <v>1.3334905578734233</v>
      </c>
      <c r="Q2129" s="8"/>
      <c r="R2129" s="9" t="s">
        <v>2110</v>
      </c>
    </row>
    <row r="2130" spans="1:18" x14ac:dyDescent="0.25">
      <c r="A2130" s="6" t="str">
        <f>HYPERLINK("proteomic_fractions_linear_files/Yang_linear_img/110630015.jpg", "110630015")</f>
        <v>110630015</v>
      </c>
      <c r="B2130" s="7"/>
      <c r="C2130" s="6" t="str">
        <f>HYPERLINK("http://www.ncbi.nlm.nih.gov/protein/110630015","Eif4g2")</f>
        <v>Eif4g2</v>
      </c>
      <c r="D2130" s="8"/>
      <c r="E2130" s="8">
        <v>97790</v>
      </c>
      <c r="F2130" s="8"/>
      <c r="G2130" s="15">
        <v>0.96906103247535214</v>
      </c>
      <c r="H2130" s="15">
        <v>0.96906103247535214</v>
      </c>
      <c r="I2130" s="15">
        <v>1.1204241206237904</v>
      </c>
      <c r="J2130" s="15">
        <v>1.1204241206237904</v>
      </c>
      <c r="K2130" s="15">
        <v>1.1204241206237904</v>
      </c>
      <c r="L2130" s="15">
        <v>1.1204241206237904</v>
      </c>
      <c r="M2130" s="15">
        <v>1.1204241206237904</v>
      </c>
      <c r="N2130" s="15">
        <v>1.1204241206237904</v>
      </c>
      <c r="O2130" s="15">
        <v>1.1204241206237904</v>
      </c>
      <c r="P2130" s="15">
        <v>1.1204241206237904</v>
      </c>
      <c r="Q2130" s="8"/>
      <c r="R2130" s="9" t="s">
        <v>2111</v>
      </c>
    </row>
    <row r="2131" spans="1:18" x14ac:dyDescent="0.25">
      <c r="A2131" s="6" t="str">
        <f>HYPERLINK("proteomic_fractions_linear_files/Yang_linear_img/34486094.jpg", "34486094")</f>
        <v>34486094</v>
      </c>
      <c r="B2131" s="7"/>
      <c r="C2131" s="6" t="str">
        <f>HYPERLINK("http://www.ncbi.nlm.nih.gov/protein/34486094","Eif4g2")</f>
        <v>Eif4g2</v>
      </c>
      <c r="D2131" s="8"/>
      <c r="E2131" s="8">
        <v>102002</v>
      </c>
      <c r="F2131" s="8"/>
      <c r="G2131" s="15">
        <v>0.93105863904494612</v>
      </c>
      <c r="H2131" s="15">
        <v>0.93105863904494612</v>
      </c>
      <c r="I2131" s="15">
        <v>1.0764859198150143</v>
      </c>
      <c r="J2131" s="15">
        <v>1.0764859198150143</v>
      </c>
      <c r="K2131" s="15">
        <v>1.0764859198150143</v>
      </c>
      <c r="L2131" s="15">
        <v>1.0764859198150143</v>
      </c>
      <c r="M2131" s="15">
        <v>1.0764859198150143</v>
      </c>
      <c r="N2131" s="15">
        <v>1.0764859198150143</v>
      </c>
      <c r="O2131" s="15">
        <v>1.0764859198150143</v>
      </c>
      <c r="P2131" s="15">
        <v>1.0764859198150143</v>
      </c>
      <c r="Q2131" s="8"/>
      <c r="R2131" s="9" t="s">
        <v>2112</v>
      </c>
    </row>
    <row r="2132" spans="1:18" x14ac:dyDescent="0.25">
      <c r="A2132" s="6" t="str">
        <f>HYPERLINK("proteomic_fractions_linear_files/Yang_linear_img/371875676.jpg", "371875676")</f>
        <v>371875676</v>
      </c>
      <c r="B2132" s="7"/>
      <c r="C2132" s="6" t="str">
        <f>HYPERLINK("http://www.ncbi.nlm.nih.gov/protein/371875676","Eif4g3")</f>
        <v>Eif4g3</v>
      </c>
      <c r="D2132" s="8"/>
      <c r="E2132" s="8">
        <v>173418</v>
      </c>
      <c r="F2132" s="8"/>
      <c r="G2132" s="15" t="s">
        <v>10</v>
      </c>
      <c r="H2132" s="15" t="s">
        <v>10</v>
      </c>
      <c r="I2132" s="15">
        <v>1.3489066336869888</v>
      </c>
      <c r="J2132" s="15">
        <v>1.3489066336869888</v>
      </c>
      <c r="K2132" s="15">
        <v>1.3489066336869888</v>
      </c>
      <c r="L2132" s="15">
        <v>1.3489066336869888</v>
      </c>
      <c r="M2132" s="15">
        <v>1.3489066336869888</v>
      </c>
      <c r="N2132" s="15">
        <v>1.3489066336869888</v>
      </c>
      <c r="O2132" s="15">
        <v>1.3489066336869888</v>
      </c>
      <c r="P2132" s="15">
        <v>1.3489066336869888</v>
      </c>
      <c r="Q2132" s="8"/>
      <c r="R2132" s="9" t="s">
        <v>2113</v>
      </c>
    </row>
    <row r="2133" spans="1:18" x14ac:dyDescent="0.25">
      <c r="A2133" s="6" t="str">
        <f>HYPERLINK("proteomic_fractions_linear_files/Yang_linear_img/371876057.jpg", "371876057")</f>
        <v>371876057</v>
      </c>
      <c r="B2133" s="7"/>
      <c r="C2133" s="6" t="str">
        <f>HYPERLINK("http://www.ncbi.nlm.nih.gov/protein/371876057","Eif4g3")</f>
        <v>Eif4g3</v>
      </c>
      <c r="D2133" s="8"/>
      <c r="E2133" s="8">
        <v>161693</v>
      </c>
      <c r="F2133" s="8"/>
      <c r="G2133" s="15" t="s">
        <v>10</v>
      </c>
      <c r="H2133" s="15" t="s">
        <v>10</v>
      </c>
      <c r="I2133" s="15">
        <v>1.4404990594311671</v>
      </c>
      <c r="J2133" s="15">
        <v>1.4404990594311671</v>
      </c>
      <c r="K2133" s="15">
        <v>1.4404990594311671</v>
      </c>
      <c r="L2133" s="15">
        <v>1.4404990594311671</v>
      </c>
      <c r="M2133" s="15">
        <v>1.4404990594311671</v>
      </c>
      <c r="N2133" s="15">
        <v>1.4404990594311671</v>
      </c>
      <c r="O2133" s="15">
        <v>1.4404990594311671</v>
      </c>
      <c r="P2133" s="15">
        <v>1.4404990594311671</v>
      </c>
      <c r="Q2133" s="8"/>
      <c r="R2133" s="9" t="s">
        <v>2114</v>
      </c>
    </row>
    <row r="2134" spans="1:18" x14ac:dyDescent="0.25">
      <c r="A2134" s="6" t="str">
        <f>HYPERLINK("proteomic_fractions_linear_files/Yang_linear_img/50838806.jpg", "50838806")</f>
        <v>50838806</v>
      </c>
      <c r="B2134" s="7"/>
      <c r="C2134" s="6" t="str">
        <f>HYPERLINK("http://www.ncbi.nlm.nih.gov/protein/50838806","Eif4g3")</f>
        <v>Eif4g3</v>
      </c>
      <c r="D2134" s="8"/>
      <c r="E2134" s="8">
        <v>174589</v>
      </c>
      <c r="F2134" s="8"/>
      <c r="G2134" s="15" t="s">
        <v>10</v>
      </c>
      <c r="H2134" s="15" t="s">
        <v>10</v>
      </c>
      <c r="I2134" s="15">
        <v>1.3334905578734233</v>
      </c>
      <c r="J2134" s="15">
        <v>1.3334905578734233</v>
      </c>
      <c r="K2134" s="15">
        <v>1.3334905578734233</v>
      </c>
      <c r="L2134" s="15">
        <v>1.3334905578734233</v>
      </c>
      <c r="M2134" s="15">
        <v>1.3334905578734233</v>
      </c>
      <c r="N2134" s="15">
        <v>1.3334905578734233</v>
      </c>
      <c r="O2134" s="15">
        <v>1.3334905578734233</v>
      </c>
      <c r="P2134" s="15">
        <v>1.3334905578734233</v>
      </c>
      <c r="Q2134" s="8"/>
      <c r="R2134" s="9" t="s">
        <v>2115</v>
      </c>
    </row>
    <row r="2135" spans="1:18" x14ac:dyDescent="0.25">
      <c r="A2135" s="6" t="str">
        <f>HYPERLINK("proteomic_fractions_linear_files/Yang_linear_img/15808988.jpg", "15808988")</f>
        <v>15808988</v>
      </c>
      <c r="B2135" s="7"/>
      <c r="C2135" s="6" t="str">
        <f>HYPERLINK("http://www.ncbi.nlm.nih.gov/protein/15808988","Eif4h")</f>
        <v>Eif4h</v>
      </c>
      <c r="D2135" s="8"/>
      <c r="E2135" s="8">
        <v>27210</v>
      </c>
      <c r="F2135" s="8"/>
      <c r="G2135" s="15">
        <v>0.51429075925691292</v>
      </c>
      <c r="H2135" s="15">
        <v>0.51429075925691292</v>
      </c>
      <c r="I2135" s="15">
        <v>0.90943780049173761</v>
      </c>
      <c r="J2135" s="15">
        <v>0.90943780049173761</v>
      </c>
      <c r="K2135" s="15">
        <v>0.90943780049173761</v>
      </c>
      <c r="L2135" s="15">
        <v>0.90943780049173761</v>
      </c>
      <c r="M2135" s="15">
        <v>0.96852807834907406</v>
      </c>
      <c r="N2135" s="15">
        <v>0.96852807834907406</v>
      </c>
      <c r="O2135" s="15">
        <v>0.855910124989535</v>
      </c>
      <c r="P2135" s="15">
        <v>0.855910124989535</v>
      </c>
      <c r="Q2135" s="8"/>
      <c r="R2135" s="9" t="s">
        <v>2116</v>
      </c>
    </row>
    <row r="2136" spans="1:18" x14ac:dyDescent="0.25">
      <c r="A2136" s="6" t="str">
        <f>HYPERLINK("proteomic_fractions_linear_files/Yang_linear_img/262359891.jpg", "262359891")</f>
        <v>262359891</v>
      </c>
      <c r="B2136" s="7"/>
      <c r="C2136" s="6" t="str">
        <f>HYPERLINK("http://www.ncbi.nlm.nih.gov/protein/262359891","Eif5a")</f>
        <v>Eif5a</v>
      </c>
      <c r="D2136" s="8"/>
      <c r="E2136" s="8">
        <v>16701</v>
      </c>
      <c r="F2136" s="8"/>
      <c r="G2136" s="15">
        <v>1.4444012125457011</v>
      </c>
      <c r="H2136" s="15">
        <v>1.4444012125457011</v>
      </c>
      <c r="I2136" s="15" t="s">
        <v>10</v>
      </c>
      <c r="J2136" s="15" t="s">
        <v>10</v>
      </c>
      <c r="K2136" s="15" t="s">
        <v>10</v>
      </c>
      <c r="L2136" s="15" t="s">
        <v>10</v>
      </c>
      <c r="M2136" s="15" t="s">
        <v>10</v>
      </c>
      <c r="N2136" s="15" t="s">
        <v>10</v>
      </c>
      <c r="O2136" s="15" t="s">
        <v>10</v>
      </c>
      <c r="P2136" s="15" t="s">
        <v>10</v>
      </c>
      <c r="Q2136" s="8"/>
      <c r="R2136" s="9" t="s">
        <v>2117</v>
      </c>
    </row>
    <row r="2137" spans="1:18" x14ac:dyDescent="0.25">
      <c r="A2137" s="6" t="str">
        <f>HYPERLINK("proteomic_fractions_linear_files/Yang_linear_img/262359891;31712036.jpg", "262359891;31712036")</f>
        <v>262359891;31712036</v>
      </c>
      <c r="B2137" s="8"/>
      <c r="C2137" s="6" t="str">
        <f>HYPERLINK("http://www.ncbi.nlm.nih.gov/protein/262359891;31712036","Eif5a")</f>
        <v>Eif5a</v>
      </c>
      <c r="D2137" s="8"/>
      <c r="E2137" s="8">
        <v>16701</v>
      </c>
      <c r="F2137" s="8"/>
      <c r="G2137" s="15" t="s">
        <v>10</v>
      </c>
      <c r="H2137" s="15" t="s">
        <v>10</v>
      </c>
      <c r="I2137" s="15" t="s">
        <v>10</v>
      </c>
      <c r="J2137" s="15" t="s">
        <v>10</v>
      </c>
      <c r="K2137" s="15">
        <v>0.98332203062394252</v>
      </c>
      <c r="L2137" s="15">
        <v>0.98332203062394252</v>
      </c>
      <c r="M2137" s="15" t="s">
        <v>10</v>
      </c>
      <c r="N2137" s="15" t="s">
        <v>10</v>
      </c>
      <c r="O2137" s="15" t="s">
        <v>10</v>
      </c>
      <c r="P2137" s="15" t="s">
        <v>10</v>
      </c>
      <c r="Q2137" s="8"/>
      <c r="R2137" s="9" t="s">
        <v>2117</v>
      </c>
    </row>
    <row r="2138" spans="1:18" x14ac:dyDescent="0.25">
      <c r="A2138" s="6" t="str">
        <f>HYPERLINK("proteomic_fractions_linear_files/Yang_linear_img/31712036;262359891.jpg", "31712036;262359891")</f>
        <v>31712036;262359891</v>
      </c>
      <c r="B2138" s="8"/>
      <c r="C2138" s="6" t="str">
        <f>HYPERLINK("http://www.ncbi.nlm.nih.gov/protein/31712036;262359891","Eif5a")</f>
        <v>Eif5a</v>
      </c>
      <c r="D2138" s="8"/>
      <c r="E2138" s="8">
        <v>16701</v>
      </c>
      <c r="F2138" s="8"/>
      <c r="G2138" s="15" t="s">
        <v>10</v>
      </c>
      <c r="H2138" s="15" t="s">
        <v>10</v>
      </c>
      <c r="I2138" s="15">
        <v>0.98332203062394252</v>
      </c>
      <c r="J2138" s="15">
        <v>0.98332203062394252</v>
      </c>
      <c r="K2138" s="15" t="s">
        <v>10</v>
      </c>
      <c r="L2138" s="15" t="s">
        <v>10</v>
      </c>
      <c r="M2138" s="15">
        <v>1.0335258685505275</v>
      </c>
      <c r="N2138" s="15">
        <v>1.0335258685505275</v>
      </c>
      <c r="O2138" s="15">
        <v>0.93690834018716329</v>
      </c>
      <c r="P2138" s="15">
        <v>0.93690834018716329</v>
      </c>
      <c r="Q2138" s="8"/>
      <c r="R2138" s="9" t="s">
        <v>2117</v>
      </c>
    </row>
    <row r="2139" spans="1:18" x14ac:dyDescent="0.25">
      <c r="A2139" s="6" t="str">
        <f>HYPERLINK("proteomic_fractions_linear_files/Yang_linear_img/29243942.jpg", "29243942")</f>
        <v>29243942</v>
      </c>
      <c r="B2139" s="7"/>
      <c r="C2139" s="6" t="str">
        <f>HYPERLINK("http://www.ncbi.nlm.nih.gov/protein/29243942","Eif5a2")</f>
        <v>Eif5a2</v>
      </c>
      <c r="D2139" s="8"/>
      <c r="E2139" s="8">
        <v>16662</v>
      </c>
      <c r="F2139" s="8"/>
      <c r="G2139" s="15">
        <v>1.4444012125457011</v>
      </c>
      <c r="H2139" s="15">
        <v>1.4444012125457011</v>
      </c>
      <c r="I2139" s="15">
        <v>0.98332203062394252</v>
      </c>
      <c r="J2139" s="15">
        <v>0.98332203062394252</v>
      </c>
      <c r="K2139" s="15">
        <v>0.98332203062394252</v>
      </c>
      <c r="L2139" s="15">
        <v>0.98332203062394252</v>
      </c>
      <c r="M2139" s="15">
        <v>1.0335258685505275</v>
      </c>
      <c r="N2139" s="15">
        <v>1.0335258685505275</v>
      </c>
      <c r="O2139" s="15">
        <v>0.98332203062394252</v>
      </c>
      <c r="P2139" s="15">
        <v>0.98332203062394252</v>
      </c>
      <c r="Q2139" s="8"/>
      <c r="R2139" s="9" t="s">
        <v>2118</v>
      </c>
    </row>
    <row r="2140" spans="1:18" x14ac:dyDescent="0.25">
      <c r="A2140" s="6" t="str">
        <f>HYPERLINK("proteomic_fractions_linear_files/Yang_linear_img/84043961.jpg", "84043961")</f>
        <v>84043961</v>
      </c>
      <c r="B2140" s="7"/>
      <c r="C2140" s="6" t="str">
        <f>HYPERLINK("http://www.ncbi.nlm.nih.gov/protein/84043961","Eif5b")</f>
        <v>Eif5b</v>
      </c>
      <c r="D2140" s="8"/>
      <c r="E2140" s="8">
        <v>137485</v>
      </c>
      <c r="F2140" s="8"/>
      <c r="G2140" s="15">
        <v>1.7033638512981684</v>
      </c>
      <c r="H2140" s="15">
        <v>1.7033638512981684</v>
      </c>
      <c r="I2140" s="15">
        <v>43.745255474452556</v>
      </c>
      <c r="J2140" s="15">
        <v>43.745255474452556</v>
      </c>
      <c r="K2140" s="15">
        <v>1.7033638512981684</v>
      </c>
      <c r="L2140" s="15">
        <v>1.7033638512981684</v>
      </c>
      <c r="M2140" s="15">
        <v>1.7033638512981684</v>
      </c>
      <c r="N2140" s="15">
        <v>1.7033638512981684</v>
      </c>
      <c r="O2140" s="15" t="s">
        <v>10</v>
      </c>
      <c r="P2140" s="15" t="s">
        <v>10</v>
      </c>
      <c r="Q2140" s="8"/>
      <c r="R2140" s="9" t="s">
        <v>2119</v>
      </c>
    </row>
    <row r="2141" spans="1:18" x14ac:dyDescent="0.25">
      <c r="A2141" s="6" t="str">
        <f>HYPERLINK("proteomic_fractions_linear_files/Yang_linear_img/27501448.jpg", "27501448")</f>
        <v>27501448</v>
      </c>
      <c r="B2141" s="7"/>
      <c r="C2141" s="6" t="str">
        <f>HYPERLINK("http://www.ncbi.nlm.nih.gov/protein/27501448","Eif6")</f>
        <v>Eif6</v>
      </c>
      <c r="D2141" s="8"/>
      <c r="E2141" s="8">
        <v>26380</v>
      </c>
      <c r="F2141" s="8"/>
      <c r="G2141" s="15">
        <v>1.3289760204028918</v>
      </c>
      <c r="H2141" s="15">
        <v>1.3289760204028918</v>
      </c>
      <c r="I2141" s="15">
        <v>0.94441617743372752</v>
      </c>
      <c r="J2141" s="15">
        <v>0.94441617743372752</v>
      </c>
      <c r="K2141" s="15">
        <v>0.94441617743372752</v>
      </c>
      <c r="L2141" s="15">
        <v>0.94441617743372752</v>
      </c>
      <c r="M2141" s="15">
        <v>0.94441617743372752</v>
      </c>
      <c r="N2141" s="15">
        <v>0.94441617743372752</v>
      </c>
      <c r="O2141" s="15">
        <v>0.83829777964149044</v>
      </c>
      <c r="P2141" s="15">
        <v>0.83829777964149044</v>
      </c>
      <c r="Q2141" s="8"/>
      <c r="R2141" s="9" t="s">
        <v>2120</v>
      </c>
    </row>
    <row r="2142" spans="1:18" x14ac:dyDescent="0.25">
      <c r="A2142" s="6" t="str">
        <f>HYPERLINK("proteomic_fractions_linear_files/Yang_linear_img/257153445.jpg", "257153445")</f>
        <v>257153445</v>
      </c>
      <c r="B2142" s="7"/>
      <c r="C2142" s="6" t="str">
        <f>HYPERLINK("http://www.ncbi.nlm.nih.gov/protein/257153445","Elac2")</f>
        <v>Elac2</v>
      </c>
      <c r="D2142" s="8"/>
      <c r="E2142" s="8">
        <v>90823</v>
      </c>
      <c r="F2142" s="8"/>
      <c r="G2142" s="15" t="s">
        <v>10</v>
      </c>
      <c r="H2142" s="15" t="s">
        <v>10</v>
      </c>
      <c r="I2142" s="15">
        <v>1.206610591441005</v>
      </c>
      <c r="J2142" s="15">
        <v>1.206610591441005</v>
      </c>
      <c r="K2142" s="15">
        <v>1.206610591441005</v>
      </c>
      <c r="L2142" s="15">
        <v>1.206610591441005</v>
      </c>
      <c r="M2142" s="15">
        <v>0.913172071133449</v>
      </c>
      <c r="N2142" s="15">
        <v>0.913172071133449</v>
      </c>
      <c r="O2142" s="15">
        <v>1.206610591441005</v>
      </c>
      <c r="P2142" s="15">
        <v>1.206610591441005</v>
      </c>
      <c r="Q2142" s="8"/>
      <c r="R2142" s="9" t="s">
        <v>2121</v>
      </c>
    </row>
    <row r="2143" spans="1:18" x14ac:dyDescent="0.25">
      <c r="A2143" s="6" t="str">
        <f>HYPERLINK("proteomic_fractions_linear_files/Yang_linear_img/31542602.jpg", "31542602")</f>
        <v>31542602</v>
      </c>
      <c r="B2143" s="7"/>
      <c r="C2143" s="6" t="str">
        <f>HYPERLINK("http://www.ncbi.nlm.nih.gov/protein/31542602","Elavl1")</f>
        <v>Elavl1</v>
      </c>
      <c r="D2143" s="8"/>
      <c r="E2143" s="8">
        <v>36038</v>
      </c>
      <c r="F2143" s="8"/>
      <c r="G2143" s="15">
        <v>1.125203283422854</v>
      </c>
      <c r="H2143" s="15">
        <v>1.125203283422854</v>
      </c>
      <c r="I2143" s="15">
        <v>0.83015019143647584</v>
      </c>
      <c r="J2143" s="15">
        <v>0.83015019143647584</v>
      </c>
      <c r="K2143" s="15">
        <v>0.89122424599259964</v>
      </c>
      <c r="L2143" s="15">
        <v>0.89122424599259964</v>
      </c>
      <c r="M2143" s="15">
        <v>0.89122424599259964</v>
      </c>
      <c r="N2143" s="15">
        <v>0.89122424599259964</v>
      </c>
      <c r="O2143" s="15" t="s">
        <v>10</v>
      </c>
      <c r="P2143" s="15" t="s">
        <v>10</v>
      </c>
      <c r="Q2143" s="8"/>
      <c r="R2143" s="9" t="s">
        <v>2122</v>
      </c>
    </row>
    <row r="2144" spans="1:18" x14ac:dyDescent="0.25">
      <c r="A2144" s="6" t="str">
        <f>HYPERLINK("proteomic_fractions_linear_files/Yang_linear_img/124358953.jpg", "124358953")</f>
        <v>124358953</v>
      </c>
      <c r="B2144" s="7"/>
      <c r="C2144" s="6" t="str">
        <f>HYPERLINK("http://www.ncbi.nlm.nih.gov/protein/124358953","Ell")</f>
        <v>Ell</v>
      </c>
      <c r="D2144" s="8"/>
      <c r="E2144" s="8">
        <v>67015</v>
      </c>
      <c r="F2144" s="8"/>
      <c r="G2144" s="15" t="s">
        <v>10</v>
      </c>
      <c r="H2144" s="15" t="s">
        <v>10</v>
      </c>
      <c r="I2144" s="15" t="s">
        <v>10</v>
      </c>
      <c r="J2144" s="15" t="s">
        <v>10</v>
      </c>
      <c r="K2144" s="15">
        <v>1.2402784846737889</v>
      </c>
      <c r="L2144" s="15">
        <v>1.2402784846737889</v>
      </c>
      <c r="M2144" s="15" t="s">
        <v>10</v>
      </c>
      <c r="N2144" s="15" t="s">
        <v>10</v>
      </c>
      <c r="O2144" s="15">
        <v>1.0960620931594365</v>
      </c>
      <c r="P2144" s="15">
        <v>1.0960620931594365</v>
      </c>
      <c r="Q2144" s="8"/>
      <c r="R2144" s="9" t="s">
        <v>2123</v>
      </c>
    </row>
    <row r="2145" spans="1:18" x14ac:dyDescent="0.25">
      <c r="A2145" s="6" t="str">
        <f>HYPERLINK("proteomic_fractions_linear_files/Yang_linear_img/46877043.jpg", "46877043")</f>
        <v>46877043</v>
      </c>
      <c r="B2145" s="7"/>
      <c r="C2145" s="6" t="str">
        <f>HYPERLINK("http://www.ncbi.nlm.nih.gov/protein/46877043","Elmo2")</f>
        <v>Elmo2</v>
      </c>
      <c r="D2145" s="8"/>
      <c r="E2145" s="8">
        <v>82412</v>
      </c>
      <c r="F2145" s="8"/>
      <c r="G2145" s="15" t="s">
        <v>10</v>
      </c>
      <c r="H2145" s="15" t="s">
        <v>10</v>
      </c>
      <c r="I2145" s="15" t="s">
        <v>10</v>
      </c>
      <c r="J2145" s="15" t="s">
        <v>10</v>
      </c>
      <c r="K2145" s="15" t="s">
        <v>10</v>
      </c>
      <c r="L2145" s="15" t="s">
        <v>10</v>
      </c>
      <c r="M2145" s="15">
        <v>1.0133982740627299</v>
      </c>
      <c r="N2145" s="15">
        <v>1.0133982740627299</v>
      </c>
      <c r="O2145" s="15" t="s">
        <v>10</v>
      </c>
      <c r="P2145" s="15" t="s">
        <v>10</v>
      </c>
      <c r="Q2145" s="8"/>
      <c r="R2145" s="9" t="s">
        <v>2124</v>
      </c>
    </row>
    <row r="2146" spans="1:18" x14ac:dyDescent="0.25">
      <c r="A2146" s="6" t="str">
        <f>HYPERLINK("proteomic_fractions_linear_files/Yang_linear_img/46877050.jpg", "46877050")</f>
        <v>46877050</v>
      </c>
      <c r="B2146" s="7"/>
      <c r="C2146" s="6" t="str">
        <f>HYPERLINK("http://www.ncbi.nlm.nih.gov/protein/46877050","Elmo2")</f>
        <v>Elmo2</v>
      </c>
      <c r="D2146" s="8"/>
      <c r="E2146" s="8">
        <v>91120</v>
      </c>
      <c r="F2146" s="8"/>
      <c r="G2146" s="15" t="s">
        <v>10</v>
      </c>
      <c r="H2146" s="15" t="s">
        <v>10</v>
      </c>
      <c r="I2146" s="15" t="s">
        <v>10</v>
      </c>
      <c r="J2146" s="15" t="s">
        <v>10</v>
      </c>
      <c r="K2146" s="15" t="s">
        <v>10</v>
      </c>
      <c r="L2146" s="15" t="s">
        <v>10</v>
      </c>
      <c r="M2146" s="15">
        <v>0.913172071133449</v>
      </c>
      <c r="N2146" s="15">
        <v>0.913172071133449</v>
      </c>
      <c r="O2146" s="15" t="s">
        <v>10</v>
      </c>
      <c r="P2146" s="15" t="s">
        <v>10</v>
      </c>
      <c r="Q2146" s="8"/>
      <c r="R2146" s="9" t="s">
        <v>2125</v>
      </c>
    </row>
    <row r="2147" spans="1:18" x14ac:dyDescent="0.25">
      <c r="A2147" s="6" t="str">
        <f>HYPERLINK("proteomic_fractions_linear_files/Yang_linear_img/46877052.jpg", "46877052")</f>
        <v>46877052</v>
      </c>
      <c r="B2147" s="7"/>
      <c r="C2147" s="6" t="str">
        <f>HYPERLINK("http://www.ncbi.nlm.nih.gov/protein/46877052","Elmo2")</f>
        <v>Elmo2</v>
      </c>
      <c r="D2147" s="8"/>
      <c r="E2147" s="8">
        <v>83756</v>
      </c>
      <c r="F2147" s="8"/>
      <c r="G2147" s="15" t="s">
        <v>10</v>
      </c>
      <c r="H2147" s="15" t="s">
        <v>10</v>
      </c>
      <c r="I2147" s="15" t="s">
        <v>10</v>
      </c>
      <c r="J2147" s="15" t="s">
        <v>10</v>
      </c>
      <c r="K2147" s="15" t="s">
        <v>10</v>
      </c>
      <c r="L2147" s="15" t="s">
        <v>10</v>
      </c>
      <c r="M2147" s="15">
        <v>0.98926974372790311</v>
      </c>
      <c r="N2147" s="15">
        <v>0.98926974372790311</v>
      </c>
      <c r="O2147" s="15" t="s">
        <v>10</v>
      </c>
      <c r="P2147" s="15" t="s">
        <v>10</v>
      </c>
      <c r="Q2147" s="8"/>
      <c r="R2147" s="9" t="s">
        <v>2126</v>
      </c>
    </row>
    <row r="2148" spans="1:18" x14ac:dyDescent="0.25">
      <c r="A2148" s="6" t="str">
        <f>HYPERLINK("proteomic_fractions_linear_files/Yang_linear_img/255683297.jpg", "255683297")</f>
        <v>255683297</v>
      </c>
      <c r="B2148" s="7"/>
      <c r="C2148" s="6" t="str">
        <f>HYPERLINK("http://www.ncbi.nlm.nih.gov/protein/255683297","Elmo3")</f>
        <v>Elmo3</v>
      </c>
      <c r="D2148" s="8"/>
      <c r="E2148" s="8">
        <v>81628</v>
      </c>
      <c r="F2148" s="8"/>
      <c r="G2148" s="15" t="s">
        <v>10</v>
      </c>
      <c r="H2148" s="15" t="s">
        <v>10</v>
      </c>
      <c r="I2148" s="15">
        <v>1.0133982740627299</v>
      </c>
      <c r="J2148" s="15">
        <v>1.0133982740627299</v>
      </c>
      <c r="K2148" s="15">
        <v>1.0133982740627299</v>
      </c>
      <c r="L2148" s="15">
        <v>1.0133982740627299</v>
      </c>
      <c r="M2148" s="15">
        <v>1.0133982740627299</v>
      </c>
      <c r="N2148" s="15">
        <v>1.0133982740627299</v>
      </c>
      <c r="O2148" s="15">
        <v>1.0133982740627299</v>
      </c>
      <c r="P2148" s="15">
        <v>1.0133982740627299</v>
      </c>
      <c r="Q2148" s="8"/>
      <c r="R2148" s="9" t="s">
        <v>2127</v>
      </c>
    </row>
    <row r="2149" spans="1:18" x14ac:dyDescent="0.25">
      <c r="A2149" s="6" t="str">
        <f>HYPERLINK("proteomic_fractions_linear_files/Yang_linear_img/283436077.jpg", "283436077")</f>
        <v>283436077</v>
      </c>
      <c r="B2149" s="7"/>
      <c r="C2149" s="6" t="str">
        <f>HYPERLINK("http://www.ncbi.nlm.nih.gov/protein/283436077","Elmod2")</f>
        <v>Elmod2</v>
      </c>
      <c r="D2149" s="8"/>
      <c r="E2149" s="8">
        <v>34616</v>
      </c>
      <c r="F2149" s="8"/>
      <c r="G2149" s="15" t="s">
        <v>10</v>
      </c>
      <c r="H2149" s="15" t="s">
        <v>10</v>
      </c>
      <c r="I2149" s="15">
        <v>0.79766317993377311</v>
      </c>
      <c r="J2149" s="15">
        <v>0.79766317993377311</v>
      </c>
      <c r="K2149" s="15">
        <v>0.79766317993377311</v>
      </c>
      <c r="L2149" s="15">
        <v>0.79766317993377311</v>
      </c>
      <c r="M2149" s="15" t="s">
        <v>10</v>
      </c>
      <c r="N2149" s="15" t="s">
        <v>10</v>
      </c>
      <c r="O2149" s="15" t="s">
        <v>10</v>
      </c>
      <c r="P2149" s="15" t="s">
        <v>10</v>
      </c>
      <c r="Q2149" s="8"/>
      <c r="R2149" s="9" t="s">
        <v>2128</v>
      </c>
    </row>
    <row r="2150" spans="1:18" x14ac:dyDescent="0.25">
      <c r="A2150" s="6" t="str">
        <f>HYPERLINK("proteomic_fractions_linear_files/Yang_linear_img/25140989.jpg", "25140989")</f>
        <v>25140989</v>
      </c>
      <c r="B2150" s="7"/>
      <c r="C2150" s="6" t="str">
        <f>HYPERLINK("http://www.ncbi.nlm.nih.gov/protein/25140989","Elof1")</f>
        <v>Elof1</v>
      </c>
      <c r="D2150" s="8"/>
      <c r="E2150" s="8">
        <v>9331</v>
      </c>
      <c r="F2150" s="8"/>
      <c r="G2150" s="15" t="s">
        <v>10</v>
      </c>
      <c r="H2150" s="15" t="s">
        <v>10</v>
      </c>
      <c r="I2150" s="15" t="s">
        <v>10</v>
      </c>
      <c r="J2150" s="15" t="s">
        <v>10</v>
      </c>
      <c r="K2150" s="15" t="s">
        <v>10</v>
      </c>
      <c r="L2150" s="15" t="s">
        <v>10</v>
      </c>
      <c r="M2150" s="15">
        <v>1.6884820326460317</v>
      </c>
      <c r="N2150" s="15">
        <v>1.6884820326460317</v>
      </c>
      <c r="O2150" s="15">
        <v>1.6130526357633719</v>
      </c>
      <c r="P2150" s="15">
        <v>1.6130526357633719</v>
      </c>
      <c r="Q2150" s="8"/>
      <c r="R2150" s="9" t="s">
        <v>2129</v>
      </c>
    </row>
    <row r="2151" spans="1:18" x14ac:dyDescent="0.25">
      <c r="A2151" s="6" t="str">
        <f>HYPERLINK("proteomic_fractions_linear_files/Yang_linear_img/85702351.jpg", "85702351")</f>
        <v>85702351</v>
      </c>
      <c r="B2151" s="7"/>
      <c r="C2151" s="6" t="str">
        <f>HYPERLINK("http://www.ncbi.nlm.nih.gov/protein/85702351","Elovl1")</f>
        <v>Elovl1</v>
      </c>
      <c r="D2151" s="8"/>
      <c r="E2151" s="8">
        <v>23625</v>
      </c>
      <c r="F2151" s="8"/>
      <c r="G2151" s="15" t="s">
        <v>10</v>
      </c>
      <c r="H2151" s="15" t="s">
        <v>10</v>
      </c>
      <c r="I2151" s="15">
        <v>0.90815592794494793</v>
      </c>
      <c r="J2151" s="15">
        <v>0.90815592794494793</v>
      </c>
      <c r="K2151" s="15">
        <v>0.90815592794494793</v>
      </c>
      <c r="L2151" s="15">
        <v>0.90815592794494793</v>
      </c>
      <c r="M2151" s="15" t="s">
        <v>10</v>
      </c>
      <c r="N2151" s="15" t="s">
        <v>10</v>
      </c>
      <c r="O2151" s="15" t="s">
        <v>10</v>
      </c>
      <c r="P2151" s="15" t="s">
        <v>10</v>
      </c>
      <c r="Q2151" s="8"/>
      <c r="R2151" s="9" t="s">
        <v>2130</v>
      </c>
    </row>
    <row r="2152" spans="1:18" x14ac:dyDescent="0.25">
      <c r="A2152" s="6" t="str">
        <f>HYPERLINK("proteomic_fractions_linear_files/Yang_linear_img/9507145.jpg", "9507145")</f>
        <v>9507145</v>
      </c>
      <c r="B2152" s="7"/>
      <c r="C2152" s="6" t="str">
        <f>HYPERLINK("http://www.ncbi.nlm.nih.gov/protein/9507145","Elovl1")</f>
        <v>Elovl1</v>
      </c>
      <c r="D2152" s="8"/>
      <c r="E2152" s="8">
        <v>32547</v>
      </c>
      <c r="F2152" s="8"/>
      <c r="G2152" s="15" t="s">
        <v>10</v>
      </c>
      <c r="H2152" s="15" t="s">
        <v>10</v>
      </c>
      <c r="I2152" s="15">
        <v>0.66047703850541672</v>
      </c>
      <c r="J2152" s="15">
        <v>0.66047703850541672</v>
      </c>
      <c r="K2152" s="15">
        <v>0.66047703850541672</v>
      </c>
      <c r="L2152" s="15">
        <v>0.66047703850541672</v>
      </c>
      <c r="M2152" s="15" t="s">
        <v>10</v>
      </c>
      <c r="N2152" s="15" t="s">
        <v>10</v>
      </c>
      <c r="O2152" s="15" t="s">
        <v>10</v>
      </c>
      <c r="P2152" s="15" t="s">
        <v>10</v>
      </c>
      <c r="Q2152" s="8"/>
      <c r="R2152" s="9" t="s">
        <v>2131</v>
      </c>
    </row>
    <row r="2153" spans="1:18" x14ac:dyDescent="0.25">
      <c r="A2153" s="6" t="str">
        <f>HYPERLINK("proteomic_fractions_linear_files/Yang_linear_img/148540000.jpg", "148540000")</f>
        <v>148540000</v>
      </c>
      <c r="B2153" s="7"/>
      <c r="C2153" s="6" t="str">
        <f>HYPERLINK("http://www.ncbi.nlm.nih.gov/protein/148540000","Elovl7")</f>
        <v>Elovl7</v>
      </c>
      <c r="D2153" s="8"/>
      <c r="E2153" s="8">
        <v>33348</v>
      </c>
      <c r="F2153" s="8"/>
      <c r="G2153" s="15" t="s">
        <v>10</v>
      </c>
      <c r="H2153" s="15" t="s">
        <v>10</v>
      </c>
      <c r="I2153" s="15">
        <v>0.74408547312960349</v>
      </c>
      <c r="J2153" s="15">
        <v>0.74408547312960349</v>
      </c>
      <c r="K2153" s="15" t="s">
        <v>10</v>
      </c>
      <c r="L2153" s="15" t="s">
        <v>10</v>
      </c>
      <c r="M2153" s="15" t="s">
        <v>10</v>
      </c>
      <c r="N2153" s="15" t="s">
        <v>10</v>
      </c>
      <c r="O2153" s="15" t="s">
        <v>10</v>
      </c>
      <c r="P2153" s="15" t="s">
        <v>10</v>
      </c>
      <c r="Q2153" s="8"/>
      <c r="R2153" s="9" t="s">
        <v>2132</v>
      </c>
    </row>
    <row r="2154" spans="1:18" x14ac:dyDescent="0.25">
      <c r="A2154" s="6" t="str">
        <f>HYPERLINK("proteomic_fractions_linear_files/Yang_linear_img/134032030.jpg", "134032030")</f>
        <v>134032030</v>
      </c>
      <c r="B2154" s="7"/>
      <c r="C2154" s="6" t="str">
        <f>HYPERLINK("http://www.ncbi.nlm.nih.gov/protein/134032030","Elp2")</f>
        <v>Elp2</v>
      </c>
      <c r="D2154" s="8"/>
      <c r="E2154" s="8">
        <v>92962</v>
      </c>
      <c r="F2154" s="8"/>
      <c r="G2154" s="15" t="s">
        <v>10</v>
      </c>
      <c r="H2154" s="15" t="s">
        <v>10</v>
      </c>
      <c r="I2154" s="15" t="s">
        <v>10</v>
      </c>
      <c r="J2154" s="15" t="s">
        <v>10</v>
      </c>
      <c r="K2154" s="15" t="s">
        <v>10</v>
      </c>
      <c r="L2154" s="15" t="s">
        <v>10</v>
      </c>
      <c r="M2154" s="15">
        <v>1.0211610879847797</v>
      </c>
      <c r="N2154" s="15">
        <v>1.0211610879847797</v>
      </c>
      <c r="O2154" s="15">
        <v>1.0211610879847797</v>
      </c>
      <c r="P2154" s="15">
        <v>1.0211610879847797</v>
      </c>
      <c r="Q2154" s="8"/>
      <c r="R2154" s="9" t="s">
        <v>2133</v>
      </c>
    </row>
    <row r="2155" spans="1:18" x14ac:dyDescent="0.25">
      <c r="A2155" s="6" t="str">
        <f>HYPERLINK("proteomic_fractions_linear_files/Yang_linear_img/33469023.jpg", "33469023")</f>
        <v>33469023</v>
      </c>
      <c r="B2155" s="7"/>
      <c r="C2155" s="6" t="str">
        <f>HYPERLINK("http://www.ncbi.nlm.nih.gov/protein/33469023","Elp3")</f>
        <v>Elp3</v>
      </c>
      <c r="D2155" s="8"/>
      <c r="E2155" s="8">
        <v>62254</v>
      </c>
      <c r="F2155" s="8"/>
      <c r="G2155" s="15" t="s">
        <v>10</v>
      </c>
      <c r="H2155" s="15" t="s">
        <v>10</v>
      </c>
      <c r="I2155" s="15">
        <v>0.9479549610579654</v>
      </c>
      <c r="J2155" s="15">
        <v>0.9479549610579654</v>
      </c>
      <c r="K2155" s="15">
        <v>1.0556977956539408</v>
      </c>
      <c r="L2155" s="15">
        <v>1.0556977956539408</v>
      </c>
      <c r="M2155" s="15">
        <v>0.9479549610579654</v>
      </c>
      <c r="N2155" s="15">
        <v>0.9479549610579654</v>
      </c>
      <c r="O2155" s="15" t="s">
        <v>10</v>
      </c>
      <c r="P2155" s="15" t="s">
        <v>10</v>
      </c>
      <c r="Q2155" s="8"/>
      <c r="R2155" s="9" t="s">
        <v>2134</v>
      </c>
    </row>
    <row r="2156" spans="1:18" x14ac:dyDescent="0.25">
      <c r="A2156" s="6" t="str">
        <f>HYPERLINK("proteomic_fractions_linear_files/Yang_linear_img/359465533.jpg", "359465533")</f>
        <v>359465533</v>
      </c>
      <c r="B2156" s="7"/>
      <c r="C2156" s="6" t="str">
        <f>HYPERLINK("http://www.ncbi.nlm.nih.gov/protein/359465533","Elp3")</f>
        <v>Elp3</v>
      </c>
      <c r="D2156" s="8"/>
      <c r="E2156" s="8">
        <v>64135</v>
      </c>
      <c r="F2156" s="8"/>
      <c r="G2156" s="15" t="s">
        <v>10</v>
      </c>
      <c r="H2156" s="15" t="s">
        <v>10</v>
      </c>
      <c r="I2156" s="15">
        <v>0.91833136852490393</v>
      </c>
      <c r="J2156" s="15">
        <v>0.91833136852490393</v>
      </c>
      <c r="K2156" s="15">
        <v>1.0227072395397552</v>
      </c>
      <c r="L2156" s="15">
        <v>1.0227072395397552</v>
      </c>
      <c r="M2156" s="15">
        <v>0.91833136852490393</v>
      </c>
      <c r="N2156" s="15">
        <v>0.91833136852490393</v>
      </c>
      <c r="O2156" s="15" t="s">
        <v>10</v>
      </c>
      <c r="P2156" s="15" t="s">
        <v>10</v>
      </c>
      <c r="Q2156" s="8"/>
      <c r="R2156" s="9" t="s">
        <v>2135</v>
      </c>
    </row>
    <row r="2157" spans="1:18" x14ac:dyDescent="0.25">
      <c r="A2157" s="6" t="str">
        <f>HYPERLINK("proteomic_fractions_linear_files/Yang_linear_img/31542608.jpg", "31542608")</f>
        <v>31542608</v>
      </c>
      <c r="B2157" s="7"/>
      <c r="C2157" s="6" t="str">
        <f>HYPERLINK("http://www.ncbi.nlm.nih.gov/protein/31542608","Elp4")</f>
        <v>Elp4</v>
      </c>
      <c r="D2157" s="8"/>
      <c r="E2157" s="8">
        <v>46194</v>
      </c>
      <c r="F2157" s="8"/>
      <c r="G2157" s="15" t="s">
        <v>10</v>
      </c>
      <c r="H2157" s="15" t="s">
        <v>10</v>
      </c>
      <c r="I2157" s="15" t="s">
        <v>10</v>
      </c>
      <c r="J2157" s="15" t="s">
        <v>10</v>
      </c>
      <c r="K2157" s="15">
        <v>0.95925194015142323</v>
      </c>
      <c r="L2157" s="15">
        <v>0.95925194015142323</v>
      </c>
      <c r="M2157" s="15">
        <v>0.95925194015142323</v>
      </c>
      <c r="N2157" s="15">
        <v>0.95925194015142323</v>
      </c>
      <c r="O2157" s="15">
        <v>0.88059387398310318</v>
      </c>
      <c r="P2157" s="15">
        <v>0.88059387398310318</v>
      </c>
      <c r="Q2157" s="8"/>
      <c r="R2157" s="9" t="s">
        <v>2136</v>
      </c>
    </row>
    <row r="2158" spans="1:18" x14ac:dyDescent="0.25">
      <c r="A2158" s="6" t="str">
        <f>HYPERLINK("proteomic_fractions_linear_files/Yang_linear_img/244790025.jpg", "244790025")</f>
        <v>244790025</v>
      </c>
      <c r="B2158" s="7"/>
      <c r="C2158" s="6" t="str">
        <f>HYPERLINK("http://www.ncbi.nlm.nih.gov/protein/244790025","Elp5")</f>
        <v>Elp5</v>
      </c>
      <c r="D2158" s="8"/>
      <c r="E2158" s="8">
        <v>33367</v>
      </c>
      <c r="F2158" s="8"/>
      <c r="G2158" s="15" t="s">
        <v>10</v>
      </c>
      <c r="H2158" s="15" t="s">
        <v>10</v>
      </c>
      <c r="I2158" s="15" t="s">
        <v>10</v>
      </c>
      <c r="J2158" s="15" t="s">
        <v>10</v>
      </c>
      <c r="K2158" s="15">
        <v>0.9722446319919269</v>
      </c>
      <c r="L2158" s="15">
        <v>0.9722446319919269</v>
      </c>
      <c r="M2158" s="15">
        <v>0.9722446319919269</v>
      </c>
      <c r="N2158" s="15">
        <v>0.9722446319919269</v>
      </c>
      <c r="O2158" s="15" t="s">
        <v>10</v>
      </c>
      <c r="P2158" s="15" t="s">
        <v>10</v>
      </c>
      <c r="Q2158" s="8"/>
      <c r="R2158" s="9" t="s">
        <v>2137</v>
      </c>
    </row>
    <row r="2159" spans="1:18" x14ac:dyDescent="0.25">
      <c r="A2159" s="6" t="str">
        <f>HYPERLINK("proteomic_fractions_linear_files/Yang_linear_img/358498583.jpg", "358498583")</f>
        <v>358498583</v>
      </c>
      <c r="B2159" s="7"/>
      <c r="C2159" s="6" t="str">
        <f>HYPERLINK("http://www.ncbi.nlm.nih.gov/protein/358498583","Elp5")</f>
        <v>Elp5</v>
      </c>
      <c r="D2159" s="8"/>
      <c r="E2159" s="8">
        <v>18726</v>
      </c>
      <c r="F2159" s="8"/>
      <c r="G2159" s="15" t="s">
        <v>10</v>
      </c>
      <c r="H2159" s="15" t="s">
        <v>10</v>
      </c>
      <c r="I2159" s="15" t="s">
        <v>10</v>
      </c>
      <c r="J2159" s="15" t="s">
        <v>10</v>
      </c>
      <c r="K2159" s="15">
        <v>1.6886354134596626</v>
      </c>
      <c r="L2159" s="15">
        <v>1.6886354134596626</v>
      </c>
      <c r="M2159" s="15">
        <v>1.6886354134596626</v>
      </c>
      <c r="N2159" s="15">
        <v>1.6886354134596626</v>
      </c>
      <c r="O2159" s="15" t="s">
        <v>10</v>
      </c>
      <c r="P2159" s="15" t="s">
        <v>10</v>
      </c>
      <c r="Q2159" s="8"/>
      <c r="R2159" s="9" t="s">
        <v>2138</v>
      </c>
    </row>
    <row r="2160" spans="1:18" x14ac:dyDescent="0.25">
      <c r="A2160" s="6" t="str">
        <f>HYPERLINK("proteomic_fractions_linear_files/Yang_linear_img/145587074.jpg", "145587074")</f>
        <v>145587074</v>
      </c>
      <c r="B2160" s="7"/>
      <c r="C2160" s="6" t="str">
        <f>HYPERLINK("http://www.ncbi.nlm.nih.gov/protein/145587074","Elp6")</f>
        <v>Elp6</v>
      </c>
      <c r="D2160" s="8"/>
      <c r="E2160" s="8">
        <v>29195</v>
      </c>
      <c r="F2160" s="8"/>
      <c r="G2160" s="15" t="s">
        <v>10</v>
      </c>
      <c r="H2160" s="15" t="s">
        <v>10</v>
      </c>
      <c r="I2160" s="15" t="s">
        <v>10</v>
      </c>
      <c r="J2160" s="15" t="s">
        <v>10</v>
      </c>
      <c r="K2160" s="15">
        <v>0.90173303846293107</v>
      </c>
      <c r="L2160" s="15">
        <v>0.90173303846293107</v>
      </c>
      <c r="M2160" s="15">
        <v>0.84671795218196266</v>
      </c>
      <c r="N2160" s="15">
        <v>0.84671795218196266</v>
      </c>
      <c r="O2160" s="15" t="s">
        <v>10</v>
      </c>
      <c r="P2160" s="15" t="s">
        <v>10</v>
      </c>
      <c r="Q2160" s="8"/>
      <c r="R2160" s="9" t="s">
        <v>2139</v>
      </c>
    </row>
    <row r="2161" spans="1:18" x14ac:dyDescent="0.25">
      <c r="A2161" s="6" t="str">
        <f>HYPERLINK("proteomic_fractions_linear_files/Yang_linear_img/31542273.jpg", "31542273")</f>
        <v>31542273</v>
      </c>
      <c r="B2161" s="7"/>
      <c r="C2161" s="6" t="str">
        <f>HYPERLINK("http://www.ncbi.nlm.nih.gov/protein/31542273","Emc1")</f>
        <v>Emc1</v>
      </c>
      <c r="D2161" s="8"/>
      <c r="E2161" s="8">
        <v>109409</v>
      </c>
      <c r="F2161" s="8"/>
      <c r="G2161" s="15">
        <v>1.4078245058370811</v>
      </c>
      <c r="H2161" s="15">
        <v>1.4078245058370811</v>
      </c>
      <c r="I2161" s="15">
        <v>1.0073537965241419</v>
      </c>
      <c r="J2161" s="15">
        <v>1.0073537965241419</v>
      </c>
      <c r="K2161" s="15">
        <v>1.4078245058370811</v>
      </c>
      <c r="L2161" s="15">
        <v>1.4078245058370811</v>
      </c>
      <c r="M2161" s="15" t="s">
        <v>10</v>
      </c>
      <c r="N2161" s="15" t="s">
        <v>10</v>
      </c>
      <c r="O2161" s="15" t="s">
        <v>10</v>
      </c>
      <c r="P2161" s="15" t="s">
        <v>10</v>
      </c>
      <c r="Q2161" s="8"/>
      <c r="R2161" s="9" t="s">
        <v>2140</v>
      </c>
    </row>
    <row r="2162" spans="1:18" x14ac:dyDescent="0.25">
      <c r="A2162" s="6" t="str">
        <f>HYPERLINK("proteomic_fractions_linear_files/Yang_linear_img/85861260.jpg", "85861260")</f>
        <v>85861260</v>
      </c>
      <c r="B2162" s="7"/>
      <c r="C2162" s="6" t="str">
        <f>HYPERLINK("http://www.ncbi.nlm.nih.gov/protein/85861260","Emc1")</f>
        <v>Emc1</v>
      </c>
      <c r="D2162" s="8"/>
      <c r="E2162" s="8">
        <v>109097</v>
      </c>
      <c r="F2162" s="8"/>
      <c r="G2162" s="15">
        <v>1.4078245058370811</v>
      </c>
      <c r="H2162" s="15">
        <v>1.4078245058370811</v>
      </c>
      <c r="I2162" s="15">
        <v>1.0073537965241419</v>
      </c>
      <c r="J2162" s="15">
        <v>1.0073537965241419</v>
      </c>
      <c r="K2162" s="15">
        <v>1.4078245058370811</v>
      </c>
      <c r="L2162" s="15">
        <v>1.4078245058370811</v>
      </c>
      <c r="M2162" s="15" t="s">
        <v>10</v>
      </c>
      <c r="N2162" s="15" t="s">
        <v>10</v>
      </c>
      <c r="O2162" s="15" t="s">
        <v>10</v>
      </c>
      <c r="P2162" s="15" t="s">
        <v>10</v>
      </c>
      <c r="Q2162" s="8"/>
      <c r="R2162" s="9" t="s">
        <v>2141</v>
      </c>
    </row>
    <row r="2163" spans="1:18" x14ac:dyDescent="0.25">
      <c r="A2163" s="6" t="str">
        <f>HYPERLINK("proteomic_fractions_linear_files/Yang_linear_img/13385196.jpg", "13385196")</f>
        <v>13385196</v>
      </c>
      <c r="B2163" s="7"/>
      <c r="C2163" s="6" t="str">
        <f>HYPERLINK("http://www.ncbi.nlm.nih.gov/protein/13385196","Emc2")</f>
        <v>Emc2</v>
      </c>
      <c r="D2163" s="8"/>
      <c r="E2163" s="8">
        <v>34804</v>
      </c>
      <c r="F2163" s="8"/>
      <c r="G2163" s="15">
        <v>1.1573519486635071</v>
      </c>
      <c r="H2163" s="15">
        <v>1.1573519486635071</v>
      </c>
      <c r="I2163" s="15">
        <v>0.85386876833466085</v>
      </c>
      <c r="J2163" s="15">
        <v>0.85386876833466085</v>
      </c>
      <c r="K2163" s="15">
        <v>0.91668779587810256</v>
      </c>
      <c r="L2163" s="15">
        <v>0.91668779587810256</v>
      </c>
      <c r="M2163" s="15">
        <v>0.91668779587810256</v>
      </c>
      <c r="N2163" s="15">
        <v>0.91668779587810256</v>
      </c>
      <c r="O2163" s="15" t="s">
        <v>10</v>
      </c>
      <c r="P2163" s="15" t="s">
        <v>10</v>
      </c>
      <c r="Q2163" s="8"/>
      <c r="R2163" s="9" t="s">
        <v>2142</v>
      </c>
    </row>
    <row r="2164" spans="1:18" x14ac:dyDescent="0.25">
      <c r="A2164" s="6" t="str">
        <f>HYPERLINK("proteomic_fractions_linear_files/Yang_linear_img/28827824.jpg", "28827824")</f>
        <v>28827824</v>
      </c>
      <c r="B2164" s="7"/>
      <c r="C2164" s="6" t="str">
        <f>HYPERLINK("http://www.ncbi.nlm.nih.gov/protein/28827824","Emc3")</f>
        <v>Emc3</v>
      </c>
      <c r="D2164" s="8"/>
      <c r="E2164" s="8">
        <v>29849</v>
      </c>
      <c r="F2164" s="8"/>
      <c r="G2164" s="15">
        <v>0.81849402044256392</v>
      </c>
      <c r="H2164" s="15">
        <v>0.81849402044256392</v>
      </c>
      <c r="I2164" s="15">
        <v>0.87167527051416671</v>
      </c>
      <c r="J2164" s="15">
        <v>0.87167527051416671</v>
      </c>
      <c r="K2164" s="15">
        <v>0.93060704325606869</v>
      </c>
      <c r="L2164" s="15">
        <v>0.93060704325606869</v>
      </c>
      <c r="M2164" s="15" t="s">
        <v>10</v>
      </c>
      <c r="N2164" s="15" t="s">
        <v>10</v>
      </c>
      <c r="O2164" s="15" t="s">
        <v>10</v>
      </c>
      <c r="P2164" s="15" t="s">
        <v>10</v>
      </c>
      <c r="Q2164" s="8"/>
      <c r="R2164" s="9" t="s">
        <v>2143</v>
      </c>
    </row>
    <row r="2165" spans="1:18" x14ac:dyDescent="0.25">
      <c r="A2165" s="6" t="str">
        <f>HYPERLINK("proteomic_fractions_linear_files/Yang_linear_img/13386014.jpg", "13386014")</f>
        <v>13386014</v>
      </c>
      <c r="B2165" s="7"/>
      <c r="C2165" s="6" t="str">
        <f>HYPERLINK("http://www.ncbi.nlm.nih.gov/protein/13386014","Emc4")</f>
        <v>Emc4</v>
      </c>
      <c r="D2165" s="8"/>
      <c r="E2165" s="8">
        <v>19986</v>
      </c>
      <c r="F2165" s="8"/>
      <c r="G2165" s="15">
        <v>1.30751290577125</v>
      </c>
      <c r="H2165" s="15">
        <v>1.30751290577125</v>
      </c>
      <c r="I2165" s="15">
        <v>0.83582372603035116</v>
      </c>
      <c r="J2165" s="15">
        <v>0.83582372603035116</v>
      </c>
      <c r="K2165" s="15">
        <v>0.92476495822820426</v>
      </c>
      <c r="L2165" s="15">
        <v>0.92476495822820426</v>
      </c>
      <c r="M2165" s="15" t="s">
        <v>10</v>
      </c>
      <c r="N2165" s="15" t="s">
        <v>10</v>
      </c>
      <c r="O2165" s="15" t="s">
        <v>10</v>
      </c>
      <c r="P2165" s="15" t="s">
        <v>10</v>
      </c>
      <c r="Q2165" s="8"/>
      <c r="R2165" s="9" t="s">
        <v>2144</v>
      </c>
    </row>
    <row r="2166" spans="1:18" x14ac:dyDescent="0.25">
      <c r="A2166" s="6" t="str">
        <f>HYPERLINK("proteomic_fractions_linear_files/Yang_linear_img/13384684.jpg", "13384684")</f>
        <v>13384684</v>
      </c>
      <c r="B2166" s="7"/>
      <c r="C2166" s="6" t="str">
        <f>HYPERLINK("http://www.ncbi.nlm.nih.gov/protein/13384684","Emc6")</f>
        <v>Emc6</v>
      </c>
      <c r="D2166" s="8"/>
      <c r="E2166" s="8">
        <v>11886</v>
      </c>
      <c r="F2166" s="8"/>
      <c r="G2166" s="15">
        <v>1.716453432221356</v>
      </c>
      <c r="H2166" s="15">
        <v>1.716453432221356</v>
      </c>
      <c r="I2166" s="15">
        <v>1.1571542083280542</v>
      </c>
      <c r="J2166" s="15">
        <v>1.1571542083280542</v>
      </c>
      <c r="K2166" s="15">
        <v>1.209789476822529</v>
      </c>
      <c r="L2166" s="15">
        <v>1.209789476822529</v>
      </c>
      <c r="M2166" s="15">
        <v>1.209789476822529</v>
      </c>
      <c r="N2166" s="15">
        <v>1.209789476822529</v>
      </c>
      <c r="O2166" s="15" t="s">
        <v>10</v>
      </c>
      <c r="P2166" s="15" t="s">
        <v>10</v>
      </c>
      <c r="Q2166" s="8"/>
      <c r="R2166" s="9" t="s">
        <v>2145</v>
      </c>
    </row>
    <row r="2167" spans="1:18" x14ac:dyDescent="0.25">
      <c r="A2167" s="6" t="str">
        <f>HYPERLINK("proteomic_fractions_linear_files/Yang_linear_img/19526956.jpg", "19526956")</f>
        <v>19526956</v>
      </c>
      <c r="B2167" s="7"/>
      <c r="C2167" s="6" t="str">
        <f>HYPERLINK("http://www.ncbi.nlm.nih.gov/protein/19526956","Emc7")</f>
        <v>Emc7</v>
      </c>
      <c r="D2167" s="8"/>
      <c r="E2167" s="8">
        <v>24023</v>
      </c>
      <c r="F2167" s="8"/>
      <c r="G2167" s="15">
        <v>1.2452252871547138</v>
      </c>
      <c r="H2167" s="15">
        <v>1.2452252871547138</v>
      </c>
      <c r="I2167" s="15">
        <v>0.85822671611067802</v>
      </c>
      <c r="J2167" s="15">
        <v>0.85822671611067802</v>
      </c>
      <c r="K2167" s="15">
        <v>0.85822671611067802</v>
      </c>
      <c r="L2167" s="15">
        <v>0.85822671611067802</v>
      </c>
      <c r="M2167" s="15" t="s">
        <v>10</v>
      </c>
      <c r="N2167" s="15" t="s">
        <v>10</v>
      </c>
      <c r="O2167" s="15" t="s">
        <v>10</v>
      </c>
      <c r="P2167" s="15" t="s">
        <v>10</v>
      </c>
      <c r="Q2167" s="8"/>
      <c r="R2167" s="9" t="s">
        <v>2146</v>
      </c>
    </row>
    <row r="2168" spans="1:18" x14ac:dyDescent="0.25">
      <c r="A2168" s="6" t="str">
        <f>HYPERLINK("proteomic_fractions_linear_files/Yang_linear_img/6754870.jpg", "6754870")</f>
        <v>6754870</v>
      </c>
      <c r="B2168" s="7"/>
      <c r="C2168" s="6" t="str">
        <f>HYPERLINK("http://www.ncbi.nlm.nih.gov/protein/6754870","Emc8")</f>
        <v>Emc8</v>
      </c>
      <c r="D2168" s="8"/>
      <c r="E2168" s="8">
        <v>23217</v>
      </c>
      <c r="F2168" s="8"/>
      <c r="G2168" s="15">
        <v>1.2993655170310057</v>
      </c>
      <c r="H2168" s="15">
        <v>1.2993655170310057</v>
      </c>
      <c r="I2168" s="15">
        <v>0.94764096829038047</v>
      </c>
      <c r="J2168" s="15">
        <v>0.94764096829038047</v>
      </c>
      <c r="K2168" s="15">
        <v>1.0047640597703238</v>
      </c>
      <c r="L2168" s="15">
        <v>1.0047640597703238</v>
      </c>
      <c r="M2168" s="15" t="s">
        <v>10</v>
      </c>
      <c r="N2168" s="15" t="s">
        <v>10</v>
      </c>
      <c r="O2168" s="15">
        <v>0.94764096829038047</v>
      </c>
      <c r="P2168" s="15">
        <v>0.94764096829038047</v>
      </c>
      <c r="Q2168" s="8"/>
      <c r="R2168" s="9" t="s">
        <v>2147</v>
      </c>
    </row>
    <row r="2169" spans="1:18" x14ac:dyDescent="0.25">
      <c r="A2169" s="6" t="str">
        <f>HYPERLINK("proteomic_fractions_linear_files/Yang_linear_img/6679641.jpg", "6679641")</f>
        <v>6679641</v>
      </c>
      <c r="B2169" s="7"/>
      <c r="C2169" s="6" t="str">
        <f>HYPERLINK("http://www.ncbi.nlm.nih.gov/protein/6679641","Emd")</f>
        <v>Emd</v>
      </c>
      <c r="D2169" s="8"/>
      <c r="E2169" s="8">
        <v>29304</v>
      </c>
      <c r="F2169" s="8"/>
      <c r="G2169" s="15">
        <v>1.5215720429988093</v>
      </c>
      <c r="H2169" s="15">
        <v>1.5215720429988093</v>
      </c>
      <c r="I2169" s="15">
        <v>1.1063473398528822</v>
      </c>
      <c r="J2169" s="15">
        <v>1.1063473398528822</v>
      </c>
      <c r="K2169" s="15">
        <v>1.1914957424301789</v>
      </c>
      <c r="L2169" s="15">
        <v>1.1914957424301789</v>
      </c>
      <c r="M2169" s="15" t="s">
        <v>10</v>
      </c>
      <c r="N2169" s="15" t="s">
        <v>10</v>
      </c>
      <c r="O2169" s="15" t="s">
        <v>10</v>
      </c>
      <c r="P2169" s="15" t="s">
        <v>10</v>
      </c>
      <c r="Q2169" s="8"/>
      <c r="R2169" s="9" t="s">
        <v>2148</v>
      </c>
    </row>
    <row r="2170" spans="1:18" x14ac:dyDescent="0.25">
      <c r="A2170" s="6" t="str">
        <f>HYPERLINK("proteomic_fractions_linear_files/Yang_linear_img/7305109.jpg", "7305109")</f>
        <v>7305109</v>
      </c>
      <c r="B2170" s="7"/>
      <c r="C2170" s="6" t="str">
        <f>HYPERLINK("http://www.ncbi.nlm.nih.gov/protein/7305109","Emg1")</f>
        <v>Emg1</v>
      </c>
      <c r="D2170" s="8"/>
      <c r="E2170" s="8">
        <v>26843</v>
      </c>
      <c r="F2170" s="8"/>
      <c r="G2170" s="15" t="s">
        <v>10</v>
      </c>
      <c r="H2170" s="15" t="s">
        <v>10</v>
      </c>
      <c r="I2170" s="15" t="s">
        <v>10</v>
      </c>
      <c r="J2170" s="15" t="s">
        <v>10</v>
      </c>
      <c r="K2170" s="15">
        <v>0.90943780049173761</v>
      </c>
      <c r="L2170" s="15">
        <v>0.90943780049173761</v>
      </c>
      <c r="M2170" s="15">
        <v>0.90943780049173761</v>
      </c>
      <c r="N2170" s="15">
        <v>0.90943780049173761</v>
      </c>
      <c r="O2170" s="15" t="s">
        <v>10</v>
      </c>
      <c r="P2170" s="15" t="s">
        <v>10</v>
      </c>
      <c r="Q2170" s="8"/>
      <c r="R2170" s="9" t="s">
        <v>2149</v>
      </c>
    </row>
    <row r="2171" spans="1:18" x14ac:dyDescent="0.25">
      <c r="A2171" s="6" t="str">
        <f>HYPERLINK("proteomic_fractions_linear_files/Yang_linear_img/244790233.jpg", "244790233")</f>
        <v>244790233</v>
      </c>
      <c r="B2171" s="7"/>
      <c r="C2171" s="6" t="str">
        <f>HYPERLINK("http://www.ncbi.nlm.nih.gov/protein/244790233","Eml2")</f>
        <v>Eml2</v>
      </c>
      <c r="D2171" s="8"/>
      <c r="E2171" s="8">
        <v>72570</v>
      </c>
      <c r="F2171" s="8"/>
      <c r="G2171" s="15" t="s">
        <v>10</v>
      </c>
      <c r="H2171" s="15" t="s">
        <v>10</v>
      </c>
      <c r="I2171" s="15">
        <v>1.0059747978312636</v>
      </c>
      <c r="J2171" s="15">
        <v>1.0059747978312636</v>
      </c>
      <c r="K2171" s="15">
        <v>1.0059747978312636</v>
      </c>
      <c r="L2171" s="15">
        <v>1.0059747978312636</v>
      </c>
      <c r="M2171" s="15">
        <v>1.0059747978312636</v>
      </c>
      <c r="N2171" s="15">
        <v>1.0059747978312636</v>
      </c>
      <c r="O2171" s="15">
        <v>0.89662004562389497</v>
      </c>
      <c r="P2171" s="15">
        <v>0.89662004562389497</v>
      </c>
      <c r="Q2171" s="8"/>
      <c r="R2171" s="9" t="s">
        <v>2150</v>
      </c>
    </row>
    <row r="2172" spans="1:18" x14ac:dyDescent="0.25">
      <c r="A2172" s="6" t="str">
        <f>HYPERLINK("proteomic_fractions_linear_files/Yang_linear_img/244790299.jpg", "244790299")</f>
        <v>244790299</v>
      </c>
      <c r="B2172" s="7"/>
      <c r="C2172" s="6" t="str">
        <f>HYPERLINK("http://www.ncbi.nlm.nih.gov/protein/244790299","Eml2")</f>
        <v>Eml2</v>
      </c>
      <c r="D2172" s="8"/>
      <c r="E2172" s="8">
        <v>70603</v>
      </c>
      <c r="F2172" s="8"/>
      <c r="G2172" s="15" t="s">
        <v>10</v>
      </c>
      <c r="H2172" s="15" t="s">
        <v>10</v>
      </c>
      <c r="I2172" s="15">
        <v>1.0343121160800317</v>
      </c>
      <c r="J2172" s="15">
        <v>1.0343121160800317</v>
      </c>
      <c r="K2172" s="15">
        <v>1.0343121160800317</v>
      </c>
      <c r="L2172" s="15">
        <v>1.0343121160800317</v>
      </c>
      <c r="M2172" s="15">
        <v>1.0343121160800317</v>
      </c>
      <c r="N2172" s="15">
        <v>1.0343121160800317</v>
      </c>
      <c r="O2172" s="15">
        <v>0.92187694831752576</v>
      </c>
      <c r="P2172" s="15">
        <v>0.92187694831752576</v>
      </c>
      <c r="Q2172" s="8"/>
      <c r="R2172" s="9" t="s">
        <v>2151</v>
      </c>
    </row>
    <row r="2173" spans="1:18" x14ac:dyDescent="0.25">
      <c r="A2173" s="6" t="str">
        <f>HYPERLINK("proteomic_fractions_linear_files/Yang_linear_img/21450111.jpg", "21450111")</f>
        <v>21450111</v>
      </c>
      <c r="B2173" s="7"/>
      <c r="C2173" s="6" t="str">
        <f>HYPERLINK("http://www.ncbi.nlm.nih.gov/protein/21450111","Eml3")</f>
        <v>Eml3</v>
      </c>
      <c r="D2173" s="8"/>
      <c r="E2173" s="8">
        <v>95565</v>
      </c>
      <c r="F2173" s="8"/>
      <c r="G2173" s="15" t="s">
        <v>10</v>
      </c>
      <c r="H2173" s="15" t="s">
        <v>10</v>
      </c>
      <c r="I2173" s="15" t="s">
        <v>10</v>
      </c>
      <c r="J2173" s="15" t="s">
        <v>10</v>
      </c>
      <c r="K2173" s="15" t="s">
        <v>10</v>
      </c>
      <c r="L2173" s="15" t="s">
        <v>10</v>
      </c>
      <c r="M2173" s="15">
        <v>1.1437662898034529</v>
      </c>
      <c r="N2173" s="15">
        <v>1.1437662898034529</v>
      </c>
      <c r="O2173" s="15" t="s">
        <v>10</v>
      </c>
      <c r="P2173" s="15" t="s">
        <v>10</v>
      </c>
      <c r="Q2173" s="8"/>
      <c r="R2173" s="9" t="s">
        <v>2152</v>
      </c>
    </row>
    <row r="2174" spans="1:18" x14ac:dyDescent="0.25">
      <c r="A2174" s="6" t="str">
        <f>HYPERLINK("proteomic_fractions_linear_files/Yang_linear_img/167234433.jpg", "167234433")</f>
        <v>167234433</v>
      </c>
      <c r="B2174" s="7"/>
      <c r="C2174" s="6" t="str">
        <f>HYPERLINK("http://www.ncbi.nlm.nih.gov/protein/167234433","Eml4")</f>
        <v>Eml4</v>
      </c>
      <c r="D2174" s="8"/>
      <c r="E2174" s="8">
        <v>97377</v>
      </c>
      <c r="F2174" s="8"/>
      <c r="G2174" s="15" t="s">
        <v>10</v>
      </c>
      <c r="H2174" s="15" t="s">
        <v>10</v>
      </c>
      <c r="I2174" s="15">
        <v>1.1319748847539326</v>
      </c>
      <c r="J2174" s="15">
        <v>1.1319748847539326</v>
      </c>
      <c r="K2174" s="15">
        <v>1.5819883622292974</v>
      </c>
      <c r="L2174" s="15">
        <v>1.5819883622292974</v>
      </c>
      <c r="M2174" s="15">
        <v>1.3270270942795563</v>
      </c>
      <c r="N2174" s="15">
        <v>1.3270270942795563</v>
      </c>
      <c r="O2174" s="15">
        <v>1.3270270942795563</v>
      </c>
      <c r="P2174" s="15">
        <v>1.3270270942795563</v>
      </c>
      <c r="Q2174" s="8"/>
      <c r="R2174" s="9" t="s">
        <v>2153</v>
      </c>
    </row>
    <row r="2175" spans="1:18" x14ac:dyDescent="0.25">
      <c r="A2175" s="6" t="str">
        <f>HYPERLINK("proteomic_fractions_linear_files/Yang_linear_img/167234435.jpg", "167234435")</f>
        <v>167234435</v>
      </c>
      <c r="B2175" s="7"/>
      <c r="C2175" s="6" t="str">
        <f>HYPERLINK("http://www.ncbi.nlm.nih.gov/protein/167234435","Eml4")</f>
        <v>Eml4</v>
      </c>
      <c r="D2175" s="8"/>
      <c r="E2175" s="8">
        <v>109841</v>
      </c>
      <c r="F2175" s="8"/>
      <c r="G2175" s="15" t="s">
        <v>10</v>
      </c>
      <c r="H2175" s="15" t="s">
        <v>10</v>
      </c>
      <c r="I2175" s="15">
        <v>0.9981960347375588</v>
      </c>
      <c r="J2175" s="15">
        <v>0.9981960347375588</v>
      </c>
      <c r="K2175" s="15">
        <v>1.3950261012385621</v>
      </c>
      <c r="L2175" s="15">
        <v>1.3950261012385621</v>
      </c>
      <c r="M2175" s="15">
        <v>1.1701966195010634</v>
      </c>
      <c r="N2175" s="15">
        <v>1.1701966195010634</v>
      </c>
      <c r="O2175" s="15">
        <v>1.1701966195010634</v>
      </c>
      <c r="P2175" s="15">
        <v>1.1701966195010634</v>
      </c>
      <c r="Q2175" s="8"/>
      <c r="R2175" s="9" t="s">
        <v>2154</v>
      </c>
    </row>
    <row r="2176" spans="1:18" x14ac:dyDescent="0.25">
      <c r="A2176" s="6" t="str">
        <f>HYPERLINK("proteomic_fractions_linear_files/Yang_linear_img/167234437.jpg", "167234437")</f>
        <v>167234437</v>
      </c>
      <c r="B2176" s="7"/>
      <c r="C2176" s="6" t="str">
        <f>HYPERLINK("http://www.ncbi.nlm.nih.gov/protein/167234437","Eml4")</f>
        <v>Eml4</v>
      </c>
      <c r="D2176" s="8"/>
      <c r="E2176" s="8">
        <v>102174</v>
      </c>
      <c r="F2176" s="8"/>
      <c r="G2176" s="15" t="s">
        <v>10</v>
      </c>
      <c r="H2176" s="15" t="s">
        <v>10</v>
      </c>
      <c r="I2176" s="15">
        <v>1.0764859198150143</v>
      </c>
      <c r="J2176" s="15">
        <v>1.0764859198150143</v>
      </c>
      <c r="K2176" s="15">
        <v>1.5044399131004103</v>
      </c>
      <c r="L2176" s="15">
        <v>1.5044399131004103</v>
      </c>
      <c r="M2176" s="15">
        <v>1.2619767465207545</v>
      </c>
      <c r="N2176" s="15">
        <v>1.2619767465207545</v>
      </c>
      <c r="O2176" s="15">
        <v>1.2619767465207545</v>
      </c>
      <c r="P2176" s="15">
        <v>1.2619767465207545</v>
      </c>
      <c r="Q2176" s="8"/>
      <c r="R2176" s="9" t="s">
        <v>2155</v>
      </c>
    </row>
    <row r="2177" spans="1:18" x14ac:dyDescent="0.25">
      <c r="A2177" s="6" t="str">
        <f>HYPERLINK("proteomic_fractions_linear_files/Yang_linear_img/133778926.jpg", "133778926")</f>
        <v>133778926</v>
      </c>
      <c r="B2177" s="7"/>
      <c r="C2177" s="6" t="str">
        <f>HYPERLINK("http://www.ncbi.nlm.nih.gov/protein/133778926","Enah")</f>
        <v>Enah</v>
      </c>
      <c r="D2177" s="8"/>
      <c r="E2177" s="8">
        <v>85922</v>
      </c>
      <c r="F2177" s="8"/>
      <c r="G2177" s="15" t="s">
        <v>10</v>
      </c>
      <c r="H2177" s="15" t="s">
        <v>10</v>
      </c>
      <c r="I2177" s="15" t="s">
        <v>10</v>
      </c>
      <c r="J2177" s="15" t="s">
        <v>10</v>
      </c>
      <c r="K2177" s="15">
        <v>1.104278850960285</v>
      </c>
      <c r="L2177" s="15">
        <v>1.104278850960285</v>
      </c>
      <c r="M2177" s="15" t="s">
        <v>10</v>
      </c>
      <c r="N2177" s="15" t="s">
        <v>10</v>
      </c>
      <c r="O2177" s="15" t="s">
        <v>10</v>
      </c>
      <c r="P2177" s="15" t="s">
        <v>10</v>
      </c>
      <c r="Q2177" s="8"/>
      <c r="R2177" s="9" t="s">
        <v>2156</v>
      </c>
    </row>
    <row r="2178" spans="1:18" x14ac:dyDescent="0.25">
      <c r="A2178" s="6" t="str">
        <f>HYPERLINK("proteomic_fractions_linear_files/Yang_linear_img/133778939.jpg", "133778939")</f>
        <v>133778939</v>
      </c>
      <c r="B2178" s="7"/>
      <c r="C2178" s="6" t="str">
        <f>HYPERLINK("http://www.ncbi.nlm.nih.gov/protein/133778939","Enah")</f>
        <v>Enah</v>
      </c>
      <c r="D2178" s="8"/>
      <c r="E2178" s="8">
        <v>84376</v>
      </c>
      <c r="F2178" s="8"/>
      <c r="G2178" s="15" t="s">
        <v>10</v>
      </c>
      <c r="H2178" s="15" t="s">
        <v>10</v>
      </c>
      <c r="I2178" s="15" t="s">
        <v>10</v>
      </c>
      <c r="J2178" s="15" t="s">
        <v>10</v>
      </c>
      <c r="K2178" s="15">
        <v>1.1305712045545775</v>
      </c>
      <c r="L2178" s="15">
        <v>1.1305712045545775</v>
      </c>
      <c r="M2178" s="15" t="s">
        <v>10</v>
      </c>
      <c r="N2178" s="15" t="s">
        <v>10</v>
      </c>
      <c r="O2178" s="15" t="s">
        <v>10</v>
      </c>
      <c r="P2178" s="15" t="s">
        <v>10</v>
      </c>
      <c r="Q2178" s="8"/>
      <c r="R2178" s="9" t="s">
        <v>2157</v>
      </c>
    </row>
    <row r="2179" spans="1:18" x14ac:dyDescent="0.25">
      <c r="A2179" s="6" t="str">
        <f>HYPERLINK("proteomic_fractions_linear_files/Yang_linear_img/133778997.jpg", "133778997")</f>
        <v>133778997</v>
      </c>
      <c r="B2179" s="7"/>
      <c r="C2179" s="6" t="str">
        <f>HYPERLINK("http://www.ncbi.nlm.nih.gov/protein/133778997","Enah")</f>
        <v>Enah</v>
      </c>
      <c r="D2179" s="8"/>
      <c r="E2179" s="8">
        <v>59512</v>
      </c>
      <c r="F2179" s="8"/>
      <c r="G2179" s="15" t="s">
        <v>10</v>
      </c>
      <c r="H2179" s="15" t="s">
        <v>10</v>
      </c>
      <c r="I2179" s="15" t="s">
        <v>10</v>
      </c>
      <c r="J2179" s="15" t="s">
        <v>10</v>
      </c>
      <c r="K2179" s="15">
        <v>1.5827996863764084</v>
      </c>
      <c r="L2179" s="15">
        <v>1.5827996863764084</v>
      </c>
      <c r="M2179" s="15">
        <v>1.3849776412190642</v>
      </c>
      <c r="N2179" s="15">
        <v>1.3849776412190642</v>
      </c>
      <c r="O2179" s="15" t="s">
        <v>10</v>
      </c>
      <c r="P2179" s="15" t="s">
        <v>10</v>
      </c>
      <c r="Q2179" s="8"/>
      <c r="R2179" s="9" t="s">
        <v>2158</v>
      </c>
    </row>
    <row r="2180" spans="1:18" x14ac:dyDescent="0.25">
      <c r="A2180" s="6" t="str">
        <f>HYPERLINK("proteomic_fractions_linear_files/Yang_linear_img/133779002.jpg", "133779002")</f>
        <v>133779002</v>
      </c>
      <c r="B2180" s="7"/>
      <c r="C2180" s="6" t="str">
        <f>HYPERLINK("http://www.ncbi.nlm.nih.gov/protein/133779002","Enah")</f>
        <v>Enah</v>
      </c>
      <c r="D2180" s="8"/>
      <c r="E2180" s="8">
        <v>83854</v>
      </c>
      <c r="F2180" s="8"/>
      <c r="G2180" s="15" t="s">
        <v>10</v>
      </c>
      <c r="H2180" s="15" t="s">
        <v>10</v>
      </c>
      <c r="I2180" s="15" t="s">
        <v>10</v>
      </c>
      <c r="J2180" s="15" t="s">
        <v>10</v>
      </c>
      <c r="K2180" s="15">
        <v>1.1305712045545775</v>
      </c>
      <c r="L2180" s="15">
        <v>1.1305712045545775</v>
      </c>
      <c r="M2180" s="15">
        <v>0.98926974372790311</v>
      </c>
      <c r="N2180" s="15">
        <v>0.98926974372790311</v>
      </c>
      <c r="O2180" s="15" t="s">
        <v>10</v>
      </c>
      <c r="P2180" s="15" t="s">
        <v>10</v>
      </c>
      <c r="Q2180" s="8"/>
      <c r="R2180" s="9" t="s">
        <v>2159</v>
      </c>
    </row>
    <row r="2181" spans="1:18" x14ac:dyDescent="0.25">
      <c r="A2181" s="6" t="str">
        <f>HYPERLINK("proteomic_fractions_linear_files/Yang_linear_img/160333729.jpg", "160333729")</f>
        <v>160333729</v>
      </c>
      <c r="B2181" s="7"/>
      <c r="C2181" s="6" t="str">
        <f>HYPERLINK("http://www.ncbi.nlm.nih.gov/protein/160333729","Endod1")</f>
        <v>Endod1</v>
      </c>
      <c r="D2181" s="8"/>
      <c r="E2181" s="8">
        <v>53182</v>
      </c>
      <c r="F2181" s="8"/>
      <c r="G2181" s="15">
        <v>1.3855879290883442</v>
      </c>
      <c r="H2181" s="15">
        <v>1.3855879290883442</v>
      </c>
      <c r="I2181" s="15">
        <v>1.0022748986792656</v>
      </c>
      <c r="J2181" s="15">
        <v>1.0022748986792656</v>
      </c>
      <c r="K2181" s="15">
        <v>1.1089284450112047</v>
      </c>
      <c r="L2181" s="15">
        <v>1.1089284450112047</v>
      </c>
      <c r="M2181" s="15" t="s">
        <v>10</v>
      </c>
      <c r="N2181" s="15" t="s">
        <v>10</v>
      </c>
      <c r="O2181" s="15" t="s">
        <v>10</v>
      </c>
      <c r="P2181" s="15" t="s">
        <v>10</v>
      </c>
      <c r="Q2181" s="8"/>
      <c r="R2181" s="9" t="s">
        <v>2160</v>
      </c>
    </row>
    <row r="2182" spans="1:18" x14ac:dyDescent="0.25">
      <c r="A2182" s="6" t="str">
        <f>HYPERLINK("proteomic_fractions_linear_files/Yang_linear_img/27369816.jpg", "27369816")</f>
        <v>27369816</v>
      </c>
      <c r="B2182" s="7"/>
      <c r="C2182" s="6" t="str">
        <f>HYPERLINK("http://www.ncbi.nlm.nih.gov/protein/27369816","Engase")</f>
        <v>Engase</v>
      </c>
      <c r="D2182" s="8"/>
      <c r="E2182" s="8">
        <v>82815</v>
      </c>
      <c r="F2182" s="8"/>
      <c r="G2182" s="15" t="s">
        <v>10</v>
      </c>
      <c r="H2182" s="15" t="s">
        <v>10</v>
      </c>
      <c r="I2182" s="15" t="s">
        <v>10</v>
      </c>
      <c r="J2182" s="15" t="s">
        <v>10</v>
      </c>
      <c r="K2182" s="15">
        <v>1.001188656302938</v>
      </c>
      <c r="L2182" s="15">
        <v>1.001188656302938</v>
      </c>
      <c r="M2182" s="15" t="s">
        <v>10</v>
      </c>
      <c r="N2182" s="15" t="s">
        <v>10</v>
      </c>
      <c r="O2182" s="15" t="s">
        <v>10</v>
      </c>
      <c r="P2182" s="15" t="s">
        <v>10</v>
      </c>
      <c r="Q2182" s="8"/>
      <c r="R2182" s="9" t="s">
        <v>2161</v>
      </c>
    </row>
    <row r="2183" spans="1:18" x14ac:dyDescent="0.25">
      <c r="A2183" s="6" t="str">
        <f>HYPERLINK("proteomic_fractions_linear_files/Yang_linear_img/158853992;70794816.jpg", "158853992;70794816")</f>
        <v>158853992;70794816</v>
      </c>
      <c r="B2183" s="8"/>
      <c r="C2183" s="6" t="str">
        <f>HYPERLINK("http://www.ncbi.nlm.nih.gov/protein/158853992;70794816","Eno1")</f>
        <v>Eno1</v>
      </c>
      <c r="D2183" s="8"/>
      <c r="E2183" s="8">
        <v>47010</v>
      </c>
      <c r="F2183" s="8"/>
      <c r="G2183" s="15" t="s">
        <v>10</v>
      </c>
      <c r="H2183" s="15" t="s">
        <v>10</v>
      </c>
      <c r="I2183" s="15" t="s">
        <v>10</v>
      </c>
      <c r="J2183" s="15" t="s">
        <v>10</v>
      </c>
      <c r="K2183" s="15">
        <v>1.0274462890301117</v>
      </c>
      <c r="L2183" s="15">
        <v>1.0274462890301117</v>
      </c>
      <c r="M2183" s="15" t="s">
        <v>10</v>
      </c>
      <c r="N2183" s="15" t="s">
        <v>10</v>
      </c>
      <c r="O2183" s="15" t="s">
        <v>10</v>
      </c>
      <c r="P2183" s="15" t="s">
        <v>10</v>
      </c>
      <c r="Q2183" s="8"/>
      <c r="R2183" s="9" t="s">
        <v>2162</v>
      </c>
    </row>
    <row r="2184" spans="1:18" x14ac:dyDescent="0.25">
      <c r="A2184" s="6" t="str">
        <f>HYPERLINK("proteomic_fractions_linear_files/Yang_linear_img/7305027.jpg", "7305027")</f>
        <v>7305027</v>
      </c>
      <c r="B2184" s="7"/>
      <c r="C2184" s="6" t="str">
        <f>HYPERLINK("http://www.ncbi.nlm.nih.gov/protein/7305027","Eno2")</f>
        <v>Eno2</v>
      </c>
      <c r="D2184" s="8"/>
      <c r="E2184" s="8">
        <v>47166</v>
      </c>
      <c r="F2184" s="8"/>
      <c r="G2184" s="15">
        <v>0.93884232440352056</v>
      </c>
      <c r="H2184" s="15">
        <v>0.93884232440352056</v>
      </c>
      <c r="I2184" s="15">
        <v>1.0274462890301117</v>
      </c>
      <c r="J2184" s="15">
        <v>1.0274462890301117</v>
      </c>
      <c r="K2184" s="15">
        <v>1.1302248857447037</v>
      </c>
      <c r="L2184" s="15">
        <v>1.1302248857447037</v>
      </c>
      <c r="M2184" s="15">
        <v>1.0274462890301117</v>
      </c>
      <c r="N2184" s="15">
        <v>1.0274462890301117</v>
      </c>
      <c r="O2184" s="15">
        <v>1.0274462890301117</v>
      </c>
      <c r="P2184" s="15">
        <v>1.0274462890301117</v>
      </c>
      <c r="Q2184" s="8"/>
      <c r="R2184" s="9" t="s">
        <v>2163</v>
      </c>
    </row>
    <row r="2185" spans="1:18" x14ac:dyDescent="0.25">
      <c r="A2185" s="6" t="str">
        <f>HYPERLINK("proteomic_fractions_linear_files/Yang_linear_img/6679651.jpg", "6679651")</f>
        <v>6679651</v>
      </c>
      <c r="B2185" s="7"/>
      <c r="C2185" s="6" t="str">
        <f>HYPERLINK("http://www.ncbi.nlm.nih.gov/protein/6679651","Eno3")</f>
        <v>Eno3</v>
      </c>
      <c r="D2185" s="8"/>
      <c r="E2185" s="8">
        <v>46894</v>
      </c>
      <c r="F2185" s="8"/>
      <c r="G2185" s="15">
        <v>0.93884232440352056</v>
      </c>
      <c r="H2185" s="15">
        <v>0.93884232440352056</v>
      </c>
      <c r="I2185" s="15" t="s">
        <v>10</v>
      </c>
      <c r="J2185" s="15" t="s">
        <v>10</v>
      </c>
      <c r="K2185" s="15" t="s">
        <v>10</v>
      </c>
      <c r="L2185" s="15" t="s">
        <v>10</v>
      </c>
      <c r="M2185" s="15" t="s">
        <v>10</v>
      </c>
      <c r="N2185" s="15" t="s">
        <v>10</v>
      </c>
      <c r="O2185" s="15" t="s">
        <v>10</v>
      </c>
      <c r="P2185" s="15" t="s">
        <v>10</v>
      </c>
      <c r="Q2185" s="8"/>
      <c r="R2185" s="9" t="s">
        <v>2164</v>
      </c>
    </row>
    <row r="2186" spans="1:18" x14ac:dyDescent="0.25">
      <c r="A2186" s="6" t="str">
        <f>HYPERLINK("proteomic_fractions_linear_files/Yang_linear_img/6679651;209862931.jpg", "6679651;209862931")</f>
        <v>6679651;209862931</v>
      </c>
      <c r="B2186" s="8"/>
      <c r="C2186" s="6" t="str">
        <f>HYPERLINK("http://www.ncbi.nlm.nih.gov/protein/6679651;209862931","Eno3")</f>
        <v>Eno3</v>
      </c>
      <c r="D2186" s="8"/>
      <c r="E2186" s="8">
        <v>46894</v>
      </c>
      <c r="F2186" s="8"/>
      <c r="G2186" s="15" t="s">
        <v>10</v>
      </c>
      <c r="H2186" s="15" t="s">
        <v>10</v>
      </c>
      <c r="I2186" s="15" t="s">
        <v>10</v>
      </c>
      <c r="J2186" s="15" t="s">
        <v>10</v>
      </c>
      <c r="K2186" s="15">
        <v>1.0274462890301117</v>
      </c>
      <c r="L2186" s="15">
        <v>1.0274462890301117</v>
      </c>
      <c r="M2186" s="15" t="s">
        <v>10</v>
      </c>
      <c r="N2186" s="15" t="s">
        <v>10</v>
      </c>
      <c r="O2186" s="15" t="s">
        <v>10</v>
      </c>
      <c r="P2186" s="15" t="s">
        <v>10</v>
      </c>
      <c r="Q2186" s="8"/>
      <c r="R2186" s="9" t="s">
        <v>2164</v>
      </c>
    </row>
    <row r="2187" spans="1:18" x14ac:dyDescent="0.25">
      <c r="A2187" s="6" t="str">
        <f>HYPERLINK("proteomic_fractions_linear_files/Yang_linear_img/209862931;6679651.jpg", "209862931;6679651")</f>
        <v>209862931;6679651</v>
      </c>
      <c r="B2187" s="8"/>
      <c r="C2187" s="6" t="str">
        <f>HYPERLINK("http://www.ncbi.nlm.nih.gov/protein/209862931;6679651","Eno3")</f>
        <v>Eno3</v>
      </c>
      <c r="D2187" s="8"/>
      <c r="E2187" s="8">
        <v>46894</v>
      </c>
      <c r="F2187" s="8"/>
      <c r="G2187" s="15" t="s">
        <v>10</v>
      </c>
      <c r="H2187" s="15" t="s">
        <v>10</v>
      </c>
      <c r="I2187" s="15">
        <v>1.0274462890301117</v>
      </c>
      <c r="J2187" s="15">
        <v>1.0274462890301117</v>
      </c>
      <c r="K2187" s="15" t="s">
        <v>10</v>
      </c>
      <c r="L2187" s="15" t="s">
        <v>10</v>
      </c>
      <c r="M2187" s="15">
        <v>1.0274462890301117</v>
      </c>
      <c r="N2187" s="15">
        <v>1.0274462890301117</v>
      </c>
      <c r="O2187" s="15">
        <v>0.93884232440352056</v>
      </c>
      <c r="P2187" s="15">
        <v>0.93884232440352056</v>
      </c>
      <c r="Q2187" s="8"/>
      <c r="R2187" s="9" t="s">
        <v>2165</v>
      </c>
    </row>
    <row r="2188" spans="1:18" x14ac:dyDescent="0.25">
      <c r="A2188" s="6" t="str">
        <f>HYPERLINK("proteomic_fractions_linear_files/Yang_linear_img/251823872.jpg", "251823872")</f>
        <v>251823872</v>
      </c>
      <c r="B2188" s="7"/>
      <c r="C2188" s="6" t="str">
        <f>HYPERLINK("http://www.ncbi.nlm.nih.gov/protein/251823872","Enoph1")</f>
        <v>Enoph1</v>
      </c>
      <c r="D2188" s="8"/>
      <c r="E2188" s="8">
        <v>28469</v>
      </c>
      <c r="F2188" s="8"/>
      <c r="G2188" s="15" t="s">
        <v>10</v>
      </c>
      <c r="H2188" s="15" t="s">
        <v>10</v>
      </c>
      <c r="I2188" s="15">
        <v>0.87695787904560418</v>
      </c>
      <c r="J2188" s="15">
        <v>0.87695787904560418</v>
      </c>
      <c r="K2188" s="15" t="s">
        <v>10</v>
      </c>
      <c r="L2188" s="15" t="s">
        <v>10</v>
      </c>
      <c r="M2188" s="15" t="s">
        <v>10</v>
      </c>
      <c r="N2188" s="15" t="s">
        <v>10</v>
      </c>
      <c r="O2188" s="15">
        <v>0.77841936680995538</v>
      </c>
      <c r="P2188" s="15">
        <v>0.77841936680995538</v>
      </c>
      <c r="Q2188" s="8"/>
      <c r="R2188" s="9" t="s">
        <v>2166</v>
      </c>
    </row>
    <row r="2189" spans="1:18" x14ac:dyDescent="0.25">
      <c r="A2189" s="6" t="str">
        <f>HYPERLINK("proteomic_fractions_linear_files/Yang_linear_img/84872231.jpg", "84872231")</f>
        <v>84872231</v>
      </c>
      <c r="B2189" s="7"/>
      <c r="C2189" s="6" t="str">
        <f>HYPERLINK("http://www.ncbi.nlm.nih.gov/protein/84872231","Enpp4")</f>
        <v>Enpp4</v>
      </c>
      <c r="D2189" s="8"/>
      <c r="E2189" s="8">
        <v>49550</v>
      </c>
      <c r="F2189" s="8"/>
      <c r="G2189" s="15" t="s">
        <v>10</v>
      </c>
      <c r="H2189" s="15" t="s">
        <v>10</v>
      </c>
      <c r="I2189" s="15">
        <v>2.1960312764226293</v>
      </c>
      <c r="J2189" s="15">
        <v>2.1960312764226293</v>
      </c>
      <c r="K2189" s="15">
        <v>2.5744325629023392</v>
      </c>
      <c r="L2189" s="15">
        <v>2.5744325629023392</v>
      </c>
      <c r="M2189" s="15" t="s">
        <v>10</v>
      </c>
      <c r="N2189" s="15" t="s">
        <v>10</v>
      </c>
      <c r="O2189" s="15" t="s">
        <v>10</v>
      </c>
      <c r="P2189" s="15" t="s">
        <v>10</v>
      </c>
      <c r="Q2189" s="8"/>
      <c r="R2189" s="9" t="s">
        <v>2167</v>
      </c>
    </row>
    <row r="2190" spans="1:18" x14ac:dyDescent="0.25">
      <c r="A2190" s="6" t="str">
        <f>HYPERLINK("proteomic_fractions_linear_files/Yang_linear_img/14030779.jpg", "14030779")</f>
        <v>14030779</v>
      </c>
      <c r="B2190" s="7"/>
      <c r="C2190" s="6" t="str">
        <f>HYPERLINK("http://www.ncbi.nlm.nih.gov/protein/14030779","Enpp5")</f>
        <v>Enpp5</v>
      </c>
      <c r="D2190" s="8"/>
      <c r="E2190" s="8">
        <v>51811</v>
      </c>
      <c r="F2190" s="8"/>
      <c r="G2190" s="15">
        <v>2.111568535021759</v>
      </c>
      <c r="H2190" s="15">
        <v>2.111568535021759</v>
      </c>
      <c r="I2190" s="15">
        <v>1.5980511244835358</v>
      </c>
      <c r="J2190" s="15">
        <v>1.5980511244835358</v>
      </c>
      <c r="K2190" s="15">
        <v>1.5980511244835358</v>
      </c>
      <c r="L2190" s="15">
        <v>1.5980511244835358</v>
      </c>
      <c r="M2190" s="15" t="s">
        <v>10</v>
      </c>
      <c r="N2190" s="15" t="s">
        <v>10</v>
      </c>
      <c r="O2190" s="15">
        <v>2.475415925867634</v>
      </c>
      <c r="P2190" s="15">
        <v>2.475415925867634</v>
      </c>
      <c r="Q2190" s="8"/>
      <c r="R2190" s="9" t="s">
        <v>2168</v>
      </c>
    </row>
    <row r="2191" spans="1:18" x14ac:dyDescent="0.25">
      <c r="A2191" s="6" t="str">
        <f>HYPERLINK("proteomic_fractions_linear_files/Yang_linear_img/71892414.jpg", "71892414")</f>
        <v>71892414</v>
      </c>
      <c r="B2191" s="7"/>
      <c r="C2191" s="6" t="str">
        <f>HYPERLINK("http://www.ncbi.nlm.nih.gov/protein/71892414","Enpp7")</f>
        <v>Enpp7</v>
      </c>
      <c r="D2191" s="8"/>
      <c r="E2191" s="8">
        <v>48344</v>
      </c>
      <c r="F2191" s="8"/>
      <c r="G2191" s="15" t="s">
        <v>10</v>
      </c>
      <c r="H2191" s="15" t="s">
        <v>10</v>
      </c>
      <c r="I2191" s="15">
        <v>2.2875325796069057</v>
      </c>
      <c r="J2191" s="15">
        <v>2.2875325796069057</v>
      </c>
      <c r="K2191" s="15" t="s">
        <v>10</v>
      </c>
      <c r="L2191" s="15" t="s">
        <v>10</v>
      </c>
      <c r="M2191" s="15" t="s">
        <v>10</v>
      </c>
      <c r="N2191" s="15" t="s">
        <v>10</v>
      </c>
      <c r="O2191" s="15" t="s">
        <v>10</v>
      </c>
      <c r="P2191" s="15" t="s">
        <v>10</v>
      </c>
      <c r="Q2191" s="8"/>
      <c r="R2191" s="9" t="s">
        <v>2169</v>
      </c>
    </row>
    <row r="2192" spans="1:18" x14ac:dyDescent="0.25">
      <c r="A2192" s="6" t="str">
        <f>HYPERLINK("proteomic_fractions_linear_files/Yang_linear_img/71061466.jpg", "71061466")</f>
        <v>71061466</v>
      </c>
      <c r="B2192" s="7"/>
      <c r="C2192" s="6" t="str">
        <f>HYPERLINK("http://www.ncbi.nlm.nih.gov/protein/71061466","Ensa")</f>
        <v>Ensa</v>
      </c>
      <c r="D2192" s="8"/>
      <c r="E2192" s="8">
        <v>12790</v>
      </c>
      <c r="F2192" s="8"/>
      <c r="G2192" s="15" t="s">
        <v>10</v>
      </c>
      <c r="H2192" s="15" t="s">
        <v>10</v>
      </c>
      <c r="I2192" s="15">
        <v>1.2858826554313094</v>
      </c>
      <c r="J2192" s="15">
        <v>1.3515338281045359</v>
      </c>
      <c r="K2192" s="15" t="s">
        <v>10</v>
      </c>
      <c r="L2192" s="15" t="s">
        <v>10</v>
      </c>
      <c r="M2192" s="15" t="s">
        <v>10</v>
      </c>
      <c r="N2192" s="15" t="s">
        <v>10</v>
      </c>
      <c r="O2192" s="15">
        <v>1.3515338281045359</v>
      </c>
      <c r="P2192" s="15">
        <v>1.3515338281045359</v>
      </c>
      <c r="Q2192" s="8"/>
      <c r="R2192" s="9" t="s">
        <v>2170</v>
      </c>
    </row>
    <row r="2193" spans="1:18" x14ac:dyDescent="0.25">
      <c r="A2193" s="6" t="str">
        <f>HYPERLINK("proteomic_fractions_linear_files/Yang_linear_img/9624979.jpg", "9624979")</f>
        <v>9624979</v>
      </c>
      <c r="B2193" s="7"/>
      <c r="C2193" s="6" t="str">
        <f>HYPERLINK("http://www.ncbi.nlm.nih.gov/protein/9624979","Ensa")</f>
        <v>Ensa</v>
      </c>
      <c r="D2193" s="8"/>
      <c r="E2193" s="8">
        <v>13204</v>
      </c>
      <c r="F2193" s="8"/>
      <c r="G2193" s="15" t="s">
        <v>10</v>
      </c>
      <c r="H2193" s="15" t="s">
        <v>10</v>
      </c>
      <c r="I2193" s="15">
        <v>1.2858826554313094</v>
      </c>
      <c r="J2193" s="15">
        <v>1.3515338281045359</v>
      </c>
      <c r="K2193" s="15" t="s">
        <v>10</v>
      </c>
      <c r="L2193" s="15" t="s">
        <v>10</v>
      </c>
      <c r="M2193" s="15" t="s">
        <v>10</v>
      </c>
      <c r="N2193" s="15" t="s">
        <v>10</v>
      </c>
      <c r="O2193" s="15">
        <v>1.3515338281045359</v>
      </c>
      <c r="P2193" s="15">
        <v>1.3515338281045359</v>
      </c>
      <c r="Q2193" s="8"/>
      <c r="R2193" s="9" t="s">
        <v>2171</v>
      </c>
    </row>
    <row r="2194" spans="1:18" x14ac:dyDescent="0.25">
      <c r="A2194" s="6" t="str">
        <f>HYPERLINK("proteomic_fractions_linear_files/Yang_linear_img/161484610.jpg", "161484610")</f>
        <v>161484610</v>
      </c>
      <c r="B2194" s="7"/>
      <c r="C2194" s="6" t="str">
        <f>HYPERLINK("http://www.ncbi.nlm.nih.gov/protein/161484610","Entpd2")</f>
        <v>Entpd2</v>
      </c>
      <c r="D2194" s="8"/>
      <c r="E2194" s="8">
        <v>52404</v>
      </c>
      <c r="F2194" s="8"/>
      <c r="G2194" s="15" t="s">
        <v>10</v>
      </c>
      <c r="H2194" s="15" t="s">
        <v>10</v>
      </c>
      <c r="I2194" s="15">
        <v>1.4122338508015817</v>
      </c>
      <c r="J2194" s="15">
        <v>1.4122338508015817</v>
      </c>
      <c r="K2194" s="15">
        <v>1.5980511244835358</v>
      </c>
      <c r="L2194" s="15">
        <v>1.5980511244835358</v>
      </c>
      <c r="M2194" s="15" t="s">
        <v>10</v>
      </c>
      <c r="N2194" s="15" t="s">
        <v>10</v>
      </c>
      <c r="O2194" s="15" t="s">
        <v>10</v>
      </c>
      <c r="P2194" s="15" t="s">
        <v>10</v>
      </c>
      <c r="Q2194" s="8"/>
      <c r="R2194" s="9" t="s">
        <v>2172</v>
      </c>
    </row>
    <row r="2195" spans="1:18" x14ac:dyDescent="0.25">
      <c r="A2195" s="6" t="str">
        <f>HYPERLINK("proteomic_fractions_linear_files/Yang_linear_img/71061460.jpg", "71061460")</f>
        <v>71061460</v>
      </c>
      <c r="B2195" s="7"/>
      <c r="C2195" s="6" t="str">
        <f>HYPERLINK("http://www.ncbi.nlm.nih.gov/protein/71061460","Entpd5")</f>
        <v>Entpd5</v>
      </c>
      <c r="D2195" s="8"/>
      <c r="E2195" s="8">
        <v>49707</v>
      </c>
      <c r="F2195" s="8"/>
      <c r="G2195" s="15" t="s">
        <v>10</v>
      </c>
      <c r="H2195" s="15" t="s">
        <v>10</v>
      </c>
      <c r="I2195" s="15">
        <v>0.88251178493930937</v>
      </c>
      <c r="J2195" s="15">
        <v>0.88251178493930937</v>
      </c>
      <c r="K2195" s="15" t="s">
        <v>10</v>
      </c>
      <c r="L2195" s="15" t="s">
        <v>10</v>
      </c>
      <c r="M2195" s="15" t="s">
        <v>10</v>
      </c>
      <c r="N2195" s="15" t="s">
        <v>10</v>
      </c>
      <c r="O2195" s="15">
        <v>0.81014636406445495</v>
      </c>
      <c r="P2195" s="15">
        <v>0.81014636406445495</v>
      </c>
      <c r="Q2195" s="8"/>
      <c r="R2195" s="9" t="s">
        <v>2173</v>
      </c>
    </row>
    <row r="2196" spans="1:18" x14ac:dyDescent="0.25">
      <c r="A2196" s="6" t="str">
        <f>HYPERLINK("proteomic_fractions_linear_files/Yang_linear_img/71061462.jpg", "71061462")</f>
        <v>71061462</v>
      </c>
      <c r="B2196" s="7"/>
      <c r="C2196" s="6" t="str">
        <f>HYPERLINK("http://www.ncbi.nlm.nih.gov/protein/71061462","Entpd5")</f>
        <v>Entpd5</v>
      </c>
      <c r="D2196" s="8"/>
      <c r="E2196" s="8">
        <v>44467</v>
      </c>
      <c r="F2196" s="8"/>
      <c r="G2196" s="15" t="s">
        <v>10</v>
      </c>
      <c r="H2196" s="15" t="s">
        <v>10</v>
      </c>
      <c r="I2196" s="15">
        <v>1.0028543010673969</v>
      </c>
      <c r="J2196" s="15">
        <v>1.0028543010673969</v>
      </c>
      <c r="K2196" s="15" t="s">
        <v>10</v>
      </c>
      <c r="L2196" s="15" t="s">
        <v>10</v>
      </c>
      <c r="M2196" s="15" t="s">
        <v>10</v>
      </c>
      <c r="N2196" s="15" t="s">
        <v>10</v>
      </c>
      <c r="O2196" s="15">
        <v>0.9206208682550624</v>
      </c>
      <c r="P2196" s="15">
        <v>0.9206208682550624</v>
      </c>
      <c r="Q2196" s="8"/>
      <c r="R2196" s="9" t="s">
        <v>2174</v>
      </c>
    </row>
    <row r="2197" spans="1:18" x14ac:dyDescent="0.25">
      <c r="A2197" s="6" t="str">
        <f>HYPERLINK("proteomic_fractions_linear_files/Yang_linear_img/30023855.jpg", "30023855")</f>
        <v>30023855</v>
      </c>
      <c r="B2197" s="7"/>
      <c r="C2197" s="6" t="str">
        <f>HYPERLINK("http://www.ncbi.nlm.nih.gov/protein/30023855","Eny2")</f>
        <v>Eny2</v>
      </c>
      <c r="D2197" s="8"/>
      <c r="E2197" s="8">
        <v>11397</v>
      </c>
      <c r="F2197" s="8"/>
      <c r="G2197" s="15" t="s">
        <v>10</v>
      </c>
      <c r="H2197" s="15" t="s">
        <v>10</v>
      </c>
      <c r="I2197" s="15" t="s">
        <v>10</v>
      </c>
      <c r="J2197" s="15" t="s">
        <v>10</v>
      </c>
      <c r="K2197" s="15">
        <v>1.1120782993028506</v>
      </c>
      <c r="L2197" s="15">
        <v>1.1120782993028506</v>
      </c>
      <c r="M2197" s="15" t="s">
        <v>10</v>
      </c>
      <c r="N2197" s="15" t="s">
        <v>10</v>
      </c>
      <c r="O2197" s="15" t="s">
        <v>10</v>
      </c>
      <c r="P2197" s="15" t="s">
        <v>10</v>
      </c>
      <c r="Q2197" s="8"/>
      <c r="R2197" s="9" t="s">
        <v>2175</v>
      </c>
    </row>
    <row r="2198" spans="1:18" x14ac:dyDescent="0.25">
      <c r="A2198" s="6" t="str">
        <f>HYPERLINK("proteomic_fractions_linear_files/Yang_linear_img/94421034.jpg", "94421034")</f>
        <v>94421034</v>
      </c>
      <c r="B2198" s="7"/>
      <c r="C2198" s="6" t="str">
        <f>HYPERLINK("http://www.ncbi.nlm.nih.gov/protein/94421034","Ep300")</f>
        <v>Ep300</v>
      </c>
      <c r="D2198" s="8"/>
      <c r="E2198" s="8">
        <v>263176</v>
      </c>
      <c r="F2198" s="8"/>
      <c r="G2198" s="15" t="s">
        <v>10</v>
      </c>
      <c r="H2198" s="15" t="s">
        <v>10</v>
      </c>
      <c r="I2198" s="15">
        <v>0.88730360314771506</v>
      </c>
      <c r="J2198" s="15">
        <v>0.88730360314771506</v>
      </c>
      <c r="K2198" s="15">
        <v>1.1474651126863071</v>
      </c>
      <c r="L2198" s="15">
        <v>1.1474651126863071</v>
      </c>
      <c r="M2198" s="15">
        <v>0.88730360314771506</v>
      </c>
      <c r="N2198" s="15">
        <v>0.88730360314771506</v>
      </c>
      <c r="O2198" s="15">
        <v>0.88730360314771506</v>
      </c>
      <c r="P2198" s="15">
        <v>0.88730360314771506</v>
      </c>
      <c r="Q2198" s="8"/>
      <c r="R2198" s="9" t="s">
        <v>2176</v>
      </c>
    </row>
    <row r="2199" spans="1:18" x14ac:dyDescent="0.25">
      <c r="A2199" s="6" t="str">
        <f>HYPERLINK("proteomic_fractions_linear_files/Yang_linear_img/190684669.jpg", "190684669")</f>
        <v>190684669</v>
      </c>
      <c r="B2199" s="7"/>
      <c r="C2199" s="6" t="str">
        <f>HYPERLINK("http://www.ncbi.nlm.nih.gov/protein/190684669","Epb4.1")</f>
        <v>Epb4.1</v>
      </c>
      <c r="D2199" s="8"/>
      <c r="E2199" s="8">
        <v>95780</v>
      </c>
      <c r="F2199" s="8"/>
      <c r="G2199" s="15">
        <v>1.3408502931783017</v>
      </c>
      <c r="H2199" s="15">
        <v>1.3408502931783017</v>
      </c>
      <c r="I2199" s="15">
        <v>1.1437662898034529</v>
      </c>
      <c r="J2199" s="15">
        <v>1.1437662898034529</v>
      </c>
      <c r="K2199" s="15">
        <v>1.3408502931783017</v>
      </c>
      <c r="L2199" s="15">
        <v>1.3408502931783017</v>
      </c>
      <c r="M2199" s="15" t="s">
        <v>10</v>
      </c>
      <c r="N2199" s="15" t="s">
        <v>10</v>
      </c>
      <c r="O2199" s="15" t="s">
        <v>10</v>
      </c>
      <c r="P2199" s="15" t="s">
        <v>10</v>
      </c>
      <c r="Q2199" s="8"/>
      <c r="R2199" s="9" t="s">
        <v>2177</v>
      </c>
    </row>
    <row r="2200" spans="1:18" x14ac:dyDescent="0.25">
      <c r="A2200" s="6" t="str">
        <f>HYPERLINK("proteomic_fractions_linear_files/Yang_linear_img/190684673.jpg", "190684673")</f>
        <v>190684673</v>
      </c>
      <c r="B2200" s="7"/>
      <c r="C2200" s="6" t="str">
        <f>HYPERLINK("http://www.ncbi.nlm.nih.gov/protein/190684673","Epb4.1")</f>
        <v>Epb4.1</v>
      </c>
      <c r="D2200" s="8"/>
      <c r="E2200" s="8">
        <v>66467</v>
      </c>
      <c r="F2200" s="8"/>
      <c r="G2200" s="15">
        <v>1.9503276991684388</v>
      </c>
      <c r="H2200" s="15">
        <v>1.9503276991684388</v>
      </c>
      <c r="I2200" s="15">
        <v>1.6636600578959313</v>
      </c>
      <c r="J2200" s="15">
        <v>1.6636600578959313</v>
      </c>
      <c r="K2200" s="15">
        <v>1.9503276991684388</v>
      </c>
      <c r="L2200" s="15">
        <v>1.9503276991684388</v>
      </c>
      <c r="M2200" s="15" t="s">
        <v>10</v>
      </c>
      <c r="N2200" s="15" t="s">
        <v>10</v>
      </c>
      <c r="O2200" s="15" t="s">
        <v>10</v>
      </c>
      <c r="P2200" s="15" t="s">
        <v>10</v>
      </c>
      <c r="Q2200" s="8"/>
      <c r="R2200" s="9" t="s">
        <v>2178</v>
      </c>
    </row>
    <row r="2201" spans="1:18" x14ac:dyDescent="0.25">
      <c r="A2201" s="6" t="str">
        <f>HYPERLINK("proteomic_fractions_linear_files/Yang_linear_img/190881478.jpg", "190881478")</f>
        <v>190881478</v>
      </c>
      <c r="B2201" s="7"/>
      <c r="C2201" s="6" t="str">
        <f>HYPERLINK("http://www.ncbi.nlm.nih.gov/protein/190881478","Epb4.1")</f>
        <v>Epb4.1</v>
      </c>
      <c r="D2201" s="8"/>
      <c r="E2201" s="8">
        <v>89533</v>
      </c>
      <c r="F2201" s="8"/>
      <c r="G2201" s="15">
        <v>1.4302403127235219</v>
      </c>
      <c r="H2201" s="15">
        <v>1.4302403127235219</v>
      </c>
      <c r="I2201" s="15">
        <v>1.2200173757903496</v>
      </c>
      <c r="J2201" s="15">
        <v>1.2200173757903496</v>
      </c>
      <c r="K2201" s="15">
        <v>1.4302403127235219</v>
      </c>
      <c r="L2201" s="15">
        <v>1.4302403127235219</v>
      </c>
      <c r="M2201" s="15" t="s">
        <v>10</v>
      </c>
      <c r="N2201" s="15" t="s">
        <v>10</v>
      </c>
      <c r="O2201" s="15" t="s">
        <v>10</v>
      </c>
      <c r="P2201" s="15" t="s">
        <v>10</v>
      </c>
      <c r="Q2201" s="8"/>
      <c r="R2201" s="9" t="s">
        <v>2179</v>
      </c>
    </row>
    <row r="2202" spans="1:18" x14ac:dyDescent="0.25">
      <c r="A2202" s="6" t="str">
        <f>HYPERLINK("proteomic_fractions_linear_files/Yang_linear_img/54873604.jpg", "54873604")</f>
        <v>54873604</v>
      </c>
      <c r="B2202" s="7"/>
      <c r="C2202" s="6" t="str">
        <f>HYPERLINK("http://www.ncbi.nlm.nih.gov/protein/54873604","Epb4.1l1")</f>
        <v>Epb4.1l1</v>
      </c>
      <c r="D2202" s="8"/>
      <c r="E2202" s="8">
        <v>96652</v>
      </c>
      <c r="F2202" s="8"/>
      <c r="G2202" s="15">
        <v>1.3270270942795563</v>
      </c>
      <c r="H2202" s="15">
        <v>1.5819883622292974</v>
      </c>
      <c r="I2202" s="15">
        <v>0.97905135239777841</v>
      </c>
      <c r="J2202" s="15">
        <v>0.67477591062416842</v>
      </c>
      <c r="K2202" s="15">
        <v>1.5819883622292974</v>
      </c>
      <c r="L2202" s="15">
        <v>1.5819883622292974</v>
      </c>
      <c r="M2202" s="15" t="s">
        <v>10</v>
      </c>
      <c r="N2202" s="15" t="s">
        <v>10</v>
      </c>
      <c r="O2202" s="15">
        <v>1.3270270942795563</v>
      </c>
      <c r="P2202" s="15">
        <v>1.3270270942795563</v>
      </c>
      <c r="Q2202" s="8"/>
      <c r="R2202" s="9" t="s">
        <v>2180</v>
      </c>
    </row>
    <row r="2203" spans="1:18" x14ac:dyDescent="0.25">
      <c r="A2203" s="6" t="str">
        <f>HYPERLINK("proteomic_fractions_linear_files/Yang_linear_img/7305029.jpg", "7305029")</f>
        <v>7305029</v>
      </c>
      <c r="B2203" s="7"/>
      <c r="C2203" s="6" t="str">
        <f>HYPERLINK("http://www.ncbi.nlm.nih.gov/protein/7305029","Epb4.1l1")</f>
        <v>Epb4.1l1</v>
      </c>
      <c r="D2203" s="8"/>
      <c r="E2203" s="8">
        <v>98184</v>
      </c>
      <c r="F2203" s="8"/>
      <c r="G2203" s="15">
        <v>1.3134860014807854</v>
      </c>
      <c r="H2203" s="15">
        <v>1.5658456238392024</v>
      </c>
      <c r="I2203" s="15">
        <v>0.96906103247535214</v>
      </c>
      <c r="J2203" s="15">
        <v>0.66789044214841153</v>
      </c>
      <c r="K2203" s="15">
        <v>1.5658456238392024</v>
      </c>
      <c r="L2203" s="15">
        <v>1.5658456238392024</v>
      </c>
      <c r="M2203" s="15" t="s">
        <v>10</v>
      </c>
      <c r="N2203" s="15" t="s">
        <v>10</v>
      </c>
      <c r="O2203" s="15">
        <v>1.3134860014807854</v>
      </c>
      <c r="P2203" s="15">
        <v>1.3134860014807854</v>
      </c>
      <c r="Q2203" s="8"/>
      <c r="R2203" s="9" t="s">
        <v>2181</v>
      </c>
    </row>
    <row r="2204" spans="1:18" x14ac:dyDescent="0.25">
      <c r="A2204" s="6" t="str">
        <f>HYPERLINK("proteomic_fractions_linear_files/Yang_linear_img/312922373.jpg", "312922373")</f>
        <v>312922373</v>
      </c>
      <c r="B2204" s="7"/>
      <c r="C2204" s="6" t="str">
        <f>HYPERLINK("http://www.ncbi.nlm.nih.gov/protein/312922373","Epb4.1l2")</f>
        <v>Epb4.1l2</v>
      </c>
      <c r="D2204" s="8"/>
      <c r="E2204" s="8">
        <v>109809</v>
      </c>
      <c r="F2204" s="8"/>
      <c r="G2204" s="15">
        <v>1.6978711967267306</v>
      </c>
      <c r="H2204" s="15">
        <v>1.6978711967267306</v>
      </c>
      <c r="I2204" s="15">
        <v>1.3950261012385621</v>
      </c>
      <c r="J2204" s="15">
        <v>1.3950261012385621</v>
      </c>
      <c r="K2204" s="15">
        <v>1.6978711967267306</v>
      </c>
      <c r="L2204" s="15">
        <v>1.6978711967267306</v>
      </c>
      <c r="M2204" s="15" t="s">
        <v>10</v>
      </c>
      <c r="N2204" s="15" t="s">
        <v>10</v>
      </c>
      <c r="O2204" s="15">
        <v>1.1701966195010634</v>
      </c>
      <c r="P2204" s="15">
        <v>1.1701966195010634</v>
      </c>
      <c r="Q2204" s="8"/>
      <c r="R2204" s="9" t="s">
        <v>2182</v>
      </c>
    </row>
    <row r="2205" spans="1:18" x14ac:dyDescent="0.25">
      <c r="A2205" s="6" t="str">
        <f>HYPERLINK("proteomic_fractions_linear_files/Yang_linear_img/7305031.jpg", "7305031")</f>
        <v>7305031</v>
      </c>
      <c r="B2205" s="7"/>
      <c r="C2205" s="6" t="str">
        <f>HYPERLINK("http://www.ncbi.nlm.nih.gov/protein/7305031","Epb4.1l3")</f>
        <v>Epb4.1l3</v>
      </c>
      <c r="D2205" s="8"/>
      <c r="E2205" s="8">
        <v>103207</v>
      </c>
      <c r="F2205" s="8"/>
      <c r="G2205" s="15" t="s">
        <v>10</v>
      </c>
      <c r="H2205" s="15" t="s">
        <v>10</v>
      </c>
      <c r="I2205" s="15">
        <v>0.29014958147294301</v>
      </c>
      <c r="J2205" s="15">
        <v>0.29014958147294301</v>
      </c>
      <c r="K2205" s="15">
        <v>1.8132605013586442</v>
      </c>
      <c r="L2205" s="15">
        <v>1.8132605013586442</v>
      </c>
      <c r="M2205" s="15">
        <v>1.4898337003518625</v>
      </c>
      <c r="N2205" s="15">
        <v>1.4898337003518625</v>
      </c>
      <c r="O2205" s="15" t="s">
        <v>10</v>
      </c>
      <c r="P2205" s="15" t="s">
        <v>10</v>
      </c>
      <c r="Q2205" s="8"/>
      <c r="R2205" s="9" t="s">
        <v>2183</v>
      </c>
    </row>
    <row r="2206" spans="1:18" x14ac:dyDescent="0.25">
      <c r="A2206" s="6" t="str">
        <f>HYPERLINK("proteomic_fractions_linear_files/Yang_linear_img/87042272.jpg", "87042272")</f>
        <v>87042272</v>
      </c>
      <c r="B2206" s="7"/>
      <c r="C2206" s="6" t="str">
        <f>HYPERLINK("http://www.ncbi.nlm.nih.gov/protein/87042272","Epb4.1l4a")</f>
        <v>Epb4.1l4a</v>
      </c>
      <c r="D2206" s="8"/>
      <c r="E2206" s="8">
        <v>78402</v>
      </c>
      <c r="F2206" s="8"/>
      <c r="G2206" s="15" t="s">
        <v>10</v>
      </c>
      <c r="H2206" s="15" t="s">
        <v>10</v>
      </c>
      <c r="I2206" s="15" t="s">
        <v>10</v>
      </c>
      <c r="J2206" s="15" t="s">
        <v>10</v>
      </c>
      <c r="K2206" s="15">
        <v>1.2175382202895451</v>
      </c>
      <c r="L2206" s="15">
        <v>1.2175382202895451</v>
      </c>
      <c r="M2206" s="15" t="s">
        <v>10</v>
      </c>
      <c r="N2206" s="15" t="s">
        <v>10</v>
      </c>
      <c r="O2206" s="15" t="s">
        <v>10</v>
      </c>
      <c r="P2206" s="15" t="s">
        <v>10</v>
      </c>
      <c r="Q2206" s="8"/>
      <c r="R2206" s="9" t="s">
        <v>2184</v>
      </c>
    </row>
    <row r="2207" spans="1:18" x14ac:dyDescent="0.25">
      <c r="A2207" s="6" t="str">
        <f>HYPERLINK("proteomic_fractions_linear_files/Yang_linear_img/169234799.jpg", "169234799")</f>
        <v>169234799</v>
      </c>
      <c r="B2207" s="7"/>
      <c r="C2207" s="6" t="str">
        <f>HYPERLINK("http://www.ncbi.nlm.nih.gov/protein/169234799","Epb4.1l4b")</f>
        <v>Epb4.1l4b</v>
      </c>
      <c r="D2207" s="8"/>
      <c r="E2207" s="8">
        <v>59433</v>
      </c>
      <c r="F2207" s="8"/>
      <c r="G2207" s="15">
        <v>1.4084518385278619</v>
      </c>
      <c r="H2207" s="15">
        <v>1.4084518385278619</v>
      </c>
      <c r="I2207" s="15">
        <v>1.1093773445854971</v>
      </c>
      <c r="J2207" s="15">
        <v>1.1093773445854971</v>
      </c>
      <c r="K2207" s="15">
        <v>1.1093773445854971</v>
      </c>
      <c r="L2207" s="15">
        <v>1.1093773445854971</v>
      </c>
      <c r="M2207" s="15">
        <v>0.81847416244771609</v>
      </c>
      <c r="N2207" s="15">
        <v>1.1093773445854971</v>
      </c>
      <c r="O2207" s="15" t="s">
        <v>10</v>
      </c>
      <c r="P2207" s="15" t="s">
        <v>10</v>
      </c>
      <c r="Q2207" s="8"/>
      <c r="R2207" s="9" t="s">
        <v>2185</v>
      </c>
    </row>
    <row r="2208" spans="1:18" x14ac:dyDescent="0.25">
      <c r="A2208" s="6" t="str">
        <f>HYPERLINK("proteomic_fractions_linear_files/Yang_linear_img/164663872.jpg", "164663872")</f>
        <v>164663872</v>
      </c>
      <c r="B2208" s="7"/>
      <c r="C2208" s="6" t="str">
        <f>HYPERLINK("http://www.ncbi.nlm.nih.gov/protein/164663872","Epb4.1l5")</f>
        <v>Epb4.1l5</v>
      </c>
      <c r="D2208" s="8"/>
      <c r="E2208" s="8">
        <v>57502</v>
      </c>
      <c r="F2208" s="8"/>
      <c r="G2208" s="15">
        <v>1.4327354909162735</v>
      </c>
      <c r="H2208" s="15">
        <v>1.4327354909162735</v>
      </c>
      <c r="I2208" s="15">
        <v>0.91587189017243242</v>
      </c>
      <c r="J2208" s="15">
        <v>0.83258578593819399</v>
      </c>
      <c r="K2208" s="15">
        <v>1.1285045401817988</v>
      </c>
      <c r="L2208" s="15">
        <v>1.1285045401817988</v>
      </c>
      <c r="M2208" s="15">
        <v>1.1285045401817988</v>
      </c>
      <c r="N2208" s="15">
        <v>1.1285045401817988</v>
      </c>
      <c r="O2208" s="15" t="s">
        <v>10</v>
      </c>
      <c r="P2208" s="15" t="s">
        <v>10</v>
      </c>
      <c r="Q2208" s="8"/>
      <c r="R2208" s="9" t="s">
        <v>2186</v>
      </c>
    </row>
    <row r="2209" spans="1:18" x14ac:dyDescent="0.25">
      <c r="A2209" s="6" t="str">
        <f>HYPERLINK("proteomic_fractions_linear_files/Yang_linear_img/30841014.jpg", "30841014")</f>
        <v>30841014</v>
      </c>
      <c r="B2209" s="7"/>
      <c r="C2209" s="6" t="str">
        <f>HYPERLINK("http://www.ncbi.nlm.nih.gov/protein/30841014","Epb4.1l5")</f>
        <v>Epb4.1l5</v>
      </c>
      <c r="D2209" s="8"/>
      <c r="E2209" s="8">
        <v>81505</v>
      </c>
      <c r="F2209" s="8"/>
      <c r="G2209" s="15">
        <v>1.0133982740627299</v>
      </c>
      <c r="H2209" s="15">
        <v>1.0133982740627299</v>
      </c>
      <c r="I2209" s="15">
        <v>0.64781182475611077</v>
      </c>
      <c r="J2209" s="15">
        <v>0.58890214127335672</v>
      </c>
      <c r="K2209" s="15">
        <v>0.79821052842127238</v>
      </c>
      <c r="L2209" s="15">
        <v>0.79821052842127238</v>
      </c>
      <c r="M2209" s="15">
        <v>0.79821052842127238</v>
      </c>
      <c r="N2209" s="15">
        <v>0.79821052842127238</v>
      </c>
      <c r="O2209" s="15" t="s">
        <v>10</v>
      </c>
      <c r="P2209" s="15" t="s">
        <v>10</v>
      </c>
      <c r="Q2209" s="8"/>
      <c r="R2209" s="9" t="s">
        <v>2187</v>
      </c>
    </row>
    <row r="2210" spans="1:18" x14ac:dyDescent="0.25">
      <c r="A2210" s="6" t="str">
        <f>HYPERLINK("proteomic_fractions_linear_files/Yang_linear_img/112293275.jpg", "112293275")</f>
        <v>112293275</v>
      </c>
      <c r="B2210" s="7"/>
      <c r="C2210" s="6" t="str">
        <f>HYPERLINK("http://www.ncbi.nlm.nih.gov/protein/112293275","Epcam")</f>
        <v>Epcam</v>
      </c>
      <c r="D2210" s="8"/>
      <c r="E2210" s="8">
        <v>32867</v>
      </c>
      <c r="F2210" s="8"/>
      <c r="G2210" s="15">
        <v>1.3371390680898627</v>
      </c>
      <c r="H2210" s="15">
        <v>1.3371390680898627</v>
      </c>
      <c r="I2210" s="15">
        <v>1.2274944910067498</v>
      </c>
      <c r="J2210" s="15">
        <v>1.2274944910067498</v>
      </c>
      <c r="K2210" s="15">
        <v>1.2274944910067498</v>
      </c>
      <c r="L2210" s="15">
        <v>1.2274944910067498</v>
      </c>
      <c r="M2210" s="15">
        <v>1.1315553461552907</v>
      </c>
      <c r="N2210" s="15">
        <v>1.1315553461552907</v>
      </c>
      <c r="O2210" s="15" t="s">
        <v>10</v>
      </c>
      <c r="P2210" s="15" t="s">
        <v>10</v>
      </c>
      <c r="Q2210" s="8"/>
      <c r="R2210" s="9" t="s">
        <v>2188</v>
      </c>
    </row>
    <row r="2211" spans="1:18" x14ac:dyDescent="0.25">
      <c r="A2211" s="6" t="str">
        <f>HYPERLINK("proteomic_fractions_linear_files/Yang_linear_img/282165729.jpg", "282165729")</f>
        <v>282165729</v>
      </c>
      <c r="B2211" s="7"/>
      <c r="C2211" s="6" t="str">
        <f>HYPERLINK("http://www.ncbi.nlm.nih.gov/protein/282165729","Epdr1")</f>
        <v>Epdr1</v>
      </c>
      <c r="D2211" s="8"/>
      <c r="E2211" s="8">
        <v>21539</v>
      </c>
      <c r="F2211" s="8"/>
      <c r="G2211" s="15" t="s">
        <v>10</v>
      </c>
      <c r="H2211" s="15" t="s">
        <v>10</v>
      </c>
      <c r="I2211" s="15">
        <v>1.1886480961556818</v>
      </c>
      <c r="J2211" s="15">
        <v>1.1886480961556818</v>
      </c>
      <c r="K2211" s="15" t="s">
        <v>10</v>
      </c>
      <c r="L2211" s="15" t="s">
        <v>10</v>
      </c>
      <c r="M2211" s="15" t="s">
        <v>10</v>
      </c>
      <c r="N2211" s="15" t="s">
        <v>10</v>
      </c>
      <c r="O2211" s="15" t="s">
        <v>10</v>
      </c>
      <c r="P2211" s="15" t="s">
        <v>10</v>
      </c>
      <c r="Q2211" s="8"/>
      <c r="R2211" s="9" t="s">
        <v>2189</v>
      </c>
    </row>
    <row r="2212" spans="1:18" x14ac:dyDescent="0.25">
      <c r="A2212" s="6" t="str">
        <f>HYPERLINK("proteomic_fractions_linear_files/Yang_linear_img/32484983.jpg", "32484983")</f>
        <v>32484983</v>
      </c>
      <c r="B2212" s="7"/>
      <c r="C2212" s="6" t="str">
        <f>HYPERLINK("http://www.ncbi.nlm.nih.gov/protein/32484983","Epha2")</f>
        <v>Epha2</v>
      </c>
      <c r="D2212" s="8"/>
      <c r="E2212" s="8">
        <v>106364</v>
      </c>
      <c r="F2212" s="8"/>
      <c r="G2212" s="15" t="s">
        <v>10</v>
      </c>
      <c r="H2212" s="15" t="s">
        <v>10</v>
      </c>
      <c r="I2212" s="15">
        <v>0.41627914383929687</v>
      </c>
      <c r="J2212" s="15">
        <v>0.41627914383929687</v>
      </c>
      <c r="K2212" s="15">
        <v>0.41627914383929687</v>
      </c>
      <c r="L2212" s="15">
        <v>0.41627914383929687</v>
      </c>
      <c r="M2212" s="15" t="s">
        <v>10</v>
      </c>
      <c r="N2212" s="15" t="s">
        <v>10</v>
      </c>
      <c r="O2212" s="15" t="s">
        <v>10</v>
      </c>
      <c r="P2212" s="15" t="s">
        <v>10</v>
      </c>
      <c r="Q2212" s="8"/>
      <c r="R2212" s="9" t="s">
        <v>2190</v>
      </c>
    </row>
    <row r="2213" spans="1:18" x14ac:dyDescent="0.25">
      <c r="A2213" s="6" t="str">
        <f>HYPERLINK("proteomic_fractions_linear_files/Yang_linear_img/34328113.jpg", "34328113")</f>
        <v>34328113</v>
      </c>
      <c r="B2213" s="7"/>
      <c r="C2213" s="6" t="str">
        <f>HYPERLINK("http://www.ncbi.nlm.nih.gov/protein/34328113","Epha4")</f>
        <v>Epha4</v>
      </c>
      <c r="D2213" s="8"/>
      <c r="E2213" s="8">
        <v>107657</v>
      </c>
      <c r="F2213" s="8"/>
      <c r="G2213" s="15" t="s">
        <v>10</v>
      </c>
      <c r="H2213" s="15" t="s">
        <v>10</v>
      </c>
      <c r="I2213" s="15">
        <v>0.40857027080523584</v>
      </c>
      <c r="J2213" s="15">
        <v>0.40857027080523584</v>
      </c>
      <c r="K2213" s="15">
        <v>0.40857027080523584</v>
      </c>
      <c r="L2213" s="15">
        <v>0.40857027080523584</v>
      </c>
      <c r="M2213" s="15" t="s">
        <v>10</v>
      </c>
      <c r="N2213" s="15" t="s">
        <v>10</v>
      </c>
      <c r="O2213" s="15" t="s">
        <v>10</v>
      </c>
      <c r="P2213" s="15" t="s">
        <v>10</v>
      </c>
      <c r="Q2213" s="8"/>
      <c r="R2213" s="9" t="s">
        <v>2191</v>
      </c>
    </row>
    <row r="2214" spans="1:18" x14ac:dyDescent="0.25">
      <c r="A2214" s="6" t="str">
        <f>HYPERLINK("proteomic_fractions_linear_files/Yang_linear_img/145312274.jpg", "145312274")</f>
        <v>145312274</v>
      </c>
      <c r="B2214" s="7"/>
      <c r="C2214" s="6" t="str">
        <f>HYPERLINK("http://www.ncbi.nlm.nih.gov/protein/145312274","Epha6")</f>
        <v>Epha6</v>
      </c>
      <c r="D2214" s="8"/>
      <c r="E2214" s="8">
        <v>126380</v>
      </c>
      <c r="F2214" s="8"/>
      <c r="G2214" s="15" t="s">
        <v>10</v>
      </c>
      <c r="H2214" s="15" t="s">
        <v>10</v>
      </c>
      <c r="I2214" s="15">
        <v>0.35020308926163068</v>
      </c>
      <c r="J2214" s="15">
        <v>0.35020308926163068</v>
      </c>
      <c r="K2214" s="15">
        <v>0.35020308926163068</v>
      </c>
      <c r="L2214" s="15">
        <v>0.35020308926163068</v>
      </c>
      <c r="M2214" s="15" t="s">
        <v>10</v>
      </c>
      <c r="N2214" s="15" t="s">
        <v>10</v>
      </c>
      <c r="O2214" s="15" t="s">
        <v>10</v>
      </c>
      <c r="P2214" s="15" t="s">
        <v>10</v>
      </c>
      <c r="Q2214" s="8"/>
      <c r="R2214" s="9" t="s">
        <v>2192</v>
      </c>
    </row>
    <row r="2215" spans="1:18" x14ac:dyDescent="0.25">
      <c r="A2215" s="6" t="str">
        <f>HYPERLINK("proteomic_fractions_linear_files/Yang_linear_img/171541811.jpg", "171541811")</f>
        <v>171541811</v>
      </c>
      <c r="B2215" s="7"/>
      <c r="C2215" s="6" t="str">
        <f>HYPERLINK("http://www.ncbi.nlm.nih.gov/protein/171541811","Epha7")</f>
        <v>Epha7</v>
      </c>
      <c r="D2215" s="8"/>
      <c r="E2215" s="8">
        <v>108726</v>
      </c>
      <c r="F2215" s="8"/>
      <c r="G2215" s="15" t="s">
        <v>10</v>
      </c>
      <c r="H2215" s="15" t="s">
        <v>10</v>
      </c>
      <c r="I2215" s="15">
        <v>0.40482191969693088</v>
      </c>
      <c r="J2215" s="15">
        <v>0.40482191969693088</v>
      </c>
      <c r="K2215" s="15">
        <v>0.40482191969693088</v>
      </c>
      <c r="L2215" s="15">
        <v>0.40482191969693088</v>
      </c>
      <c r="M2215" s="15" t="s">
        <v>10</v>
      </c>
      <c r="N2215" s="15" t="s">
        <v>10</v>
      </c>
      <c r="O2215" s="15" t="s">
        <v>10</v>
      </c>
      <c r="P2215" s="15" t="s">
        <v>10</v>
      </c>
      <c r="Q2215" s="8"/>
      <c r="R2215" s="9" t="s">
        <v>2193</v>
      </c>
    </row>
    <row r="2216" spans="1:18" x14ac:dyDescent="0.25">
      <c r="A2216" s="6" t="str">
        <f>HYPERLINK("proteomic_fractions_linear_files/Yang_linear_img/269973846.jpg", "269973846")</f>
        <v>269973846</v>
      </c>
      <c r="B2216" s="7"/>
      <c r="C2216" s="6" t="str">
        <f>HYPERLINK("http://www.ncbi.nlm.nih.gov/protein/269973846","Ephb1")</f>
        <v>Ephb1</v>
      </c>
      <c r="D2216" s="8"/>
      <c r="E2216" s="8">
        <v>108165</v>
      </c>
      <c r="F2216" s="8"/>
      <c r="G2216" s="15" t="s">
        <v>10</v>
      </c>
      <c r="H2216" s="15" t="s">
        <v>10</v>
      </c>
      <c r="I2216" s="15">
        <v>0.40857027080523584</v>
      </c>
      <c r="J2216" s="15">
        <v>0.40857027080523584</v>
      </c>
      <c r="K2216" s="15">
        <v>0.40857027080523584</v>
      </c>
      <c r="L2216" s="15">
        <v>0.40857027080523584</v>
      </c>
      <c r="M2216" s="15" t="s">
        <v>10</v>
      </c>
      <c r="N2216" s="15" t="s">
        <v>10</v>
      </c>
      <c r="O2216" s="15" t="s">
        <v>10</v>
      </c>
      <c r="P2216" s="15" t="s">
        <v>10</v>
      </c>
      <c r="Q2216" s="8"/>
      <c r="R2216" s="9" t="s">
        <v>2194</v>
      </c>
    </row>
    <row r="2217" spans="1:18" x14ac:dyDescent="0.25">
      <c r="A2217" s="6" t="str">
        <f>HYPERLINK("proteomic_fractions_linear_files/Yang_linear_img/269973848.jpg", "269973848")</f>
        <v>269973848</v>
      </c>
      <c r="B2217" s="7"/>
      <c r="C2217" s="6" t="str">
        <f>HYPERLINK("http://www.ncbi.nlm.nih.gov/protein/269973848","Ephb1")</f>
        <v>Ephb1</v>
      </c>
      <c r="D2217" s="8"/>
      <c r="E2217" s="8">
        <v>103577</v>
      </c>
      <c r="F2217" s="8"/>
      <c r="G2217" s="15" t="s">
        <v>10</v>
      </c>
      <c r="H2217" s="15" t="s">
        <v>10</v>
      </c>
      <c r="I2217" s="15">
        <v>0.42428451199005257</v>
      </c>
      <c r="J2217" s="15">
        <v>0.42428451199005257</v>
      </c>
      <c r="K2217" s="15">
        <v>0.42428451199005257</v>
      </c>
      <c r="L2217" s="15">
        <v>0.42428451199005257</v>
      </c>
      <c r="M2217" s="15" t="s">
        <v>10</v>
      </c>
      <c r="N2217" s="15" t="s">
        <v>10</v>
      </c>
      <c r="O2217" s="15" t="s">
        <v>10</v>
      </c>
      <c r="P2217" s="15" t="s">
        <v>10</v>
      </c>
      <c r="Q2217" s="8"/>
      <c r="R2217" s="9" t="s">
        <v>2195</v>
      </c>
    </row>
    <row r="2218" spans="1:18" x14ac:dyDescent="0.25">
      <c r="A2218" s="6" t="str">
        <f>HYPERLINK("proteomic_fractions_linear_files/Yang_linear_img/47777351.jpg", "47777351")</f>
        <v>47777351</v>
      </c>
      <c r="B2218" s="7"/>
      <c r="C2218" s="6" t="str">
        <f>HYPERLINK("http://www.ncbi.nlm.nih.gov/protein/47777351","Ephb2")</f>
        <v>Ephb2</v>
      </c>
      <c r="D2218" s="8"/>
      <c r="E2218" s="8">
        <v>108055</v>
      </c>
      <c r="F2218" s="8"/>
      <c r="G2218" s="15" t="s">
        <v>10</v>
      </c>
      <c r="H2218" s="15" t="s">
        <v>10</v>
      </c>
      <c r="I2218" s="15">
        <v>1.4208599179281651</v>
      </c>
      <c r="J2218" s="15">
        <v>0.40857027080523584</v>
      </c>
      <c r="K2218" s="15">
        <v>1.4208599179281651</v>
      </c>
      <c r="L2218" s="15">
        <v>1.4208599179281651</v>
      </c>
      <c r="M2218" s="15" t="s">
        <v>10</v>
      </c>
      <c r="N2218" s="15" t="s">
        <v>10</v>
      </c>
      <c r="O2218" s="15" t="s">
        <v>10</v>
      </c>
      <c r="P2218" s="15" t="s">
        <v>10</v>
      </c>
      <c r="Q2218" s="8"/>
      <c r="R2218" s="9" t="s">
        <v>2196</v>
      </c>
    </row>
    <row r="2219" spans="1:18" x14ac:dyDescent="0.25">
      <c r="A2219" s="6" t="str">
        <f>HYPERLINK("proteomic_fractions_linear_files/Yang_linear_img/33859548.jpg", "33859548")</f>
        <v>33859548</v>
      </c>
      <c r="B2219" s="7"/>
      <c r="C2219" s="6" t="str">
        <f>HYPERLINK("http://www.ncbi.nlm.nih.gov/protein/33859548","Ephb3")</f>
        <v>Ephb3</v>
      </c>
      <c r="D2219" s="8"/>
      <c r="E2219" s="8">
        <v>106748</v>
      </c>
      <c r="F2219" s="8"/>
      <c r="G2219" s="15" t="s">
        <v>10</v>
      </c>
      <c r="H2219" s="15" t="s">
        <v>10</v>
      </c>
      <c r="I2219" s="15">
        <v>0.41238868455107913</v>
      </c>
      <c r="J2219" s="15">
        <v>0.41238868455107913</v>
      </c>
      <c r="K2219" s="15">
        <v>0.41238868455107913</v>
      </c>
      <c r="L2219" s="15">
        <v>0.41238868455107913</v>
      </c>
      <c r="M2219" s="15" t="s">
        <v>10</v>
      </c>
      <c r="N2219" s="15" t="s">
        <v>10</v>
      </c>
      <c r="O2219" s="15" t="s">
        <v>10</v>
      </c>
      <c r="P2219" s="15" t="s">
        <v>10</v>
      </c>
      <c r="Q2219" s="8"/>
      <c r="R2219" s="9" t="s">
        <v>2197</v>
      </c>
    </row>
    <row r="2220" spans="1:18" x14ac:dyDescent="0.25">
      <c r="A2220" s="6" t="str">
        <f>HYPERLINK("proteomic_fractions_linear_files/Yang_linear_img/227330573.jpg", "227330573")</f>
        <v>227330573</v>
      </c>
      <c r="B2220" s="7"/>
      <c r="C2220" s="6" t="str">
        <f>HYPERLINK("http://www.ncbi.nlm.nih.gov/protein/227330573","Ephb4")</f>
        <v>Ephb4</v>
      </c>
      <c r="D2220" s="8"/>
      <c r="E2220" s="8">
        <v>107217</v>
      </c>
      <c r="F2220" s="8"/>
      <c r="G2220" s="15" t="s">
        <v>10</v>
      </c>
      <c r="H2220" s="15" t="s">
        <v>10</v>
      </c>
      <c r="I2220" s="15">
        <v>0.41238868455107913</v>
      </c>
      <c r="J2220" s="15">
        <v>0.41238868455107913</v>
      </c>
      <c r="K2220" s="15">
        <v>0.41238868455107913</v>
      </c>
      <c r="L2220" s="15">
        <v>0.41238868455107913</v>
      </c>
      <c r="M2220" s="15" t="s">
        <v>10</v>
      </c>
      <c r="N2220" s="15" t="s">
        <v>10</v>
      </c>
      <c r="O2220" s="15" t="s">
        <v>10</v>
      </c>
      <c r="P2220" s="15" t="s">
        <v>10</v>
      </c>
      <c r="Q2220" s="8"/>
      <c r="R2220" s="9" t="s">
        <v>2198</v>
      </c>
    </row>
    <row r="2221" spans="1:18" x14ac:dyDescent="0.25">
      <c r="A2221" s="6" t="str">
        <f>HYPERLINK("proteomic_fractions_linear_files/Yang_linear_img/227330575.jpg", "227330575")</f>
        <v>227330575</v>
      </c>
      <c r="B2221" s="7"/>
      <c r="C2221" s="6" t="str">
        <f>HYPERLINK("http://www.ncbi.nlm.nih.gov/protein/227330575","Ephb4")</f>
        <v>Ephb4</v>
      </c>
      <c r="D2221" s="8"/>
      <c r="E2221" s="8">
        <v>108117</v>
      </c>
      <c r="F2221" s="8"/>
      <c r="G2221" s="15" t="s">
        <v>10</v>
      </c>
      <c r="H2221" s="15" t="s">
        <v>10</v>
      </c>
      <c r="I2221" s="15">
        <v>0.40857027080523584</v>
      </c>
      <c r="J2221" s="15">
        <v>0.40857027080523584</v>
      </c>
      <c r="K2221" s="15">
        <v>0.40857027080523584</v>
      </c>
      <c r="L2221" s="15">
        <v>0.40857027080523584</v>
      </c>
      <c r="M2221" s="15" t="s">
        <v>10</v>
      </c>
      <c r="N2221" s="15" t="s">
        <v>10</v>
      </c>
      <c r="O2221" s="15" t="s">
        <v>10</v>
      </c>
      <c r="P2221" s="15" t="s">
        <v>10</v>
      </c>
      <c r="Q2221" s="8"/>
      <c r="R2221" s="9" t="s">
        <v>2199</v>
      </c>
    </row>
    <row r="2222" spans="1:18" x14ac:dyDescent="0.25">
      <c r="A2222" s="6" t="str">
        <f>HYPERLINK("proteomic_fractions_linear_files/Yang_linear_img/226437667.jpg", "226437667")</f>
        <v>226437667</v>
      </c>
      <c r="B2222" s="7"/>
      <c r="C2222" s="6" t="str">
        <f>HYPERLINK("http://www.ncbi.nlm.nih.gov/protein/226437667","Ephb6")</f>
        <v>Ephb6</v>
      </c>
      <c r="D2222" s="8"/>
      <c r="E2222" s="8">
        <v>106972</v>
      </c>
      <c r="F2222" s="8"/>
      <c r="G2222" s="15" t="s">
        <v>10</v>
      </c>
      <c r="H2222" s="15" t="s">
        <v>10</v>
      </c>
      <c r="I2222" s="15" t="s">
        <v>10</v>
      </c>
      <c r="J2222" s="15" t="s">
        <v>10</v>
      </c>
      <c r="K2222" s="15" t="s">
        <v>10</v>
      </c>
      <c r="L2222" s="15" t="s">
        <v>10</v>
      </c>
      <c r="M2222" s="15" t="s">
        <v>10</v>
      </c>
      <c r="N2222" s="15" t="s">
        <v>10</v>
      </c>
      <c r="O2222" s="15">
        <v>5.5466617352271417</v>
      </c>
      <c r="P2222" s="15">
        <v>5.5466617352271417</v>
      </c>
      <c r="Q2222" s="8"/>
      <c r="R2222" s="9" t="s">
        <v>2200</v>
      </c>
    </row>
    <row r="2223" spans="1:18" x14ac:dyDescent="0.25">
      <c r="A2223" s="6" t="str">
        <f>HYPERLINK("proteomic_fractions_linear_files/Yang_linear_img/6753762.jpg", "6753762")</f>
        <v>6753762</v>
      </c>
      <c r="B2223" s="7"/>
      <c r="C2223" s="6" t="str">
        <f>HYPERLINK("http://www.ncbi.nlm.nih.gov/protein/6753762","Ephx1")</f>
        <v>Ephx1</v>
      </c>
      <c r="D2223" s="8"/>
      <c r="E2223" s="8">
        <v>51250</v>
      </c>
      <c r="F2223" s="8"/>
      <c r="G2223" s="15">
        <v>1.1524158350116442</v>
      </c>
      <c r="H2223" s="15">
        <v>1.1524158350116442</v>
      </c>
      <c r="I2223" s="15">
        <v>0.86520763229344055</v>
      </c>
      <c r="J2223" s="15">
        <v>0.86520763229344055</v>
      </c>
      <c r="K2223" s="15">
        <v>0.94686226636108339</v>
      </c>
      <c r="L2223" s="15">
        <v>0.94686226636108339</v>
      </c>
      <c r="M2223" s="15" t="s">
        <v>10</v>
      </c>
      <c r="N2223" s="15" t="s">
        <v>10</v>
      </c>
      <c r="O2223" s="15" t="s">
        <v>10</v>
      </c>
      <c r="P2223" s="15" t="s">
        <v>10</v>
      </c>
      <c r="Q2223" s="8"/>
      <c r="R2223" s="9" t="s">
        <v>2201</v>
      </c>
    </row>
    <row r="2224" spans="1:18" x14ac:dyDescent="0.25">
      <c r="A2224" s="6" t="str">
        <f>HYPERLINK("proteomic_fractions_linear_files/Yang_linear_img/30424918.jpg", "30424918")</f>
        <v>30424918</v>
      </c>
      <c r="B2224" s="7"/>
      <c r="C2224" s="6" t="str">
        <f>HYPERLINK("http://www.ncbi.nlm.nih.gov/protein/30424918","Epm2aip1")</f>
        <v>Epm2aip1</v>
      </c>
      <c r="D2224" s="8"/>
      <c r="E2224" s="8">
        <v>69965</v>
      </c>
      <c r="F2224" s="8"/>
      <c r="G2224" s="15" t="s">
        <v>10</v>
      </c>
      <c r="H2224" s="15" t="s">
        <v>10</v>
      </c>
      <c r="I2224" s="15">
        <v>0.93504661900777619</v>
      </c>
      <c r="J2224" s="15">
        <v>0.93504661900777619</v>
      </c>
      <c r="K2224" s="15" t="s">
        <v>10</v>
      </c>
      <c r="L2224" s="15" t="s">
        <v>10</v>
      </c>
      <c r="M2224" s="15">
        <v>0.93504661900777619</v>
      </c>
      <c r="N2224" s="15">
        <v>0.93504661900777619</v>
      </c>
      <c r="O2224" s="15">
        <v>0.93504661900777619</v>
      </c>
      <c r="P2224" s="15">
        <v>0.93504661900777619</v>
      </c>
      <c r="Q2224" s="8"/>
      <c r="R2224" s="9" t="s">
        <v>2202</v>
      </c>
    </row>
    <row r="2225" spans="1:18" x14ac:dyDescent="0.25">
      <c r="A2225" s="6" t="str">
        <f>HYPERLINK("proteomic_fractions_linear_files/Yang_linear_img/356995862;46195711.jpg", "356995862;46195711")</f>
        <v>356995862;46195711</v>
      </c>
      <c r="B2225" s="8"/>
      <c r="C2225" s="6" t="str">
        <f>HYPERLINK("http://www.ncbi.nlm.nih.gov/protein/356995862;46195711","Epn1")</f>
        <v>Epn1</v>
      </c>
      <c r="D2225" s="8"/>
      <c r="E2225" s="8">
        <v>60081</v>
      </c>
      <c r="F2225" s="8"/>
      <c r="G2225" s="15" t="s">
        <v>10</v>
      </c>
      <c r="H2225" s="15" t="s">
        <v>10</v>
      </c>
      <c r="I2225" s="15" t="s">
        <v>10</v>
      </c>
      <c r="J2225" s="15" t="s">
        <v>10</v>
      </c>
      <c r="K2225" s="15">
        <v>1.3849776412190642</v>
      </c>
      <c r="L2225" s="15">
        <v>1.3849776412190642</v>
      </c>
      <c r="M2225" s="15" t="s">
        <v>10</v>
      </c>
      <c r="N2225" s="15" t="s">
        <v>10</v>
      </c>
      <c r="O2225" s="15" t="s">
        <v>10</v>
      </c>
      <c r="P2225" s="15" t="s">
        <v>10</v>
      </c>
      <c r="Q2225" s="8"/>
      <c r="R2225" s="9" t="s">
        <v>2203</v>
      </c>
    </row>
    <row r="2226" spans="1:18" x14ac:dyDescent="0.25">
      <c r="A2226" s="6" t="str">
        <f>HYPERLINK("proteomic_fractions_linear_files/Yang_linear_img/46195711.jpg", "46195711")</f>
        <v>46195711</v>
      </c>
      <c r="B2226" s="7"/>
      <c r="C2226" s="6" t="str">
        <f>HYPERLINK("http://www.ncbi.nlm.nih.gov/protein/46195711","Epn1")</f>
        <v>Epn1</v>
      </c>
      <c r="D2226" s="8"/>
      <c r="E2226" s="8">
        <v>60081</v>
      </c>
      <c r="F2226" s="8"/>
      <c r="G2226" s="15" t="s">
        <v>10</v>
      </c>
      <c r="H2226" s="15" t="s">
        <v>10</v>
      </c>
      <c r="I2226" s="15" t="s">
        <v>10</v>
      </c>
      <c r="J2226" s="15" t="s">
        <v>10</v>
      </c>
      <c r="K2226" s="15" t="s">
        <v>10</v>
      </c>
      <c r="L2226" s="15" t="s">
        <v>10</v>
      </c>
      <c r="M2226" s="15" t="s">
        <v>10</v>
      </c>
      <c r="N2226" s="15" t="s">
        <v>10</v>
      </c>
      <c r="O2226" s="15">
        <v>1.2239360040280374</v>
      </c>
      <c r="P2226" s="15">
        <v>1.3849776412190642</v>
      </c>
      <c r="Q2226" s="8"/>
      <c r="R2226" s="9" t="s">
        <v>2203</v>
      </c>
    </row>
    <row r="2227" spans="1:18" x14ac:dyDescent="0.25">
      <c r="A2227" s="6" t="str">
        <f>HYPERLINK("proteomic_fractions_linear_files/Yang_linear_img/33468893.jpg", "33468893")</f>
        <v>33468893</v>
      </c>
      <c r="B2227" s="7"/>
      <c r="C2227" s="6" t="str">
        <f>HYPERLINK("http://www.ncbi.nlm.nih.gov/protein/33468893","Epn2")</f>
        <v>Epn2</v>
      </c>
      <c r="D2227" s="8"/>
      <c r="E2227" s="8">
        <v>63341</v>
      </c>
      <c r="F2227" s="8"/>
      <c r="G2227" s="15" t="s">
        <v>10</v>
      </c>
      <c r="H2227" s="15" t="s">
        <v>10</v>
      </c>
      <c r="I2227" s="15" t="s">
        <v>10</v>
      </c>
      <c r="J2227" s="15" t="s">
        <v>10</v>
      </c>
      <c r="K2227" s="15" t="s">
        <v>10</v>
      </c>
      <c r="L2227" s="15" t="s">
        <v>10</v>
      </c>
      <c r="M2227" s="15" t="s">
        <v>10</v>
      </c>
      <c r="N2227" s="15" t="s">
        <v>10</v>
      </c>
      <c r="O2227" s="15">
        <v>1.1656533371695594</v>
      </c>
      <c r="P2227" s="15">
        <v>1.1656533371695594</v>
      </c>
      <c r="Q2227" s="8"/>
      <c r="R2227" s="9" t="s">
        <v>2204</v>
      </c>
    </row>
    <row r="2228" spans="1:18" x14ac:dyDescent="0.25">
      <c r="A2228" s="6" t="str">
        <f>HYPERLINK("proteomic_fractions_linear_files/Yang_linear_img/356582234.jpg", "356582234")</f>
        <v>356582234</v>
      </c>
      <c r="B2228" s="7"/>
      <c r="C2228" s="6" t="str">
        <f>HYPERLINK("http://www.ncbi.nlm.nih.gov/protein/356582234","Epn2")</f>
        <v>Epn2</v>
      </c>
      <c r="D2228" s="8"/>
      <c r="E2228" s="8">
        <v>68260</v>
      </c>
      <c r="F2228" s="8"/>
      <c r="G2228" s="15" t="s">
        <v>10</v>
      </c>
      <c r="H2228" s="15" t="s">
        <v>10</v>
      </c>
      <c r="I2228" s="15" t="s">
        <v>10</v>
      </c>
      <c r="J2228" s="15" t="s">
        <v>10</v>
      </c>
      <c r="K2228" s="15" t="s">
        <v>10</v>
      </c>
      <c r="L2228" s="15" t="s">
        <v>10</v>
      </c>
      <c r="M2228" s="15" t="s">
        <v>10</v>
      </c>
      <c r="N2228" s="15" t="s">
        <v>10</v>
      </c>
      <c r="O2228" s="15">
        <v>1.0799435329659153</v>
      </c>
      <c r="P2228" s="15">
        <v>1.0799435329659153</v>
      </c>
      <c r="Q2228" s="8"/>
      <c r="R2228" s="9" t="s">
        <v>2205</v>
      </c>
    </row>
    <row r="2229" spans="1:18" x14ac:dyDescent="0.25">
      <c r="A2229" s="6" t="str">
        <f>HYPERLINK("proteomic_fractions_linear_files/Yang_linear_img/356582238.jpg", "356582238")</f>
        <v>356582238</v>
      </c>
      <c r="B2229" s="7"/>
      <c r="C2229" s="6" t="str">
        <f>HYPERLINK("http://www.ncbi.nlm.nih.gov/protein/356582238","Epn2")</f>
        <v>Epn2</v>
      </c>
      <c r="D2229" s="8"/>
      <c r="E2229" s="8">
        <v>62123</v>
      </c>
      <c r="F2229" s="8"/>
      <c r="G2229" s="15" t="s">
        <v>10</v>
      </c>
      <c r="H2229" s="15" t="s">
        <v>10</v>
      </c>
      <c r="I2229" s="15" t="s">
        <v>10</v>
      </c>
      <c r="J2229" s="15" t="s">
        <v>10</v>
      </c>
      <c r="K2229" s="15" t="s">
        <v>10</v>
      </c>
      <c r="L2229" s="15" t="s">
        <v>10</v>
      </c>
      <c r="M2229" s="15" t="s">
        <v>10</v>
      </c>
      <c r="N2229" s="15" t="s">
        <v>10</v>
      </c>
      <c r="O2229" s="15">
        <v>1.1844541974464877</v>
      </c>
      <c r="P2229" s="15">
        <v>1.1844541974464877</v>
      </c>
      <c r="Q2229" s="8"/>
      <c r="R2229" s="9" t="s">
        <v>2206</v>
      </c>
    </row>
    <row r="2230" spans="1:18" x14ac:dyDescent="0.25">
      <c r="A2230" s="6" t="str">
        <f>HYPERLINK("proteomic_fractions_linear_files/Yang_linear_img/30794400.jpg", "30794400")</f>
        <v>30794400</v>
      </c>
      <c r="B2230" s="7"/>
      <c r="C2230" s="6" t="str">
        <f>HYPERLINK("http://www.ncbi.nlm.nih.gov/protein/30794400","Epn3")</f>
        <v>Epn3</v>
      </c>
      <c r="D2230" s="8"/>
      <c r="E2230" s="8">
        <v>68110</v>
      </c>
      <c r="F2230" s="8"/>
      <c r="G2230" s="15" t="s">
        <v>10</v>
      </c>
      <c r="H2230" s="15" t="s">
        <v>10</v>
      </c>
      <c r="I2230" s="15" t="s">
        <v>10</v>
      </c>
      <c r="J2230" s="15" t="s">
        <v>10</v>
      </c>
      <c r="K2230" s="15">
        <v>1.222039095193292</v>
      </c>
      <c r="L2230" s="15">
        <v>1.222039095193292</v>
      </c>
      <c r="M2230" s="15" t="s">
        <v>10</v>
      </c>
      <c r="N2230" s="15" t="s">
        <v>10</v>
      </c>
      <c r="O2230" s="15">
        <v>1.0799435329659153</v>
      </c>
      <c r="P2230" s="15">
        <v>1.0799435329659153</v>
      </c>
      <c r="Q2230" s="8"/>
      <c r="R2230" s="9" t="s">
        <v>2207</v>
      </c>
    </row>
    <row r="2231" spans="1:18" x14ac:dyDescent="0.25">
      <c r="A2231" s="6" t="str">
        <f>HYPERLINK("proteomic_fractions_linear_files/Yang_linear_img/82617575.jpg", "82617575")</f>
        <v>82617575</v>
      </c>
      <c r="B2231" s="7"/>
      <c r="C2231" s="6" t="str">
        <f>HYPERLINK("http://www.ncbi.nlm.nih.gov/protein/82617575","Eprs")</f>
        <v>Eprs</v>
      </c>
      <c r="D2231" s="8"/>
      <c r="E2231" s="8">
        <v>169949</v>
      </c>
      <c r="F2231" s="8"/>
      <c r="G2231" s="15">
        <v>1.0986225390584727</v>
      </c>
      <c r="H2231" s="15">
        <v>1.0986225390584727</v>
      </c>
      <c r="I2231" s="15">
        <v>1.3727108683991123</v>
      </c>
      <c r="J2231" s="15">
        <v>1.3727108683991123</v>
      </c>
      <c r="K2231" s="15">
        <v>1.3727108683991123</v>
      </c>
      <c r="L2231" s="15">
        <v>1.3727108683991123</v>
      </c>
      <c r="M2231" s="15">
        <v>1.0986225390584727</v>
      </c>
      <c r="N2231" s="15">
        <v>1.0986225390584727</v>
      </c>
      <c r="O2231" s="15">
        <v>1.0986225390584727</v>
      </c>
      <c r="P2231" s="15">
        <v>1.0986225390584727</v>
      </c>
      <c r="Q2231" s="8"/>
      <c r="R2231" s="9" t="s">
        <v>2208</v>
      </c>
    </row>
    <row r="2232" spans="1:18" x14ac:dyDescent="0.25">
      <c r="A2232" s="6" t="str">
        <f>HYPERLINK("proteomic_fractions_linear_files/Yang_linear_img/229577163.jpg", "229577163")</f>
        <v>229577163</v>
      </c>
      <c r="B2232" s="7"/>
      <c r="C2232" s="6" t="str">
        <f>HYPERLINK("http://www.ncbi.nlm.nih.gov/protein/229577163","Eps15")</f>
        <v>Eps15</v>
      </c>
      <c r="D2232" s="8"/>
      <c r="E2232" s="8">
        <v>64182</v>
      </c>
      <c r="F2232" s="8"/>
      <c r="G2232" s="15" t="s">
        <v>10</v>
      </c>
      <c r="H2232" s="15" t="s">
        <v>10</v>
      </c>
      <c r="I2232" s="15">
        <v>2.3977011115037787</v>
      </c>
      <c r="J2232" s="15">
        <v>2.3977011115037787</v>
      </c>
      <c r="K2232" s="15">
        <v>2.9182161193740681</v>
      </c>
      <c r="L2232" s="15">
        <v>2.9182161193740681</v>
      </c>
      <c r="M2232" s="15" t="s">
        <v>10</v>
      </c>
      <c r="N2232" s="15" t="s">
        <v>10</v>
      </c>
      <c r="O2232" s="15">
        <v>2.3977011115037787</v>
      </c>
      <c r="P2232" s="15">
        <v>2.3977011115037787</v>
      </c>
      <c r="Q2232" s="8"/>
      <c r="R2232" s="9" t="s">
        <v>2209</v>
      </c>
    </row>
    <row r="2233" spans="1:18" x14ac:dyDescent="0.25">
      <c r="A2233" s="6" t="str">
        <f>HYPERLINK("proteomic_fractions_linear_files/Yang_linear_img/6679671.jpg", "6679671")</f>
        <v>6679671</v>
      </c>
      <c r="B2233" s="7"/>
      <c r="C2233" s="6" t="str">
        <f>HYPERLINK("http://www.ncbi.nlm.nih.gov/protein/6679671","Eps15")</f>
        <v>Eps15</v>
      </c>
      <c r="D2233" s="8"/>
      <c r="E2233" s="8">
        <v>98340</v>
      </c>
      <c r="F2233" s="8"/>
      <c r="G2233" s="15" t="s">
        <v>10</v>
      </c>
      <c r="H2233" s="15" t="s">
        <v>10</v>
      </c>
      <c r="I2233" s="15">
        <v>1.5658456238392024</v>
      </c>
      <c r="J2233" s="15">
        <v>1.5658456238392024</v>
      </c>
      <c r="K2233" s="15">
        <v>1.9057737922442894</v>
      </c>
      <c r="L2233" s="15">
        <v>1.9057737922442894</v>
      </c>
      <c r="M2233" s="15" t="s">
        <v>10</v>
      </c>
      <c r="N2233" s="15" t="s">
        <v>10</v>
      </c>
      <c r="O2233" s="15">
        <v>1.5658456238392024</v>
      </c>
      <c r="P2233" s="15">
        <v>1.5658456238392024</v>
      </c>
      <c r="Q2233" s="8"/>
      <c r="R2233" s="9" t="s">
        <v>2210</v>
      </c>
    </row>
    <row r="2234" spans="1:18" x14ac:dyDescent="0.25">
      <c r="A2234" s="6" t="str">
        <f>HYPERLINK("proteomic_fractions_linear_files/Yang_linear_img/170784834.jpg", "170784834")</f>
        <v>170784834</v>
      </c>
      <c r="B2234" s="7"/>
      <c r="C2234" s="6" t="str">
        <f>HYPERLINK("http://www.ncbi.nlm.nih.gov/protein/170784834","Eps15l1")</f>
        <v>Eps15l1</v>
      </c>
      <c r="D2234" s="8"/>
      <c r="E2234" s="8">
        <v>99178</v>
      </c>
      <c r="F2234" s="8"/>
      <c r="G2234" s="15" t="s">
        <v>10</v>
      </c>
      <c r="H2234" s="15" t="s">
        <v>10</v>
      </c>
      <c r="I2234" s="15">
        <v>0.74177939638062873</v>
      </c>
      <c r="J2234" s="15">
        <v>0.74177939638062873</v>
      </c>
      <c r="K2234" s="15">
        <v>0.83938038861761477</v>
      </c>
      <c r="L2234" s="15">
        <v>0.83938038861761477</v>
      </c>
      <c r="M2234" s="15" t="s">
        <v>10</v>
      </c>
      <c r="N2234" s="15" t="s">
        <v>10</v>
      </c>
      <c r="O2234" s="15">
        <v>0.74177939638062873</v>
      </c>
      <c r="P2234" s="15">
        <v>0.74177939638062873</v>
      </c>
      <c r="Q2234" s="8"/>
      <c r="R2234" s="9" t="s">
        <v>2211</v>
      </c>
    </row>
    <row r="2235" spans="1:18" x14ac:dyDescent="0.25">
      <c r="A2235" s="6" t="str">
        <f>HYPERLINK("proteomic_fractions_linear_files/Yang_linear_img/170784836.jpg", "170784836")</f>
        <v>170784836</v>
      </c>
      <c r="B2235" s="7"/>
      <c r="C2235" s="6" t="str">
        <f>HYPERLINK("http://www.ncbi.nlm.nih.gov/protein/170784836","Eps15l1")</f>
        <v>Eps15l1</v>
      </c>
      <c r="D2235" s="8"/>
      <c r="E2235" s="8">
        <v>66074</v>
      </c>
      <c r="F2235" s="8"/>
      <c r="G2235" s="15" t="s">
        <v>10</v>
      </c>
      <c r="H2235" s="15" t="s">
        <v>10</v>
      </c>
      <c r="I2235" s="15">
        <v>1.1126690945709432</v>
      </c>
      <c r="J2235" s="15">
        <v>1.1126690945709432</v>
      </c>
      <c r="K2235" s="15">
        <v>1.2590705829264222</v>
      </c>
      <c r="L2235" s="15">
        <v>1.2590705829264222</v>
      </c>
      <c r="M2235" s="15" t="s">
        <v>10</v>
      </c>
      <c r="N2235" s="15" t="s">
        <v>10</v>
      </c>
      <c r="O2235" s="15">
        <v>1.1126690945709432</v>
      </c>
      <c r="P2235" s="15">
        <v>1.1126690945709432</v>
      </c>
      <c r="Q2235" s="8"/>
      <c r="R2235" s="9" t="s">
        <v>2212</v>
      </c>
    </row>
    <row r="2236" spans="1:18" x14ac:dyDescent="0.25">
      <c r="A2236" s="6" t="str">
        <f>HYPERLINK("proteomic_fractions_linear_files/Yang_linear_img/18874094.jpg", "18874094")</f>
        <v>18874094</v>
      </c>
      <c r="B2236" s="7"/>
      <c r="C2236" s="6" t="str">
        <f>HYPERLINK("http://www.ncbi.nlm.nih.gov/protein/18874094","Eps8l1")</f>
        <v>Eps8l1</v>
      </c>
      <c r="D2236" s="8"/>
      <c r="E2236" s="8">
        <v>79897</v>
      </c>
      <c r="F2236" s="8"/>
      <c r="G2236" s="15" t="s">
        <v>10</v>
      </c>
      <c r="H2236" s="15" t="s">
        <v>10</v>
      </c>
      <c r="I2236" s="15">
        <v>1.1870997647823063</v>
      </c>
      <c r="J2236" s="15">
        <v>1.1870997647823063</v>
      </c>
      <c r="K2236" s="15">
        <v>1.3725195477641434</v>
      </c>
      <c r="L2236" s="15">
        <v>1.3725195477641434</v>
      </c>
      <c r="M2236" s="15">
        <v>1.1870997647823063</v>
      </c>
      <c r="N2236" s="15">
        <v>1.1870997647823063</v>
      </c>
      <c r="O2236" s="15">
        <v>1.1870997647823063</v>
      </c>
      <c r="P2236" s="15">
        <v>1.1870997647823063</v>
      </c>
      <c r="Q2236" s="8"/>
      <c r="R2236" s="9" t="s">
        <v>2213</v>
      </c>
    </row>
    <row r="2237" spans="1:18" x14ac:dyDescent="0.25">
      <c r="A2237" s="6" t="str">
        <f>HYPERLINK("proteomic_fractions_linear_files/Yang_linear_img/21040233.jpg", "21040233")</f>
        <v>21040233</v>
      </c>
      <c r="B2237" s="7"/>
      <c r="C2237" s="6" t="str">
        <f>HYPERLINK("http://www.ncbi.nlm.nih.gov/protein/21040233","Eps8l2")</f>
        <v>Eps8l2</v>
      </c>
      <c r="D2237" s="8"/>
      <c r="E2237" s="8">
        <v>82099</v>
      </c>
      <c r="F2237" s="8"/>
      <c r="G2237" s="15">
        <v>1.0133982740627299</v>
      </c>
      <c r="H2237" s="15">
        <v>1.0133982740627299</v>
      </c>
      <c r="I2237" s="15">
        <v>1.1581461119827379</v>
      </c>
      <c r="J2237" s="15">
        <v>1.1581461119827379</v>
      </c>
      <c r="K2237" s="15">
        <v>1.1581461119827379</v>
      </c>
      <c r="L2237" s="15">
        <v>1.1581461119827379</v>
      </c>
      <c r="M2237" s="15">
        <v>1.1581461119827379</v>
      </c>
      <c r="N2237" s="15">
        <v>1.1581461119827379</v>
      </c>
      <c r="O2237" s="15">
        <v>1.0133982740627299</v>
      </c>
      <c r="P2237" s="15">
        <v>1.0133982740627299</v>
      </c>
      <c r="Q2237" s="8"/>
      <c r="R2237" s="9" t="s">
        <v>2214</v>
      </c>
    </row>
    <row r="2238" spans="1:18" x14ac:dyDescent="0.25">
      <c r="A2238" s="6" t="str">
        <f>HYPERLINK("proteomic_fractions_linear_files/Yang_linear_img/19527082.jpg", "19527082")</f>
        <v>19527082</v>
      </c>
      <c r="B2238" s="7"/>
      <c r="C2238" s="6" t="str">
        <f>HYPERLINK("http://www.ncbi.nlm.nih.gov/protein/19527082","Eps8l3")</f>
        <v>Eps8l3</v>
      </c>
      <c r="D2238" s="8"/>
      <c r="E2238" s="8">
        <v>68085</v>
      </c>
      <c r="F2238" s="8"/>
      <c r="G2238" s="15" t="s">
        <v>10</v>
      </c>
      <c r="H2238" s="15" t="s">
        <v>10</v>
      </c>
      <c r="I2238" s="15">
        <v>0.50813789015404687</v>
      </c>
      <c r="J2238" s="15">
        <v>0.50813789015404687</v>
      </c>
      <c r="K2238" s="15" t="s">
        <v>10</v>
      </c>
      <c r="L2238" s="15" t="s">
        <v>10</v>
      </c>
      <c r="M2238" s="15" t="s">
        <v>10</v>
      </c>
      <c r="N2238" s="15" t="s">
        <v>10</v>
      </c>
      <c r="O2238" s="15" t="s">
        <v>10</v>
      </c>
      <c r="P2238" s="15" t="s">
        <v>10</v>
      </c>
      <c r="Q2238" s="8"/>
      <c r="R2238" s="9" t="s">
        <v>2215</v>
      </c>
    </row>
    <row r="2239" spans="1:18" x14ac:dyDescent="0.25">
      <c r="A2239" s="6" t="str">
        <f>HYPERLINK("proteomic_fractions_linear_files/Yang_linear_img/165377197.jpg", "165377197")</f>
        <v>165377197</v>
      </c>
      <c r="B2239" s="7"/>
      <c r="C2239" s="6" t="str">
        <f>HYPERLINK("http://www.ncbi.nlm.nih.gov/protein/165377197","Eral1")</f>
        <v>Eral1</v>
      </c>
      <c r="D2239" s="8"/>
      <c r="E2239" s="8">
        <v>46031</v>
      </c>
      <c r="F2239" s="8"/>
      <c r="G2239" s="15">
        <v>1.1547949919565452</v>
      </c>
      <c r="H2239" s="15">
        <v>1.1547949919565452</v>
      </c>
      <c r="I2239" s="15">
        <v>0.88059387398310318</v>
      </c>
      <c r="J2239" s="15">
        <v>0.88059387398310318</v>
      </c>
      <c r="K2239" s="15" t="s">
        <v>10</v>
      </c>
      <c r="L2239" s="15" t="s">
        <v>10</v>
      </c>
      <c r="M2239" s="15" t="s">
        <v>10</v>
      </c>
      <c r="N2239" s="15" t="s">
        <v>10</v>
      </c>
      <c r="O2239" s="15" t="s">
        <v>10</v>
      </c>
      <c r="P2239" s="15" t="s">
        <v>10</v>
      </c>
      <c r="Q2239" s="8"/>
      <c r="R2239" s="9" t="s">
        <v>2216</v>
      </c>
    </row>
    <row r="2240" spans="1:18" x14ac:dyDescent="0.25">
      <c r="A2240" s="6" t="str">
        <f>HYPERLINK("proteomic_fractions_linear_files/Yang_linear_img/13507656.jpg", "13507656")</f>
        <v>13507656</v>
      </c>
      <c r="B2240" s="7"/>
      <c r="C2240" s="6" t="str">
        <f>HYPERLINK("http://www.ncbi.nlm.nih.gov/protein/13507656","Erap1")</f>
        <v>Erap1</v>
      </c>
      <c r="D2240" s="8"/>
      <c r="E2240" s="8">
        <v>104440</v>
      </c>
      <c r="F2240" s="8"/>
      <c r="G2240" s="15">
        <v>1.4755083763100176</v>
      </c>
      <c r="H2240" s="15">
        <v>1.4755083763100176</v>
      </c>
      <c r="I2240" s="15">
        <v>1.0557842675108795</v>
      </c>
      <c r="J2240" s="15">
        <v>1.0557842675108795</v>
      </c>
      <c r="K2240" s="15">
        <v>1.237707962933817</v>
      </c>
      <c r="L2240" s="15">
        <v>1.237707962933817</v>
      </c>
      <c r="M2240" s="15" t="s">
        <v>10</v>
      </c>
      <c r="N2240" s="15" t="s">
        <v>10</v>
      </c>
      <c r="O2240" s="15">
        <v>1.0557842675108795</v>
      </c>
      <c r="P2240" s="15">
        <v>1.0557842675108795</v>
      </c>
      <c r="Q2240" s="8"/>
      <c r="R2240" s="9" t="s">
        <v>2217</v>
      </c>
    </row>
    <row r="2241" spans="1:18" x14ac:dyDescent="0.25">
      <c r="A2241" s="6" t="str">
        <f>HYPERLINK("proteomic_fractions_linear_files/Yang_linear_img/54873610.jpg", "54873610")</f>
        <v>54873610</v>
      </c>
      <c r="B2241" s="7"/>
      <c r="C2241" s="6" t="str">
        <f>HYPERLINK("http://www.ncbi.nlm.nih.gov/protein/54873610","Erbb2")</f>
        <v>Erbb2</v>
      </c>
      <c r="D2241" s="8"/>
      <c r="E2241" s="8">
        <v>136264</v>
      </c>
      <c r="F2241" s="8"/>
      <c r="G2241" s="15" t="s">
        <v>10</v>
      </c>
      <c r="H2241" s="15" t="s">
        <v>10</v>
      </c>
      <c r="I2241" s="15">
        <v>1.7158885854988901</v>
      </c>
      <c r="J2241" s="15">
        <v>1.7158885854988901</v>
      </c>
      <c r="K2241" s="15">
        <v>1.7158885854988901</v>
      </c>
      <c r="L2241" s="15">
        <v>1.7158885854988901</v>
      </c>
      <c r="M2241" s="15" t="s">
        <v>10</v>
      </c>
      <c r="N2241" s="15" t="s">
        <v>10</v>
      </c>
      <c r="O2241" s="15" t="s">
        <v>10</v>
      </c>
      <c r="P2241" s="15" t="s">
        <v>10</v>
      </c>
      <c r="Q2241" s="8"/>
      <c r="R2241" s="9" t="s">
        <v>2218</v>
      </c>
    </row>
    <row r="2242" spans="1:18" x14ac:dyDescent="0.25">
      <c r="A2242" s="6" t="str">
        <f>HYPERLINK("proteomic_fractions_linear_files/Yang_linear_img/54607112.jpg", "54607112")</f>
        <v>54607112</v>
      </c>
      <c r="B2242" s="7"/>
      <c r="C2242" s="6" t="str">
        <f>HYPERLINK("http://www.ncbi.nlm.nih.gov/protein/54607112","Erbb2ip")</f>
        <v>Erbb2ip</v>
      </c>
      <c r="D2242" s="8"/>
      <c r="E2242" s="8">
        <v>154198</v>
      </c>
      <c r="F2242" s="8"/>
      <c r="G2242" s="15">
        <v>1.2127651405190933</v>
      </c>
      <c r="H2242" s="15">
        <v>1.2127651405190933</v>
      </c>
      <c r="I2242" s="15" t="s">
        <v>10</v>
      </c>
      <c r="J2242" s="15" t="s">
        <v>10</v>
      </c>
      <c r="K2242" s="15">
        <v>1.5153301794016174</v>
      </c>
      <c r="L2242" s="15">
        <v>1.5153301794016174</v>
      </c>
      <c r="M2242" s="15" t="s">
        <v>10</v>
      </c>
      <c r="N2242" s="15" t="s">
        <v>10</v>
      </c>
      <c r="O2242" s="15" t="s">
        <v>10</v>
      </c>
      <c r="P2242" s="15" t="s">
        <v>10</v>
      </c>
      <c r="Q2242" s="8"/>
      <c r="R2242" s="9" t="s">
        <v>2219</v>
      </c>
    </row>
    <row r="2243" spans="1:18" x14ac:dyDescent="0.25">
      <c r="A2243" s="6" t="str">
        <f>HYPERLINK("proteomic_fractions_linear_files/Yang_linear_img/54607114.jpg", "54607114")</f>
        <v>54607114</v>
      </c>
      <c r="B2243" s="7"/>
      <c r="C2243" s="6" t="str">
        <f>HYPERLINK("http://www.ncbi.nlm.nih.gov/protein/54607114","Erbb2ip")</f>
        <v>Erbb2ip</v>
      </c>
      <c r="D2243" s="8"/>
      <c r="E2243" s="8">
        <v>162052</v>
      </c>
      <c r="F2243" s="8"/>
      <c r="G2243" s="15">
        <v>1.1528755039502492</v>
      </c>
      <c r="H2243" s="15">
        <v>1.1528755039502492</v>
      </c>
      <c r="I2243" s="15" t="s">
        <v>10</v>
      </c>
      <c r="J2243" s="15" t="s">
        <v>10</v>
      </c>
      <c r="K2243" s="15">
        <v>1.4404990594311671</v>
      </c>
      <c r="L2243" s="15">
        <v>1.4404990594311671</v>
      </c>
      <c r="M2243" s="15" t="s">
        <v>10</v>
      </c>
      <c r="N2243" s="15" t="s">
        <v>10</v>
      </c>
      <c r="O2243" s="15" t="s">
        <v>10</v>
      </c>
      <c r="P2243" s="15" t="s">
        <v>10</v>
      </c>
      <c r="Q2243" s="8"/>
      <c r="R2243" s="9" t="s">
        <v>2220</v>
      </c>
    </row>
    <row r="2244" spans="1:18" x14ac:dyDescent="0.25">
      <c r="A2244" s="6" t="str">
        <f>HYPERLINK("proteomic_fractions_linear_files/Yang_linear_img/146134398.jpg", "146134398")</f>
        <v>146134398</v>
      </c>
      <c r="B2244" s="7"/>
      <c r="C2244" s="6" t="str">
        <f>HYPERLINK("http://www.ncbi.nlm.nih.gov/protein/146134398","Erbb4")</f>
        <v>Erbb4</v>
      </c>
      <c r="D2244" s="8"/>
      <c r="E2244" s="8">
        <v>142688</v>
      </c>
      <c r="F2244" s="8"/>
      <c r="G2244" s="15" t="s">
        <v>10</v>
      </c>
      <c r="H2244" s="15" t="s">
        <v>10</v>
      </c>
      <c r="I2244" s="15">
        <v>1.6318940393555879</v>
      </c>
      <c r="J2244" s="15">
        <v>1.6318940393555879</v>
      </c>
      <c r="K2244" s="15">
        <v>1.6318940393555879</v>
      </c>
      <c r="L2244" s="15">
        <v>1.6318940393555879</v>
      </c>
      <c r="M2244" s="15" t="s">
        <v>10</v>
      </c>
      <c r="N2244" s="15" t="s">
        <v>10</v>
      </c>
      <c r="O2244" s="15" t="s">
        <v>10</v>
      </c>
      <c r="P2244" s="15" t="s">
        <v>10</v>
      </c>
      <c r="Q2244" s="8"/>
      <c r="R2244" s="9" t="s">
        <v>2221</v>
      </c>
    </row>
    <row r="2245" spans="1:18" x14ac:dyDescent="0.25">
      <c r="A2245" s="6" t="str">
        <f>HYPERLINK("proteomic_fractions_linear_files/Yang_linear_img/120300971.jpg", "120300971")</f>
        <v>120300971</v>
      </c>
      <c r="B2245" s="7"/>
      <c r="C2245" s="6" t="str">
        <f>HYPERLINK("http://www.ncbi.nlm.nih.gov/protein/120300971","Erc1")</f>
        <v>Erc1</v>
      </c>
      <c r="D2245" s="8"/>
      <c r="E2245" s="8">
        <v>128200</v>
      </c>
      <c r="F2245" s="8"/>
      <c r="G2245" s="15" t="s">
        <v>10</v>
      </c>
      <c r="H2245" s="15" t="s">
        <v>10</v>
      </c>
      <c r="I2245" s="15">
        <v>1.1988505557518894</v>
      </c>
      <c r="J2245" s="15">
        <v>1.1988505557518894</v>
      </c>
      <c r="K2245" s="15">
        <v>1.1988505557518894</v>
      </c>
      <c r="L2245" s="15">
        <v>1.1988505557518894</v>
      </c>
      <c r="M2245" s="15" t="s">
        <v>10</v>
      </c>
      <c r="N2245" s="15" t="s">
        <v>10</v>
      </c>
      <c r="O2245" s="15">
        <v>1.1988505557518894</v>
      </c>
      <c r="P2245" s="15">
        <v>1.1988505557518894</v>
      </c>
      <c r="Q2245" s="8"/>
      <c r="R2245" s="9" t="s">
        <v>2222</v>
      </c>
    </row>
    <row r="2246" spans="1:18" x14ac:dyDescent="0.25">
      <c r="A2246" s="6" t="str">
        <f>HYPERLINK("proteomic_fractions_linear_files/Yang_linear_img/30017397.jpg", "30017397")</f>
        <v>30017397</v>
      </c>
      <c r="B2246" s="7"/>
      <c r="C2246" s="6" t="str">
        <f>HYPERLINK("http://www.ncbi.nlm.nih.gov/protein/30017397","Erc1")</f>
        <v>Erc1</v>
      </c>
      <c r="D2246" s="8"/>
      <c r="E2246" s="8">
        <v>43295</v>
      </c>
      <c r="F2246" s="8"/>
      <c r="G2246" s="15" t="s">
        <v>10</v>
      </c>
      <c r="H2246" s="15" t="s">
        <v>10</v>
      </c>
      <c r="I2246" s="15">
        <v>3.568671421773066</v>
      </c>
      <c r="J2246" s="15">
        <v>3.568671421773066</v>
      </c>
      <c r="K2246" s="15">
        <v>3.568671421773066</v>
      </c>
      <c r="L2246" s="15">
        <v>3.568671421773066</v>
      </c>
      <c r="M2246" s="15" t="s">
        <v>10</v>
      </c>
      <c r="N2246" s="15" t="s">
        <v>10</v>
      </c>
      <c r="O2246" s="15">
        <v>3.568671421773066</v>
      </c>
      <c r="P2246" s="15">
        <v>3.568671421773066</v>
      </c>
      <c r="Q2246" s="8"/>
      <c r="R2246" s="9" t="s">
        <v>2223</v>
      </c>
    </row>
    <row r="2247" spans="1:18" x14ac:dyDescent="0.25">
      <c r="A2247" s="6" t="str">
        <f>HYPERLINK("proteomic_fractions_linear_files/Yang_linear_img/37360977.jpg", "37360977")</f>
        <v>37360977</v>
      </c>
      <c r="B2247" s="7"/>
      <c r="C2247" s="6" t="str">
        <f>HYPERLINK("http://www.ncbi.nlm.nih.gov/protein/37360977","Erc2")</f>
        <v>Erc2</v>
      </c>
      <c r="D2247" s="8"/>
      <c r="E2247" s="8">
        <v>115371</v>
      </c>
      <c r="F2247" s="8"/>
      <c r="G2247" s="15" t="s">
        <v>10</v>
      </c>
      <c r="H2247" s="15" t="s">
        <v>10</v>
      </c>
      <c r="I2247" s="15">
        <v>1.3343727924890594</v>
      </c>
      <c r="J2247" s="15">
        <v>1.3343727924890594</v>
      </c>
      <c r="K2247" s="15">
        <v>1.3343727924890594</v>
      </c>
      <c r="L2247" s="15">
        <v>1.3343727924890594</v>
      </c>
      <c r="M2247" s="15" t="s">
        <v>10</v>
      </c>
      <c r="N2247" s="15" t="s">
        <v>10</v>
      </c>
      <c r="O2247" s="15">
        <v>1.3343727924890594</v>
      </c>
      <c r="P2247" s="15">
        <v>1.3343727924890594</v>
      </c>
      <c r="Q2247" s="8"/>
      <c r="R2247" s="9" t="s">
        <v>2224</v>
      </c>
    </row>
    <row r="2248" spans="1:18" x14ac:dyDescent="0.25">
      <c r="A2248" s="6" t="str">
        <f>HYPERLINK("proteomic_fractions_linear_files/Yang_linear_img/31542614.jpg", "31542614")</f>
        <v>31542614</v>
      </c>
      <c r="B2248" s="7"/>
      <c r="C2248" s="6" t="str">
        <f>HYPERLINK("http://www.ncbi.nlm.nih.gov/protein/31542614","Ercc2")</f>
        <v>Ercc2</v>
      </c>
      <c r="D2248" s="8"/>
      <c r="E2248" s="8">
        <v>86711</v>
      </c>
      <c r="F2248" s="8"/>
      <c r="G2248" s="15" t="s">
        <v>10</v>
      </c>
      <c r="H2248" s="15" t="s">
        <v>10</v>
      </c>
      <c r="I2248" s="15" t="s">
        <v>10</v>
      </c>
      <c r="J2248" s="15" t="s">
        <v>10</v>
      </c>
      <c r="K2248" s="15" t="s">
        <v>10</v>
      </c>
      <c r="L2248" s="15" t="s">
        <v>10</v>
      </c>
      <c r="M2248" s="15">
        <v>0.9551569939441823</v>
      </c>
      <c r="N2248" s="15">
        <v>0.9551569939441823</v>
      </c>
      <c r="O2248" s="15" t="s">
        <v>10</v>
      </c>
      <c r="P2248" s="15" t="s">
        <v>10</v>
      </c>
      <c r="Q2248" s="8"/>
      <c r="R2248" s="9" t="s">
        <v>2225</v>
      </c>
    </row>
    <row r="2249" spans="1:18" x14ac:dyDescent="0.25">
      <c r="A2249" s="6" t="str">
        <f>HYPERLINK("proteomic_fractions_linear_files/Yang_linear_img/241666402.jpg", "241666402")</f>
        <v>241666402</v>
      </c>
      <c r="B2249" s="7"/>
      <c r="C2249" s="6" t="str">
        <f>HYPERLINK("http://www.ncbi.nlm.nih.gov/protein/241666402","Ercc4")</f>
        <v>Ercc4</v>
      </c>
      <c r="D2249" s="8"/>
      <c r="E2249" s="8">
        <v>103559</v>
      </c>
      <c r="F2249" s="8"/>
      <c r="G2249" s="15" t="s">
        <v>10</v>
      </c>
      <c r="H2249" s="15" t="s">
        <v>10</v>
      </c>
      <c r="I2249" s="15" t="s">
        <v>10</v>
      </c>
      <c r="J2249" s="15" t="s">
        <v>10</v>
      </c>
      <c r="K2249" s="15">
        <v>1.237707962933817</v>
      </c>
      <c r="L2249" s="15">
        <v>1.237707962933817</v>
      </c>
      <c r="M2249" s="15" t="s">
        <v>10</v>
      </c>
      <c r="N2249" s="15" t="s">
        <v>10</v>
      </c>
      <c r="O2249" s="15" t="s">
        <v>10</v>
      </c>
      <c r="P2249" s="15" t="s">
        <v>10</v>
      </c>
      <c r="Q2249" s="8"/>
      <c r="R2249" s="9" t="s">
        <v>2226</v>
      </c>
    </row>
    <row r="2250" spans="1:18" x14ac:dyDescent="0.25">
      <c r="A2250" s="6" t="str">
        <f>HYPERLINK("proteomic_fractions_linear_files/Yang_linear_img/27414501.jpg", "27414501")</f>
        <v>27414501</v>
      </c>
      <c r="B2250" s="7"/>
      <c r="C2250" s="6" t="str">
        <f>HYPERLINK("http://www.ncbi.nlm.nih.gov/protein/27414501","Ercc6l")</f>
        <v>Ercc6l</v>
      </c>
      <c r="D2250" s="8"/>
      <c r="E2250" s="8">
        <v>138724</v>
      </c>
      <c r="F2250" s="8"/>
      <c r="G2250" s="15" t="s">
        <v>10</v>
      </c>
      <c r="H2250" s="15" t="s">
        <v>10</v>
      </c>
      <c r="I2250" s="15" t="s">
        <v>10</v>
      </c>
      <c r="J2250" s="15" t="s">
        <v>10</v>
      </c>
      <c r="K2250" s="15" t="s">
        <v>10</v>
      </c>
      <c r="L2250" s="15" t="s">
        <v>10</v>
      </c>
      <c r="M2250" s="15" t="s">
        <v>10</v>
      </c>
      <c r="N2250" s="15" t="s">
        <v>10</v>
      </c>
      <c r="O2250" s="15">
        <v>1.3436390765463335</v>
      </c>
      <c r="P2250" s="15">
        <v>1.3436390765463335</v>
      </c>
      <c r="Q2250" s="8"/>
      <c r="R2250" s="9" t="s">
        <v>2227</v>
      </c>
    </row>
    <row r="2251" spans="1:18" x14ac:dyDescent="0.25">
      <c r="A2251" s="6" t="str">
        <f>HYPERLINK("proteomic_fractions_linear_files/Yang_linear_img/13385678.jpg", "13385678")</f>
        <v>13385678</v>
      </c>
      <c r="B2251" s="7"/>
      <c r="C2251" s="6" t="str">
        <f>HYPERLINK("http://www.ncbi.nlm.nih.gov/protein/13385678","Ergic1")</f>
        <v>Ergic1</v>
      </c>
      <c r="D2251" s="8"/>
      <c r="E2251" s="8">
        <v>32431</v>
      </c>
      <c r="F2251" s="8"/>
      <c r="G2251" s="15">
        <v>1.2658536938507108</v>
      </c>
      <c r="H2251" s="15">
        <v>1.2658536938507108</v>
      </c>
      <c r="I2251" s="15">
        <v>0.93391896536603536</v>
      </c>
      <c r="J2251" s="15">
        <v>0.93391896536603536</v>
      </c>
      <c r="K2251" s="15">
        <v>1.0026272767416746</v>
      </c>
      <c r="L2251" s="15">
        <v>1.0026272767416746</v>
      </c>
      <c r="M2251" s="15">
        <v>0.93391896536603536</v>
      </c>
      <c r="N2251" s="15">
        <v>0.93391896536603536</v>
      </c>
      <c r="O2251" s="15" t="s">
        <v>10</v>
      </c>
      <c r="P2251" s="15" t="s">
        <v>10</v>
      </c>
      <c r="Q2251" s="8"/>
      <c r="R2251" s="9" t="s">
        <v>2228</v>
      </c>
    </row>
    <row r="2252" spans="1:18" x14ac:dyDescent="0.25">
      <c r="A2252" s="6" t="str">
        <f>HYPERLINK("proteomic_fractions_linear_files/Yang_linear_img/21312962.jpg", "21312962")</f>
        <v>21312962</v>
      </c>
      <c r="B2252" s="7"/>
      <c r="C2252" s="6" t="str">
        <f>HYPERLINK("http://www.ncbi.nlm.nih.gov/protein/21312962","Ergic2")</f>
        <v>Ergic2</v>
      </c>
      <c r="D2252" s="8"/>
      <c r="E2252" s="8">
        <v>42351</v>
      </c>
      <c r="F2252" s="8"/>
      <c r="G2252" s="15" t="s">
        <v>10</v>
      </c>
      <c r="H2252" s="15" t="s">
        <v>10</v>
      </c>
      <c r="I2252" s="15">
        <v>1.0506092677848922</v>
      </c>
      <c r="J2252" s="15">
        <v>1.0506092677848922</v>
      </c>
      <c r="K2252" s="15">
        <v>1.0506092677848922</v>
      </c>
      <c r="L2252" s="15">
        <v>1.0506092677848922</v>
      </c>
      <c r="M2252" s="15" t="s">
        <v>10</v>
      </c>
      <c r="N2252" s="15" t="s">
        <v>10</v>
      </c>
      <c r="O2252" s="15" t="s">
        <v>10</v>
      </c>
      <c r="P2252" s="15" t="s">
        <v>10</v>
      </c>
      <c r="Q2252" s="8"/>
      <c r="R2252" s="9" t="s">
        <v>2229</v>
      </c>
    </row>
    <row r="2253" spans="1:18" x14ac:dyDescent="0.25">
      <c r="A2253" s="6" t="str">
        <f>HYPERLINK("proteomic_fractions_linear_files/Yang_linear_img/66773206.jpg", "66773206")</f>
        <v>66773206</v>
      </c>
      <c r="B2253" s="7"/>
      <c r="C2253" s="6" t="str">
        <f>HYPERLINK("http://www.ncbi.nlm.nih.gov/protein/66773206","Ergic2")</f>
        <v>Ergic2</v>
      </c>
      <c r="D2253" s="8"/>
      <c r="E2253" s="8">
        <v>34089</v>
      </c>
      <c r="F2253" s="8"/>
      <c r="G2253" s="15" t="s">
        <v>10</v>
      </c>
      <c r="H2253" s="15" t="s">
        <v>10</v>
      </c>
      <c r="I2253" s="15">
        <v>1.2978114484401608</v>
      </c>
      <c r="J2253" s="15">
        <v>1.2978114484401608</v>
      </c>
      <c r="K2253" s="15">
        <v>1.2978114484401608</v>
      </c>
      <c r="L2253" s="15">
        <v>1.2978114484401608</v>
      </c>
      <c r="M2253" s="15" t="s">
        <v>10</v>
      </c>
      <c r="N2253" s="15" t="s">
        <v>10</v>
      </c>
      <c r="O2253" s="15" t="s">
        <v>10</v>
      </c>
      <c r="P2253" s="15" t="s">
        <v>10</v>
      </c>
      <c r="Q2253" s="8"/>
      <c r="R2253" s="9" t="s">
        <v>2230</v>
      </c>
    </row>
    <row r="2254" spans="1:18" x14ac:dyDescent="0.25">
      <c r="A2254" s="6" t="str">
        <f>HYPERLINK("proteomic_fractions_linear_files/Yang_linear_img/13384938.jpg", "13384938")</f>
        <v>13384938</v>
      </c>
      <c r="B2254" s="7"/>
      <c r="C2254" s="6" t="str">
        <f>HYPERLINK("http://www.ncbi.nlm.nih.gov/protein/13384938","Ergic3")</f>
        <v>Ergic3</v>
      </c>
      <c r="D2254" s="8"/>
      <c r="E2254" s="8">
        <v>43078</v>
      </c>
      <c r="F2254" s="8"/>
      <c r="G2254" s="15" t="s">
        <v>10</v>
      </c>
      <c r="H2254" s="15" t="s">
        <v>10</v>
      </c>
      <c r="I2254" s="15">
        <v>1.123022688009657</v>
      </c>
      <c r="J2254" s="15">
        <v>1.123022688009657</v>
      </c>
      <c r="K2254" s="15">
        <v>1.2353620844186297</v>
      </c>
      <c r="L2254" s="15">
        <v>1.2353620844186297</v>
      </c>
      <c r="M2254" s="15" t="s">
        <v>10</v>
      </c>
      <c r="N2254" s="15" t="s">
        <v>10</v>
      </c>
      <c r="O2254" s="15" t="s">
        <v>10</v>
      </c>
      <c r="P2254" s="15" t="s">
        <v>10</v>
      </c>
      <c r="Q2254" s="8"/>
      <c r="R2254" s="9" t="s">
        <v>2231</v>
      </c>
    </row>
    <row r="2255" spans="1:18" x14ac:dyDescent="0.25">
      <c r="A2255" s="6" t="str">
        <f>HYPERLINK("proteomic_fractions_linear_files/Yang_linear_img/6679685.jpg", "6679685")</f>
        <v>6679685</v>
      </c>
      <c r="B2255" s="7"/>
      <c r="C2255" s="6" t="str">
        <f>HYPERLINK("http://www.ncbi.nlm.nih.gov/protein/6679685","Erh")</f>
        <v>Erh</v>
      </c>
      <c r="D2255" s="8"/>
      <c r="E2255" s="8">
        <v>12128</v>
      </c>
      <c r="F2255" s="8"/>
      <c r="G2255" s="15">
        <v>1.6250958190029394</v>
      </c>
      <c r="H2255" s="15">
        <v>1.6250958190029394</v>
      </c>
      <c r="I2255" s="15">
        <v>1.0622682784948021</v>
      </c>
      <c r="J2255" s="15">
        <v>1.0622682784948021</v>
      </c>
      <c r="K2255" s="15">
        <v>1.1571542083280542</v>
      </c>
      <c r="L2255" s="15">
        <v>1.1571542083280542</v>
      </c>
      <c r="M2255" s="15" t="s">
        <v>10</v>
      </c>
      <c r="N2255" s="15" t="s">
        <v>10</v>
      </c>
      <c r="O2255" s="15">
        <v>1.0622682784948021</v>
      </c>
      <c r="P2255" s="15">
        <v>1.0622682784948021</v>
      </c>
      <c r="Q2255" s="8"/>
      <c r="R2255" s="9" t="s">
        <v>2232</v>
      </c>
    </row>
    <row r="2256" spans="1:18" x14ac:dyDescent="0.25">
      <c r="A2256" s="6" t="str">
        <f>HYPERLINK("proteomic_fractions_linear_files/Yang_linear_img/165905605.jpg", "165905605")</f>
        <v>165905605</v>
      </c>
      <c r="B2256" s="7"/>
      <c r="C2256" s="6" t="str">
        <f>HYPERLINK("http://www.ncbi.nlm.nih.gov/protein/165905605","Eri1")</f>
        <v>Eri1</v>
      </c>
      <c r="D2256" s="8"/>
      <c r="E2256" s="8">
        <v>39420</v>
      </c>
      <c r="F2256" s="8"/>
      <c r="G2256" s="15" t="s">
        <v>10</v>
      </c>
      <c r="H2256" s="15" t="s">
        <v>10</v>
      </c>
      <c r="I2256" s="15" t="s">
        <v>10</v>
      </c>
      <c r="J2256" s="15" t="s">
        <v>10</v>
      </c>
      <c r="K2256" s="15">
        <v>1.038649184698019</v>
      </c>
      <c r="L2256" s="15">
        <v>1.038649184698019</v>
      </c>
      <c r="M2256" s="15">
        <v>0.95746990828524592</v>
      </c>
      <c r="N2256" s="15">
        <v>0.95746990828524592</v>
      </c>
      <c r="O2256" s="15" t="s">
        <v>10</v>
      </c>
      <c r="P2256" s="15" t="s">
        <v>10</v>
      </c>
      <c r="Q2256" s="8"/>
      <c r="R2256" s="9" t="s">
        <v>2233</v>
      </c>
    </row>
    <row r="2257" spans="1:18" x14ac:dyDescent="0.25">
      <c r="A2257" s="6" t="str">
        <f>HYPERLINK("proteomic_fractions_linear_files/Yang_linear_img/114205437.jpg", "114205437")</f>
        <v>114205437</v>
      </c>
      <c r="B2257" s="7"/>
      <c r="C2257" s="6" t="str">
        <f>HYPERLINK("http://www.ncbi.nlm.nih.gov/protein/114205437","Erlec1")</f>
        <v>Erlec1</v>
      </c>
      <c r="D2257" s="8"/>
      <c r="E2257" s="8">
        <v>51670</v>
      </c>
      <c r="F2257" s="8"/>
      <c r="G2257" s="15" t="s">
        <v>10</v>
      </c>
      <c r="H2257" s="15" t="s">
        <v>10</v>
      </c>
      <c r="I2257" s="15">
        <v>0.92865337662337022</v>
      </c>
      <c r="J2257" s="15">
        <v>0.92865337662337022</v>
      </c>
      <c r="K2257" s="15">
        <v>1.0215494159615592</v>
      </c>
      <c r="L2257" s="15">
        <v>1.0215494159615592</v>
      </c>
      <c r="M2257" s="15" t="s">
        <v>10</v>
      </c>
      <c r="N2257" s="15" t="s">
        <v>10</v>
      </c>
      <c r="O2257" s="15" t="s">
        <v>10</v>
      </c>
      <c r="P2257" s="15" t="s">
        <v>10</v>
      </c>
      <c r="Q2257" s="8"/>
      <c r="R2257" s="9" t="s">
        <v>2234</v>
      </c>
    </row>
    <row r="2258" spans="1:18" x14ac:dyDescent="0.25">
      <c r="A2258" s="6" t="str">
        <f>HYPERLINK("proteomic_fractions_linear_files/Yang_linear_img/256355015;256355012.jpg", "256355015;256355012")</f>
        <v>256355015;256355012</v>
      </c>
      <c r="B2258" s="8"/>
      <c r="C2258" s="6" t="str">
        <f>HYPERLINK("http://www.ncbi.nlm.nih.gov/protein/256355015;256355012","Erlin1")</f>
        <v>Erlin1</v>
      </c>
      <c r="D2258" s="8"/>
      <c r="E2258" s="8">
        <v>39051</v>
      </c>
      <c r="F2258" s="8"/>
      <c r="G2258" s="15">
        <v>1.3620658879487455</v>
      </c>
      <c r="H2258" s="15">
        <v>1.3620658879487455</v>
      </c>
      <c r="I2258" s="15">
        <v>1.038649184698019</v>
      </c>
      <c r="J2258" s="15">
        <v>1.038649184698019</v>
      </c>
      <c r="K2258" s="15">
        <v>1.038649184698019</v>
      </c>
      <c r="L2258" s="15">
        <v>1.038649184698019</v>
      </c>
      <c r="M2258" s="15">
        <v>1.038649184698019</v>
      </c>
      <c r="N2258" s="15">
        <v>1.038649184698019</v>
      </c>
      <c r="O2258" s="15" t="s">
        <v>10</v>
      </c>
      <c r="P2258" s="15" t="s">
        <v>10</v>
      </c>
      <c r="Q2258" s="8"/>
      <c r="R2258" s="9" t="s">
        <v>2235</v>
      </c>
    </row>
    <row r="2259" spans="1:18" x14ac:dyDescent="0.25">
      <c r="A2259" s="6" t="str">
        <f>HYPERLINK("proteomic_fractions_linear_files/Yang_linear_img/23956396.jpg", "23956396")</f>
        <v>23956396</v>
      </c>
      <c r="B2259" s="7"/>
      <c r="C2259" s="6" t="str">
        <f>HYPERLINK("http://www.ncbi.nlm.nih.gov/protein/23956396","Erlin2")</f>
        <v>Erlin2</v>
      </c>
      <c r="D2259" s="8"/>
      <c r="E2259" s="8">
        <v>37742</v>
      </c>
      <c r="F2259" s="8"/>
      <c r="G2259" s="15">
        <v>1.3979097271052916</v>
      </c>
      <c r="H2259" s="15">
        <v>1.3979097271052916</v>
      </c>
      <c r="I2259" s="15">
        <v>1.0659820579795458</v>
      </c>
      <c r="J2259" s="15">
        <v>1.0659820579795458</v>
      </c>
      <c r="K2259" s="15">
        <v>1.1611997170254071</v>
      </c>
      <c r="L2259" s="15">
        <v>1.1611997170254071</v>
      </c>
      <c r="M2259" s="15">
        <v>1.0659820579795458</v>
      </c>
      <c r="N2259" s="15">
        <v>1.0659820579795458</v>
      </c>
      <c r="O2259" s="15" t="s">
        <v>10</v>
      </c>
      <c r="P2259" s="15" t="s">
        <v>10</v>
      </c>
      <c r="Q2259" s="8"/>
      <c r="R2259" s="9" t="s">
        <v>2236</v>
      </c>
    </row>
    <row r="2260" spans="1:18" x14ac:dyDescent="0.25">
      <c r="A2260" s="6" t="str">
        <f>HYPERLINK("proteomic_fractions_linear_files/Yang_linear_img/124487057.jpg", "124487057")</f>
        <v>124487057</v>
      </c>
      <c r="B2260" s="7"/>
      <c r="C2260" s="6" t="str">
        <f>HYPERLINK("http://www.ncbi.nlm.nih.gov/protein/124487057","Ermp1")</f>
        <v>Ermp1</v>
      </c>
      <c r="D2260" s="8"/>
      <c r="E2260" s="8">
        <v>100018</v>
      </c>
      <c r="F2260" s="8"/>
      <c r="G2260" s="15">
        <v>1.8676583163994036</v>
      </c>
      <c r="H2260" s="15">
        <v>1.8676583163994036</v>
      </c>
      <c r="I2260" s="15">
        <v>0.8309865847314386</v>
      </c>
      <c r="J2260" s="15">
        <v>0.8309865847314386</v>
      </c>
      <c r="K2260" s="15">
        <v>0.94967981182584504</v>
      </c>
      <c r="L2260" s="15">
        <v>0.94967981182584504</v>
      </c>
      <c r="M2260" s="15" t="s">
        <v>10</v>
      </c>
      <c r="N2260" s="15" t="s">
        <v>10</v>
      </c>
      <c r="O2260" s="15" t="s">
        <v>10</v>
      </c>
      <c r="P2260" s="15" t="s">
        <v>10</v>
      </c>
      <c r="Q2260" s="8"/>
      <c r="R2260" s="9" t="s">
        <v>2237</v>
      </c>
    </row>
    <row r="2261" spans="1:18" x14ac:dyDescent="0.25">
      <c r="A2261" s="6" t="str">
        <f>HYPERLINK("proteomic_fractions_linear_files/Yang_linear_img/7657067.jpg", "7657067")</f>
        <v>7657067</v>
      </c>
      <c r="B2261" s="7"/>
      <c r="C2261" s="6" t="str">
        <f>HYPERLINK("http://www.ncbi.nlm.nih.gov/protein/7657067","Ero1l")</f>
        <v>Ero1l</v>
      </c>
      <c r="D2261" s="8"/>
      <c r="E2261" s="8">
        <v>51629</v>
      </c>
      <c r="F2261" s="8"/>
      <c r="G2261" s="15">
        <v>1.4122338508015817</v>
      </c>
      <c r="H2261" s="15">
        <v>1.4122338508015817</v>
      </c>
      <c r="I2261" s="15">
        <v>1.1302539920306509</v>
      </c>
      <c r="J2261" s="15">
        <v>1.1302539920306509</v>
      </c>
      <c r="K2261" s="15">
        <v>1.2587166025104679</v>
      </c>
      <c r="L2261" s="15">
        <v>1.2587166025104679</v>
      </c>
      <c r="M2261" s="15" t="s">
        <v>10</v>
      </c>
      <c r="N2261" s="15" t="s">
        <v>10</v>
      </c>
      <c r="O2261" s="15">
        <v>1.0215494159615592</v>
      </c>
      <c r="P2261" s="15">
        <v>1.0215494159615592</v>
      </c>
      <c r="Q2261" s="8"/>
      <c r="R2261" s="9" t="s">
        <v>2238</v>
      </c>
    </row>
    <row r="2262" spans="1:18" x14ac:dyDescent="0.25">
      <c r="A2262" s="6" t="str">
        <f>HYPERLINK("proteomic_fractions_linear_files/Yang_linear_img/38348230.jpg", "38348230")</f>
        <v>38348230</v>
      </c>
      <c r="B2262" s="7"/>
      <c r="C2262" s="6" t="str">
        <f>HYPERLINK("http://www.ncbi.nlm.nih.gov/protein/38348230","Ero1lb")</f>
        <v>Ero1lb</v>
      </c>
      <c r="D2262" s="8"/>
      <c r="E2262" s="8">
        <v>50158</v>
      </c>
      <c r="F2262" s="8"/>
      <c r="G2262" s="15" t="s">
        <v>10</v>
      </c>
      <c r="H2262" s="15" t="s">
        <v>10</v>
      </c>
      <c r="I2262" s="15" t="s">
        <v>10</v>
      </c>
      <c r="J2262" s="15" t="s">
        <v>10</v>
      </c>
      <c r="K2262" s="15">
        <v>1.3090652666108866</v>
      </c>
      <c r="L2262" s="15">
        <v>1.3090652666108866</v>
      </c>
      <c r="M2262" s="15" t="s">
        <v>10</v>
      </c>
      <c r="N2262" s="15" t="s">
        <v>10</v>
      </c>
      <c r="O2262" s="15">
        <v>1.1754641517118771</v>
      </c>
      <c r="P2262" s="15">
        <v>1.1754641517118771</v>
      </c>
      <c r="Q2262" s="8"/>
      <c r="R2262" s="9" t="s">
        <v>2239</v>
      </c>
    </row>
    <row r="2263" spans="1:18" x14ac:dyDescent="0.25">
      <c r="A2263" s="6" t="str">
        <f>HYPERLINK("proteomic_fractions_linear_files/Yang_linear_img/19526463.jpg", "19526463")</f>
        <v>19526463</v>
      </c>
      <c r="B2263" s="7"/>
      <c r="C2263" s="6" t="str">
        <f>HYPERLINK("http://www.ncbi.nlm.nih.gov/protein/19526463","Erp29")</f>
        <v>Erp29</v>
      </c>
      <c r="D2263" s="8"/>
      <c r="E2263" s="8">
        <v>25722</v>
      </c>
      <c r="F2263" s="8"/>
      <c r="G2263" s="15">
        <v>1.3289760204028918</v>
      </c>
      <c r="H2263" s="15">
        <v>1.3289760204028918</v>
      </c>
      <c r="I2263" s="15">
        <v>1.0057791582855768</v>
      </c>
      <c r="J2263" s="15">
        <v>1.0057791582855768</v>
      </c>
      <c r="K2263" s="15">
        <v>1.0057791582855768</v>
      </c>
      <c r="L2263" s="15">
        <v>1.0057791582855768</v>
      </c>
      <c r="M2263" s="15">
        <v>1.0057791582855768</v>
      </c>
      <c r="N2263" s="15">
        <v>1.0057791582855768</v>
      </c>
      <c r="O2263" s="15">
        <v>0.83829777964149044</v>
      </c>
      <c r="P2263" s="15">
        <v>0.83829777964149044</v>
      </c>
      <c r="Q2263" s="8"/>
      <c r="R2263" s="9" t="s">
        <v>2240</v>
      </c>
    </row>
    <row r="2264" spans="1:18" x14ac:dyDescent="0.25">
      <c r="A2264" s="6" t="str">
        <f>HYPERLINK("proteomic_fractions_linear_files/Yang_linear_img/19072792.jpg", "19072792")</f>
        <v>19072792</v>
      </c>
      <c r="B2264" s="7"/>
      <c r="C2264" s="6" t="str">
        <f>HYPERLINK("http://www.ncbi.nlm.nih.gov/protein/19072792","Erp44")</f>
        <v>Erp44</v>
      </c>
      <c r="D2264" s="8"/>
      <c r="E2264" s="8">
        <v>43750</v>
      </c>
      <c r="F2264" s="8"/>
      <c r="G2264" s="15">
        <v>0.9206208682550624</v>
      </c>
      <c r="H2264" s="15">
        <v>0.9206208682550624</v>
      </c>
      <c r="I2264" s="15">
        <v>1.0028543010673969</v>
      </c>
      <c r="J2264" s="15">
        <v>1.0028543010673969</v>
      </c>
      <c r="K2264" s="15">
        <v>1.0028543010673969</v>
      </c>
      <c r="L2264" s="15">
        <v>1.0028543010673969</v>
      </c>
      <c r="M2264" s="15" t="s">
        <v>10</v>
      </c>
      <c r="N2264" s="15" t="s">
        <v>10</v>
      </c>
      <c r="O2264" s="15">
        <v>0.9206208682550624</v>
      </c>
      <c r="P2264" s="15">
        <v>1.0028543010673969</v>
      </c>
      <c r="Q2264" s="8"/>
      <c r="R2264" s="9" t="s">
        <v>2241</v>
      </c>
    </row>
    <row r="2265" spans="1:18" x14ac:dyDescent="0.25">
      <c r="A2265" s="6" t="str">
        <f>HYPERLINK("proteomic_fractions_linear_files/Yang_linear_img/550544230.jpg", "550544230")</f>
        <v>550544230</v>
      </c>
      <c r="B2265" s="7"/>
      <c r="C2265" s="6" t="str">
        <f>HYPERLINK("http://www.ncbi.nlm.nih.gov/protein/550544230","Esd")</f>
        <v>Esd</v>
      </c>
      <c r="D2265" s="8"/>
      <c r="E2265" s="8">
        <v>32698</v>
      </c>
      <c r="F2265" s="8"/>
      <c r="G2265" s="15">
        <v>1.2274944910067498</v>
      </c>
      <c r="H2265" s="15">
        <v>1.2274944910067498</v>
      </c>
      <c r="I2265" s="15" t="s">
        <v>10</v>
      </c>
      <c r="J2265" s="15" t="s">
        <v>10</v>
      </c>
      <c r="K2265" s="15" t="s">
        <v>10</v>
      </c>
      <c r="L2265" s="15" t="s">
        <v>10</v>
      </c>
      <c r="M2265" s="15" t="s">
        <v>10</v>
      </c>
      <c r="N2265" s="15" t="s">
        <v>10</v>
      </c>
      <c r="O2265" s="15" t="s">
        <v>10</v>
      </c>
      <c r="P2265" s="15" t="s">
        <v>10</v>
      </c>
      <c r="Q2265" s="8"/>
      <c r="R2265" s="9" t="s">
        <v>2242</v>
      </c>
    </row>
    <row r="2266" spans="1:18" x14ac:dyDescent="0.25">
      <c r="A2266" s="6" t="str">
        <f>HYPERLINK("proteomic_fractions_linear_files/Yang_linear_img/13937355.jpg", "13937355")</f>
        <v>13937355</v>
      </c>
      <c r="B2266" s="7"/>
      <c r="C2266" s="6" t="str">
        <f>HYPERLINK("http://www.ncbi.nlm.nih.gov/protein/13937355","Esd")</f>
        <v>Esd</v>
      </c>
      <c r="D2266" s="8"/>
      <c r="E2266" s="8">
        <v>31189</v>
      </c>
      <c r="F2266" s="8"/>
      <c r="G2266" s="15">
        <v>1.2045589168749868</v>
      </c>
      <c r="H2266" s="15">
        <v>1.3066876839749273</v>
      </c>
      <c r="I2266" s="15">
        <v>0.96404538360364944</v>
      </c>
      <c r="J2266" s="15">
        <v>0.96404538360364944</v>
      </c>
      <c r="K2266" s="15">
        <v>0.96404538360364944</v>
      </c>
      <c r="L2266" s="15">
        <v>0.96404538360364944</v>
      </c>
      <c r="M2266" s="15">
        <v>0.96404538360364944</v>
      </c>
      <c r="N2266" s="15">
        <v>0.96404538360364944</v>
      </c>
      <c r="O2266" s="15">
        <v>0.84355671340080651</v>
      </c>
      <c r="P2266" s="15">
        <v>0.84355671340080651</v>
      </c>
      <c r="Q2266" s="8"/>
      <c r="R2266" s="9" t="s">
        <v>2243</v>
      </c>
    </row>
    <row r="2267" spans="1:18" x14ac:dyDescent="0.25">
      <c r="A2267" s="6" t="str">
        <f>HYPERLINK("proteomic_fractions_linear_files/Yang_linear_img/165972311.jpg", "165972311")</f>
        <v>165972311</v>
      </c>
      <c r="B2267" s="7"/>
      <c r="C2267" s="6" t="str">
        <f>HYPERLINK("http://www.ncbi.nlm.nih.gov/protein/165972311","Esrp1")</f>
        <v>Esrp1</v>
      </c>
      <c r="D2267" s="8"/>
      <c r="E2267" s="8">
        <v>75506</v>
      </c>
      <c r="F2267" s="8"/>
      <c r="G2267" s="15" t="s">
        <v>10</v>
      </c>
      <c r="H2267" s="15" t="s">
        <v>10</v>
      </c>
      <c r="I2267" s="15">
        <v>0.96626526633792431</v>
      </c>
      <c r="J2267" s="15">
        <v>0.96626526633792431</v>
      </c>
      <c r="K2267" s="15">
        <v>1.0934034009624192</v>
      </c>
      <c r="L2267" s="15">
        <v>1.0934034009624192</v>
      </c>
      <c r="M2267" s="15">
        <v>1.0934034009624192</v>
      </c>
      <c r="N2267" s="15">
        <v>1.0934034009624192</v>
      </c>
      <c r="O2267" s="15">
        <v>1.0934034009624192</v>
      </c>
      <c r="P2267" s="15">
        <v>1.0934034009624192</v>
      </c>
      <c r="Q2267" s="8"/>
      <c r="R2267" s="9" t="s">
        <v>2244</v>
      </c>
    </row>
    <row r="2268" spans="1:18" x14ac:dyDescent="0.25">
      <c r="A2268" s="6" t="str">
        <f>HYPERLINK("proteomic_fractions_linear_files/Yang_linear_img/28849887.jpg", "28849887")</f>
        <v>28849887</v>
      </c>
      <c r="B2268" s="7"/>
      <c r="C2268" s="6" t="str">
        <f>HYPERLINK("http://www.ncbi.nlm.nih.gov/protein/28849887","Esrp2")</f>
        <v>Esrp2</v>
      </c>
      <c r="D2268" s="8"/>
      <c r="E2268" s="8">
        <v>77230</v>
      </c>
      <c r="F2268" s="8"/>
      <c r="G2268" s="15" t="s">
        <v>10</v>
      </c>
      <c r="H2268" s="15" t="s">
        <v>10</v>
      </c>
      <c r="I2268" s="15" t="s">
        <v>10</v>
      </c>
      <c r="J2268" s="15" t="s">
        <v>10</v>
      </c>
      <c r="K2268" s="15">
        <v>1.079203356794076</v>
      </c>
      <c r="L2268" s="15">
        <v>1.079203356794076</v>
      </c>
      <c r="M2268" s="15">
        <v>1.079203356794076</v>
      </c>
      <c r="N2268" s="15">
        <v>1.079203356794076</v>
      </c>
      <c r="O2268" s="15">
        <v>1.079203356794076</v>
      </c>
      <c r="P2268" s="15">
        <v>1.079203356794076</v>
      </c>
      <c r="Q2268" s="8"/>
      <c r="R2268" s="9" t="s">
        <v>2245</v>
      </c>
    </row>
    <row r="2269" spans="1:18" x14ac:dyDescent="0.25">
      <c r="A2269" s="6" t="str">
        <f>HYPERLINK("proteomic_fractions_linear_files/Yang_linear_img/112293262.jpg", "112293262")</f>
        <v>112293262</v>
      </c>
      <c r="B2269" s="7"/>
      <c r="C2269" s="6" t="str">
        <f>HYPERLINK("http://www.ncbi.nlm.nih.gov/protein/112293262","Esrra")</f>
        <v>Esrra</v>
      </c>
      <c r="D2269" s="8"/>
      <c r="E2269" s="8">
        <v>45334</v>
      </c>
      <c r="F2269" s="8"/>
      <c r="G2269" s="15">
        <v>1.4545169629009851</v>
      </c>
      <c r="H2269" s="15">
        <v>1.4545169629009851</v>
      </c>
      <c r="I2269" s="15">
        <v>1.1804571028889128</v>
      </c>
      <c r="J2269" s="15">
        <v>1.1804571028889128</v>
      </c>
      <c r="K2269" s="15">
        <v>1.1804571028889128</v>
      </c>
      <c r="L2269" s="15">
        <v>1.3060712796798635</v>
      </c>
      <c r="M2269" s="15">
        <v>1.0731105685425613</v>
      </c>
      <c r="N2269" s="15">
        <v>1.0731105685425613</v>
      </c>
      <c r="O2269" s="15" t="s">
        <v>10</v>
      </c>
      <c r="P2269" s="15" t="s">
        <v>10</v>
      </c>
      <c r="Q2269" s="8"/>
      <c r="R2269" s="9" t="s">
        <v>2246</v>
      </c>
    </row>
    <row r="2270" spans="1:18" x14ac:dyDescent="0.25">
      <c r="A2270" s="6" t="str">
        <f>HYPERLINK("proteomic_fractions_linear_files/Yang_linear_img/226958365.jpg", "226958365")</f>
        <v>226958365</v>
      </c>
      <c r="B2270" s="7"/>
      <c r="C2270" s="6" t="str">
        <f>HYPERLINK("http://www.ncbi.nlm.nih.gov/protein/226958365","Esrrb")</f>
        <v>Esrrb</v>
      </c>
      <c r="D2270" s="8"/>
      <c r="E2270" s="8">
        <v>50607</v>
      </c>
      <c r="F2270" s="8"/>
      <c r="G2270" s="15">
        <v>1.2833973202067517</v>
      </c>
      <c r="H2270" s="15">
        <v>1.2833973202067517</v>
      </c>
      <c r="I2270" s="15">
        <v>1.0415797966666878</v>
      </c>
      <c r="J2270" s="15">
        <v>1.0415797966666878</v>
      </c>
      <c r="K2270" s="15">
        <v>1.0415797966666878</v>
      </c>
      <c r="L2270" s="15">
        <v>1.0415797966666878</v>
      </c>
      <c r="M2270" s="15">
        <v>0.94686226636108339</v>
      </c>
      <c r="N2270" s="15">
        <v>0.94686226636108339</v>
      </c>
      <c r="O2270" s="15">
        <v>3.0088798262008205</v>
      </c>
      <c r="P2270" s="15">
        <v>3.0088798262008205</v>
      </c>
      <c r="Q2270" s="8"/>
      <c r="R2270" s="9" t="s">
        <v>2247</v>
      </c>
    </row>
    <row r="2271" spans="1:18" x14ac:dyDescent="0.25">
      <c r="A2271" s="6" t="str">
        <f>HYPERLINK("proteomic_fractions_linear_files/Yang_linear_img/226958367.jpg", "226958367")</f>
        <v>226958367</v>
      </c>
      <c r="B2271" s="7"/>
      <c r="C2271" s="6" t="str">
        <f>HYPERLINK("http://www.ncbi.nlm.nih.gov/protein/226958367","Esrrb")</f>
        <v>Esrrb</v>
      </c>
      <c r="D2271" s="8"/>
      <c r="E2271" s="8">
        <v>48825</v>
      </c>
      <c r="F2271" s="8"/>
      <c r="G2271" s="15">
        <v>1.3357808842968231</v>
      </c>
      <c r="H2271" s="15">
        <v>1.3357808842968231</v>
      </c>
      <c r="I2271" s="15">
        <v>1.0840932577551241</v>
      </c>
      <c r="J2271" s="15">
        <v>1.0840932577551241</v>
      </c>
      <c r="K2271" s="15">
        <v>1.0840932577551241</v>
      </c>
      <c r="L2271" s="15">
        <v>1.0840932577551241</v>
      </c>
      <c r="M2271" s="15">
        <v>0.9855097058043929</v>
      </c>
      <c r="N2271" s="15">
        <v>0.9855097058043929</v>
      </c>
      <c r="O2271" s="15">
        <v>3.1316912476784049</v>
      </c>
      <c r="P2271" s="15">
        <v>3.1316912476784049</v>
      </c>
      <c r="Q2271" s="8"/>
      <c r="R2271" s="9" t="s">
        <v>2248</v>
      </c>
    </row>
    <row r="2272" spans="1:18" x14ac:dyDescent="0.25">
      <c r="A2272" s="6" t="str">
        <f>HYPERLINK("proteomic_fractions_linear_files/Yang_linear_img/344925886.jpg", "344925886")</f>
        <v>344925886</v>
      </c>
      <c r="B2272" s="7"/>
      <c r="C2272" s="6" t="str">
        <f>HYPERLINK("http://www.ncbi.nlm.nih.gov/protein/344925886","Esrrg")</f>
        <v>Esrrg</v>
      </c>
      <c r="D2272" s="8"/>
      <c r="E2272" s="8">
        <v>48450</v>
      </c>
      <c r="F2272" s="8"/>
      <c r="G2272" s="15" t="s">
        <v>10</v>
      </c>
      <c r="H2272" s="15" t="s">
        <v>10</v>
      </c>
      <c r="I2272" s="15" t="s">
        <v>10</v>
      </c>
      <c r="J2272" s="15" t="s">
        <v>10</v>
      </c>
      <c r="K2272" s="15">
        <v>1.1066785339583558</v>
      </c>
      <c r="L2272" s="15">
        <v>1.1066785339583558</v>
      </c>
      <c r="M2272" s="15" t="s">
        <v>10</v>
      </c>
      <c r="N2272" s="15" t="s">
        <v>10</v>
      </c>
      <c r="O2272" s="15" t="s">
        <v>10</v>
      </c>
      <c r="P2272" s="15" t="s">
        <v>10</v>
      </c>
      <c r="Q2272" s="8"/>
      <c r="R2272" s="9" t="s">
        <v>2249</v>
      </c>
    </row>
    <row r="2273" spans="1:18" x14ac:dyDescent="0.25">
      <c r="A2273" s="6" t="str">
        <f>HYPERLINK("proteomic_fractions_linear_files/Yang_linear_img/6753774.jpg", "6753774")</f>
        <v>6753774</v>
      </c>
      <c r="B2273" s="7"/>
      <c r="C2273" s="6" t="str">
        <f>HYPERLINK("http://www.ncbi.nlm.nih.gov/protein/6753774","Esrrg")</f>
        <v>Esrrg</v>
      </c>
      <c r="D2273" s="8"/>
      <c r="E2273" s="8">
        <v>51175</v>
      </c>
      <c r="F2273" s="8"/>
      <c r="G2273" s="15" t="s">
        <v>10</v>
      </c>
      <c r="H2273" s="15" t="s">
        <v>10</v>
      </c>
      <c r="I2273" s="15" t="s">
        <v>10</v>
      </c>
      <c r="J2273" s="15" t="s">
        <v>10</v>
      </c>
      <c r="K2273" s="15">
        <v>1.0415797966666878</v>
      </c>
      <c r="L2273" s="15">
        <v>1.0415797966666878</v>
      </c>
      <c r="M2273" s="15" t="s">
        <v>10</v>
      </c>
      <c r="N2273" s="15" t="s">
        <v>10</v>
      </c>
      <c r="O2273" s="15" t="s">
        <v>10</v>
      </c>
      <c r="P2273" s="15" t="s">
        <v>10</v>
      </c>
      <c r="Q2273" s="8"/>
      <c r="R2273" s="9" t="s">
        <v>2250</v>
      </c>
    </row>
    <row r="2274" spans="1:18" x14ac:dyDescent="0.25">
      <c r="A2274" s="6" t="str">
        <f>HYPERLINK("proteomic_fractions_linear_files/Yang_linear_img/33859650.jpg", "33859650")</f>
        <v>33859650</v>
      </c>
      <c r="B2274" s="7"/>
      <c r="C2274" s="6" t="str">
        <f>HYPERLINK("http://www.ncbi.nlm.nih.gov/protein/33859650","Esyt1")</f>
        <v>Esyt1</v>
      </c>
      <c r="D2274" s="8"/>
      <c r="E2274" s="8">
        <v>121423</v>
      </c>
      <c r="F2274" s="8"/>
      <c r="G2274" s="15">
        <v>1.2682055465805111</v>
      </c>
      <c r="H2274" s="15">
        <v>1.2682055465805111</v>
      </c>
      <c r="I2274" s="15">
        <v>1.2682055465805111</v>
      </c>
      <c r="J2274" s="15">
        <v>1.2682055465805111</v>
      </c>
      <c r="K2274" s="15">
        <v>1.2682055465805111</v>
      </c>
      <c r="L2274" s="15">
        <v>1.2682055465805111</v>
      </c>
      <c r="M2274" s="15">
        <v>1.2682055465805111</v>
      </c>
      <c r="N2274" s="15">
        <v>1.2682055465805111</v>
      </c>
      <c r="O2274" s="15" t="s">
        <v>10</v>
      </c>
      <c r="P2274" s="15" t="s">
        <v>10</v>
      </c>
      <c r="Q2274" s="8"/>
      <c r="R2274" s="9" t="s">
        <v>2251</v>
      </c>
    </row>
    <row r="2275" spans="1:18" x14ac:dyDescent="0.25">
      <c r="A2275" s="6" t="str">
        <f>HYPERLINK("proteomic_fractions_linear_files/Yang_linear_img/67782360.jpg", "67782360")</f>
        <v>67782360</v>
      </c>
      <c r="B2275" s="7"/>
      <c r="C2275" s="6" t="str">
        <f>HYPERLINK("http://www.ncbi.nlm.nih.gov/protein/67782360","Esyt2")</f>
        <v>Esyt2</v>
      </c>
      <c r="D2275" s="8"/>
      <c r="E2275" s="8">
        <v>94009</v>
      </c>
      <c r="F2275" s="8"/>
      <c r="G2275" s="15">
        <v>1.0102976721551544</v>
      </c>
      <c r="H2275" s="15">
        <v>1.0102976721551544</v>
      </c>
      <c r="I2275" s="15">
        <v>1.0102976721551544</v>
      </c>
      <c r="J2275" s="15">
        <v>1.0102976721551544</v>
      </c>
      <c r="K2275" s="15">
        <v>1.1681017427779943</v>
      </c>
      <c r="L2275" s="15">
        <v>1.1681017427779943</v>
      </c>
      <c r="M2275" s="15" t="s">
        <v>10</v>
      </c>
      <c r="N2275" s="15" t="s">
        <v>10</v>
      </c>
      <c r="O2275" s="15" t="s">
        <v>10</v>
      </c>
      <c r="P2275" s="15" t="s">
        <v>10</v>
      </c>
      <c r="Q2275" s="8"/>
      <c r="R2275" s="9" t="s">
        <v>2252</v>
      </c>
    </row>
    <row r="2276" spans="1:18" x14ac:dyDescent="0.25">
      <c r="A2276" s="6" t="str">
        <f>HYPERLINK("proteomic_fractions_linear_files/Yang_linear_img/124286826.jpg", "124286826")</f>
        <v>124286826</v>
      </c>
      <c r="B2276" s="7"/>
      <c r="C2276" s="6" t="str">
        <f>HYPERLINK("http://www.ncbi.nlm.nih.gov/protein/124286826","Etf1")</f>
        <v>Etf1</v>
      </c>
      <c r="D2276" s="8"/>
      <c r="E2276" s="8">
        <v>48900</v>
      </c>
      <c r="F2276" s="8"/>
      <c r="G2276" s="15">
        <v>0.9855097058043929</v>
      </c>
      <c r="H2276" s="15">
        <v>0.9855097058043929</v>
      </c>
      <c r="I2276" s="15">
        <v>1.0840932577551241</v>
      </c>
      <c r="J2276" s="15">
        <v>1.0840932577551241</v>
      </c>
      <c r="K2276" s="15">
        <v>1.0840932577551241</v>
      </c>
      <c r="L2276" s="15">
        <v>1.0840932577551241</v>
      </c>
      <c r="M2276" s="15">
        <v>1.0840932577551241</v>
      </c>
      <c r="N2276" s="15">
        <v>1.0840932577551241</v>
      </c>
      <c r="O2276" s="15">
        <v>0.9855097058043929</v>
      </c>
      <c r="P2276" s="15">
        <v>0.9855097058043929</v>
      </c>
      <c r="Q2276" s="8"/>
      <c r="R2276" s="9" t="s">
        <v>2253</v>
      </c>
    </row>
    <row r="2277" spans="1:18" x14ac:dyDescent="0.25">
      <c r="A2277" s="6" t="str">
        <f>HYPERLINK("proteomic_fractions_linear_files/Yang_linear_img/227500281.jpg", "227500281")</f>
        <v>227500281</v>
      </c>
      <c r="B2277" s="7"/>
      <c r="C2277" s="6" t="str">
        <f>HYPERLINK("http://www.ncbi.nlm.nih.gov/protein/227500281","Etfa")</f>
        <v>Etfa</v>
      </c>
      <c r="D2277" s="8"/>
      <c r="E2277" s="8">
        <v>34878</v>
      </c>
      <c r="F2277" s="8"/>
      <c r="G2277" s="15">
        <v>1.1573519486635071</v>
      </c>
      <c r="H2277" s="15">
        <v>1.1573519486635071</v>
      </c>
      <c r="I2277" s="15">
        <v>0.79766317993377311</v>
      </c>
      <c r="J2277" s="15">
        <v>0.79766317993377311</v>
      </c>
      <c r="K2277" s="15">
        <v>0.85386876833466085</v>
      </c>
      <c r="L2277" s="15">
        <v>0.85386876833466085</v>
      </c>
      <c r="M2277" s="15">
        <v>0.85386876833466085</v>
      </c>
      <c r="N2277" s="15">
        <v>0.85386876833466085</v>
      </c>
      <c r="O2277" s="15">
        <v>0.74715023186928575</v>
      </c>
      <c r="P2277" s="15">
        <v>0.74715023186928575</v>
      </c>
      <c r="Q2277" s="8"/>
      <c r="R2277" s="9" t="s">
        <v>2254</v>
      </c>
    </row>
    <row r="2278" spans="1:18" x14ac:dyDescent="0.25">
      <c r="A2278" s="6" t="str">
        <f>HYPERLINK("proteomic_fractions_linear_files/Yang_linear_img/38142460.jpg", "38142460")</f>
        <v>38142460</v>
      </c>
      <c r="B2278" s="7"/>
      <c r="C2278" s="6" t="str">
        <f>HYPERLINK("http://www.ncbi.nlm.nih.gov/protein/38142460","Etfb")</f>
        <v>Etfb</v>
      </c>
      <c r="D2278" s="8"/>
      <c r="E2278" s="8">
        <v>27492</v>
      </c>
      <c r="F2278" s="8"/>
      <c r="G2278" s="15">
        <v>1.2797546863138958</v>
      </c>
      <c r="H2278" s="15">
        <v>1.2797546863138958</v>
      </c>
      <c r="I2278" s="15">
        <v>0.90943780049173761</v>
      </c>
      <c r="J2278" s="15">
        <v>0.90943780049173761</v>
      </c>
      <c r="K2278" s="15">
        <v>0.96852807834907406</v>
      </c>
      <c r="L2278" s="15">
        <v>0.96852807834907406</v>
      </c>
      <c r="M2278" s="15" t="s">
        <v>10</v>
      </c>
      <c r="N2278" s="15" t="s">
        <v>10</v>
      </c>
      <c r="O2278" s="15">
        <v>0.80724971372884269</v>
      </c>
      <c r="P2278" s="15">
        <v>0.80724971372884269</v>
      </c>
      <c r="Q2278" s="8"/>
      <c r="R2278" s="9" t="s">
        <v>2255</v>
      </c>
    </row>
    <row r="2279" spans="1:18" x14ac:dyDescent="0.25">
      <c r="A2279" s="6" t="str">
        <f>HYPERLINK("proteomic_fractions_linear_files/Yang_linear_img/254588014.jpg", "254588014")</f>
        <v>254588014</v>
      </c>
      <c r="B2279" s="7"/>
      <c r="C2279" s="6" t="str">
        <f>HYPERLINK("http://www.ncbi.nlm.nih.gov/protein/254588014","Etfdh")</f>
        <v>Etfdh</v>
      </c>
      <c r="D2279" s="8"/>
      <c r="E2279" s="8">
        <v>64368</v>
      </c>
      <c r="F2279" s="8"/>
      <c r="G2279" s="15">
        <v>1.2984165386428728</v>
      </c>
      <c r="H2279" s="15">
        <v>1.2984165386428728</v>
      </c>
      <c r="I2279" s="15">
        <v>1.0227072395397552</v>
      </c>
      <c r="J2279" s="15">
        <v>1.0227072395397552</v>
      </c>
      <c r="K2279" s="15">
        <v>1.0227072395397552</v>
      </c>
      <c r="L2279" s="15">
        <v>1.0227072395397552</v>
      </c>
      <c r="M2279" s="15" t="s">
        <v>10</v>
      </c>
      <c r="N2279" s="15" t="s">
        <v>10</v>
      </c>
      <c r="O2279" s="15" t="s">
        <v>10</v>
      </c>
      <c r="P2279" s="15" t="s">
        <v>10</v>
      </c>
      <c r="Q2279" s="8"/>
      <c r="R2279" s="9" t="s">
        <v>2256</v>
      </c>
    </row>
    <row r="2280" spans="1:18" x14ac:dyDescent="0.25">
      <c r="A2280" s="6" t="str">
        <f>HYPERLINK("proteomic_fractions_linear_files/Yang_linear_img/12963539.jpg", "12963539")</f>
        <v>12963539</v>
      </c>
      <c r="B2280" s="7"/>
      <c r="C2280" s="6" t="str">
        <f>HYPERLINK("http://www.ncbi.nlm.nih.gov/protein/12963539","Ethe1")</f>
        <v>Ethe1</v>
      </c>
      <c r="D2280" s="8"/>
      <c r="E2280" s="8">
        <v>27024</v>
      </c>
      <c r="F2280" s="8"/>
      <c r="G2280" s="15">
        <v>1.2797546863138958</v>
      </c>
      <c r="H2280" s="15">
        <v>1.2797546863138958</v>
      </c>
      <c r="I2280" s="15">
        <v>0.90943780049173761</v>
      </c>
      <c r="J2280" s="15">
        <v>0.90943780049173761</v>
      </c>
      <c r="K2280" s="15" t="s">
        <v>10</v>
      </c>
      <c r="L2280" s="15" t="s">
        <v>10</v>
      </c>
      <c r="M2280" s="15" t="s">
        <v>10</v>
      </c>
      <c r="N2280" s="15" t="s">
        <v>10</v>
      </c>
      <c r="O2280" s="15">
        <v>0.80724971372884269</v>
      </c>
      <c r="P2280" s="15">
        <v>0.80724971372884269</v>
      </c>
      <c r="Q2280" s="8"/>
      <c r="R2280" s="9" t="s">
        <v>2257</v>
      </c>
    </row>
    <row r="2281" spans="1:18" x14ac:dyDescent="0.25">
      <c r="A2281" s="6" t="str">
        <f>HYPERLINK("proteomic_fractions_linear_files/Yang_linear_img/226371696.jpg", "226371696")</f>
        <v>226371696</v>
      </c>
      <c r="B2281" s="7"/>
      <c r="C2281" s="6" t="str">
        <f>HYPERLINK("http://www.ncbi.nlm.nih.gov/protein/226371696","Etnk1")</f>
        <v>Etnk1</v>
      </c>
      <c r="D2281" s="8"/>
      <c r="E2281" s="8">
        <v>41853</v>
      </c>
      <c r="F2281" s="8"/>
      <c r="G2281" s="15" t="s">
        <v>10</v>
      </c>
      <c r="H2281" s="15" t="s">
        <v>10</v>
      </c>
      <c r="I2281" s="15" t="s">
        <v>10</v>
      </c>
      <c r="J2281" s="15" t="s">
        <v>10</v>
      </c>
      <c r="K2281" s="15" t="s">
        <v>10</v>
      </c>
      <c r="L2281" s="15" t="s">
        <v>10</v>
      </c>
      <c r="M2281" s="15" t="s">
        <v>10</v>
      </c>
      <c r="N2281" s="15" t="s">
        <v>10</v>
      </c>
      <c r="O2281" s="15">
        <v>0.82269944120179006</v>
      </c>
      <c r="P2281" s="15">
        <v>0.82269944120179006</v>
      </c>
      <c r="Q2281" s="8"/>
      <c r="R2281" s="9" t="s">
        <v>2258</v>
      </c>
    </row>
    <row r="2282" spans="1:18" x14ac:dyDescent="0.25">
      <c r="A2282" s="6" t="str">
        <f>HYPERLINK("proteomic_fractions_linear_files/Yang_linear_img/84370337.jpg", "84370337")</f>
        <v>84370337</v>
      </c>
      <c r="B2282" s="7"/>
      <c r="C2282" s="6" t="str">
        <f>HYPERLINK("http://www.ncbi.nlm.nih.gov/protein/84370337","Etv6")</f>
        <v>Etv6</v>
      </c>
      <c r="D2282" s="8"/>
      <c r="E2282" s="8">
        <v>56275</v>
      </c>
      <c r="F2282" s="8"/>
      <c r="G2282" s="15" t="s">
        <v>10</v>
      </c>
      <c r="H2282" s="15" t="s">
        <v>10</v>
      </c>
      <c r="I2282" s="15" t="s">
        <v>10</v>
      </c>
      <c r="J2282" s="15" t="s">
        <v>10</v>
      </c>
      <c r="K2282" s="15" t="s">
        <v>10</v>
      </c>
      <c r="L2282" s="15" t="s">
        <v>10</v>
      </c>
      <c r="M2282" s="15" t="s">
        <v>10</v>
      </c>
      <c r="N2282" s="15" t="s">
        <v>10</v>
      </c>
      <c r="O2282" s="15">
        <v>1.0495215640284616</v>
      </c>
      <c r="P2282" s="15">
        <v>1.0495215640284616</v>
      </c>
      <c r="Q2282" s="8"/>
      <c r="R2282" s="9" t="s">
        <v>2259</v>
      </c>
    </row>
    <row r="2283" spans="1:18" x14ac:dyDescent="0.25">
      <c r="A2283" s="6" t="str">
        <f>HYPERLINK("proteomic_fractions_linear_files/Yang_linear_img/254281243.jpg", "254281243")</f>
        <v>254281243</v>
      </c>
      <c r="B2283" s="7"/>
      <c r="C2283" s="6" t="str">
        <f>HYPERLINK("http://www.ncbi.nlm.nih.gov/protein/254281243","Evl")</f>
        <v>Evl</v>
      </c>
      <c r="D2283" s="8"/>
      <c r="E2283" s="8">
        <v>44206</v>
      </c>
      <c r="F2283" s="8"/>
      <c r="G2283" s="15" t="s">
        <v>10</v>
      </c>
      <c r="H2283" s="15" t="s">
        <v>10</v>
      </c>
      <c r="I2283" s="15" t="s">
        <v>10</v>
      </c>
      <c r="J2283" s="15" t="s">
        <v>10</v>
      </c>
      <c r="K2283" s="15">
        <v>1.2072856734091155</v>
      </c>
      <c r="L2283" s="15">
        <v>1.2072856734091155</v>
      </c>
      <c r="M2283" s="15" t="s">
        <v>10</v>
      </c>
      <c r="N2283" s="15" t="s">
        <v>10</v>
      </c>
      <c r="O2283" s="15" t="s">
        <v>10</v>
      </c>
      <c r="P2283" s="15" t="s">
        <v>10</v>
      </c>
      <c r="Q2283" s="8"/>
      <c r="R2283" s="9" t="s">
        <v>2260</v>
      </c>
    </row>
    <row r="2284" spans="1:18" x14ac:dyDescent="0.25">
      <c r="A2284" s="6" t="str">
        <f>HYPERLINK("proteomic_fractions_linear_files/Yang_linear_img/254281245.jpg", "254281245")</f>
        <v>254281245</v>
      </c>
      <c r="B2284" s="7"/>
      <c r="C2284" s="6" t="str">
        <f>HYPERLINK("http://www.ncbi.nlm.nih.gov/protein/254281245","Evl")</f>
        <v>Evl</v>
      </c>
      <c r="D2284" s="8"/>
      <c r="E2284" s="8">
        <v>41992</v>
      </c>
      <c r="F2284" s="8"/>
      <c r="G2284" s="15" t="s">
        <v>10</v>
      </c>
      <c r="H2284" s="15" t="s">
        <v>10</v>
      </c>
      <c r="I2284" s="15" t="s">
        <v>10</v>
      </c>
      <c r="J2284" s="15" t="s">
        <v>10</v>
      </c>
      <c r="K2284" s="15">
        <v>1.2647754673809781</v>
      </c>
      <c r="L2284" s="15">
        <v>1.2647754673809781</v>
      </c>
      <c r="M2284" s="15" t="s">
        <v>10</v>
      </c>
      <c r="N2284" s="15" t="s">
        <v>10</v>
      </c>
      <c r="O2284" s="15" t="s">
        <v>10</v>
      </c>
      <c r="P2284" s="15" t="s">
        <v>10</v>
      </c>
      <c r="Q2284" s="8"/>
      <c r="R2284" s="9" t="s">
        <v>2261</v>
      </c>
    </row>
    <row r="2285" spans="1:18" x14ac:dyDescent="0.25">
      <c r="A2285" s="6" t="str">
        <f>HYPERLINK("proteomic_fractions_linear_files/Yang_linear_img/254281247.jpg", "254281247")</f>
        <v>254281247</v>
      </c>
      <c r="B2285" s="7"/>
      <c r="C2285" s="6" t="str">
        <f>HYPERLINK("http://www.ncbi.nlm.nih.gov/protein/254281247","Evl")</f>
        <v>Evl</v>
      </c>
      <c r="D2285" s="8"/>
      <c r="E2285" s="8">
        <v>42763</v>
      </c>
      <c r="F2285" s="8"/>
      <c r="G2285" s="15" t="s">
        <v>10</v>
      </c>
      <c r="H2285" s="15" t="s">
        <v>10</v>
      </c>
      <c r="I2285" s="15" t="s">
        <v>10</v>
      </c>
      <c r="J2285" s="15" t="s">
        <v>10</v>
      </c>
      <c r="K2285" s="15">
        <v>1.2353620844186297</v>
      </c>
      <c r="L2285" s="15">
        <v>1.2353620844186297</v>
      </c>
      <c r="M2285" s="15" t="s">
        <v>10</v>
      </c>
      <c r="N2285" s="15" t="s">
        <v>10</v>
      </c>
      <c r="O2285" s="15" t="s">
        <v>10</v>
      </c>
      <c r="P2285" s="15" t="s">
        <v>10</v>
      </c>
      <c r="Q2285" s="8"/>
      <c r="R2285" s="9" t="s">
        <v>2262</v>
      </c>
    </row>
    <row r="2286" spans="1:18" x14ac:dyDescent="0.25">
      <c r="A2286" s="6" t="str">
        <f>HYPERLINK("proteomic_fractions_linear_files/Yang_linear_img/254281249.jpg", "254281249")</f>
        <v>254281249</v>
      </c>
      <c r="B2286" s="7"/>
      <c r="C2286" s="6" t="str">
        <f>HYPERLINK("http://www.ncbi.nlm.nih.gov/protein/254281249","Evl")</f>
        <v>Evl</v>
      </c>
      <c r="D2286" s="8"/>
      <c r="E2286" s="8">
        <v>42815</v>
      </c>
      <c r="F2286" s="8"/>
      <c r="G2286" s="15" t="s">
        <v>10</v>
      </c>
      <c r="H2286" s="15" t="s">
        <v>10</v>
      </c>
      <c r="I2286" s="15" t="s">
        <v>10</v>
      </c>
      <c r="J2286" s="15" t="s">
        <v>10</v>
      </c>
      <c r="K2286" s="15">
        <v>1.2353620844186297</v>
      </c>
      <c r="L2286" s="15">
        <v>1.2353620844186297</v>
      </c>
      <c r="M2286" s="15" t="s">
        <v>10</v>
      </c>
      <c r="N2286" s="15" t="s">
        <v>10</v>
      </c>
      <c r="O2286" s="15" t="s">
        <v>10</v>
      </c>
      <c r="P2286" s="15" t="s">
        <v>10</v>
      </c>
      <c r="Q2286" s="8"/>
      <c r="R2286" s="9" t="s">
        <v>2263</v>
      </c>
    </row>
    <row r="2287" spans="1:18" x14ac:dyDescent="0.25">
      <c r="A2287" s="6" t="str">
        <f>HYPERLINK("proteomic_fractions_linear_files/Yang_linear_img/111185907.jpg", "111185907")</f>
        <v>111185907</v>
      </c>
      <c r="B2287" s="7"/>
      <c r="C2287" s="6" t="str">
        <f>HYPERLINK("http://www.ncbi.nlm.nih.gov/protein/111185907","Evpl")</f>
        <v>Evpl</v>
      </c>
      <c r="D2287" s="8"/>
      <c r="E2287" s="8">
        <v>231882</v>
      </c>
      <c r="F2287" s="8"/>
      <c r="G2287" s="15">
        <v>1.0058657225338321</v>
      </c>
      <c r="H2287" s="15">
        <v>1.0058657225338321</v>
      </c>
      <c r="I2287" s="15">
        <v>1.0058657225338321</v>
      </c>
      <c r="J2287" s="15">
        <v>1.0058657225338321</v>
      </c>
      <c r="K2287" s="15">
        <v>1.3007901923987015</v>
      </c>
      <c r="L2287" s="15">
        <v>1.3007901923987015</v>
      </c>
      <c r="M2287" s="15" t="s">
        <v>10</v>
      </c>
      <c r="N2287" s="15" t="s">
        <v>10</v>
      </c>
      <c r="O2287" s="15">
        <v>1.0058657225338321</v>
      </c>
      <c r="P2287" s="15">
        <v>1.0058657225338321</v>
      </c>
      <c r="Q2287" s="8"/>
      <c r="R2287" s="9" t="s">
        <v>2264</v>
      </c>
    </row>
    <row r="2288" spans="1:18" x14ac:dyDescent="0.25">
      <c r="A2288" s="6" t="str">
        <f>HYPERLINK("proteomic_fractions_linear_files/Yang_linear_img/545687694.jpg", "545687694")</f>
        <v>545687694</v>
      </c>
      <c r="B2288" s="7"/>
      <c r="C2288" s="6" t="str">
        <f>HYPERLINK("http://www.ncbi.nlm.nih.gov/protein/545687694","Ewsr1")</f>
        <v>Ewsr1</v>
      </c>
      <c r="D2288" s="8"/>
      <c r="E2288" s="8">
        <v>68418</v>
      </c>
      <c r="F2288" s="8"/>
      <c r="G2288" s="15">
        <v>1.6147288797225217</v>
      </c>
      <c r="H2288" s="15">
        <v>1.6147288797225217</v>
      </c>
      <c r="I2288" s="15" t="s">
        <v>10</v>
      </c>
      <c r="J2288" s="15" t="s">
        <v>10</v>
      </c>
      <c r="K2288" s="15" t="s">
        <v>10</v>
      </c>
      <c r="L2288" s="15" t="s">
        <v>10</v>
      </c>
      <c r="M2288" s="15" t="s">
        <v>10</v>
      </c>
      <c r="N2288" s="15" t="s">
        <v>10</v>
      </c>
      <c r="O2288" s="15" t="s">
        <v>10</v>
      </c>
      <c r="P2288" s="15" t="s">
        <v>10</v>
      </c>
      <c r="Q2288" s="8"/>
      <c r="R2288" s="9" t="s">
        <v>2265</v>
      </c>
    </row>
    <row r="2289" spans="1:18" x14ac:dyDescent="0.25">
      <c r="A2289" s="6" t="str">
        <f>HYPERLINK("proteomic_fractions_linear_files/Yang_linear_img/545688864.jpg", "545688864")</f>
        <v>545688864</v>
      </c>
      <c r="B2289" s="7"/>
      <c r="C2289" s="6" t="str">
        <f>HYPERLINK("http://www.ncbi.nlm.nih.gov/protein/545688864","Ewsr1")</f>
        <v>Ewsr1</v>
      </c>
      <c r="D2289" s="8"/>
      <c r="E2289" s="8">
        <v>64858</v>
      </c>
      <c r="F2289" s="8"/>
      <c r="G2289" s="15">
        <v>1.6892548280174071</v>
      </c>
      <c r="H2289" s="15">
        <v>1.6892548280174071</v>
      </c>
      <c r="I2289" s="15" t="s">
        <v>10</v>
      </c>
      <c r="J2289" s="15" t="s">
        <v>10</v>
      </c>
      <c r="K2289" s="15" t="s">
        <v>10</v>
      </c>
      <c r="L2289" s="15" t="s">
        <v>10</v>
      </c>
      <c r="M2289" s="15" t="s">
        <v>10</v>
      </c>
      <c r="N2289" s="15" t="s">
        <v>10</v>
      </c>
      <c r="O2289" s="15" t="s">
        <v>10</v>
      </c>
      <c r="P2289" s="15" t="s">
        <v>10</v>
      </c>
      <c r="Q2289" s="8"/>
      <c r="R2289" s="9" t="s">
        <v>2266</v>
      </c>
    </row>
    <row r="2290" spans="1:18" x14ac:dyDescent="0.25">
      <c r="A2290" s="6" t="str">
        <f>HYPERLINK("proteomic_fractions_linear_files/Yang_linear_img/88853581.jpg", "88853581")</f>
        <v>88853581</v>
      </c>
      <c r="B2290" s="7"/>
      <c r="C2290" s="6" t="str">
        <f>HYPERLINK("http://www.ncbi.nlm.nih.gov/protein/88853581","Ewsr1")</f>
        <v>Ewsr1</v>
      </c>
      <c r="D2290" s="8"/>
      <c r="E2290" s="8">
        <v>68331</v>
      </c>
      <c r="F2290" s="8"/>
      <c r="G2290" s="15">
        <v>1.6147288797225217</v>
      </c>
      <c r="H2290" s="15">
        <v>1.6147288797225217</v>
      </c>
      <c r="I2290" s="15">
        <v>1.0799435329659153</v>
      </c>
      <c r="J2290" s="15">
        <v>1.0799435329659153</v>
      </c>
      <c r="K2290" s="15">
        <v>1.3965879585674192</v>
      </c>
      <c r="L2290" s="15">
        <v>1.3965879585674192</v>
      </c>
      <c r="M2290" s="15">
        <v>1.222039095193292</v>
      </c>
      <c r="N2290" s="15">
        <v>1.222039095193292</v>
      </c>
      <c r="O2290" s="15">
        <v>1.222039095193292</v>
      </c>
      <c r="P2290" s="15">
        <v>1.222039095193292</v>
      </c>
      <c r="Q2290" s="8"/>
      <c r="R2290" s="9" t="s">
        <v>2267</v>
      </c>
    </row>
    <row r="2291" spans="1:18" x14ac:dyDescent="0.25">
      <c r="A2291" s="6" t="str">
        <f>HYPERLINK("proteomic_fractions_linear_files/Yang_linear_img/237681098.jpg", "237681098")</f>
        <v>237681098</v>
      </c>
      <c r="B2291" s="7"/>
      <c r="C2291" s="6" t="str">
        <f>HYPERLINK("http://www.ncbi.nlm.nih.gov/protein/237681098","Exd2")</f>
        <v>Exd2</v>
      </c>
      <c r="D2291" s="8"/>
      <c r="E2291" s="8">
        <v>74201</v>
      </c>
      <c r="F2291" s="8"/>
      <c r="G2291" s="15" t="s">
        <v>10</v>
      </c>
      <c r="H2291" s="15" t="s">
        <v>10</v>
      </c>
      <c r="I2291" s="15">
        <v>1.1229548442316737</v>
      </c>
      <c r="J2291" s="15">
        <v>1.1229548442316737</v>
      </c>
      <c r="K2291" s="15" t="s">
        <v>10</v>
      </c>
      <c r="L2291" s="15" t="s">
        <v>10</v>
      </c>
      <c r="M2291" s="15" t="s">
        <v>10</v>
      </c>
      <c r="N2291" s="15" t="s">
        <v>10</v>
      </c>
      <c r="O2291" s="15" t="s">
        <v>10</v>
      </c>
      <c r="P2291" s="15" t="s">
        <v>10</v>
      </c>
      <c r="Q2291" s="8"/>
      <c r="R2291" s="9" t="s">
        <v>2268</v>
      </c>
    </row>
    <row r="2292" spans="1:18" x14ac:dyDescent="0.25">
      <c r="A2292" s="6" t="str">
        <f>HYPERLINK("proteomic_fractions_linear_files/Yang_linear_img/89111939.jpg", "89111939")</f>
        <v>89111939</v>
      </c>
      <c r="B2292" s="7"/>
      <c r="C2292" s="6" t="str">
        <f>HYPERLINK("http://www.ncbi.nlm.nih.gov/protein/89111939","Exoc1")</f>
        <v>Exoc1</v>
      </c>
      <c r="D2292" s="8"/>
      <c r="E2292" s="8">
        <v>102556</v>
      </c>
      <c r="F2292" s="8"/>
      <c r="G2292" s="15" t="s">
        <v>10</v>
      </c>
      <c r="H2292" s="15" t="s">
        <v>10</v>
      </c>
      <c r="I2292" s="15">
        <v>1.0660346002051599</v>
      </c>
      <c r="J2292" s="15">
        <v>1.0660346002051599</v>
      </c>
      <c r="K2292" s="15">
        <v>1.2497245450982231</v>
      </c>
      <c r="L2292" s="15">
        <v>1.2497245450982231</v>
      </c>
      <c r="M2292" s="15">
        <v>1.0660346002051599</v>
      </c>
      <c r="N2292" s="15">
        <v>1.0660346002051599</v>
      </c>
      <c r="O2292" s="15">
        <v>1.0660346002051599</v>
      </c>
      <c r="P2292" s="15">
        <v>1.0660346002051599</v>
      </c>
      <c r="Q2292" s="8"/>
      <c r="R2292" s="9" t="s">
        <v>2269</v>
      </c>
    </row>
    <row r="2293" spans="1:18" x14ac:dyDescent="0.25">
      <c r="A2293" s="6" t="str">
        <f>HYPERLINK("proteomic_fractions_linear_files/Yang_linear_img/21313438.jpg", "21313438")</f>
        <v>21313438</v>
      </c>
      <c r="B2293" s="7"/>
      <c r="C2293" s="6" t="str">
        <f>HYPERLINK("http://www.ncbi.nlm.nih.gov/protein/21313438","Exoc2")</f>
        <v>Exoc2</v>
      </c>
      <c r="D2293" s="8"/>
      <c r="E2293" s="8">
        <v>103829</v>
      </c>
      <c r="F2293" s="8"/>
      <c r="G2293" s="15" t="s">
        <v>10</v>
      </c>
      <c r="H2293" s="15" t="s">
        <v>10</v>
      </c>
      <c r="I2293" s="15">
        <v>1.0557842675108795</v>
      </c>
      <c r="J2293" s="15">
        <v>1.0557842675108795</v>
      </c>
      <c r="K2293" s="15">
        <v>1.0557842675108795</v>
      </c>
      <c r="L2293" s="15">
        <v>1.0557842675108795</v>
      </c>
      <c r="M2293" s="15">
        <v>1.0557842675108795</v>
      </c>
      <c r="N2293" s="15">
        <v>1.0557842675108795</v>
      </c>
      <c r="O2293" s="15">
        <v>1.0557842675108795</v>
      </c>
      <c r="P2293" s="15">
        <v>1.0557842675108795</v>
      </c>
      <c r="Q2293" s="8"/>
      <c r="R2293" s="9" t="s">
        <v>2270</v>
      </c>
    </row>
    <row r="2294" spans="1:18" x14ac:dyDescent="0.25">
      <c r="A2294" s="6" t="str">
        <f>HYPERLINK("proteomic_fractions_linear_files/Yang_linear_img/84579825.jpg", "84579825")</f>
        <v>84579825</v>
      </c>
      <c r="B2294" s="7"/>
      <c r="C2294" s="6" t="str">
        <f>HYPERLINK("http://www.ncbi.nlm.nih.gov/protein/84579825","Exoc3")</f>
        <v>Exoc3</v>
      </c>
      <c r="D2294" s="8"/>
      <c r="E2294" s="8">
        <v>86324</v>
      </c>
      <c r="F2294" s="8"/>
      <c r="G2294" s="15" t="s">
        <v>10</v>
      </c>
      <c r="H2294" s="15" t="s">
        <v>10</v>
      </c>
      <c r="I2294" s="15" t="s">
        <v>10</v>
      </c>
      <c r="J2294" s="15" t="s">
        <v>10</v>
      </c>
      <c r="K2294" s="15">
        <v>1.104278850960285</v>
      </c>
      <c r="L2294" s="15">
        <v>1.104278850960285</v>
      </c>
      <c r="M2294" s="15">
        <v>0.96626347061795181</v>
      </c>
      <c r="N2294" s="15">
        <v>0.96626347061795181</v>
      </c>
      <c r="O2294" s="15" t="s">
        <v>10</v>
      </c>
      <c r="P2294" s="15" t="s">
        <v>10</v>
      </c>
      <c r="Q2294" s="8"/>
      <c r="R2294" s="9" t="s">
        <v>2271</v>
      </c>
    </row>
    <row r="2295" spans="1:18" x14ac:dyDescent="0.25">
      <c r="A2295" s="6" t="str">
        <f>HYPERLINK("proteomic_fractions_linear_files/Yang_linear_img/309265796.jpg", "309265796")</f>
        <v>309265796</v>
      </c>
      <c r="B2295" s="7"/>
      <c r="C2295" s="6" t="str">
        <f>HYPERLINK("http://www.ncbi.nlm.nih.gov/protein/309265796","Exoc3l2")</f>
        <v>Exoc3l2</v>
      </c>
      <c r="D2295" s="8"/>
      <c r="E2295" s="8">
        <v>87059</v>
      </c>
      <c r="F2295" s="8"/>
      <c r="G2295" s="15" t="s">
        <v>10</v>
      </c>
      <c r="H2295" s="15" t="s">
        <v>10</v>
      </c>
      <c r="I2295" s="15">
        <v>0.39716524747672627</v>
      </c>
      <c r="J2295" s="15">
        <v>0.39716524747672627</v>
      </c>
      <c r="K2295" s="15">
        <v>0.39716524747672627</v>
      </c>
      <c r="L2295" s="15">
        <v>0.39716524747672627</v>
      </c>
      <c r="M2295" s="15" t="s">
        <v>10</v>
      </c>
      <c r="N2295" s="15" t="s">
        <v>10</v>
      </c>
      <c r="O2295" s="15" t="s">
        <v>10</v>
      </c>
      <c r="P2295" s="15" t="s">
        <v>10</v>
      </c>
      <c r="Q2295" s="8"/>
      <c r="R2295" s="9" t="s">
        <v>8049</v>
      </c>
    </row>
    <row r="2296" spans="1:18" x14ac:dyDescent="0.25">
      <c r="A2296" s="6" t="str">
        <f>HYPERLINK("proteomic_fractions_linear_files/Yang_linear_img/83921574.jpg", "83921574")</f>
        <v>83921574</v>
      </c>
      <c r="B2296" s="7"/>
      <c r="C2296" s="6" t="str">
        <f>HYPERLINK("http://www.ncbi.nlm.nih.gov/protein/83921574","Exoc4")</f>
        <v>Exoc4</v>
      </c>
      <c r="D2296" s="8"/>
      <c r="E2296" s="8">
        <v>110414</v>
      </c>
      <c r="F2296" s="8"/>
      <c r="G2296" s="15" t="s">
        <v>10</v>
      </c>
      <c r="H2296" s="15" t="s">
        <v>10</v>
      </c>
      <c r="I2296" s="15" t="s">
        <v>10</v>
      </c>
      <c r="J2296" s="15" t="s">
        <v>10</v>
      </c>
      <c r="K2296" s="15">
        <v>1.1701966195010634</v>
      </c>
      <c r="L2296" s="15">
        <v>1.1701966195010634</v>
      </c>
      <c r="M2296" s="15">
        <v>1.1701966195010634</v>
      </c>
      <c r="N2296" s="15">
        <v>1.1701966195010634</v>
      </c>
      <c r="O2296" s="15">
        <v>1.1701966195010634</v>
      </c>
      <c r="P2296" s="15">
        <v>1.1701966195010634</v>
      </c>
      <c r="Q2296" s="8"/>
      <c r="R2296" s="9" t="s">
        <v>2272</v>
      </c>
    </row>
    <row r="2297" spans="1:18" x14ac:dyDescent="0.25">
      <c r="A2297" s="6" t="str">
        <f>HYPERLINK("proteomic_fractions_linear_files/Yang_linear_img/46402177.jpg", "46402177")</f>
        <v>46402177</v>
      </c>
      <c r="B2297" s="7"/>
      <c r="C2297" s="6" t="str">
        <f>HYPERLINK("http://www.ncbi.nlm.nih.gov/protein/46402177","Exoc5")</f>
        <v>Exoc5</v>
      </c>
      <c r="D2297" s="8"/>
      <c r="E2297" s="8">
        <v>81607</v>
      </c>
      <c r="F2297" s="8"/>
      <c r="G2297" s="15" t="s">
        <v>10</v>
      </c>
      <c r="H2297" s="15" t="s">
        <v>10</v>
      </c>
      <c r="I2297" s="15" t="s">
        <v>10</v>
      </c>
      <c r="J2297" s="15" t="s">
        <v>10</v>
      </c>
      <c r="K2297" s="15">
        <v>1.0133982740627299</v>
      </c>
      <c r="L2297" s="15">
        <v>1.0133982740627299</v>
      </c>
      <c r="M2297" s="15">
        <v>1.0133982740627299</v>
      </c>
      <c r="N2297" s="15">
        <v>1.0133982740627299</v>
      </c>
      <c r="O2297" s="15" t="s">
        <v>10</v>
      </c>
      <c r="P2297" s="15" t="s">
        <v>10</v>
      </c>
      <c r="Q2297" s="8"/>
      <c r="R2297" s="9" t="s">
        <v>2273</v>
      </c>
    </row>
    <row r="2298" spans="1:18" x14ac:dyDescent="0.25">
      <c r="A2298" s="6" t="str">
        <f>HYPERLINK("proteomic_fractions_linear_files/Yang_linear_img/62526126.jpg", "62526126")</f>
        <v>62526126</v>
      </c>
      <c r="B2298" s="7"/>
      <c r="C2298" s="6" t="str">
        <f>HYPERLINK("http://www.ncbi.nlm.nih.gov/protein/62526126","Exoc6")</f>
        <v>Exoc6</v>
      </c>
      <c r="D2298" s="8"/>
      <c r="E2298" s="8">
        <v>93156</v>
      </c>
      <c r="F2298" s="8"/>
      <c r="G2298" s="15">
        <v>0.51924704929478771</v>
      </c>
      <c r="H2298" s="15">
        <v>0.51924704929478771</v>
      </c>
      <c r="I2298" s="15">
        <v>0.78963613163099189</v>
      </c>
      <c r="J2298" s="15">
        <v>0.78963613163099189</v>
      </c>
      <c r="K2298" s="15">
        <v>0.89353396207681568</v>
      </c>
      <c r="L2298" s="15">
        <v>0.89353396207681568</v>
      </c>
      <c r="M2298" s="15">
        <v>0.89353396207681568</v>
      </c>
      <c r="N2298" s="15">
        <v>0.89353396207681568</v>
      </c>
      <c r="O2298" s="15">
        <v>0.78963613163099189</v>
      </c>
      <c r="P2298" s="15">
        <v>0.78963613163099189</v>
      </c>
      <c r="Q2298" s="8"/>
      <c r="R2298" s="9" t="s">
        <v>2274</v>
      </c>
    </row>
    <row r="2299" spans="1:18" x14ac:dyDescent="0.25">
      <c r="A2299" s="6" t="str">
        <f>HYPERLINK("proteomic_fractions_linear_files/Yang_linear_img/226371698.jpg", "226371698")</f>
        <v>226371698</v>
      </c>
      <c r="B2299" s="7"/>
      <c r="C2299" s="6" t="str">
        <f>HYPERLINK("http://www.ncbi.nlm.nih.gov/protein/226371698","Exoc6b")</f>
        <v>Exoc6b</v>
      </c>
      <c r="D2299" s="8"/>
      <c r="E2299" s="8">
        <v>93999</v>
      </c>
      <c r="F2299" s="8"/>
      <c r="G2299" s="15" t="s">
        <v>10</v>
      </c>
      <c r="H2299" s="15" t="s">
        <v>10</v>
      </c>
      <c r="I2299" s="15">
        <v>1.0102976721551544</v>
      </c>
      <c r="J2299" s="15">
        <v>1.0102976721551544</v>
      </c>
      <c r="K2299" s="15">
        <v>1.1681017427779943</v>
      </c>
      <c r="L2299" s="15">
        <v>1.1681017427779943</v>
      </c>
      <c r="M2299" s="15" t="s">
        <v>10</v>
      </c>
      <c r="N2299" s="15" t="s">
        <v>10</v>
      </c>
      <c r="O2299" s="15" t="s">
        <v>10</v>
      </c>
      <c r="P2299" s="15" t="s">
        <v>10</v>
      </c>
      <c r="Q2299" s="8"/>
      <c r="R2299" s="9" t="s">
        <v>2275</v>
      </c>
    </row>
    <row r="2300" spans="1:18" x14ac:dyDescent="0.25">
      <c r="A2300" s="6" t="str">
        <f>HYPERLINK("proteomic_fractions_linear_files/Yang_linear_img/247269408.jpg", "247269408")</f>
        <v>247269408</v>
      </c>
      <c r="B2300" s="7"/>
      <c r="C2300" s="6" t="str">
        <f>HYPERLINK("http://www.ncbi.nlm.nih.gov/protein/247269408","Exoc7")</f>
        <v>Exoc7</v>
      </c>
      <c r="D2300" s="8"/>
      <c r="E2300" s="8">
        <v>79829</v>
      </c>
      <c r="F2300" s="8"/>
      <c r="G2300" s="15" t="s">
        <v>10</v>
      </c>
      <c r="H2300" s="15" t="s">
        <v>10</v>
      </c>
      <c r="I2300" s="15">
        <v>0.91795200302102808</v>
      </c>
      <c r="J2300" s="15">
        <v>0.91795200302102808</v>
      </c>
      <c r="K2300" s="15">
        <v>1.0387332309142983</v>
      </c>
      <c r="L2300" s="15">
        <v>1.0387332309142983</v>
      </c>
      <c r="M2300" s="15">
        <v>1.0387332309142983</v>
      </c>
      <c r="N2300" s="15">
        <v>1.0387332309142983</v>
      </c>
      <c r="O2300" s="15" t="s">
        <v>10</v>
      </c>
      <c r="P2300" s="15" t="s">
        <v>10</v>
      </c>
      <c r="Q2300" s="8"/>
      <c r="R2300" s="9" t="s">
        <v>2276</v>
      </c>
    </row>
    <row r="2301" spans="1:18" x14ac:dyDescent="0.25">
      <c r="A2301" s="6" t="str">
        <f>HYPERLINK("proteomic_fractions_linear_files/Yang_linear_img/247269443.jpg", "247269443")</f>
        <v>247269443</v>
      </c>
      <c r="B2301" s="7"/>
      <c r="C2301" s="6" t="str">
        <f>HYPERLINK("http://www.ncbi.nlm.nih.gov/protein/247269443","Exoc7")</f>
        <v>Exoc7</v>
      </c>
      <c r="D2301" s="8"/>
      <c r="E2301" s="8">
        <v>75028</v>
      </c>
      <c r="F2301" s="8"/>
      <c r="G2301" s="15" t="s">
        <v>10</v>
      </c>
      <c r="H2301" s="15" t="s">
        <v>10</v>
      </c>
      <c r="I2301" s="15">
        <v>0.97914880322242992</v>
      </c>
      <c r="J2301" s="15">
        <v>0.97914880322242992</v>
      </c>
      <c r="K2301" s="15">
        <v>1.1079821129752514</v>
      </c>
      <c r="L2301" s="15">
        <v>1.1079821129752514</v>
      </c>
      <c r="M2301" s="15">
        <v>1.1079821129752514</v>
      </c>
      <c r="N2301" s="15">
        <v>1.1079821129752514</v>
      </c>
      <c r="O2301" s="15" t="s">
        <v>10</v>
      </c>
      <c r="P2301" s="15" t="s">
        <v>10</v>
      </c>
      <c r="Q2301" s="8"/>
      <c r="R2301" s="9" t="s">
        <v>2277</v>
      </c>
    </row>
    <row r="2302" spans="1:18" x14ac:dyDescent="0.25">
      <c r="A2302" s="6" t="str">
        <f>HYPERLINK("proteomic_fractions_linear_files/Yang_linear_img/37674218.jpg", "37674218")</f>
        <v>37674218</v>
      </c>
      <c r="B2302" s="7"/>
      <c r="C2302" s="6" t="str">
        <f>HYPERLINK("http://www.ncbi.nlm.nih.gov/protein/37674218","Exoc8")</f>
        <v>Exoc8</v>
      </c>
      <c r="D2302" s="8"/>
      <c r="E2302" s="8">
        <v>80904</v>
      </c>
      <c r="F2302" s="8"/>
      <c r="G2302" s="15" t="s">
        <v>10</v>
      </c>
      <c r="H2302" s="15" t="s">
        <v>10</v>
      </c>
      <c r="I2302" s="15">
        <v>1.0259093638659735</v>
      </c>
      <c r="J2302" s="15">
        <v>1.0259093638659735</v>
      </c>
      <c r="K2302" s="15">
        <v>1.1724442121306728</v>
      </c>
      <c r="L2302" s="15">
        <v>1.1724442121306728</v>
      </c>
      <c r="M2302" s="15">
        <v>1.0259093638659735</v>
      </c>
      <c r="N2302" s="15">
        <v>1.0259093638659735</v>
      </c>
      <c r="O2302" s="15">
        <v>1.0259093638659735</v>
      </c>
      <c r="P2302" s="15">
        <v>1.0259093638659735</v>
      </c>
      <c r="Q2302" s="8"/>
      <c r="R2302" s="9" t="s">
        <v>2278</v>
      </c>
    </row>
    <row r="2303" spans="1:18" x14ac:dyDescent="0.25">
      <c r="A2303" s="6" t="str">
        <f>HYPERLINK("proteomic_fractions_linear_files/Yang_linear_img/27369613.jpg", "27369613")</f>
        <v>27369613</v>
      </c>
      <c r="B2303" s="7"/>
      <c r="C2303" s="6" t="str">
        <f>HYPERLINK("http://www.ncbi.nlm.nih.gov/protein/27369613","Exog")</f>
        <v>Exog</v>
      </c>
      <c r="D2303" s="8"/>
      <c r="E2303" s="8">
        <v>37043</v>
      </c>
      <c r="F2303" s="8"/>
      <c r="G2303" s="15" t="s">
        <v>10</v>
      </c>
      <c r="H2303" s="15" t="s">
        <v>10</v>
      </c>
      <c r="I2303" s="15" t="s">
        <v>10</v>
      </c>
      <c r="J2303" s="15" t="s">
        <v>10</v>
      </c>
      <c r="K2303" s="15">
        <v>1.0947923838708851</v>
      </c>
      <c r="L2303" s="15">
        <v>1.0947923838708851</v>
      </c>
      <c r="M2303" s="15" t="s">
        <v>10</v>
      </c>
      <c r="N2303" s="15" t="s">
        <v>10</v>
      </c>
      <c r="O2303" s="15" t="s">
        <v>10</v>
      </c>
      <c r="P2303" s="15" t="s">
        <v>10</v>
      </c>
      <c r="Q2303" s="8"/>
      <c r="R2303" s="9" t="s">
        <v>2279</v>
      </c>
    </row>
    <row r="2304" spans="1:18" x14ac:dyDescent="0.25">
      <c r="A2304" s="6" t="str">
        <f>HYPERLINK("proteomic_fractions_linear_files/Yang_linear_img/287327708.jpg", "287327708")</f>
        <v>287327708</v>
      </c>
      <c r="B2304" s="7"/>
      <c r="C2304" s="6" t="str">
        <f>HYPERLINK("http://www.ncbi.nlm.nih.gov/protein/287327708","Exog")</f>
        <v>Exog</v>
      </c>
      <c r="D2304" s="8"/>
      <c r="E2304" s="8">
        <v>43479</v>
      </c>
      <c r="F2304" s="8"/>
      <c r="G2304" s="15" t="s">
        <v>10</v>
      </c>
      <c r="H2304" s="15" t="s">
        <v>10</v>
      </c>
      <c r="I2304" s="15" t="s">
        <v>10</v>
      </c>
      <c r="J2304" s="15" t="s">
        <v>10</v>
      </c>
      <c r="K2304" s="15">
        <v>0.942030655888901</v>
      </c>
      <c r="L2304" s="15">
        <v>0.942030655888901</v>
      </c>
      <c r="M2304" s="15" t="s">
        <v>10</v>
      </c>
      <c r="N2304" s="15" t="s">
        <v>10</v>
      </c>
      <c r="O2304" s="15" t="s">
        <v>10</v>
      </c>
      <c r="P2304" s="15" t="s">
        <v>10</v>
      </c>
      <c r="Q2304" s="8"/>
      <c r="R2304" s="9" t="s">
        <v>2280</v>
      </c>
    </row>
    <row r="2305" spans="1:18" x14ac:dyDescent="0.25">
      <c r="A2305" s="6" t="str">
        <f>HYPERLINK("proteomic_fractions_linear_files/Yang_linear_img/22267446.jpg", "22267446")</f>
        <v>22267446</v>
      </c>
      <c r="B2305" s="7"/>
      <c r="C2305" s="6" t="str">
        <f>HYPERLINK("http://www.ncbi.nlm.nih.gov/protein/22267446","Exosc1")</f>
        <v>Exosc1</v>
      </c>
      <c r="D2305" s="8"/>
      <c r="E2305" s="8">
        <v>21293</v>
      </c>
      <c r="F2305" s="8"/>
      <c r="G2305" s="15" t="s">
        <v>10</v>
      </c>
      <c r="H2305" s="15" t="s">
        <v>10</v>
      </c>
      <c r="I2305" s="15">
        <v>0.98083053269791776</v>
      </c>
      <c r="J2305" s="15">
        <v>0.98083053269791776</v>
      </c>
      <c r="K2305" s="15">
        <v>0.98083053269791776</v>
      </c>
      <c r="L2305" s="15">
        <v>0.98083053269791776</v>
      </c>
      <c r="M2305" s="15">
        <v>0.98083053269791776</v>
      </c>
      <c r="N2305" s="15">
        <v>0.98083053269791776</v>
      </c>
      <c r="O2305" s="15">
        <v>0.98083053269791776</v>
      </c>
      <c r="P2305" s="15">
        <v>0.98083053269791776</v>
      </c>
      <c r="Q2305" s="8"/>
      <c r="R2305" s="9" t="s">
        <v>2281</v>
      </c>
    </row>
    <row r="2306" spans="1:18" x14ac:dyDescent="0.25">
      <c r="A2306" s="6" t="str">
        <f>HYPERLINK("proteomic_fractions_linear_files/Yang_linear_img/257096005.jpg", "257096005")</f>
        <v>257096005</v>
      </c>
      <c r="B2306" s="7"/>
      <c r="C2306" s="6" t="str">
        <f>HYPERLINK("http://www.ncbi.nlm.nih.gov/protein/257096005","Exosc1")</f>
        <v>Exosc1</v>
      </c>
      <c r="D2306" s="8"/>
      <c r="E2306" s="8">
        <v>16663</v>
      </c>
      <c r="F2306" s="8"/>
      <c r="G2306" s="15" t="s">
        <v>10</v>
      </c>
      <c r="H2306" s="15" t="s">
        <v>10</v>
      </c>
      <c r="I2306" s="15">
        <v>1.211614187450369</v>
      </c>
      <c r="J2306" s="15">
        <v>1.211614187450369</v>
      </c>
      <c r="K2306" s="15">
        <v>1.211614187450369</v>
      </c>
      <c r="L2306" s="15">
        <v>1.211614187450369</v>
      </c>
      <c r="M2306" s="15">
        <v>1.211614187450369</v>
      </c>
      <c r="N2306" s="15">
        <v>1.211614187450369</v>
      </c>
      <c r="O2306" s="15">
        <v>1.211614187450369</v>
      </c>
      <c r="P2306" s="15">
        <v>1.211614187450369</v>
      </c>
      <c r="Q2306" s="8"/>
      <c r="R2306" s="9" t="s">
        <v>2282</v>
      </c>
    </row>
    <row r="2307" spans="1:18" x14ac:dyDescent="0.25">
      <c r="A2307" s="6" t="str">
        <f>HYPERLINK("proteomic_fractions_linear_files/Yang_linear_img/227116266.jpg", "227116266")</f>
        <v>227116266</v>
      </c>
      <c r="B2307" s="7"/>
      <c r="C2307" s="6" t="str">
        <f>HYPERLINK("http://www.ncbi.nlm.nih.gov/protein/227116266","Exosc10")</f>
        <v>Exosc10</v>
      </c>
      <c r="D2307" s="8"/>
      <c r="E2307" s="8">
        <v>100811</v>
      </c>
      <c r="F2307" s="8"/>
      <c r="G2307" s="15" t="s">
        <v>10</v>
      </c>
      <c r="H2307" s="15" t="s">
        <v>10</v>
      </c>
      <c r="I2307" s="15" t="s">
        <v>10</v>
      </c>
      <c r="J2307" s="15" t="s">
        <v>10</v>
      </c>
      <c r="K2307" s="15">
        <v>1.2744715657932373</v>
      </c>
      <c r="L2307" s="15">
        <v>1.2744715657932373</v>
      </c>
      <c r="M2307" s="15">
        <v>1.0871441962488264</v>
      </c>
      <c r="N2307" s="15">
        <v>1.0871441962488264</v>
      </c>
      <c r="O2307" s="15" t="s">
        <v>10</v>
      </c>
      <c r="P2307" s="15" t="s">
        <v>10</v>
      </c>
      <c r="Q2307" s="8"/>
      <c r="R2307" s="9" t="s">
        <v>2283</v>
      </c>
    </row>
    <row r="2308" spans="1:18" x14ac:dyDescent="0.25">
      <c r="A2308" s="6" t="str">
        <f>HYPERLINK("proteomic_fractions_linear_files/Yang_linear_img/21450259.jpg", "21450259")</f>
        <v>21450259</v>
      </c>
      <c r="B2308" s="7"/>
      <c r="C2308" s="6" t="str">
        <f>HYPERLINK("http://www.ncbi.nlm.nih.gov/protein/21450259","Exosc2")</f>
        <v>Exosc2</v>
      </c>
      <c r="D2308" s="8"/>
      <c r="E2308" s="8">
        <v>32501</v>
      </c>
      <c r="F2308" s="8"/>
      <c r="G2308" s="15" t="s">
        <v>10</v>
      </c>
      <c r="H2308" s="15" t="s">
        <v>10</v>
      </c>
      <c r="I2308" s="15">
        <v>0.90561839065797367</v>
      </c>
      <c r="J2308" s="15">
        <v>0.90561839065797367</v>
      </c>
      <c r="K2308" s="15">
        <v>0.90561839065797367</v>
      </c>
      <c r="L2308" s="15">
        <v>0.90561839065797367</v>
      </c>
      <c r="M2308" s="15">
        <v>0.90561839065797367</v>
      </c>
      <c r="N2308" s="15">
        <v>0.90561839065797367</v>
      </c>
      <c r="O2308" s="15" t="s">
        <v>10</v>
      </c>
      <c r="P2308" s="15" t="s">
        <v>10</v>
      </c>
      <c r="Q2308" s="8"/>
      <c r="R2308" s="9" t="s">
        <v>2284</v>
      </c>
    </row>
    <row r="2309" spans="1:18" x14ac:dyDescent="0.25">
      <c r="A2309" s="6" t="str">
        <f>HYPERLINK("proteomic_fractions_linear_files/Yang_linear_img/39930417.jpg", "39930417")</f>
        <v>39930417</v>
      </c>
      <c r="B2309" s="7"/>
      <c r="C2309" s="6" t="str">
        <f>HYPERLINK("http://www.ncbi.nlm.nih.gov/protein/39930417","Exosc3")</f>
        <v>Exosc3</v>
      </c>
      <c r="D2309" s="8"/>
      <c r="E2309" s="8">
        <v>29415</v>
      </c>
      <c r="F2309" s="8"/>
      <c r="G2309" s="15" t="s">
        <v>10</v>
      </c>
      <c r="H2309" s="15" t="s">
        <v>10</v>
      </c>
      <c r="I2309" s="15" t="s">
        <v>10</v>
      </c>
      <c r="J2309" s="15" t="s">
        <v>10</v>
      </c>
      <c r="K2309" s="15">
        <v>1.0305312721280391</v>
      </c>
      <c r="L2309" s="15">
        <v>1.0305312721280391</v>
      </c>
      <c r="M2309" s="15">
        <v>1.0305312721280391</v>
      </c>
      <c r="N2309" s="15">
        <v>1.0305312721280391</v>
      </c>
      <c r="O2309" s="15">
        <v>0.90173303846293107</v>
      </c>
      <c r="P2309" s="15">
        <v>0.90173303846293107</v>
      </c>
      <c r="Q2309" s="8"/>
      <c r="R2309" s="9" t="s">
        <v>2285</v>
      </c>
    </row>
    <row r="2310" spans="1:18" x14ac:dyDescent="0.25">
      <c r="A2310" s="6" t="str">
        <f>HYPERLINK("proteomic_fractions_linear_files/Yang_linear_img/29611663.jpg", "29611663")</f>
        <v>29611663</v>
      </c>
      <c r="B2310" s="7"/>
      <c r="C2310" s="6" t="str">
        <f>HYPERLINK("http://www.ncbi.nlm.nih.gov/protein/29611663","Exosc4")</f>
        <v>Exosc4</v>
      </c>
      <c r="D2310" s="8"/>
      <c r="E2310" s="8">
        <v>26119</v>
      </c>
      <c r="F2310" s="8"/>
      <c r="G2310" s="15" t="s">
        <v>10</v>
      </c>
      <c r="H2310" s="15" t="s">
        <v>10</v>
      </c>
      <c r="I2310" s="15" t="s">
        <v>10</v>
      </c>
      <c r="J2310" s="15" t="s">
        <v>10</v>
      </c>
      <c r="K2310" s="15">
        <v>1.0057791582855768</v>
      </c>
      <c r="L2310" s="15">
        <v>1.0057791582855768</v>
      </c>
      <c r="M2310" s="15">
        <v>0.94441617743372752</v>
      </c>
      <c r="N2310" s="15">
        <v>0.94441617743372752</v>
      </c>
      <c r="O2310" s="15" t="s">
        <v>10</v>
      </c>
      <c r="P2310" s="15" t="s">
        <v>10</v>
      </c>
      <c r="Q2310" s="8"/>
      <c r="R2310" s="9" t="s">
        <v>2286</v>
      </c>
    </row>
    <row r="2311" spans="1:18" x14ac:dyDescent="0.25">
      <c r="A2311" s="6" t="str">
        <f>HYPERLINK("proteomic_fractions_linear_files/Yang_linear_img/20070392.jpg", "20070392")</f>
        <v>20070392</v>
      </c>
      <c r="B2311" s="7"/>
      <c r="C2311" s="6" t="str">
        <f>HYPERLINK("http://www.ncbi.nlm.nih.gov/protein/20070392","Exosc5")</f>
        <v>Exosc5</v>
      </c>
      <c r="D2311" s="8"/>
      <c r="E2311" s="8">
        <v>25063</v>
      </c>
      <c r="F2311" s="8"/>
      <c r="G2311" s="15" t="s">
        <v>10</v>
      </c>
      <c r="H2311" s="15" t="s">
        <v>10</v>
      </c>
      <c r="I2311" s="15">
        <v>0.9821928245310767</v>
      </c>
      <c r="J2311" s="15">
        <v>0.9821928245310767</v>
      </c>
      <c r="K2311" s="15">
        <v>0.9821928245310767</v>
      </c>
      <c r="L2311" s="15">
        <v>0.9821928245310767</v>
      </c>
      <c r="M2311" s="15">
        <v>0.9821928245310767</v>
      </c>
      <c r="N2311" s="15">
        <v>0.9821928245310767</v>
      </c>
      <c r="O2311" s="15" t="s">
        <v>10</v>
      </c>
      <c r="P2311" s="15" t="s">
        <v>10</v>
      </c>
      <c r="Q2311" s="8"/>
      <c r="R2311" s="9" t="s">
        <v>2287</v>
      </c>
    </row>
    <row r="2312" spans="1:18" x14ac:dyDescent="0.25">
      <c r="A2312" s="6" t="str">
        <f>HYPERLINK("proteomic_fractions_linear_files/Yang_linear_img/30794378.jpg", "30794378")</f>
        <v>30794378</v>
      </c>
      <c r="B2312" s="7"/>
      <c r="C2312" s="6" t="str">
        <f>HYPERLINK("http://www.ncbi.nlm.nih.gov/protein/30794378","Exosc6")</f>
        <v>Exosc6</v>
      </c>
      <c r="D2312" s="8"/>
      <c r="E2312" s="8">
        <v>28239</v>
      </c>
      <c r="F2312" s="8"/>
      <c r="G2312" s="15">
        <v>0.93393778983660714</v>
      </c>
      <c r="H2312" s="15">
        <v>0.93393778983660714</v>
      </c>
      <c r="I2312" s="15">
        <v>0.99707897491721642</v>
      </c>
      <c r="J2312" s="15">
        <v>0.99707897491721642</v>
      </c>
      <c r="K2312" s="15">
        <v>0.99707897491721642</v>
      </c>
      <c r="L2312" s="15">
        <v>0.99707897491721642</v>
      </c>
      <c r="M2312" s="15">
        <v>0.99707897491721642</v>
      </c>
      <c r="N2312" s="15">
        <v>0.99707897491721642</v>
      </c>
      <c r="O2312" s="15">
        <v>0.87695787904560418</v>
      </c>
      <c r="P2312" s="15">
        <v>0.87695787904560418</v>
      </c>
      <c r="Q2312" s="8"/>
      <c r="R2312" s="9" t="s">
        <v>2288</v>
      </c>
    </row>
    <row r="2313" spans="1:18" x14ac:dyDescent="0.25">
      <c r="A2313" s="6" t="str">
        <f>HYPERLINK("proteomic_fractions_linear_files/Yang_linear_img/124487127.jpg", "124487127")</f>
        <v>124487127</v>
      </c>
      <c r="B2313" s="7"/>
      <c r="C2313" s="6" t="str">
        <f>HYPERLINK("http://www.ncbi.nlm.nih.gov/protein/124487127","Exosc7")</f>
        <v>Exosc7</v>
      </c>
      <c r="D2313" s="8"/>
      <c r="E2313" s="8">
        <v>31694</v>
      </c>
      <c r="F2313" s="8"/>
      <c r="G2313" s="15" t="s">
        <v>10</v>
      </c>
      <c r="H2313" s="15" t="s">
        <v>10</v>
      </c>
      <c r="I2313" s="15">
        <v>1.0026272767416746</v>
      </c>
      <c r="J2313" s="15">
        <v>1.0026272767416746</v>
      </c>
      <c r="K2313" s="15">
        <v>1.0797930165773495</v>
      </c>
      <c r="L2313" s="15">
        <v>1.0797930165773495</v>
      </c>
      <c r="M2313" s="15">
        <v>1.0026272767416746</v>
      </c>
      <c r="N2313" s="15">
        <v>1.0026272767416746</v>
      </c>
      <c r="O2313" s="15" t="s">
        <v>10</v>
      </c>
      <c r="P2313" s="15" t="s">
        <v>10</v>
      </c>
      <c r="Q2313" s="8"/>
      <c r="R2313" s="9" t="s">
        <v>2289</v>
      </c>
    </row>
    <row r="2314" spans="1:18" x14ac:dyDescent="0.25">
      <c r="A2314" s="6" t="str">
        <f>HYPERLINK("proteomic_fractions_linear_files/Yang_linear_img/254675240.jpg", "254675240")</f>
        <v>254675240</v>
      </c>
      <c r="B2314" s="7"/>
      <c r="C2314" s="6" t="str">
        <f>HYPERLINK("http://www.ncbi.nlm.nih.gov/protein/254675240","Exosc8")</f>
        <v>Exosc8</v>
      </c>
      <c r="D2314" s="8"/>
      <c r="E2314" s="8">
        <v>30265</v>
      </c>
      <c r="F2314" s="8"/>
      <c r="G2314" s="15" t="s">
        <v>10</v>
      </c>
      <c r="H2314" s="15" t="s">
        <v>10</v>
      </c>
      <c r="I2314" s="15">
        <v>1.1517792176825061</v>
      </c>
      <c r="J2314" s="15">
        <v>1.1517792176825061</v>
      </c>
      <c r="K2314" s="15">
        <v>1.1517792176825061</v>
      </c>
      <c r="L2314" s="15">
        <v>1.1517792176825061</v>
      </c>
      <c r="M2314" s="15">
        <v>1.1517792176825061</v>
      </c>
      <c r="N2314" s="15">
        <v>1.1517792176825061</v>
      </c>
      <c r="O2314" s="15">
        <v>0.99618022972377107</v>
      </c>
      <c r="P2314" s="15">
        <v>0.99618022972377107</v>
      </c>
      <c r="Q2314" s="8"/>
      <c r="R2314" s="9" t="s">
        <v>2290</v>
      </c>
    </row>
    <row r="2315" spans="1:18" x14ac:dyDescent="0.25">
      <c r="A2315" s="6" t="str">
        <f>HYPERLINK("proteomic_fractions_linear_files/Yang_linear_img/254692991.jpg", "254692991")</f>
        <v>254692991</v>
      </c>
      <c r="B2315" s="7"/>
      <c r="C2315" s="6" t="str">
        <f>HYPERLINK("http://www.ncbi.nlm.nih.gov/protein/254692991","Exosc8")</f>
        <v>Exosc8</v>
      </c>
      <c r="D2315" s="8"/>
      <c r="E2315" s="8">
        <v>29818</v>
      </c>
      <c r="F2315" s="8"/>
      <c r="G2315" s="15" t="s">
        <v>10</v>
      </c>
      <c r="H2315" s="15" t="s">
        <v>10</v>
      </c>
      <c r="I2315" s="15">
        <v>1.1517792176825061</v>
      </c>
      <c r="J2315" s="15">
        <v>1.1517792176825061</v>
      </c>
      <c r="K2315" s="15">
        <v>1.1517792176825061</v>
      </c>
      <c r="L2315" s="15">
        <v>1.1517792176825061</v>
      </c>
      <c r="M2315" s="15">
        <v>1.1517792176825061</v>
      </c>
      <c r="N2315" s="15">
        <v>1.1517792176825061</v>
      </c>
      <c r="O2315" s="15">
        <v>0.99618022972377107</v>
      </c>
      <c r="P2315" s="15">
        <v>0.99618022972377107</v>
      </c>
      <c r="Q2315" s="8"/>
      <c r="R2315" s="9" t="s">
        <v>2291</v>
      </c>
    </row>
    <row r="2316" spans="1:18" x14ac:dyDescent="0.25">
      <c r="A2316" s="6" t="str">
        <f>HYPERLINK("proteomic_fractions_linear_files/Yang_linear_img/9506981.jpg", "9506981")</f>
        <v>9506981</v>
      </c>
      <c r="B2316" s="7"/>
      <c r="C2316" s="6" t="str">
        <f>HYPERLINK("http://www.ncbi.nlm.nih.gov/protein/9506981","Exosc9")</f>
        <v>Exosc9</v>
      </c>
      <c r="D2316" s="8"/>
      <c r="E2316" s="8">
        <v>48806</v>
      </c>
      <c r="F2316" s="8"/>
      <c r="G2316" s="15" t="s">
        <v>10</v>
      </c>
      <c r="H2316" s="15" t="s">
        <v>10</v>
      </c>
      <c r="I2316" s="15">
        <v>1.4986971477894335</v>
      </c>
      <c r="J2316" s="15">
        <v>1.4986971477894335</v>
      </c>
      <c r="K2316" s="15">
        <v>1.4986971477894335</v>
      </c>
      <c r="L2316" s="15">
        <v>1.4986971477894335</v>
      </c>
      <c r="M2316" s="15">
        <v>1.4986971477894335</v>
      </c>
      <c r="N2316" s="15">
        <v>1.4986971477894335</v>
      </c>
      <c r="O2316" s="15">
        <v>1.3357808842968231</v>
      </c>
      <c r="P2316" s="15">
        <v>1.3357808842968231</v>
      </c>
      <c r="Q2316" s="8"/>
      <c r="R2316" s="9" t="s">
        <v>2292</v>
      </c>
    </row>
    <row r="2317" spans="1:18" x14ac:dyDescent="0.25">
      <c r="A2317" s="6" t="str">
        <f>HYPERLINK("proteomic_fractions_linear_files/Yang_linear_img/254553481.jpg", "254553481")</f>
        <v>254553481</v>
      </c>
      <c r="B2317" s="7"/>
      <c r="C2317" s="6" t="str">
        <f>HYPERLINK("http://www.ncbi.nlm.nih.gov/protein/254553481","Extl2")</f>
        <v>Extl2</v>
      </c>
      <c r="D2317" s="8"/>
      <c r="E2317" s="8">
        <v>37260</v>
      </c>
      <c r="F2317" s="8"/>
      <c r="G2317" s="15" t="s">
        <v>10</v>
      </c>
      <c r="H2317" s="15" t="s">
        <v>10</v>
      </c>
      <c r="I2317" s="15">
        <v>1.0092250384628267</v>
      </c>
      <c r="J2317" s="15">
        <v>1.0092250384628267</v>
      </c>
      <c r="K2317" s="15" t="s">
        <v>10</v>
      </c>
      <c r="L2317" s="15" t="s">
        <v>10</v>
      </c>
      <c r="M2317" s="15" t="s">
        <v>10</v>
      </c>
      <c r="N2317" s="15" t="s">
        <v>10</v>
      </c>
      <c r="O2317" s="15" t="s">
        <v>10</v>
      </c>
      <c r="P2317" s="15" t="s">
        <v>10</v>
      </c>
      <c r="Q2317" s="8"/>
      <c r="R2317" s="9" t="s">
        <v>2293</v>
      </c>
    </row>
    <row r="2318" spans="1:18" x14ac:dyDescent="0.25">
      <c r="A2318" s="6" t="str">
        <f>HYPERLINK("proteomic_fractions_linear_files/Yang_linear_img/254553485.jpg", "254553485")</f>
        <v>254553485</v>
      </c>
      <c r="B2318" s="7"/>
      <c r="C2318" s="6" t="str">
        <f>HYPERLINK("http://www.ncbi.nlm.nih.gov/protein/254553485","Extl2")</f>
        <v>Extl2</v>
      </c>
      <c r="D2318" s="8"/>
      <c r="E2318" s="8">
        <v>33258</v>
      </c>
      <c r="F2318" s="8"/>
      <c r="G2318" s="15" t="s">
        <v>10</v>
      </c>
      <c r="H2318" s="15" t="s">
        <v>10</v>
      </c>
      <c r="I2318" s="15">
        <v>1.1315553461552907</v>
      </c>
      <c r="J2318" s="15">
        <v>1.1315553461552907</v>
      </c>
      <c r="K2318" s="15" t="s">
        <v>10</v>
      </c>
      <c r="L2318" s="15" t="s">
        <v>10</v>
      </c>
      <c r="M2318" s="15" t="s">
        <v>10</v>
      </c>
      <c r="N2318" s="15" t="s">
        <v>10</v>
      </c>
      <c r="O2318" s="15" t="s">
        <v>10</v>
      </c>
      <c r="P2318" s="15" t="s">
        <v>10</v>
      </c>
      <c r="Q2318" s="8"/>
      <c r="R2318" s="9" t="s">
        <v>2294</v>
      </c>
    </row>
    <row r="2319" spans="1:18" x14ac:dyDescent="0.25">
      <c r="A2319" s="6" t="str">
        <f>HYPERLINK("proteomic_fractions_linear_files/Yang_linear_img/46877074.jpg", "46877074")</f>
        <v>46877074</v>
      </c>
      <c r="B2319" s="7"/>
      <c r="C2319" s="6" t="str">
        <f>HYPERLINK("http://www.ncbi.nlm.nih.gov/protein/46877074","Eya3")</f>
        <v>Eya3</v>
      </c>
      <c r="D2319" s="8"/>
      <c r="E2319" s="8">
        <v>55842</v>
      </c>
      <c r="F2319" s="8"/>
      <c r="G2319" s="15" t="s">
        <v>10</v>
      </c>
      <c r="H2319" s="15" t="s">
        <v>10</v>
      </c>
      <c r="I2319" s="15" t="s">
        <v>10</v>
      </c>
      <c r="J2319" s="15" t="s">
        <v>10</v>
      </c>
      <c r="K2319" s="15" t="s">
        <v>10</v>
      </c>
      <c r="L2319" s="15" t="s">
        <v>10</v>
      </c>
      <c r="M2319" s="15" t="s">
        <v>10</v>
      </c>
      <c r="N2319" s="15" t="s">
        <v>10</v>
      </c>
      <c r="O2319" s="15">
        <v>1.1688082737597203</v>
      </c>
      <c r="P2319" s="15">
        <v>1.1688082737597203</v>
      </c>
      <c r="Q2319" s="8"/>
      <c r="R2319" s="9" t="s">
        <v>2295</v>
      </c>
    </row>
    <row r="2320" spans="1:18" x14ac:dyDescent="0.25">
      <c r="A2320" s="6" t="str">
        <f>HYPERLINK("proteomic_fractions_linear_files/Yang_linear_img/46877076.jpg", "46877076")</f>
        <v>46877076</v>
      </c>
      <c r="B2320" s="7"/>
      <c r="C2320" s="6" t="str">
        <f>HYPERLINK("http://www.ncbi.nlm.nih.gov/protein/46877076","Eya3")</f>
        <v>Eya3</v>
      </c>
      <c r="D2320" s="8"/>
      <c r="E2320" s="8">
        <v>57724</v>
      </c>
      <c r="F2320" s="8"/>
      <c r="G2320" s="15" t="s">
        <v>10</v>
      </c>
      <c r="H2320" s="15" t="s">
        <v>10</v>
      </c>
      <c r="I2320" s="15" t="s">
        <v>10</v>
      </c>
      <c r="J2320" s="15" t="s">
        <v>10</v>
      </c>
      <c r="K2320" s="15" t="s">
        <v>10</v>
      </c>
      <c r="L2320" s="15" t="s">
        <v>10</v>
      </c>
      <c r="M2320" s="15" t="s">
        <v>10</v>
      </c>
      <c r="N2320" s="15" t="s">
        <v>10</v>
      </c>
      <c r="O2320" s="15">
        <v>1.1285045401817988</v>
      </c>
      <c r="P2320" s="15">
        <v>1.1285045401817988</v>
      </c>
      <c r="Q2320" s="8"/>
      <c r="R2320" s="9" t="s">
        <v>2296</v>
      </c>
    </row>
    <row r="2321" spans="1:18" x14ac:dyDescent="0.25">
      <c r="A2321" s="6" t="str">
        <f>HYPERLINK("proteomic_fractions_linear_files/Yang_linear_img/46877080.jpg", "46877080")</f>
        <v>46877080</v>
      </c>
      <c r="B2321" s="7"/>
      <c r="C2321" s="6" t="str">
        <f>HYPERLINK("http://www.ncbi.nlm.nih.gov/protein/46877080","Eya3")</f>
        <v>Eya3</v>
      </c>
      <c r="D2321" s="8"/>
      <c r="E2321" s="8">
        <v>45387</v>
      </c>
      <c r="F2321" s="8"/>
      <c r="G2321" s="15" t="s">
        <v>10</v>
      </c>
      <c r="H2321" s="15" t="s">
        <v>10</v>
      </c>
      <c r="I2321" s="15" t="s">
        <v>10</v>
      </c>
      <c r="J2321" s="15" t="s">
        <v>10</v>
      </c>
      <c r="K2321" s="15" t="s">
        <v>10</v>
      </c>
      <c r="L2321" s="15" t="s">
        <v>10</v>
      </c>
      <c r="M2321" s="15" t="s">
        <v>10</v>
      </c>
      <c r="N2321" s="15" t="s">
        <v>10</v>
      </c>
      <c r="O2321" s="15">
        <v>1.4545169629009851</v>
      </c>
      <c r="P2321" s="15">
        <v>1.4545169629009851</v>
      </c>
      <c r="Q2321" s="8"/>
      <c r="R2321" s="9" t="s">
        <v>2297</v>
      </c>
    </row>
    <row r="2322" spans="1:18" x14ac:dyDescent="0.25">
      <c r="A2322" s="6" t="str">
        <f>HYPERLINK("proteomic_fractions_linear_files/Yang_linear_img/83921618.jpg", "83921618")</f>
        <v>83921618</v>
      </c>
      <c r="B2322" s="7"/>
      <c r="C2322" s="6" t="str">
        <f>HYPERLINK("http://www.ncbi.nlm.nih.gov/protein/83921618","Ezr")</f>
        <v>Ezr</v>
      </c>
      <c r="D2322" s="8"/>
      <c r="E2322" s="8">
        <v>69276</v>
      </c>
      <c r="F2322" s="8"/>
      <c r="G2322" s="15">
        <v>1.3763475533707901</v>
      </c>
      <c r="H2322" s="15">
        <v>1.3763475533707901</v>
      </c>
      <c r="I2322" s="15">
        <v>1.2043283836687515</v>
      </c>
      <c r="J2322" s="15">
        <v>1.2043283836687515</v>
      </c>
      <c r="K2322" s="15">
        <v>1.3763475533707901</v>
      </c>
      <c r="L2322" s="15">
        <v>1.3763475533707901</v>
      </c>
      <c r="M2322" s="15">
        <v>1.2043283836687515</v>
      </c>
      <c r="N2322" s="15">
        <v>1.2043283836687515</v>
      </c>
      <c r="O2322" s="15">
        <v>1.2043283836687515</v>
      </c>
      <c r="P2322" s="15">
        <v>1.2043283836687515</v>
      </c>
      <c r="Q2322" s="8"/>
      <c r="R2322" s="9" t="s">
        <v>2298</v>
      </c>
    </row>
    <row r="2323" spans="1:18" x14ac:dyDescent="0.25">
      <c r="A2323" s="6" t="str">
        <f>HYPERLINK("proteomic_fractions_linear_files/Yang_linear_img/27734847.jpg", "27734847")</f>
        <v>27734847</v>
      </c>
      <c r="B2323" s="7"/>
      <c r="C2323" s="6" t="str">
        <f>HYPERLINK("http://www.ncbi.nlm.nih.gov/protein/27734847","F11r")</f>
        <v>F11r</v>
      </c>
      <c r="D2323" s="8"/>
      <c r="E2323" s="8">
        <v>29687</v>
      </c>
      <c r="F2323" s="8"/>
      <c r="G2323" s="15">
        <v>1.3502439401074249</v>
      </c>
      <c r="H2323" s="15">
        <v>1.3502439401074249</v>
      </c>
      <c r="I2323" s="15">
        <v>1.0694690951911197</v>
      </c>
      <c r="J2323" s="15">
        <v>1.0694690951911197</v>
      </c>
      <c r="K2323" s="15">
        <v>1.1517792176825061</v>
      </c>
      <c r="L2323" s="15">
        <v>1.1517792176825061</v>
      </c>
      <c r="M2323" s="15">
        <v>1.2447108807708198</v>
      </c>
      <c r="N2323" s="15">
        <v>1.2447108807708198</v>
      </c>
      <c r="O2323" s="15">
        <v>0.99618022972377107</v>
      </c>
      <c r="P2323" s="15">
        <v>0.99618022972377107</v>
      </c>
      <c r="Q2323" s="8"/>
      <c r="R2323" s="9" t="s">
        <v>2299</v>
      </c>
    </row>
    <row r="2324" spans="1:18" x14ac:dyDescent="0.25">
      <c r="A2324" s="6" t="str">
        <f>HYPERLINK("proteomic_fractions_linear_files/Yang_linear_img/6753798.jpg", "6753798")</f>
        <v>6753798</v>
      </c>
      <c r="B2324" s="7"/>
      <c r="C2324" s="6" t="str">
        <f>HYPERLINK("http://www.ncbi.nlm.nih.gov/protein/6753798","F2")</f>
        <v>F2</v>
      </c>
      <c r="D2324" s="8"/>
      <c r="E2324" s="8">
        <v>65643</v>
      </c>
      <c r="F2324" s="8"/>
      <c r="G2324" s="15" t="s">
        <v>10</v>
      </c>
      <c r="H2324" s="15" t="s">
        <v>10</v>
      </c>
      <c r="I2324" s="15" t="s">
        <v>10</v>
      </c>
      <c r="J2324" s="15" t="s">
        <v>10</v>
      </c>
      <c r="K2324" s="15" t="s">
        <v>10</v>
      </c>
      <c r="L2324" s="15" t="s">
        <v>10</v>
      </c>
      <c r="M2324" s="15">
        <v>0.66856953404493136</v>
      </c>
      <c r="N2324" s="15">
        <v>0.66856953404493136</v>
      </c>
      <c r="O2324" s="15" t="s">
        <v>10</v>
      </c>
      <c r="P2324" s="15" t="s">
        <v>10</v>
      </c>
      <c r="Q2324" s="8"/>
      <c r="R2324" s="9" t="s">
        <v>2300</v>
      </c>
    </row>
    <row r="2325" spans="1:18" x14ac:dyDescent="0.25">
      <c r="A2325" s="6" t="str">
        <f>HYPERLINK("proteomic_fractions_linear_files/Yang_linear_img/170172540.jpg", "170172540")</f>
        <v>170172540</v>
      </c>
      <c r="B2325" s="7"/>
      <c r="C2325" s="6" t="str">
        <f>HYPERLINK("http://www.ncbi.nlm.nih.gov/protein/170172540","F3")</f>
        <v>F3</v>
      </c>
      <c r="D2325" s="8"/>
      <c r="E2325" s="8">
        <v>30018</v>
      </c>
      <c r="F2325" s="8"/>
      <c r="G2325" s="15">
        <v>2.4478720080560747</v>
      </c>
      <c r="H2325" s="15">
        <v>2.4478720080560747</v>
      </c>
      <c r="I2325" s="15">
        <v>1.7706856543333693</v>
      </c>
      <c r="J2325" s="15">
        <v>1.7706856543333693</v>
      </c>
      <c r="K2325" s="15">
        <v>1.959106919519795</v>
      </c>
      <c r="L2325" s="15">
        <v>1.959106919519795</v>
      </c>
      <c r="M2325" s="15" t="s">
        <v>10</v>
      </c>
      <c r="N2325" s="15" t="s">
        <v>10</v>
      </c>
      <c r="O2325" s="15" t="s">
        <v>10</v>
      </c>
      <c r="P2325" s="15" t="s">
        <v>10</v>
      </c>
      <c r="Q2325" s="8"/>
      <c r="R2325" s="9" t="s">
        <v>2301</v>
      </c>
    </row>
    <row r="2326" spans="1:18" x14ac:dyDescent="0.25">
      <c r="A2326" s="6" t="str">
        <f>HYPERLINK("proteomic_fractions_linear_files/Yang_linear_img/83921576.jpg", "83921576")</f>
        <v>83921576</v>
      </c>
      <c r="B2326" s="7"/>
      <c r="C2326" s="6" t="str">
        <f>HYPERLINK("http://www.ncbi.nlm.nih.gov/protein/83921576","F8a")</f>
        <v>F8a</v>
      </c>
      <c r="D2326" s="8"/>
      <c r="E2326" s="8">
        <v>40343</v>
      </c>
      <c r="F2326" s="8"/>
      <c r="G2326" s="15" t="s">
        <v>10</v>
      </c>
      <c r="H2326" s="15" t="s">
        <v>10</v>
      </c>
      <c r="I2326" s="15" t="s">
        <v>10</v>
      </c>
      <c r="J2326" s="15" t="s">
        <v>10</v>
      </c>
      <c r="K2326" s="15">
        <v>0.93353316057811475</v>
      </c>
      <c r="L2326" s="15">
        <v>0.93353316057811475</v>
      </c>
      <c r="M2326" s="15">
        <v>0.93353316057811475</v>
      </c>
      <c r="N2326" s="15">
        <v>0.93353316057811475</v>
      </c>
      <c r="O2326" s="15" t="s">
        <v>10</v>
      </c>
      <c r="P2326" s="15" t="s">
        <v>10</v>
      </c>
      <c r="Q2326" s="8"/>
      <c r="R2326" s="9" t="s">
        <v>2302</v>
      </c>
    </row>
    <row r="2327" spans="1:18" x14ac:dyDescent="0.25">
      <c r="A2327" s="6" t="str">
        <f>HYPERLINK("proteomic_fractions_linear_files/Yang_linear_img/226443015.jpg", "226443015")</f>
        <v>226443015</v>
      </c>
      <c r="B2327" s="7"/>
      <c r="C2327" s="6" t="str">
        <f>HYPERLINK("http://www.ncbi.nlm.nih.gov/protein/226443015","Faah")</f>
        <v>Faah</v>
      </c>
      <c r="D2327" s="8"/>
      <c r="E2327" s="8">
        <v>63091</v>
      </c>
      <c r="F2327" s="8"/>
      <c r="G2327" s="15">
        <v>1.3190263249705374</v>
      </c>
      <c r="H2327" s="15">
        <v>1.3190263249705374</v>
      </c>
      <c r="I2327" s="15">
        <v>1.038940687786418</v>
      </c>
      <c r="J2327" s="15">
        <v>1.038940687786418</v>
      </c>
      <c r="K2327" s="15">
        <v>1.038940687786418</v>
      </c>
      <c r="L2327" s="15">
        <v>1.038940687786418</v>
      </c>
      <c r="M2327" s="15">
        <v>1.038940687786418</v>
      </c>
      <c r="N2327" s="15">
        <v>1.038940687786418</v>
      </c>
      <c r="O2327" s="15" t="s">
        <v>10</v>
      </c>
      <c r="P2327" s="15" t="s">
        <v>10</v>
      </c>
      <c r="Q2327" s="8"/>
      <c r="R2327" s="9" t="s">
        <v>2303</v>
      </c>
    </row>
    <row r="2328" spans="1:18" x14ac:dyDescent="0.25">
      <c r="A2328" s="6" t="str">
        <f>HYPERLINK("proteomic_fractions_linear_files/Yang_linear_img/22164784.jpg", "22164784")</f>
        <v>22164784</v>
      </c>
      <c r="B2328" s="7"/>
      <c r="C2328" s="6" t="str">
        <f>HYPERLINK("http://www.ncbi.nlm.nih.gov/protein/22164784","Fads1")</f>
        <v>Fads1</v>
      </c>
      <c r="D2328" s="8"/>
      <c r="E2328" s="8">
        <v>52192</v>
      </c>
      <c r="F2328" s="8"/>
      <c r="G2328" s="15">
        <v>0.77898688852351428</v>
      </c>
      <c r="H2328" s="15">
        <v>0.77898688852351428</v>
      </c>
      <c r="I2328" s="15">
        <v>0.84856902398010514</v>
      </c>
      <c r="J2328" s="15">
        <v>0.84856902398010514</v>
      </c>
      <c r="K2328" s="15">
        <v>0.84856902398010514</v>
      </c>
      <c r="L2328" s="15">
        <v>0.84856902398010514</v>
      </c>
      <c r="M2328" s="15" t="s">
        <v>10</v>
      </c>
      <c r="N2328" s="15" t="s">
        <v>10</v>
      </c>
      <c r="O2328" s="15" t="s">
        <v>10</v>
      </c>
      <c r="P2328" s="15" t="s">
        <v>10</v>
      </c>
      <c r="Q2328" s="8"/>
      <c r="R2328" s="9" t="s">
        <v>2304</v>
      </c>
    </row>
    <row r="2329" spans="1:18" x14ac:dyDescent="0.25">
      <c r="A2329" s="6" t="str">
        <f>HYPERLINK("proteomic_fractions_linear_files/Yang_linear_img/9790071.jpg", "9790071")</f>
        <v>9790071</v>
      </c>
      <c r="B2329" s="7"/>
      <c r="C2329" s="6" t="str">
        <f>HYPERLINK("http://www.ncbi.nlm.nih.gov/protein/9790071","Fads2")</f>
        <v>Fads2</v>
      </c>
      <c r="D2329" s="8"/>
      <c r="E2329" s="8">
        <v>52257</v>
      </c>
      <c r="F2329" s="8"/>
      <c r="G2329" s="15">
        <v>0.92865337662337022</v>
      </c>
      <c r="H2329" s="15">
        <v>0.92865337662337022</v>
      </c>
      <c r="I2329" s="15">
        <v>0.77898688852351428</v>
      </c>
      <c r="J2329" s="15">
        <v>0.77898688852351428</v>
      </c>
      <c r="K2329" s="15">
        <v>0.84856902398010514</v>
      </c>
      <c r="L2329" s="15">
        <v>0.84856902398010514</v>
      </c>
      <c r="M2329" s="15" t="s">
        <v>10</v>
      </c>
      <c r="N2329" s="15" t="s">
        <v>10</v>
      </c>
      <c r="O2329" s="15" t="s">
        <v>10</v>
      </c>
      <c r="P2329" s="15" t="s">
        <v>10</v>
      </c>
      <c r="Q2329" s="8"/>
      <c r="R2329" s="9" t="s">
        <v>2305</v>
      </c>
    </row>
    <row r="2330" spans="1:18" x14ac:dyDescent="0.25">
      <c r="A2330" s="6" t="str">
        <f>HYPERLINK("proteomic_fractions_linear_files/Yang_linear_img/40789280.jpg", "40789280")</f>
        <v>40789280</v>
      </c>
      <c r="B2330" s="7"/>
      <c r="C2330" s="6" t="str">
        <f>HYPERLINK("http://www.ncbi.nlm.nih.gov/protein/40789280","Faf1")</f>
        <v>Faf1</v>
      </c>
      <c r="D2330" s="8"/>
      <c r="E2330" s="8">
        <v>73732</v>
      </c>
      <c r="F2330" s="8"/>
      <c r="G2330" s="15" t="s">
        <v>10</v>
      </c>
      <c r="H2330" s="15" t="s">
        <v>10</v>
      </c>
      <c r="I2330" s="15">
        <v>1.1229548442316737</v>
      </c>
      <c r="J2330" s="15">
        <v>1.1229548442316737</v>
      </c>
      <c r="K2330" s="15">
        <v>1.1229548442316737</v>
      </c>
      <c r="L2330" s="15">
        <v>1.1229548442316737</v>
      </c>
      <c r="M2330" s="15">
        <v>1.1229548442316737</v>
      </c>
      <c r="N2330" s="15">
        <v>1.1229548442316737</v>
      </c>
      <c r="O2330" s="15">
        <v>0.99238054380651686</v>
      </c>
      <c r="P2330" s="15">
        <v>0.99238054380651686</v>
      </c>
      <c r="Q2330" s="8"/>
      <c r="R2330" s="9" t="s">
        <v>2306</v>
      </c>
    </row>
    <row r="2331" spans="1:18" x14ac:dyDescent="0.25">
      <c r="A2331" s="6" t="str">
        <f>HYPERLINK("proteomic_fractions_linear_files/Yang_linear_img/158533976.jpg", "158533976")</f>
        <v>158533976</v>
      </c>
      <c r="B2331" s="7"/>
      <c r="C2331" s="6" t="str">
        <f>HYPERLINK("http://www.ncbi.nlm.nih.gov/protein/158533976","Faf2")</f>
        <v>Faf2</v>
      </c>
      <c r="D2331" s="8"/>
      <c r="E2331" s="8">
        <v>52340</v>
      </c>
      <c r="F2331" s="8"/>
      <c r="G2331" s="15">
        <v>1.4122338508015817</v>
      </c>
      <c r="H2331" s="15">
        <v>1.4122338508015817</v>
      </c>
      <c r="I2331" s="15">
        <v>1.0215494159615592</v>
      </c>
      <c r="J2331" s="15">
        <v>1.0215494159615592</v>
      </c>
      <c r="K2331" s="15">
        <v>1.0215494159615592</v>
      </c>
      <c r="L2331" s="15">
        <v>1.0215494159615592</v>
      </c>
      <c r="M2331" s="15" t="s">
        <v>10</v>
      </c>
      <c r="N2331" s="15" t="s">
        <v>10</v>
      </c>
      <c r="O2331" s="15" t="s">
        <v>10</v>
      </c>
      <c r="P2331" s="15" t="s">
        <v>10</v>
      </c>
      <c r="Q2331" s="8"/>
      <c r="R2331" s="9" t="s">
        <v>2307</v>
      </c>
    </row>
    <row r="2332" spans="1:18" x14ac:dyDescent="0.25">
      <c r="A2332" s="6" t="str">
        <f>HYPERLINK("proteomic_fractions_linear_files/Yang_linear_img/240120112.jpg", "240120112")</f>
        <v>240120112</v>
      </c>
      <c r="B2332" s="7"/>
      <c r="C2332" s="6" t="str">
        <f>HYPERLINK("http://www.ncbi.nlm.nih.gov/protein/240120112","Fah")</f>
        <v>Fah</v>
      </c>
      <c r="D2332" s="8"/>
      <c r="E2332" s="8">
        <v>46045</v>
      </c>
      <c r="F2332" s="8"/>
      <c r="G2332" s="15" t="s">
        <v>10</v>
      </c>
      <c r="H2332" s="15" t="s">
        <v>10</v>
      </c>
      <c r="I2332" s="15" t="s">
        <v>10</v>
      </c>
      <c r="J2332" s="15" t="s">
        <v>10</v>
      </c>
      <c r="K2332" s="15" t="s">
        <v>10</v>
      </c>
      <c r="L2332" s="15" t="s">
        <v>10</v>
      </c>
      <c r="M2332" s="15" t="s">
        <v>10</v>
      </c>
      <c r="N2332" s="15" t="s">
        <v>10</v>
      </c>
      <c r="O2332" s="15">
        <v>0.75116035935815617</v>
      </c>
      <c r="P2332" s="15">
        <v>0.75116035935815617</v>
      </c>
      <c r="Q2332" s="8"/>
      <c r="R2332" s="9" t="s">
        <v>2308</v>
      </c>
    </row>
    <row r="2333" spans="1:18" x14ac:dyDescent="0.25">
      <c r="A2333" s="6" t="str">
        <f>HYPERLINK("proteomic_fractions_linear_files/Yang_linear_img/12963697.jpg", "12963697")</f>
        <v>12963697</v>
      </c>
      <c r="B2333" s="7"/>
      <c r="C2333" s="6" t="str">
        <f>HYPERLINK("http://www.ncbi.nlm.nih.gov/protein/12963697","Fahd1")</f>
        <v>Fahd1</v>
      </c>
      <c r="D2333" s="8"/>
      <c r="E2333" s="8">
        <v>21695</v>
      </c>
      <c r="F2333" s="8"/>
      <c r="G2333" s="15">
        <v>1.5706080241125084</v>
      </c>
      <c r="H2333" s="15">
        <v>1.5706080241125084</v>
      </c>
      <c r="I2333" s="15">
        <v>1.1161282096944054</v>
      </c>
      <c r="J2333" s="15">
        <v>1.1161282096944054</v>
      </c>
      <c r="K2333" s="15" t="s">
        <v>10</v>
      </c>
      <c r="L2333" s="15" t="s">
        <v>10</v>
      </c>
      <c r="M2333" s="15" t="s">
        <v>10</v>
      </c>
      <c r="N2333" s="15" t="s">
        <v>10</v>
      </c>
      <c r="O2333" s="15">
        <v>0.99071555775812503</v>
      </c>
      <c r="P2333" s="15">
        <v>0.99071555775812503</v>
      </c>
      <c r="Q2333" s="8"/>
      <c r="R2333" s="9" t="s">
        <v>2309</v>
      </c>
    </row>
    <row r="2334" spans="1:18" x14ac:dyDescent="0.25">
      <c r="A2334" s="6" t="str">
        <f>HYPERLINK("proteomic_fractions_linear_files/Yang_linear_img/29366814.jpg", "29366814")</f>
        <v>29366814</v>
      </c>
      <c r="B2334" s="7"/>
      <c r="C2334" s="6" t="str">
        <f>HYPERLINK("http://www.ncbi.nlm.nih.gov/protein/29366814","Fahd2a")</f>
        <v>Fahd2a</v>
      </c>
      <c r="D2334" s="8"/>
      <c r="E2334" s="8">
        <v>34545</v>
      </c>
      <c r="F2334" s="8"/>
      <c r="G2334" s="15">
        <v>0.79766317993377311</v>
      </c>
      <c r="H2334" s="15">
        <v>0.79766317993377311</v>
      </c>
      <c r="I2334" s="15">
        <v>0.85386876833466085</v>
      </c>
      <c r="J2334" s="15">
        <v>0.85386876833466085</v>
      </c>
      <c r="K2334" s="15" t="s">
        <v>10</v>
      </c>
      <c r="L2334" s="15" t="s">
        <v>10</v>
      </c>
      <c r="M2334" s="15" t="s">
        <v>10</v>
      </c>
      <c r="N2334" s="15" t="s">
        <v>10</v>
      </c>
      <c r="O2334" s="15" t="s">
        <v>10</v>
      </c>
      <c r="P2334" s="15" t="s">
        <v>10</v>
      </c>
      <c r="Q2334" s="8"/>
      <c r="R2334" s="9" t="s">
        <v>2310</v>
      </c>
    </row>
    <row r="2335" spans="1:18" x14ac:dyDescent="0.25">
      <c r="A2335" s="6" t="str">
        <f>HYPERLINK("proteomic_fractions_linear_files/Yang_linear_img/171184428.jpg", "171184428")</f>
        <v>171184428</v>
      </c>
      <c r="B2335" s="7"/>
      <c r="C2335" s="6" t="str">
        <f>HYPERLINK("http://www.ncbi.nlm.nih.gov/protein/171184428","Faim")</f>
        <v>Faim</v>
      </c>
      <c r="D2335" s="8"/>
      <c r="E2335" s="8">
        <v>20070</v>
      </c>
      <c r="F2335" s="8"/>
      <c r="G2335" s="15" t="s">
        <v>10</v>
      </c>
      <c r="H2335" s="15" t="s">
        <v>10</v>
      </c>
      <c r="I2335" s="15" t="s">
        <v>10</v>
      </c>
      <c r="J2335" s="15" t="s">
        <v>10</v>
      </c>
      <c r="K2335" s="15">
        <v>0.97505749140176368</v>
      </c>
      <c r="L2335" s="15">
        <v>0.97505749140176368</v>
      </c>
      <c r="M2335" s="15">
        <v>0.97505749140176368</v>
      </c>
      <c r="N2335" s="15">
        <v>0.97505749140176368</v>
      </c>
      <c r="O2335" s="15">
        <v>0.92476495822820426</v>
      </c>
      <c r="P2335" s="15">
        <v>0.92476495822820426</v>
      </c>
      <c r="Q2335" s="8"/>
      <c r="R2335" s="9" t="s">
        <v>2311</v>
      </c>
    </row>
    <row r="2336" spans="1:18" x14ac:dyDescent="0.25">
      <c r="A2336" s="6" t="str">
        <f>HYPERLINK("proteomic_fractions_linear_files/Yang_linear_img/171184430.jpg", "171184430")</f>
        <v>171184430</v>
      </c>
      <c r="B2336" s="7"/>
      <c r="C2336" s="6" t="str">
        <f>HYPERLINK("http://www.ncbi.nlm.nih.gov/protein/171184430","Faim")</f>
        <v>Faim</v>
      </c>
      <c r="D2336" s="8"/>
      <c r="E2336" s="8">
        <v>22497</v>
      </c>
      <c r="F2336" s="8"/>
      <c r="G2336" s="15" t="s">
        <v>10</v>
      </c>
      <c r="H2336" s="15" t="s">
        <v>10</v>
      </c>
      <c r="I2336" s="15" t="s">
        <v>10</v>
      </c>
      <c r="J2336" s="15" t="s">
        <v>10</v>
      </c>
      <c r="K2336" s="15">
        <v>0.88641590127433068</v>
      </c>
      <c r="L2336" s="15">
        <v>0.88641590127433068</v>
      </c>
      <c r="M2336" s="15">
        <v>0.88641590127433068</v>
      </c>
      <c r="N2336" s="15">
        <v>0.88641590127433068</v>
      </c>
      <c r="O2336" s="15">
        <v>0.8406954165710947</v>
      </c>
      <c r="P2336" s="15">
        <v>0.8406954165710947</v>
      </c>
      <c r="Q2336" s="8"/>
      <c r="R2336" s="9" t="s">
        <v>2312</v>
      </c>
    </row>
    <row r="2337" spans="1:18" x14ac:dyDescent="0.25">
      <c r="A2337" s="6" t="str">
        <f>HYPERLINK("proteomic_fractions_linear_files/Yang_linear_img/254675227.jpg", "254675227")</f>
        <v>254675227</v>
      </c>
      <c r="B2337" s="7"/>
      <c r="C2337" s="6" t="str">
        <f>HYPERLINK("http://www.ncbi.nlm.nih.gov/protein/254675227","Fam102b")</f>
        <v>Fam102b</v>
      </c>
      <c r="D2337" s="8"/>
      <c r="E2337" s="8">
        <v>40062</v>
      </c>
      <c r="F2337" s="8"/>
      <c r="G2337" s="15" t="s">
        <v>10</v>
      </c>
      <c r="H2337" s="15" t="s">
        <v>10</v>
      </c>
      <c r="I2337" s="15" t="s">
        <v>10</v>
      </c>
      <c r="J2337" s="15" t="s">
        <v>10</v>
      </c>
      <c r="K2337" s="15" t="s">
        <v>10</v>
      </c>
      <c r="L2337" s="15" t="s">
        <v>10</v>
      </c>
      <c r="M2337" s="15" t="s">
        <v>10</v>
      </c>
      <c r="N2337" s="15" t="s">
        <v>10</v>
      </c>
      <c r="O2337" s="15">
        <v>1.1031397311741367</v>
      </c>
      <c r="P2337" s="15">
        <v>1.1031397311741367</v>
      </c>
      <c r="Q2337" s="8"/>
      <c r="R2337" s="9" t="s">
        <v>2313</v>
      </c>
    </row>
    <row r="2338" spans="1:18" x14ac:dyDescent="0.25">
      <c r="A2338" s="6" t="str">
        <f>HYPERLINK("proteomic_fractions_linear_files/Yang_linear_img/149588667.jpg", "149588667")</f>
        <v>149588667</v>
      </c>
      <c r="B2338" s="7"/>
      <c r="C2338" s="6" t="str">
        <f>HYPERLINK("http://www.ncbi.nlm.nih.gov/protein/149588667","Fam104a")</f>
        <v>Fam104a</v>
      </c>
      <c r="D2338" s="8"/>
      <c r="E2338" s="8">
        <v>19487</v>
      </c>
      <c r="F2338" s="8"/>
      <c r="G2338" s="15" t="s">
        <v>10</v>
      </c>
      <c r="H2338" s="15" t="s">
        <v>10</v>
      </c>
      <c r="I2338" s="15">
        <v>315.42631578947368</v>
      </c>
      <c r="J2338" s="15">
        <v>315.42631578947368</v>
      </c>
      <c r="K2338" s="15" t="s">
        <v>10</v>
      </c>
      <c r="L2338" s="15" t="s">
        <v>10</v>
      </c>
      <c r="M2338" s="15">
        <v>1.2923589796461534</v>
      </c>
      <c r="N2338" s="15">
        <v>1.2923589796461534</v>
      </c>
      <c r="O2338" s="15" t="s">
        <v>10</v>
      </c>
      <c r="P2338" s="15" t="s">
        <v>10</v>
      </c>
      <c r="Q2338" s="8"/>
      <c r="R2338" s="9" t="s">
        <v>2314</v>
      </c>
    </row>
    <row r="2339" spans="1:18" x14ac:dyDescent="0.25">
      <c r="A2339" s="6" t="str">
        <f>HYPERLINK("proteomic_fractions_linear_files/Yang_linear_img/13385088.jpg", "13385088")</f>
        <v>13385088</v>
      </c>
      <c r="B2339" s="7"/>
      <c r="C2339" s="6" t="str">
        <f>HYPERLINK("http://www.ncbi.nlm.nih.gov/protein/13385088","Fam107b")</f>
        <v>Fam107b</v>
      </c>
      <c r="D2339" s="8"/>
      <c r="E2339" s="8">
        <v>15441</v>
      </c>
      <c r="F2339" s="8"/>
      <c r="G2339" s="15" t="s">
        <v>10</v>
      </c>
      <c r="H2339" s="15" t="s">
        <v>10</v>
      </c>
      <c r="I2339" s="15" t="s">
        <v>10</v>
      </c>
      <c r="J2339" s="15" t="s">
        <v>10</v>
      </c>
      <c r="K2339" s="15" t="s">
        <v>10</v>
      </c>
      <c r="L2339" s="15" t="s">
        <v>10</v>
      </c>
      <c r="M2339" s="15" t="s">
        <v>10</v>
      </c>
      <c r="N2339" s="15" t="s">
        <v>10</v>
      </c>
      <c r="O2339" s="15">
        <v>1.1713293176905979</v>
      </c>
      <c r="P2339" s="15">
        <v>1.1713293176905979</v>
      </c>
      <c r="Q2339" s="8"/>
      <c r="R2339" s="9" t="s">
        <v>2315</v>
      </c>
    </row>
    <row r="2340" spans="1:18" x14ac:dyDescent="0.25">
      <c r="A2340" s="6" t="str">
        <f>HYPERLINK("proteomic_fractions_linear_files/Yang_linear_img/170650597.jpg", "170650597")</f>
        <v>170650597</v>
      </c>
      <c r="B2340" s="7"/>
      <c r="C2340" s="6" t="str">
        <f>HYPERLINK("http://www.ncbi.nlm.nih.gov/protein/170650597","Fam114a1")</f>
        <v>Fam114a1</v>
      </c>
      <c r="D2340" s="8"/>
      <c r="E2340" s="8">
        <v>60882</v>
      </c>
      <c r="F2340" s="8"/>
      <c r="G2340" s="15" t="s">
        <v>10</v>
      </c>
      <c r="H2340" s="15" t="s">
        <v>10</v>
      </c>
      <c r="I2340" s="15" t="s">
        <v>10</v>
      </c>
      <c r="J2340" s="15" t="s">
        <v>10</v>
      </c>
      <c r="K2340" s="15">
        <v>1.5568521505341724</v>
      </c>
      <c r="L2340" s="15">
        <v>1.5568521505341724</v>
      </c>
      <c r="M2340" s="15">
        <v>1.5568521505341724</v>
      </c>
      <c r="N2340" s="15">
        <v>1.5568521505341724</v>
      </c>
      <c r="O2340" s="15" t="s">
        <v>10</v>
      </c>
      <c r="P2340" s="15" t="s">
        <v>10</v>
      </c>
      <c r="Q2340" s="8"/>
      <c r="R2340" s="9" t="s">
        <v>2316</v>
      </c>
    </row>
    <row r="2341" spans="1:18" x14ac:dyDescent="0.25">
      <c r="A2341" s="6" t="str">
        <f>HYPERLINK("proteomic_fractions_linear_files/Yang_linear_img/21312816.jpg", "21312816")</f>
        <v>21312816</v>
      </c>
      <c r="B2341" s="7"/>
      <c r="C2341" s="6" t="str">
        <f>HYPERLINK("http://www.ncbi.nlm.nih.gov/protein/21312816","Fam114a2")</f>
        <v>Fam114a2</v>
      </c>
      <c r="D2341" s="8"/>
      <c r="E2341" s="8">
        <v>53245</v>
      </c>
      <c r="F2341" s="8"/>
      <c r="G2341" s="15" t="s">
        <v>10</v>
      </c>
      <c r="H2341" s="15" t="s">
        <v>10</v>
      </c>
      <c r="I2341" s="15">
        <v>1.1089284450112047</v>
      </c>
      <c r="J2341" s="15">
        <v>1.1089284450112047</v>
      </c>
      <c r="K2341" s="15">
        <v>1.2349672326517798</v>
      </c>
      <c r="L2341" s="15">
        <v>1.2349672326517798</v>
      </c>
      <c r="M2341" s="15">
        <v>1.1089284450112047</v>
      </c>
      <c r="N2341" s="15">
        <v>1.1089284450112047</v>
      </c>
      <c r="O2341" s="15">
        <v>1.0022748986792656</v>
      </c>
      <c r="P2341" s="15">
        <v>1.0022748986792656</v>
      </c>
      <c r="Q2341" s="8"/>
      <c r="R2341" s="9" t="s">
        <v>2317</v>
      </c>
    </row>
    <row r="2342" spans="1:18" x14ac:dyDescent="0.25">
      <c r="A2342" s="6" t="str">
        <f>HYPERLINK("proteomic_fractions_linear_files/Yang_linear_img/281183372.jpg", "281183372")</f>
        <v>281183372</v>
      </c>
      <c r="B2342" s="7"/>
      <c r="C2342" s="6" t="str">
        <f>HYPERLINK("http://www.ncbi.nlm.nih.gov/protein/281183372","Fam114a2")</f>
        <v>Fam114a2</v>
      </c>
      <c r="D2342" s="8"/>
      <c r="E2342" s="8">
        <v>53914</v>
      </c>
      <c r="F2342" s="8"/>
      <c r="G2342" s="15" t="s">
        <v>10</v>
      </c>
      <c r="H2342" s="15" t="s">
        <v>10</v>
      </c>
      <c r="I2342" s="15">
        <v>1.0883927330665528</v>
      </c>
      <c r="J2342" s="15">
        <v>1.0883927330665528</v>
      </c>
      <c r="K2342" s="15">
        <v>1.2120974690841544</v>
      </c>
      <c r="L2342" s="15">
        <v>1.2120974690841544</v>
      </c>
      <c r="M2342" s="15">
        <v>1.0883927330665528</v>
      </c>
      <c r="N2342" s="15">
        <v>1.0883927330665528</v>
      </c>
      <c r="O2342" s="15">
        <v>0.98371425240742738</v>
      </c>
      <c r="P2342" s="15">
        <v>0.98371425240742738</v>
      </c>
      <c r="Q2342" s="8"/>
      <c r="R2342" s="9" t="s">
        <v>2318</v>
      </c>
    </row>
    <row r="2343" spans="1:18" x14ac:dyDescent="0.25">
      <c r="A2343" s="6" t="str">
        <f>HYPERLINK("proteomic_fractions_linear_files/Yang_linear_img/19526958.jpg", "19526958")</f>
        <v>19526958</v>
      </c>
      <c r="B2343" s="7"/>
      <c r="C2343" s="6" t="str">
        <f>HYPERLINK("http://www.ncbi.nlm.nih.gov/protein/19526958","Fam118a")</f>
        <v>Fam118a</v>
      </c>
      <c r="D2343" s="8"/>
      <c r="E2343" s="8">
        <v>40344</v>
      </c>
      <c r="F2343" s="8"/>
      <c r="G2343" s="15" t="s">
        <v>10</v>
      </c>
      <c r="H2343" s="15" t="s">
        <v>10</v>
      </c>
      <c r="I2343" s="15" t="s">
        <v>10</v>
      </c>
      <c r="J2343" s="15" t="s">
        <v>10</v>
      </c>
      <c r="K2343" s="15" t="s">
        <v>10</v>
      </c>
      <c r="L2343" s="15" t="s">
        <v>10</v>
      </c>
      <c r="M2343" s="15" t="s">
        <v>10</v>
      </c>
      <c r="N2343" s="15" t="s">
        <v>10</v>
      </c>
      <c r="O2343" s="15">
        <v>0.80210182139333974</v>
      </c>
      <c r="P2343" s="15">
        <v>0.80210182139333974</v>
      </c>
      <c r="Q2343" s="8"/>
      <c r="R2343" s="9" t="s">
        <v>2319</v>
      </c>
    </row>
    <row r="2344" spans="1:18" x14ac:dyDescent="0.25">
      <c r="A2344" s="6" t="str">
        <f>HYPERLINK("proteomic_fractions_linear_files/Yang_linear_img/30425122.jpg", "30425122")</f>
        <v>30425122</v>
      </c>
      <c r="B2344" s="7"/>
      <c r="C2344" s="6" t="str">
        <f>HYPERLINK("http://www.ncbi.nlm.nih.gov/protein/30425122","Fam118b")</f>
        <v>Fam118b</v>
      </c>
      <c r="D2344" s="8"/>
      <c r="E2344" s="8">
        <v>30691</v>
      </c>
      <c r="F2344" s="8"/>
      <c r="G2344" s="15" t="s">
        <v>10</v>
      </c>
      <c r="H2344" s="15" t="s">
        <v>10</v>
      </c>
      <c r="I2344" s="15" t="s">
        <v>10</v>
      </c>
      <c r="J2344" s="15" t="s">
        <v>10</v>
      </c>
      <c r="K2344" s="15" t="s">
        <v>10</v>
      </c>
      <c r="L2344" s="15" t="s">
        <v>10</v>
      </c>
      <c r="M2344" s="15" t="s">
        <v>10</v>
      </c>
      <c r="N2344" s="15" t="s">
        <v>10</v>
      </c>
      <c r="O2344" s="15">
        <v>0.96404538360364944</v>
      </c>
      <c r="P2344" s="15">
        <v>0.96404538360364944</v>
      </c>
      <c r="Q2344" s="8"/>
      <c r="R2344" s="9" t="s">
        <v>2320</v>
      </c>
    </row>
    <row r="2345" spans="1:18" x14ac:dyDescent="0.25">
      <c r="A2345" s="6" t="str">
        <f>HYPERLINK("proteomic_fractions_linear_files/Yang_linear_img/34787417.jpg", "34787417")</f>
        <v>34787417</v>
      </c>
      <c r="B2345" s="7"/>
      <c r="C2345" s="6" t="str">
        <f>HYPERLINK("http://www.ncbi.nlm.nih.gov/protein/34787417","Fam118b")</f>
        <v>Fam118b</v>
      </c>
      <c r="D2345" s="8"/>
      <c r="E2345" s="8">
        <v>39377</v>
      </c>
      <c r="F2345" s="8"/>
      <c r="G2345" s="15" t="s">
        <v>10</v>
      </c>
      <c r="H2345" s="15" t="s">
        <v>10</v>
      </c>
      <c r="I2345" s="15" t="s">
        <v>10</v>
      </c>
      <c r="J2345" s="15" t="s">
        <v>10</v>
      </c>
      <c r="K2345" s="15" t="s">
        <v>10</v>
      </c>
      <c r="L2345" s="15" t="s">
        <v>10</v>
      </c>
      <c r="M2345" s="15" t="s">
        <v>10</v>
      </c>
      <c r="N2345" s="15" t="s">
        <v>10</v>
      </c>
      <c r="O2345" s="15">
        <v>0.76629248440290076</v>
      </c>
      <c r="P2345" s="15">
        <v>0.76629248440290076</v>
      </c>
      <c r="Q2345" s="8"/>
      <c r="R2345" s="9" t="s">
        <v>2321</v>
      </c>
    </row>
    <row r="2346" spans="1:18" x14ac:dyDescent="0.25">
      <c r="A2346" s="6" t="str">
        <f>HYPERLINK("proteomic_fractions_linear_files/Yang_linear_img/126090857.jpg", "126090857")</f>
        <v>126090857</v>
      </c>
      <c r="B2346" s="7"/>
      <c r="C2346" s="6" t="str">
        <f>HYPERLINK("http://www.ncbi.nlm.nih.gov/protein/126090857","Fam120a")</f>
        <v>Fam120a</v>
      </c>
      <c r="D2346" s="8"/>
      <c r="E2346" s="8">
        <v>121515</v>
      </c>
      <c r="F2346" s="8"/>
      <c r="G2346" s="15">
        <v>1.5308674724585276</v>
      </c>
      <c r="H2346" s="15">
        <v>1.5308674724585276</v>
      </c>
      <c r="I2346" s="15">
        <v>1.2578104191495232</v>
      </c>
      <c r="J2346" s="15">
        <v>1.2578104191495232</v>
      </c>
      <c r="K2346" s="15">
        <v>1.2578104191495232</v>
      </c>
      <c r="L2346" s="15">
        <v>1.2578104191495232</v>
      </c>
      <c r="M2346" s="15">
        <v>1.2578104191495232</v>
      </c>
      <c r="N2346" s="15">
        <v>1.2578104191495232</v>
      </c>
      <c r="O2346" s="15">
        <v>1.2578104191495232</v>
      </c>
      <c r="P2346" s="15">
        <v>1.2578104191495232</v>
      </c>
      <c r="Q2346" s="8"/>
      <c r="R2346" s="9" t="s">
        <v>2322</v>
      </c>
    </row>
    <row r="2347" spans="1:18" x14ac:dyDescent="0.25">
      <c r="A2347" s="6" t="str">
        <f>HYPERLINK("proteomic_fractions_linear_files/Yang_linear_img/126723307.jpg", "126723307")</f>
        <v>126723307</v>
      </c>
      <c r="B2347" s="7"/>
      <c r="C2347" s="6" t="str">
        <f>HYPERLINK("http://www.ncbi.nlm.nih.gov/protein/126723307","Fam120c")</f>
        <v>Fam120c</v>
      </c>
      <c r="D2347" s="8"/>
      <c r="E2347" s="8">
        <v>119587</v>
      </c>
      <c r="F2347" s="8"/>
      <c r="G2347" s="15" t="s">
        <v>10</v>
      </c>
      <c r="H2347" s="15" t="s">
        <v>10</v>
      </c>
      <c r="I2347" s="15" t="s">
        <v>10</v>
      </c>
      <c r="J2347" s="15" t="s">
        <v>10</v>
      </c>
      <c r="K2347" s="15">
        <v>1.2787739261353486</v>
      </c>
      <c r="L2347" s="15">
        <v>1.2787739261353486</v>
      </c>
      <c r="M2347" s="15" t="s">
        <v>10</v>
      </c>
      <c r="N2347" s="15" t="s">
        <v>10</v>
      </c>
      <c r="O2347" s="15" t="s">
        <v>10</v>
      </c>
      <c r="P2347" s="15" t="s">
        <v>10</v>
      </c>
      <c r="Q2347" s="8"/>
      <c r="R2347" s="9" t="s">
        <v>2323</v>
      </c>
    </row>
    <row r="2348" spans="1:18" x14ac:dyDescent="0.25">
      <c r="A2348" s="6" t="str">
        <f>HYPERLINK("proteomic_fractions_linear_files/Yang_linear_img/117940063.jpg", "117940063")</f>
        <v>117940063</v>
      </c>
      <c r="B2348" s="7"/>
      <c r="C2348" s="6" t="str">
        <f>HYPERLINK("http://www.ncbi.nlm.nih.gov/protein/117940063","Fam126a")</f>
        <v>Fam126a</v>
      </c>
      <c r="D2348" s="8"/>
      <c r="E2348" s="8">
        <v>57190</v>
      </c>
      <c r="F2348" s="8"/>
      <c r="G2348" s="15" t="s">
        <v>10</v>
      </c>
      <c r="H2348" s="15" t="s">
        <v>10</v>
      </c>
      <c r="I2348" s="15" t="s">
        <v>10</v>
      </c>
      <c r="J2348" s="15" t="s">
        <v>10</v>
      </c>
      <c r="K2348" s="15">
        <v>0.77413314468360472</v>
      </c>
      <c r="L2348" s="15">
        <v>0.77413314468360472</v>
      </c>
      <c r="M2348" s="15" t="s">
        <v>10</v>
      </c>
      <c r="N2348" s="15" t="s">
        <v>10</v>
      </c>
      <c r="O2348" s="15" t="s">
        <v>10</v>
      </c>
      <c r="P2348" s="15" t="s">
        <v>10</v>
      </c>
      <c r="Q2348" s="8"/>
      <c r="R2348" s="9" t="s">
        <v>2324</v>
      </c>
    </row>
    <row r="2349" spans="1:18" x14ac:dyDescent="0.25">
      <c r="A2349" s="6" t="str">
        <f>HYPERLINK("proteomic_fractions_linear_files/Yang_linear_img/241982745.jpg", "241982745")</f>
        <v>241982745</v>
      </c>
      <c r="B2349" s="7"/>
      <c r="C2349" s="6" t="str">
        <f>HYPERLINK("http://www.ncbi.nlm.nih.gov/protein/241982745","Fam129a")</f>
        <v>Fam129a</v>
      </c>
      <c r="D2349" s="8"/>
      <c r="E2349" s="8">
        <v>102518</v>
      </c>
      <c r="F2349" s="8"/>
      <c r="G2349" s="15">
        <v>1.8132605013586442</v>
      </c>
      <c r="H2349" s="15">
        <v>1.8132605013586442</v>
      </c>
      <c r="I2349" s="15">
        <v>1.4898337003518625</v>
      </c>
      <c r="J2349" s="15">
        <v>1.4898337003518625</v>
      </c>
      <c r="K2349" s="15">
        <v>1.8132605013586442</v>
      </c>
      <c r="L2349" s="15">
        <v>1.8132605013586442</v>
      </c>
      <c r="M2349" s="15">
        <v>1.8132605013586442</v>
      </c>
      <c r="N2349" s="15">
        <v>1.8132605013586442</v>
      </c>
      <c r="O2349" s="15">
        <v>1.4898337003518625</v>
      </c>
      <c r="P2349" s="15">
        <v>1.4898337003518625</v>
      </c>
      <c r="Q2349" s="8"/>
      <c r="R2349" s="9" t="s">
        <v>2325</v>
      </c>
    </row>
    <row r="2350" spans="1:18" x14ac:dyDescent="0.25">
      <c r="A2350" s="6" t="str">
        <f>HYPERLINK("proteomic_fractions_linear_files/Yang_linear_img/22122641.jpg", "22122641")</f>
        <v>22122641</v>
      </c>
      <c r="B2350" s="7"/>
      <c r="C2350" s="6" t="str">
        <f>HYPERLINK("http://www.ncbi.nlm.nih.gov/protein/22122641","Fam129b")</f>
        <v>Fam129b</v>
      </c>
      <c r="D2350" s="8"/>
      <c r="E2350" s="8">
        <v>84688</v>
      </c>
      <c r="F2350" s="8"/>
      <c r="G2350" s="15" t="s">
        <v>10</v>
      </c>
      <c r="H2350" s="15" t="s">
        <v>10</v>
      </c>
      <c r="I2350" s="15">
        <v>1.2917831037780172</v>
      </c>
      <c r="J2350" s="15">
        <v>1.1172703668539354</v>
      </c>
      <c r="K2350" s="15">
        <v>1.2917831037780172</v>
      </c>
      <c r="L2350" s="15">
        <v>1.2917831037780172</v>
      </c>
      <c r="M2350" s="15">
        <v>1.2917831037780172</v>
      </c>
      <c r="N2350" s="15">
        <v>1.2917831037780172</v>
      </c>
      <c r="O2350" s="15">
        <v>1.1172703668539354</v>
      </c>
      <c r="P2350" s="15">
        <v>1.1172703668539354</v>
      </c>
      <c r="Q2350" s="8"/>
      <c r="R2350" s="9" t="s">
        <v>2326</v>
      </c>
    </row>
    <row r="2351" spans="1:18" x14ac:dyDescent="0.25">
      <c r="A2351" s="6" t="str">
        <f>HYPERLINK("proteomic_fractions_linear_files/Yang_linear_img/109948295.jpg", "109948295")</f>
        <v>109948295</v>
      </c>
      <c r="B2351" s="7"/>
      <c r="C2351" s="6" t="str">
        <f>HYPERLINK("http://www.ncbi.nlm.nih.gov/protein/109948295","Fam133b")</f>
        <v>Fam133b</v>
      </c>
      <c r="D2351" s="8"/>
      <c r="E2351" s="8">
        <v>27821</v>
      </c>
      <c r="F2351" s="8"/>
      <c r="G2351" s="15" t="s">
        <v>10</v>
      </c>
      <c r="H2351" s="15" t="s">
        <v>10</v>
      </c>
      <c r="I2351" s="15">
        <v>214.03928571428574</v>
      </c>
      <c r="J2351" s="15">
        <v>214.03928571428574</v>
      </c>
      <c r="K2351" s="15">
        <v>214.03928571428574</v>
      </c>
      <c r="L2351" s="15">
        <v>214.03928571428574</v>
      </c>
      <c r="M2351" s="15" t="s">
        <v>10</v>
      </c>
      <c r="N2351" s="15" t="s">
        <v>10</v>
      </c>
      <c r="O2351" s="15" t="s">
        <v>10</v>
      </c>
      <c r="P2351" s="15" t="s">
        <v>10</v>
      </c>
      <c r="Q2351" s="8"/>
      <c r="R2351" s="9" t="s">
        <v>2327</v>
      </c>
    </row>
    <row r="2352" spans="1:18" x14ac:dyDescent="0.25">
      <c r="A2352" s="6" t="str">
        <f>HYPERLINK("proteomic_fractions_linear_files/Yang_linear_img/28077025.jpg", "28077025")</f>
        <v>28077025</v>
      </c>
      <c r="B2352" s="7"/>
      <c r="C2352" s="6" t="str">
        <f>HYPERLINK("http://www.ncbi.nlm.nih.gov/protein/28077025","Fam134c")</f>
        <v>Fam134c</v>
      </c>
      <c r="D2352" s="8"/>
      <c r="E2352" s="8">
        <v>31201</v>
      </c>
      <c r="F2352" s="8"/>
      <c r="G2352" s="15" t="s">
        <v>10</v>
      </c>
      <c r="H2352" s="15" t="s">
        <v>10</v>
      </c>
      <c r="I2352" s="15" t="s">
        <v>10</v>
      </c>
      <c r="J2352" s="15" t="s">
        <v>10</v>
      </c>
      <c r="K2352" s="15">
        <v>2.1113955913078817</v>
      </c>
      <c r="L2352" s="15">
        <v>2.1113955913078817</v>
      </c>
      <c r="M2352" s="15" t="s">
        <v>10</v>
      </c>
      <c r="N2352" s="15" t="s">
        <v>10</v>
      </c>
      <c r="O2352" s="15" t="s">
        <v>10</v>
      </c>
      <c r="P2352" s="15" t="s">
        <v>10</v>
      </c>
      <c r="Q2352" s="8"/>
      <c r="R2352" s="9" t="s">
        <v>2328</v>
      </c>
    </row>
    <row r="2353" spans="1:18" x14ac:dyDescent="0.25">
      <c r="A2353" s="6" t="str">
        <f>HYPERLINK("proteomic_fractions_linear_files/Yang_linear_img/21312666.jpg", "21312666")</f>
        <v>21312666</v>
      </c>
      <c r="B2353" s="7"/>
      <c r="C2353" s="6" t="str">
        <f>HYPERLINK("http://www.ncbi.nlm.nih.gov/protein/21312666","Fam134c")</f>
        <v>Fam134c</v>
      </c>
      <c r="D2353" s="8"/>
      <c r="E2353" s="8">
        <v>51507</v>
      </c>
      <c r="F2353" s="8"/>
      <c r="G2353" s="15" t="s">
        <v>10</v>
      </c>
      <c r="H2353" s="15" t="s">
        <v>10</v>
      </c>
      <c r="I2353" s="15">
        <v>1.1302539920306509</v>
      </c>
      <c r="J2353" s="15">
        <v>1.1302539920306509</v>
      </c>
      <c r="K2353" s="15">
        <v>1.2587166025104679</v>
      </c>
      <c r="L2353" s="15">
        <v>1.2587166025104679</v>
      </c>
      <c r="M2353" s="15" t="s">
        <v>10</v>
      </c>
      <c r="N2353" s="15" t="s">
        <v>10</v>
      </c>
      <c r="O2353" s="15" t="s">
        <v>10</v>
      </c>
      <c r="P2353" s="15" t="s">
        <v>10</v>
      </c>
      <c r="Q2353" s="8"/>
      <c r="R2353" s="9" t="s">
        <v>2329</v>
      </c>
    </row>
    <row r="2354" spans="1:18" x14ac:dyDescent="0.25">
      <c r="A2354" s="6" t="str">
        <f>HYPERLINK("proteomic_fractions_linear_files/Yang_linear_img/13385042.jpg", "13385042")</f>
        <v>13385042</v>
      </c>
      <c r="B2354" s="7"/>
      <c r="C2354" s="6" t="str">
        <f>HYPERLINK("http://www.ncbi.nlm.nih.gov/protein/13385042","Fam136a")</f>
        <v>Fam136a</v>
      </c>
      <c r="D2354" s="8"/>
      <c r="E2354" s="8">
        <v>15543</v>
      </c>
      <c r="F2354" s="8"/>
      <c r="G2354" s="15" t="s">
        <v>10</v>
      </c>
      <c r="H2354" s="15" t="s">
        <v>10</v>
      </c>
      <c r="I2354" s="15" t="s">
        <v>10</v>
      </c>
      <c r="J2354" s="15" t="s">
        <v>10</v>
      </c>
      <c r="K2354" s="15" t="s">
        <v>10</v>
      </c>
      <c r="L2354" s="15" t="s">
        <v>10</v>
      </c>
      <c r="M2354" s="15" t="s">
        <v>10</v>
      </c>
      <c r="N2354" s="15" t="s">
        <v>10</v>
      </c>
      <c r="O2354" s="15">
        <v>0.99546511144886096</v>
      </c>
      <c r="P2354" s="15">
        <v>0.99546511144886096</v>
      </c>
      <c r="Q2354" s="8"/>
      <c r="R2354" s="9" t="s">
        <v>2330</v>
      </c>
    </row>
    <row r="2355" spans="1:18" x14ac:dyDescent="0.25">
      <c r="A2355" s="6" t="str">
        <f>HYPERLINK("proteomic_fractions_linear_files/Yang_linear_img/158341634.jpg", "158341634")</f>
        <v>158341634</v>
      </c>
      <c r="B2355" s="7"/>
      <c r="C2355" s="6" t="str">
        <f>HYPERLINK("http://www.ncbi.nlm.nih.gov/protein/158341634","Fam160a1")</f>
        <v>Fam160a1</v>
      </c>
      <c r="D2355" s="8"/>
      <c r="E2355" s="8">
        <v>120089</v>
      </c>
      <c r="F2355" s="8"/>
      <c r="G2355" s="15" t="s">
        <v>10</v>
      </c>
      <c r="H2355" s="15" t="s">
        <v>10</v>
      </c>
      <c r="I2355" s="15" t="s">
        <v>10</v>
      </c>
      <c r="J2355" s="15" t="s">
        <v>10</v>
      </c>
      <c r="K2355" s="15" t="s">
        <v>10</v>
      </c>
      <c r="L2355" s="15" t="s">
        <v>10</v>
      </c>
      <c r="M2355" s="15" t="s">
        <v>10</v>
      </c>
      <c r="N2355" s="15" t="s">
        <v>10</v>
      </c>
      <c r="O2355" s="15">
        <v>1.5563819303328363</v>
      </c>
      <c r="P2355" s="15">
        <v>1.5563819303328363</v>
      </c>
      <c r="Q2355" s="8"/>
      <c r="R2355" s="9" t="s">
        <v>2331</v>
      </c>
    </row>
    <row r="2356" spans="1:18" x14ac:dyDescent="0.25">
      <c r="A2356" s="6" t="str">
        <f>HYPERLINK("proteomic_fractions_linear_files/Yang_linear_img/166706907.jpg", "166706907")</f>
        <v>166706907</v>
      </c>
      <c r="B2356" s="7"/>
      <c r="C2356" s="6" t="str">
        <f>HYPERLINK("http://www.ncbi.nlm.nih.gov/protein/166706907","Fam160b1")</f>
        <v>Fam160b1</v>
      </c>
      <c r="D2356" s="8"/>
      <c r="E2356" s="8">
        <v>85887</v>
      </c>
      <c r="F2356" s="8"/>
      <c r="G2356" s="15" t="s">
        <v>10</v>
      </c>
      <c r="H2356" s="15" t="s">
        <v>10</v>
      </c>
      <c r="I2356" s="15">
        <v>1.2767623700131565</v>
      </c>
      <c r="J2356" s="15">
        <v>1.2767623700131565</v>
      </c>
      <c r="K2356" s="15">
        <v>1.4967631179664764</v>
      </c>
      <c r="L2356" s="15">
        <v>1.4967631179664764</v>
      </c>
      <c r="M2356" s="15" t="s">
        <v>10</v>
      </c>
      <c r="N2356" s="15" t="s">
        <v>10</v>
      </c>
      <c r="O2356" s="15">
        <v>1.2767623700131565</v>
      </c>
      <c r="P2356" s="15">
        <v>1.2767623700131565</v>
      </c>
      <c r="Q2356" s="8"/>
      <c r="R2356" s="9" t="s">
        <v>2332</v>
      </c>
    </row>
    <row r="2357" spans="1:18" x14ac:dyDescent="0.25">
      <c r="A2357" s="6" t="str">
        <f>HYPERLINK("proteomic_fractions_linear_files/Yang_linear_img/257196165.jpg", "257196165")</f>
        <v>257196165</v>
      </c>
      <c r="B2357" s="7"/>
      <c r="C2357" s="6" t="str">
        <f>HYPERLINK("http://www.ncbi.nlm.nih.gov/protein/257196165","Fam160b2")</f>
        <v>Fam160b2</v>
      </c>
      <c r="D2357" s="8"/>
      <c r="E2357" s="8">
        <v>82325</v>
      </c>
      <c r="F2357" s="8"/>
      <c r="G2357" s="15" t="s">
        <v>10</v>
      </c>
      <c r="H2357" s="15" t="s">
        <v>10</v>
      </c>
      <c r="I2357" s="15" t="s">
        <v>10</v>
      </c>
      <c r="J2357" s="15" t="s">
        <v>10</v>
      </c>
      <c r="K2357" s="15">
        <v>1.5697759529892312</v>
      </c>
      <c r="L2357" s="15">
        <v>1.5697759529892312</v>
      </c>
      <c r="M2357" s="15" t="s">
        <v>10</v>
      </c>
      <c r="N2357" s="15" t="s">
        <v>10</v>
      </c>
      <c r="O2357" s="15" t="s">
        <v>10</v>
      </c>
      <c r="P2357" s="15" t="s">
        <v>10</v>
      </c>
      <c r="Q2357" s="8"/>
      <c r="R2357" s="9" t="s">
        <v>2333</v>
      </c>
    </row>
    <row r="2358" spans="1:18" x14ac:dyDescent="0.25">
      <c r="A2358" s="6" t="str">
        <f>HYPERLINK("proteomic_fractions_linear_files/Yang_linear_img/21312546.jpg", "21312546")</f>
        <v>21312546</v>
      </c>
      <c r="B2358" s="7"/>
      <c r="C2358" s="6" t="str">
        <f>HYPERLINK("http://www.ncbi.nlm.nih.gov/protein/21312546","Fam162a")</f>
        <v>Fam162a</v>
      </c>
      <c r="D2358" s="8"/>
      <c r="E2358" s="8">
        <v>17594</v>
      </c>
      <c r="F2358" s="8"/>
      <c r="G2358" s="15">
        <v>1.210874570593264</v>
      </c>
      <c r="H2358" s="15">
        <v>1.210874570593264</v>
      </c>
      <c r="I2358" s="15">
        <v>0.84424101632301585</v>
      </c>
      <c r="J2358" s="15">
        <v>0.84424101632301585</v>
      </c>
      <c r="K2358" s="15">
        <v>0.88485787684343198</v>
      </c>
      <c r="L2358" s="15">
        <v>0.88485787684343198</v>
      </c>
      <c r="M2358" s="15" t="s">
        <v>10</v>
      </c>
      <c r="N2358" s="15" t="s">
        <v>10</v>
      </c>
      <c r="O2358" s="15" t="s">
        <v>10</v>
      </c>
      <c r="P2358" s="15" t="s">
        <v>10</v>
      </c>
      <c r="Q2358" s="8"/>
      <c r="R2358" s="9" t="s">
        <v>2334</v>
      </c>
    </row>
    <row r="2359" spans="1:18" x14ac:dyDescent="0.25">
      <c r="A2359" s="6" t="str">
        <f>HYPERLINK("proteomic_fractions_linear_files/Yang_linear_img/66955879.jpg", "66955879")</f>
        <v>66955879</v>
      </c>
      <c r="B2359" s="7"/>
      <c r="C2359" s="6" t="str">
        <f>HYPERLINK("http://www.ncbi.nlm.nih.gov/protein/66955879","Fam173a")</f>
        <v>Fam173a</v>
      </c>
      <c r="D2359" s="8"/>
      <c r="E2359" s="8">
        <v>24609</v>
      </c>
      <c r="F2359" s="8"/>
      <c r="G2359" s="15" t="s">
        <v>10</v>
      </c>
      <c r="H2359" s="15" t="s">
        <v>10</v>
      </c>
      <c r="I2359" s="15">
        <v>0.92438293498869784</v>
      </c>
      <c r="J2359" s="15">
        <v>0.92438293498869784</v>
      </c>
      <c r="K2359" s="15">
        <v>0.92438293498869784</v>
      </c>
      <c r="L2359" s="15">
        <v>0.92438293498869784</v>
      </c>
      <c r="M2359" s="15" t="s">
        <v>10</v>
      </c>
      <c r="N2359" s="15" t="s">
        <v>10</v>
      </c>
      <c r="O2359" s="15" t="s">
        <v>10</v>
      </c>
      <c r="P2359" s="15" t="s">
        <v>10</v>
      </c>
      <c r="Q2359" s="8"/>
      <c r="R2359" s="9" t="s">
        <v>2335</v>
      </c>
    </row>
    <row r="2360" spans="1:18" x14ac:dyDescent="0.25">
      <c r="A2360" s="6" t="str">
        <f>HYPERLINK("proteomic_fractions_linear_files/Yang_linear_img/21312640.jpg", "21312640")</f>
        <v>21312640</v>
      </c>
      <c r="B2360" s="7"/>
      <c r="C2360" s="6" t="str">
        <f>HYPERLINK("http://www.ncbi.nlm.nih.gov/protein/21312640","Fam173b")</f>
        <v>Fam173b</v>
      </c>
      <c r="D2360" s="8"/>
      <c r="E2360" s="8">
        <v>27266</v>
      </c>
      <c r="F2360" s="8"/>
      <c r="G2360" s="15" t="s">
        <v>10</v>
      </c>
      <c r="H2360" s="15" t="s">
        <v>10</v>
      </c>
      <c r="I2360" s="15">
        <v>0.90943780049173761</v>
      </c>
      <c r="J2360" s="15">
        <v>0.90943780049173761</v>
      </c>
      <c r="K2360" s="15" t="s">
        <v>10</v>
      </c>
      <c r="L2360" s="15" t="s">
        <v>10</v>
      </c>
      <c r="M2360" s="15" t="s">
        <v>10</v>
      </c>
      <c r="N2360" s="15" t="s">
        <v>10</v>
      </c>
      <c r="O2360" s="15" t="s">
        <v>10</v>
      </c>
      <c r="P2360" s="15" t="s">
        <v>10</v>
      </c>
      <c r="Q2360" s="8"/>
      <c r="R2360" s="9" t="s">
        <v>2336</v>
      </c>
    </row>
    <row r="2361" spans="1:18" x14ac:dyDescent="0.25">
      <c r="A2361" s="6" t="str">
        <f>HYPERLINK("proteomic_fractions_linear_files/Yang_linear_img/347582639.jpg", "347582639")</f>
        <v>347582639</v>
      </c>
      <c r="B2361" s="7"/>
      <c r="C2361" s="6" t="str">
        <f>HYPERLINK("http://www.ncbi.nlm.nih.gov/protein/347582639","Fam175b")</f>
        <v>Fam175b</v>
      </c>
      <c r="D2361" s="8"/>
      <c r="E2361" s="8">
        <v>47802</v>
      </c>
      <c r="F2361" s="8"/>
      <c r="G2361" s="15" t="s">
        <v>10</v>
      </c>
      <c r="H2361" s="15" t="s">
        <v>10</v>
      </c>
      <c r="I2361" s="15" t="s">
        <v>10</v>
      </c>
      <c r="J2361" s="15" t="s">
        <v>10</v>
      </c>
      <c r="K2361" s="15">
        <v>1.1066785339583558</v>
      </c>
      <c r="L2361" s="15">
        <v>1.1066785339583558</v>
      </c>
      <c r="M2361" s="15">
        <v>1.1066785339583558</v>
      </c>
      <c r="N2361" s="15">
        <v>1.1066785339583558</v>
      </c>
      <c r="O2361" s="15">
        <v>1.006041158008651</v>
      </c>
      <c r="P2361" s="15">
        <v>1.006041158008651</v>
      </c>
      <c r="Q2361" s="8"/>
      <c r="R2361" s="9" t="s">
        <v>2337</v>
      </c>
    </row>
    <row r="2362" spans="1:18" x14ac:dyDescent="0.25">
      <c r="A2362" s="6" t="str">
        <f>HYPERLINK("proteomic_fractions_linear_files/Yang_linear_img/37537562;153945763.jpg", "37537562;153945763")</f>
        <v>37537562;153945763</v>
      </c>
      <c r="B2362" s="8"/>
      <c r="C2362" s="6" t="str">
        <f>HYPERLINK("http://www.ncbi.nlm.nih.gov/protein/37537562;153945763","Fam177a")</f>
        <v>Fam177a</v>
      </c>
      <c r="D2362" s="8"/>
      <c r="E2362" s="8">
        <v>23447</v>
      </c>
      <c r="F2362" s="8"/>
      <c r="G2362" s="15" t="s">
        <v>10</v>
      </c>
      <c r="H2362" s="15" t="s">
        <v>10</v>
      </c>
      <c r="I2362" s="15">
        <v>1.2993655170310057</v>
      </c>
      <c r="J2362" s="15">
        <v>1.2993655170310057</v>
      </c>
      <c r="K2362" s="15">
        <v>1.2993655170310057</v>
      </c>
      <c r="L2362" s="15">
        <v>1.2993655170310057</v>
      </c>
      <c r="M2362" s="15">
        <v>1.2993655170310057</v>
      </c>
      <c r="N2362" s="15">
        <v>1.2993655170310057</v>
      </c>
      <c r="O2362" s="15">
        <v>1.136967744148913</v>
      </c>
      <c r="P2362" s="15">
        <v>1.136967744148913</v>
      </c>
      <c r="Q2362" s="8"/>
      <c r="R2362" s="9" t="s">
        <v>2338</v>
      </c>
    </row>
    <row r="2363" spans="1:18" x14ac:dyDescent="0.25">
      <c r="A2363" s="6" t="str">
        <f>HYPERLINK("proteomic_fractions_linear_files/Yang_linear_img/254939685.jpg", "254939685")</f>
        <v>254939685</v>
      </c>
      <c r="B2363" s="7"/>
      <c r="C2363" s="6" t="str">
        <f>HYPERLINK("http://www.ncbi.nlm.nih.gov/protein/254939685","Fam179b")</f>
        <v>Fam179b</v>
      </c>
      <c r="D2363" s="8"/>
      <c r="E2363" s="8">
        <v>194780</v>
      </c>
      <c r="F2363" s="8"/>
      <c r="G2363" s="15" t="s">
        <v>10</v>
      </c>
      <c r="H2363" s="15" t="s">
        <v>10</v>
      </c>
      <c r="I2363" s="15" t="s">
        <v>10</v>
      </c>
      <c r="J2363" s="15" t="s">
        <v>10</v>
      </c>
      <c r="K2363" s="15" t="s">
        <v>10</v>
      </c>
      <c r="L2363" s="15" t="s">
        <v>10</v>
      </c>
      <c r="M2363" s="15">
        <v>1.547606793007686</v>
      </c>
      <c r="N2363" s="15">
        <v>1.547606793007686</v>
      </c>
      <c r="O2363" s="15" t="s">
        <v>10</v>
      </c>
      <c r="P2363" s="15" t="s">
        <v>10</v>
      </c>
      <c r="Q2363" s="8"/>
      <c r="R2363" s="9" t="s">
        <v>2339</v>
      </c>
    </row>
    <row r="2364" spans="1:18" x14ac:dyDescent="0.25">
      <c r="A2364" s="6" t="str">
        <f>HYPERLINK("proteomic_fractions_linear_files/Yang_linear_img/15277329.jpg", "15277329")</f>
        <v>15277329</v>
      </c>
      <c r="B2364" s="7"/>
      <c r="C2364" s="6" t="str">
        <f>HYPERLINK("http://www.ncbi.nlm.nih.gov/protein/15277329","Fam188a")</f>
        <v>Fam188a</v>
      </c>
      <c r="D2364" s="8"/>
      <c r="E2364" s="8">
        <v>49481</v>
      </c>
      <c r="F2364" s="8"/>
      <c r="G2364" s="15" t="s">
        <v>10</v>
      </c>
      <c r="H2364" s="15" t="s">
        <v>10</v>
      </c>
      <c r="I2364" s="15" t="s">
        <v>10</v>
      </c>
      <c r="J2364" s="15" t="s">
        <v>10</v>
      </c>
      <c r="K2364" s="15" t="s">
        <v>10</v>
      </c>
      <c r="L2364" s="15" t="s">
        <v>10</v>
      </c>
      <c r="M2364" s="15" t="s">
        <v>10</v>
      </c>
      <c r="N2364" s="15" t="s">
        <v>10</v>
      </c>
      <c r="O2364" s="15">
        <v>0.82667996333107641</v>
      </c>
      <c r="P2364" s="15">
        <v>0.82667996333107641</v>
      </c>
      <c r="Q2364" s="8"/>
      <c r="R2364" s="9" t="s">
        <v>2340</v>
      </c>
    </row>
    <row r="2365" spans="1:18" x14ac:dyDescent="0.25">
      <c r="A2365" s="6" t="str">
        <f>HYPERLINK("proteomic_fractions_linear_files/Yang_linear_img/31560083.jpg", "31560083")</f>
        <v>31560083</v>
      </c>
      <c r="B2365" s="7"/>
      <c r="C2365" s="6" t="str">
        <f>HYPERLINK("http://www.ncbi.nlm.nih.gov/protein/31560083","Fam192a")</f>
        <v>Fam192a</v>
      </c>
      <c r="D2365" s="8"/>
      <c r="E2365" s="8">
        <v>28571</v>
      </c>
      <c r="F2365" s="8"/>
      <c r="G2365" s="15" t="s">
        <v>10</v>
      </c>
      <c r="H2365" s="15" t="s">
        <v>10</v>
      </c>
      <c r="I2365" s="15" t="s">
        <v>10</v>
      </c>
      <c r="J2365" s="15" t="s">
        <v>10</v>
      </c>
      <c r="K2365" s="15" t="s">
        <v>10</v>
      </c>
      <c r="L2365" s="15" t="s">
        <v>10</v>
      </c>
      <c r="M2365" s="15" t="s">
        <v>10</v>
      </c>
      <c r="N2365" s="15" t="s">
        <v>10</v>
      </c>
      <c r="O2365" s="15">
        <v>0.96269694129938133</v>
      </c>
      <c r="P2365" s="15">
        <v>0.96269694129938133</v>
      </c>
      <c r="Q2365" s="8"/>
      <c r="R2365" s="9" t="s">
        <v>2341</v>
      </c>
    </row>
    <row r="2366" spans="1:18" x14ac:dyDescent="0.25">
      <c r="A2366" s="6" t="str">
        <f>HYPERLINK("proteomic_fractions_linear_files/Yang_linear_img/85701732.jpg", "85701732")</f>
        <v>85701732</v>
      </c>
      <c r="B2366" s="7"/>
      <c r="C2366" s="6" t="str">
        <f>HYPERLINK("http://www.ncbi.nlm.nih.gov/protein/85701732","Fam195b")</f>
        <v>Fam195b</v>
      </c>
      <c r="D2366" s="8"/>
      <c r="E2366" s="8">
        <v>10970</v>
      </c>
      <c r="F2366" s="8"/>
      <c r="G2366" s="15" t="s">
        <v>10</v>
      </c>
      <c r="H2366" s="15" t="s">
        <v>10</v>
      </c>
      <c r="I2366" s="15" t="s">
        <v>10</v>
      </c>
      <c r="J2366" s="15" t="s">
        <v>10</v>
      </c>
      <c r="K2366" s="15">
        <v>1.1120782993028506</v>
      </c>
      <c r="L2366" s="15">
        <v>1.1120782993028506</v>
      </c>
      <c r="M2366" s="15" t="s">
        <v>10</v>
      </c>
      <c r="N2366" s="15" t="s">
        <v>10</v>
      </c>
      <c r="O2366" s="15">
        <v>1.2088240020910486</v>
      </c>
      <c r="P2366" s="15">
        <v>1.2088240020910486</v>
      </c>
      <c r="Q2366" s="8"/>
      <c r="R2366" s="9" t="s">
        <v>2342</v>
      </c>
    </row>
    <row r="2367" spans="1:18" x14ac:dyDescent="0.25">
      <c r="A2367" s="6" t="str">
        <f>HYPERLINK("proteomic_fractions_linear_files/Yang_linear_img/225903450.jpg", "225903450")</f>
        <v>225903450</v>
      </c>
      <c r="B2367" s="7"/>
      <c r="C2367" s="6" t="str">
        <f>HYPERLINK("http://www.ncbi.nlm.nih.gov/protein/225903450","Fam203a")</f>
        <v>Fam203a</v>
      </c>
      <c r="D2367" s="8"/>
      <c r="E2367" s="8">
        <v>42785</v>
      </c>
      <c r="F2367" s="8"/>
      <c r="G2367" s="15" t="s">
        <v>10</v>
      </c>
      <c r="H2367" s="15" t="s">
        <v>10</v>
      </c>
      <c r="I2367" s="15" t="s">
        <v>10</v>
      </c>
      <c r="J2367" s="15" t="s">
        <v>10</v>
      </c>
      <c r="K2367" s="15">
        <v>1.123022688009657</v>
      </c>
      <c r="L2367" s="15">
        <v>1.123022688009657</v>
      </c>
      <c r="M2367" s="15" t="s">
        <v>10</v>
      </c>
      <c r="N2367" s="15" t="s">
        <v>10</v>
      </c>
      <c r="O2367" s="15">
        <v>0.942030655888901</v>
      </c>
      <c r="P2367" s="15">
        <v>0.942030655888901</v>
      </c>
      <c r="Q2367" s="8"/>
      <c r="R2367" s="9" t="s">
        <v>2343</v>
      </c>
    </row>
    <row r="2368" spans="1:18" x14ac:dyDescent="0.25">
      <c r="A2368" s="6" t="str">
        <f>HYPERLINK("proteomic_fractions_linear_files/Yang_linear_img/19527218.jpg", "19527218")</f>
        <v>19527218</v>
      </c>
      <c r="B2368" s="7"/>
      <c r="C2368" s="6" t="str">
        <f>HYPERLINK("http://www.ncbi.nlm.nih.gov/protein/19527218","Fam207a")</f>
        <v>Fam207a</v>
      </c>
      <c r="D2368" s="8"/>
      <c r="E2368" s="8">
        <v>24683</v>
      </c>
      <c r="F2368" s="8"/>
      <c r="G2368" s="15" t="s">
        <v>10</v>
      </c>
      <c r="H2368" s="15" t="s">
        <v>10</v>
      </c>
      <c r="I2368" s="15" t="s">
        <v>10</v>
      </c>
      <c r="J2368" s="15" t="s">
        <v>10</v>
      </c>
      <c r="K2368" s="15" t="s">
        <v>10</v>
      </c>
      <c r="L2368" s="15" t="s">
        <v>10</v>
      </c>
      <c r="M2368" s="15">
        <v>0.9821928245310767</v>
      </c>
      <c r="N2368" s="15">
        <v>0.9821928245310767</v>
      </c>
      <c r="O2368" s="15">
        <v>0.87182969082715001</v>
      </c>
      <c r="P2368" s="15">
        <v>0.87182969082715001</v>
      </c>
      <c r="Q2368" s="8"/>
      <c r="R2368" s="9" t="s">
        <v>2344</v>
      </c>
    </row>
    <row r="2369" spans="1:18" x14ac:dyDescent="0.25">
      <c r="A2369" s="6" t="str">
        <f>HYPERLINK("proteomic_fractions_linear_files/Yang_linear_img/21703824.jpg", "21703824")</f>
        <v>21703824</v>
      </c>
      <c r="B2369" s="7"/>
      <c r="C2369" s="6" t="str">
        <f>HYPERLINK("http://www.ncbi.nlm.nih.gov/protein/21703824","Fam20b")</f>
        <v>Fam20b</v>
      </c>
      <c r="D2369" s="8"/>
      <c r="E2369" s="8">
        <v>46450</v>
      </c>
      <c r="F2369" s="8"/>
      <c r="G2369" s="15" t="s">
        <v>10</v>
      </c>
      <c r="H2369" s="15" t="s">
        <v>10</v>
      </c>
      <c r="I2369" s="15">
        <v>1.0497820779220708</v>
      </c>
      <c r="J2369" s="15">
        <v>1.0497820779220708</v>
      </c>
      <c r="K2369" s="15" t="s">
        <v>10</v>
      </c>
      <c r="L2369" s="15" t="s">
        <v>10</v>
      </c>
      <c r="M2369" s="15" t="s">
        <v>10</v>
      </c>
      <c r="N2369" s="15" t="s">
        <v>10</v>
      </c>
      <c r="O2369" s="15" t="s">
        <v>10</v>
      </c>
      <c r="P2369" s="15" t="s">
        <v>10</v>
      </c>
      <c r="Q2369" s="8"/>
      <c r="R2369" s="9" t="s">
        <v>2345</v>
      </c>
    </row>
    <row r="2370" spans="1:18" x14ac:dyDescent="0.25">
      <c r="A2370" s="6" t="str">
        <f>HYPERLINK("proteomic_fractions_linear_files/Yang_linear_img/167234439.jpg", "167234439")</f>
        <v>167234439</v>
      </c>
      <c r="B2370" s="7"/>
      <c r="C2370" s="6" t="str">
        <f>HYPERLINK("http://www.ncbi.nlm.nih.gov/protein/167234439","Fam20c")</f>
        <v>Fam20c</v>
      </c>
      <c r="D2370" s="8"/>
      <c r="E2370" s="8">
        <v>62744</v>
      </c>
      <c r="F2370" s="8"/>
      <c r="G2370" s="15" t="s">
        <v>10</v>
      </c>
      <c r="H2370" s="15" t="s">
        <v>10</v>
      </c>
      <c r="I2370" s="15">
        <v>0.25281653624098055</v>
      </c>
      <c r="J2370" s="15">
        <v>0.25281653624098055</v>
      </c>
      <c r="K2370" s="15" t="s">
        <v>10</v>
      </c>
      <c r="L2370" s="15" t="s">
        <v>10</v>
      </c>
      <c r="M2370" s="15" t="s">
        <v>10</v>
      </c>
      <c r="N2370" s="15" t="s">
        <v>10</v>
      </c>
      <c r="O2370" s="15" t="s">
        <v>10</v>
      </c>
      <c r="P2370" s="15" t="s">
        <v>10</v>
      </c>
      <c r="Q2370" s="8"/>
      <c r="R2370" s="9" t="s">
        <v>2346</v>
      </c>
    </row>
    <row r="2371" spans="1:18" x14ac:dyDescent="0.25">
      <c r="A2371" s="6" t="str">
        <f>HYPERLINK("proteomic_fractions_linear_files/Yang_linear_img/267844902.jpg", "267844902")</f>
        <v>267844902</v>
      </c>
      <c r="B2371" s="7"/>
      <c r="C2371" s="6" t="str">
        <f>HYPERLINK("http://www.ncbi.nlm.nih.gov/protein/267844902","Fam21")</f>
        <v>Fam21</v>
      </c>
      <c r="D2371" s="8"/>
      <c r="E2371" s="8">
        <v>145180</v>
      </c>
      <c r="F2371" s="8"/>
      <c r="G2371" s="15" t="s">
        <v>10</v>
      </c>
      <c r="H2371" s="15" t="s">
        <v>10</v>
      </c>
      <c r="I2371" s="15">
        <v>41.33172413793104</v>
      </c>
      <c r="J2371" s="15">
        <v>41.33172413793104</v>
      </c>
      <c r="K2371" s="15" t="s">
        <v>10</v>
      </c>
      <c r="L2371" s="15" t="s">
        <v>10</v>
      </c>
      <c r="M2371" s="15">
        <v>0.11528603117660015</v>
      </c>
      <c r="N2371" s="15">
        <v>0.11528603117660015</v>
      </c>
      <c r="O2371" s="15">
        <v>1.6093851560541315</v>
      </c>
      <c r="P2371" s="15">
        <v>1.6093851560541315</v>
      </c>
      <c r="Q2371" s="8"/>
      <c r="R2371" s="9" t="s">
        <v>2347</v>
      </c>
    </row>
    <row r="2372" spans="1:18" x14ac:dyDescent="0.25">
      <c r="A2372" s="6" t="str">
        <f>HYPERLINK("proteomic_fractions_linear_files/Yang_linear_img/24418876.jpg", "24418876")</f>
        <v>24418876</v>
      </c>
      <c r="B2372" s="7"/>
      <c r="C2372" s="6" t="str">
        <f>HYPERLINK("http://www.ncbi.nlm.nih.gov/protein/24418876","Fam210a")</f>
        <v>Fam210a</v>
      </c>
      <c r="D2372" s="8"/>
      <c r="E2372" s="8">
        <v>31469</v>
      </c>
      <c r="F2372" s="8"/>
      <c r="G2372" s="15" t="s">
        <v>10</v>
      </c>
      <c r="H2372" s="15" t="s">
        <v>10</v>
      </c>
      <c r="I2372" s="15">
        <v>0.62906934929146041</v>
      </c>
      <c r="J2372" s="15">
        <v>0.62906934929146041</v>
      </c>
      <c r="K2372" s="15" t="s">
        <v>10</v>
      </c>
      <c r="L2372" s="15" t="s">
        <v>10</v>
      </c>
      <c r="M2372" s="15" t="s">
        <v>10</v>
      </c>
      <c r="N2372" s="15" t="s">
        <v>10</v>
      </c>
      <c r="O2372" s="15" t="s">
        <v>10</v>
      </c>
      <c r="P2372" s="15" t="s">
        <v>10</v>
      </c>
      <c r="Q2372" s="8"/>
      <c r="R2372" s="9" t="s">
        <v>2348</v>
      </c>
    </row>
    <row r="2373" spans="1:18" x14ac:dyDescent="0.25">
      <c r="A2373" s="6" t="str">
        <f>HYPERLINK("proteomic_fractions_linear_files/Yang_linear_img/224967102.jpg", "224967102")</f>
        <v>224967102</v>
      </c>
      <c r="B2373" s="7"/>
      <c r="C2373" s="6" t="str">
        <f>HYPERLINK("http://www.ncbi.nlm.nih.gov/protein/224967102","Fam210b")</f>
        <v>Fam210b</v>
      </c>
      <c r="D2373" s="8"/>
      <c r="E2373" s="8">
        <v>20213</v>
      </c>
      <c r="F2373" s="8"/>
      <c r="G2373" s="15">
        <v>0.72587368609351732</v>
      </c>
      <c r="H2373" s="15">
        <v>0.72587368609351732</v>
      </c>
      <c r="I2373" s="15">
        <v>0.75981691469071433</v>
      </c>
      <c r="J2373" s="15">
        <v>0.75981691469071433</v>
      </c>
      <c r="K2373" s="15">
        <v>0.75981691469071433</v>
      </c>
      <c r="L2373" s="15">
        <v>0.75981691469071433</v>
      </c>
      <c r="M2373" s="15" t="s">
        <v>10</v>
      </c>
      <c r="N2373" s="15" t="s">
        <v>10</v>
      </c>
      <c r="O2373" s="15" t="s">
        <v>10</v>
      </c>
      <c r="P2373" s="15" t="s">
        <v>10</v>
      </c>
      <c r="Q2373" s="8"/>
      <c r="R2373" s="9" t="s">
        <v>2349</v>
      </c>
    </row>
    <row r="2374" spans="1:18" x14ac:dyDescent="0.25">
      <c r="A2374" s="6" t="str">
        <f>HYPERLINK("proteomic_fractions_linear_files/Yang_linear_img/27229101.jpg", "27229101")</f>
        <v>27229101</v>
      </c>
      <c r="B2374" s="7"/>
      <c r="C2374" s="6" t="str">
        <f>HYPERLINK("http://www.ncbi.nlm.nih.gov/protein/27229101","Fam213a")</f>
        <v>Fam213a</v>
      </c>
      <c r="D2374" s="8"/>
      <c r="E2374" s="8">
        <v>24264</v>
      </c>
      <c r="F2374" s="8"/>
      <c r="G2374" s="15">
        <v>1.2452252871547138</v>
      </c>
      <c r="H2374" s="15">
        <v>1.2452252871547138</v>
      </c>
      <c r="I2374" s="15">
        <v>0.90815592794494793</v>
      </c>
      <c r="J2374" s="15">
        <v>0.85822671611067802</v>
      </c>
      <c r="K2374" s="15">
        <v>0.90815592794494793</v>
      </c>
      <c r="L2374" s="15">
        <v>0.90815592794494793</v>
      </c>
      <c r="M2374" s="15">
        <v>0.85822671611067802</v>
      </c>
      <c r="N2374" s="15">
        <v>0.85822671611067802</v>
      </c>
      <c r="O2374" s="15" t="s">
        <v>10</v>
      </c>
      <c r="P2374" s="15" t="s">
        <v>10</v>
      </c>
      <c r="Q2374" s="8"/>
      <c r="R2374" s="9" t="s">
        <v>2350</v>
      </c>
    </row>
    <row r="2375" spans="1:18" x14ac:dyDescent="0.25">
      <c r="A2375" s="6" t="str">
        <f>HYPERLINK("proteomic_fractions_linear_files/Yang_linear_img/13385950.jpg", "13385950")</f>
        <v>13385950</v>
      </c>
      <c r="B2375" s="7"/>
      <c r="C2375" s="6" t="str">
        <f>HYPERLINK("http://www.ncbi.nlm.nih.gov/protein/13385950","Fam32a")</f>
        <v>Fam32a</v>
      </c>
      <c r="D2375" s="8"/>
      <c r="E2375" s="8">
        <v>13084</v>
      </c>
      <c r="F2375" s="8"/>
      <c r="G2375" s="15" t="s">
        <v>10</v>
      </c>
      <c r="H2375" s="15" t="s">
        <v>10</v>
      </c>
      <c r="I2375" s="15">
        <v>1.1689490995241758</v>
      </c>
      <c r="J2375" s="15">
        <v>1.1689490995241758</v>
      </c>
      <c r="K2375" s="15">
        <v>1.2251878294755212</v>
      </c>
      <c r="L2375" s="15">
        <v>1.2251878294755212</v>
      </c>
      <c r="M2375" s="15" t="s">
        <v>10</v>
      </c>
      <c r="N2375" s="15" t="s">
        <v>10</v>
      </c>
      <c r="O2375" s="15" t="s">
        <v>10</v>
      </c>
      <c r="P2375" s="15" t="s">
        <v>10</v>
      </c>
      <c r="Q2375" s="8"/>
      <c r="R2375" s="9" t="s">
        <v>2351</v>
      </c>
    </row>
    <row r="2376" spans="1:18" x14ac:dyDescent="0.25">
      <c r="A2376" s="6" t="str">
        <f>HYPERLINK("proteomic_fractions_linear_files/Yang_linear_img/21313538.jpg", "21313538")</f>
        <v>21313538</v>
      </c>
      <c r="B2376" s="7"/>
      <c r="C2376" s="6" t="str">
        <f>HYPERLINK("http://www.ncbi.nlm.nih.gov/protein/21313538","Fam3a")</f>
        <v>Fam3a</v>
      </c>
      <c r="D2376" s="8"/>
      <c r="E2376" s="8">
        <v>21983</v>
      </c>
      <c r="F2376" s="8"/>
      <c r="G2376" s="15" t="s">
        <v>10</v>
      </c>
      <c r="H2376" s="15" t="s">
        <v>10</v>
      </c>
      <c r="I2376" s="15" t="s">
        <v>10</v>
      </c>
      <c r="J2376" s="15" t="s">
        <v>10</v>
      </c>
      <c r="K2376" s="15">
        <v>1.1161282096944054</v>
      </c>
      <c r="L2376" s="15">
        <v>1.1161282096944054</v>
      </c>
      <c r="M2376" s="15" t="s">
        <v>10</v>
      </c>
      <c r="N2376" s="15" t="s">
        <v>10</v>
      </c>
      <c r="O2376" s="15" t="s">
        <v>10</v>
      </c>
      <c r="P2376" s="15" t="s">
        <v>10</v>
      </c>
      <c r="Q2376" s="8"/>
      <c r="R2376" s="9" t="s">
        <v>2352</v>
      </c>
    </row>
    <row r="2377" spans="1:18" x14ac:dyDescent="0.25">
      <c r="A2377" s="6" t="str">
        <f>HYPERLINK("proteomic_fractions_linear_files/Yang_linear_img/42734496.jpg", "42734496")</f>
        <v>42734496</v>
      </c>
      <c r="B2377" s="7"/>
      <c r="C2377" s="6" t="str">
        <f>HYPERLINK("http://www.ncbi.nlm.nih.gov/protein/42734496","Fam3c")</f>
        <v>Fam3c</v>
      </c>
      <c r="D2377" s="8"/>
      <c r="E2377" s="8">
        <v>22232</v>
      </c>
      <c r="F2377" s="8"/>
      <c r="G2377" s="15">
        <v>1.4583669479878905</v>
      </c>
      <c r="H2377" s="15">
        <v>1.4583669479878905</v>
      </c>
      <c r="I2377" s="15">
        <v>1.0504351533962475</v>
      </c>
      <c r="J2377" s="15">
        <v>1.0504351533962475</v>
      </c>
      <c r="K2377" s="15">
        <v>1.0504351533962475</v>
      </c>
      <c r="L2377" s="15">
        <v>1.0504351533962475</v>
      </c>
      <c r="M2377" s="15">
        <v>1.0504351533962475</v>
      </c>
      <c r="N2377" s="15">
        <v>1.0504351533962475</v>
      </c>
      <c r="O2377" s="15" t="s">
        <v>10</v>
      </c>
      <c r="P2377" s="15" t="s">
        <v>10</v>
      </c>
      <c r="Q2377" s="8"/>
      <c r="R2377" s="9" t="s">
        <v>2353</v>
      </c>
    </row>
    <row r="2378" spans="1:18" x14ac:dyDescent="0.25">
      <c r="A2378" s="6" t="str">
        <f>HYPERLINK("proteomic_fractions_linear_files/Yang_linear_img/268370235.jpg", "268370235")</f>
        <v>268370235</v>
      </c>
      <c r="B2378" s="7"/>
      <c r="C2378" s="6" t="str">
        <f>HYPERLINK("http://www.ncbi.nlm.nih.gov/protein/268370235","Fam45a")</f>
        <v>Fam45a</v>
      </c>
      <c r="D2378" s="8"/>
      <c r="E2378" s="8">
        <v>40290</v>
      </c>
      <c r="F2378" s="8"/>
      <c r="G2378" s="15" t="s">
        <v>10</v>
      </c>
      <c r="H2378" s="15" t="s">
        <v>10</v>
      </c>
      <c r="I2378" s="15">
        <v>0.8638344132618796</v>
      </c>
      <c r="J2378" s="15">
        <v>0.8638344132618796</v>
      </c>
      <c r="K2378" s="15">
        <v>0.93353316057811475</v>
      </c>
      <c r="L2378" s="15">
        <v>0.93353316057811475</v>
      </c>
      <c r="M2378" s="15">
        <v>0.8638344132618796</v>
      </c>
      <c r="N2378" s="15">
        <v>0.8638344132618796</v>
      </c>
      <c r="O2378" s="15">
        <v>0.80210182139333974</v>
      </c>
      <c r="P2378" s="15">
        <v>0.80210182139333974</v>
      </c>
      <c r="Q2378" s="8"/>
      <c r="R2378" s="9" t="s">
        <v>2354</v>
      </c>
    </row>
    <row r="2379" spans="1:18" x14ac:dyDescent="0.25">
      <c r="A2379" s="6" t="str">
        <f>HYPERLINK("proteomic_fractions_linear_files/Yang_linear_img/268370237.jpg", "268370237")</f>
        <v>268370237</v>
      </c>
      <c r="B2379" s="7"/>
      <c r="C2379" s="6" t="str">
        <f>HYPERLINK("http://www.ncbi.nlm.nih.gov/protein/268370237","Fam45a")</f>
        <v>Fam45a</v>
      </c>
      <c r="D2379" s="8"/>
      <c r="E2379" s="8">
        <v>39582</v>
      </c>
      <c r="F2379" s="8"/>
      <c r="G2379" s="15" t="s">
        <v>10</v>
      </c>
      <c r="H2379" s="15" t="s">
        <v>10</v>
      </c>
      <c r="I2379" s="15">
        <v>0.8638344132618796</v>
      </c>
      <c r="J2379" s="15">
        <v>0.8638344132618796</v>
      </c>
      <c r="K2379" s="15">
        <v>0.93353316057811475</v>
      </c>
      <c r="L2379" s="15">
        <v>0.93353316057811475</v>
      </c>
      <c r="M2379" s="15">
        <v>0.8638344132618796</v>
      </c>
      <c r="N2379" s="15">
        <v>0.8638344132618796</v>
      </c>
      <c r="O2379" s="15">
        <v>0.80210182139333974</v>
      </c>
      <c r="P2379" s="15">
        <v>0.80210182139333974</v>
      </c>
      <c r="Q2379" s="8"/>
      <c r="R2379" s="9" t="s">
        <v>2355</v>
      </c>
    </row>
    <row r="2380" spans="1:18" x14ac:dyDescent="0.25">
      <c r="A2380" s="6" t="str">
        <f>HYPERLINK("proteomic_fractions_linear_files/Yang_linear_img/31981350.jpg", "31981350")</f>
        <v>31981350</v>
      </c>
      <c r="B2380" s="7"/>
      <c r="C2380" s="6" t="str">
        <f>HYPERLINK("http://www.ncbi.nlm.nih.gov/protein/31981350","Fam49a")</f>
        <v>Fam49a</v>
      </c>
      <c r="D2380" s="8"/>
      <c r="E2380" s="8">
        <v>37212</v>
      </c>
      <c r="F2380" s="8"/>
      <c r="G2380" s="15" t="s">
        <v>10</v>
      </c>
      <c r="H2380" s="15" t="s">
        <v>10</v>
      </c>
      <c r="I2380" s="15">
        <v>0.86713710420901591</v>
      </c>
      <c r="J2380" s="15">
        <v>0.86713710420901591</v>
      </c>
      <c r="K2380" s="15">
        <v>0.86713710420901591</v>
      </c>
      <c r="L2380" s="15">
        <v>0.86713710420901591</v>
      </c>
      <c r="M2380" s="15" t="s">
        <v>10</v>
      </c>
      <c r="N2380" s="15" t="s">
        <v>10</v>
      </c>
      <c r="O2380" s="15">
        <v>0.75454625128870434</v>
      </c>
      <c r="P2380" s="15">
        <v>0.75454625128870434</v>
      </c>
      <c r="Q2380" s="8"/>
      <c r="R2380" s="9" t="s">
        <v>2356</v>
      </c>
    </row>
    <row r="2381" spans="1:18" x14ac:dyDescent="0.25">
      <c r="A2381" s="6" t="str">
        <f>HYPERLINK("proteomic_fractions_linear_files/Yang_linear_img/21450053.jpg", "21450053")</f>
        <v>21450053</v>
      </c>
      <c r="B2381" s="7"/>
      <c r="C2381" s="6" t="str">
        <f>HYPERLINK("http://www.ncbi.nlm.nih.gov/protein/21450053","Fam49b")</f>
        <v>Fam49b</v>
      </c>
      <c r="D2381" s="8"/>
      <c r="E2381" s="8">
        <v>36645</v>
      </c>
      <c r="F2381" s="8"/>
      <c r="G2381" s="15">
        <v>0.80771369977603058</v>
      </c>
      <c r="H2381" s="15">
        <v>0.80771369977603058</v>
      </c>
      <c r="I2381" s="15">
        <v>0.86713710420901591</v>
      </c>
      <c r="J2381" s="15">
        <v>0.86713710420901591</v>
      </c>
      <c r="K2381" s="15">
        <v>0.86713710420901591</v>
      </c>
      <c r="L2381" s="15">
        <v>0.86713710420901591</v>
      </c>
      <c r="M2381" s="15">
        <v>0.86713710420901591</v>
      </c>
      <c r="N2381" s="15">
        <v>0.86713710420901591</v>
      </c>
      <c r="O2381" s="15">
        <v>0.75454625128870434</v>
      </c>
      <c r="P2381" s="15">
        <v>0.75454625128870434</v>
      </c>
      <c r="Q2381" s="8"/>
      <c r="R2381" s="9" t="s">
        <v>2357</v>
      </c>
    </row>
    <row r="2382" spans="1:18" x14ac:dyDescent="0.25">
      <c r="A2382" s="6" t="str">
        <f>HYPERLINK("proteomic_fractions_linear_files/Yang_linear_img/262073031.jpg", "262073031")</f>
        <v>262073031</v>
      </c>
      <c r="B2382" s="7"/>
      <c r="C2382" s="6" t="str">
        <f>HYPERLINK("http://www.ncbi.nlm.nih.gov/protein/262073031","Fam50a")</f>
        <v>Fam50a</v>
      </c>
      <c r="D2382" s="8"/>
      <c r="E2382" s="8">
        <v>40121</v>
      </c>
      <c r="F2382" s="8"/>
      <c r="G2382" s="15" t="s">
        <v>10</v>
      </c>
      <c r="H2382" s="15" t="s">
        <v>10</v>
      </c>
      <c r="I2382" s="15" t="s">
        <v>10</v>
      </c>
      <c r="J2382" s="15" t="s">
        <v>10</v>
      </c>
      <c r="K2382" s="15">
        <v>1.0126829550805687</v>
      </c>
      <c r="L2382" s="15">
        <v>1.0126829550805687</v>
      </c>
      <c r="M2382" s="15">
        <v>0.93353316057811475</v>
      </c>
      <c r="N2382" s="15">
        <v>0.93353316057811475</v>
      </c>
      <c r="O2382" s="15">
        <v>0.8638344132618796</v>
      </c>
      <c r="P2382" s="15">
        <v>0.8638344132618796</v>
      </c>
      <c r="Q2382" s="8"/>
      <c r="R2382" s="9" t="s">
        <v>2358</v>
      </c>
    </row>
    <row r="2383" spans="1:18" x14ac:dyDescent="0.25">
      <c r="A2383" s="6" t="str">
        <f>HYPERLINK("proteomic_fractions_linear_files/Yang_linear_img/227908825.jpg", "227908825")</f>
        <v>227908825</v>
      </c>
      <c r="B2383" s="7"/>
      <c r="C2383" s="6" t="str">
        <f>HYPERLINK("http://www.ncbi.nlm.nih.gov/protein/227908825","Fam50b")</f>
        <v>Fam50b</v>
      </c>
      <c r="D2383" s="8"/>
      <c r="E2383" s="8">
        <v>39463</v>
      </c>
      <c r="F2383" s="8"/>
      <c r="G2383" s="15" t="s">
        <v>10</v>
      </c>
      <c r="H2383" s="15" t="s">
        <v>10</v>
      </c>
      <c r="I2383" s="15" t="s">
        <v>10</v>
      </c>
      <c r="J2383" s="15" t="s">
        <v>10</v>
      </c>
      <c r="K2383" s="15">
        <v>0.95746990828524592</v>
      </c>
      <c r="L2383" s="15">
        <v>0.95746990828524592</v>
      </c>
      <c r="M2383" s="15">
        <v>0.95746990828524592</v>
      </c>
      <c r="N2383" s="15">
        <v>0.95746990828524592</v>
      </c>
      <c r="O2383" s="15">
        <v>0.8859840136019278</v>
      </c>
      <c r="P2383" s="15">
        <v>0.8859840136019278</v>
      </c>
      <c r="Q2383" s="8"/>
      <c r="R2383" s="9" t="s">
        <v>2359</v>
      </c>
    </row>
    <row r="2384" spans="1:18" x14ac:dyDescent="0.25">
      <c r="A2384" s="6" t="str">
        <f>HYPERLINK("proteomic_fractions_linear_files/Yang_linear_img/300934856.jpg", "300934856")</f>
        <v>300934856</v>
      </c>
      <c r="B2384" s="7"/>
      <c r="C2384" s="6" t="str">
        <f>HYPERLINK("http://www.ncbi.nlm.nih.gov/protein/300934856","Fam63a")</f>
        <v>Fam63a</v>
      </c>
      <c r="D2384" s="8"/>
      <c r="E2384" s="8">
        <v>51095</v>
      </c>
      <c r="F2384" s="8"/>
      <c r="G2384" s="15" t="s">
        <v>10</v>
      </c>
      <c r="H2384" s="15" t="s">
        <v>10</v>
      </c>
      <c r="I2384" s="15" t="s">
        <v>10</v>
      </c>
      <c r="J2384" s="15" t="s">
        <v>10</v>
      </c>
      <c r="K2384" s="15">
        <v>1.2833973202067517</v>
      </c>
      <c r="L2384" s="15">
        <v>1.2833973202067517</v>
      </c>
      <c r="M2384" s="15" t="s">
        <v>10</v>
      </c>
      <c r="N2384" s="15" t="s">
        <v>10</v>
      </c>
      <c r="O2384" s="15">
        <v>1.0415797966666878</v>
      </c>
      <c r="P2384" s="15">
        <v>1.0415797966666878</v>
      </c>
      <c r="Q2384" s="8"/>
      <c r="R2384" s="9" t="s">
        <v>2360</v>
      </c>
    </row>
    <row r="2385" spans="1:18" x14ac:dyDescent="0.25">
      <c r="A2385" s="6" t="str">
        <f>HYPERLINK("proteomic_fractions_linear_files/Yang_linear_img/41680647.jpg", "41680647")</f>
        <v>41680647</v>
      </c>
      <c r="B2385" s="7"/>
      <c r="C2385" s="6" t="str">
        <f>HYPERLINK("http://www.ncbi.nlm.nih.gov/protein/41680647","Fam63a")</f>
        <v>Fam63a</v>
      </c>
      <c r="D2385" s="8"/>
      <c r="E2385" s="8">
        <v>50078</v>
      </c>
      <c r="F2385" s="8"/>
      <c r="G2385" s="15" t="s">
        <v>10</v>
      </c>
      <c r="H2385" s="15" t="s">
        <v>10</v>
      </c>
      <c r="I2385" s="15" t="s">
        <v>10</v>
      </c>
      <c r="J2385" s="15" t="s">
        <v>10</v>
      </c>
      <c r="K2385" s="15">
        <v>1.3090652666108866</v>
      </c>
      <c r="L2385" s="15">
        <v>1.3090652666108866</v>
      </c>
      <c r="M2385" s="15" t="s">
        <v>10</v>
      </c>
      <c r="N2385" s="15" t="s">
        <v>10</v>
      </c>
      <c r="O2385" s="15">
        <v>1.0624113926000216</v>
      </c>
      <c r="P2385" s="15">
        <v>1.0624113926000216</v>
      </c>
      <c r="Q2385" s="8"/>
      <c r="R2385" s="9" t="s">
        <v>2361</v>
      </c>
    </row>
    <row r="2386" spans="1:18" x14ac:dyDescent="0.25">
      <c r="A2386" s="6" t="str">
        <f>HYPERLINK("proteomic_fractions_linear_files/Yang_linear_img/118403316.jpg", "118403316")</f>
        <v>118403316</v>
      </c>
      <c r="B2386" s="7"/>
      <c r="C2386" s="6" t="str">
        <f>HYPERLINK("http://www.ncbi.nlm.nih.gov/protein/118403316","Fam63b")</f>
        <v>Fam63b</v>
      </c>
      <c r="D2386" s="8"/>
      <c r="E2386" s="8">
        <v>65506</v>
      </c>
      <c r="F2386" s="8"/>
      <c r="G2386" s="15" t="s">
        <v>10</v>
      </c>
      <c r="H2386" s="15" t="s">
        <v>10</v>
      </c>
      <c r="I2386" s="15" t="s">
        <v>10</v>
      </c>
      <c r="J2386" s="15" t="s">
        <v>10</v>
      </c>
      <c r="K2386" s="15" t="s">
        <v>10</v>
      </c>
      <c r="L2386" s="15" t="s">
        <v>10</v>
      </c>
      <c r="M2386" s="15" t="s">
        <v>10</v>
      </c>
      <c r="N2386" s="15" t="s">
        <v>10</v>
      </c>
      <c r="O2386" s="15">
        <v>1.6636600578959313</v>
      </c>
      <c r="P2386" s="15">
        <v>1.6636600578959313</v>
      </c>
      <c r="Q2386" s="8"/>
      <c r="R2386" s="9" t="s">
        <v>2362</v>
      </c>
    </row>
    <row r="2387" spans="1:18" x14ac:dyDescent="0.25">
      <c r="A2387" s="6" t="str">
        <f>HYPERLINK("proteomic_fractions_linear_files/Yang_linear_img/145301546.jpg", "145301546")</f>
        <v>145301546</v>
      </c>
      <c r="B2387" s="7"/>
      <c r="C2387" s="6" t="str">
        <f>HYPERLINK("http://www.ncbi.nlm.nih.gov/protein/145301546","Fam65a")</f>
        <v>Fam65a</v>
      </c>
      <c r="D2387" s="8"/>
      <c r="E2387" s="8">
        <v>132222</v>
      </c>
      <c r="F2387" s="8"/>
      <c r="G2387" s="15" t="s">
        <v>10</v>
      </c>
      <c r="H2387" s="15" t="s">
        <v>10</v>
      </c>
      <c r="I2387" s="15" t="s">
        <v>10</v>
      </c>
      <c r="J2387" s="15" t="s">
        <v>10</v>
      </c>
      <c r="K2387" s="15">
        <v>1.4148926639389421</v>
      </c>
      <c r="L2387" s="15">
        <v>1.4148926639389421</v>
      </c>
      <c r="M2387" s="15" t="s">
        <v>10</v>
      </c>
      <c r="N2387" s="15" t="s">
        <v>10</v>
      </c>
      <c r="O2387" s="15">
        <v>1.4148926639389421</v>
      </c>
      <c r="P2387" s="15">
        <v>1.4148926639389421</v>
      </c>
      <c r="Q2387" s="8"/>
      <c r="R2387" s="9" t="s">
        <v>2363</v>
      </c>
    </row>
    <row r="2388" spans="1:18" x14ac:dyDescent="0.25">
      <c r="A2388" s="6" t="str">
        <f>HYPERLINK("proteomic_fractions_linear_files/Yang_linear_img/28849885.jpg", "28849885")</f>
        <v>28849885</v>
      </c>
      <c r="B2388" s="7"/>
      <c r="C2388" s="6" t="str">
        <f>HYPERLINK("http://www.ncbi.nlm.nih.gov/protein/28849885","Fam76b")</f>
        <v>Fam76b</v>
      </c>
      <c r="D2388" s="8"/>
      <c r="E2388" s="8">
        <v>38425</v>
      </c>
      <c r="F2388" s="8"/>
      <c r="G2388" s="15" t="s">
        <v>10</v>
      </c>
      <c r="H2388" s="15" t="s">
        <v>10</v>
      </c>
      <c r="I2388" s="15" t="s">
        <v>10</v>
      </c>
      <c r="J2388" s="15" t="s">
        <v>10</v>
      </c>
      <c r="K2388" s="15">
        <v>1.0659820579795458</v>
      </c>
      <c r="L2388" s="15">
        <v>1.0659820579795458</v>
      </c>
      <c r="M2388" s="15" t="s">
        <v>10</v>
      </c>
      <c r="N2388" s="15" t="s">
        <v>10</v>
      </c>
      <c r="O2388" s="15">
        <v>0.98266648481906815</v>
      </c>
      <c r="P2388" s="15">
        <v>0.98266648481906815</v>
      </c>
      <c r="Q2388" s="8"/>
      <c r="R2388" s="9" t="s">
        <v>2364</v>
      </c>
    </row>
    <row r="2389" spans="1:18" x14ac:dyDescent="0.25">
      <c r="A2389" s="6" t="str">
        <f>HYPERLINK("proteomic_fractions_linear_files/Yang_linear_img/269914116.jpg", "269914116")</f>
        <v>269914116</v>
      </c>
      <c r="B2389" s="7"/>
      <c r="C2389" s="6" t="str">
        <f>HYPERLINK("http://www.ncbi.nlm.nih.gov/protein/269914116","Fam83h")</f>
        <v>Fam83h</v>
      </c>
      <c r="D2389" s="8"/>
      <c r="E2389" s="8">
        <v>130985</v>
      </c>
      <c r="F2389" s="8"/>
      <c r="G2389" s="15">
        <v>4.5304794325901083</v>
      </c>
      <c r="H2389" s="15">
        <v>4.5304794325901083</v>
      </c>
      <c r="I2389" s="15">
        <v>1.1713959628720751</v>
      </c>
      <c r="J2389" s="15">
        <v>1.1713959628720751</v>
      </c>
      <c r="K2389" s="15">
        <v>1.4256933712972546</v>
      </c>
      <c r="L2389" s="15">
        <v>1.4256933712972546</v>
      </c>
      <c r="M2389" s="15">
        <v>1.4256933712972546</v>
      </c>
      <c r="N2389" s="15">
        <v>1.4256933712972546</v>
      </c>
      <c r="O2389" s="15" t="s">
        <v>10</v>
      </c>
      <c r="P2389" s="15" t="s">
        <v>10</v>
      </c>
      <c r="Q2389" s="8"/>
      <c r="R2389" s="9" t="s">
        <v>2365</v>
      </c>
    </row>
    <row r="2390" spans="1:18" x14ac:dyDescent="0.25">
      <c r="A2390" s="6" t="str">
        <f>HYPERLINK("proteomic_fractions_linear_files/Yang_linear_img/242397444.jpg", "242397444")</f>
        <v>242397444</v>
      </c>
      <c r="B2390" s="7"/>
      <c r="C2390" s="6" t="str">
        <f>HYPERLINK("http://www.ncbi.nlm.nih.gov/protein/242397444","Fam84b")</f>
        <v>Fam84b</v>
      </c>
      <c r="D2390" s="8"/>
      <c r="E2390" s="8">
        <v>34459</v>
      </c>
      <c r="F2390" s="8"/>
      <c r="G2390" s="15" t="s">
        <v>10</v>
      </c>
      <c r="H2390" s="15" t="s">
        <v>10</v>
      </c>
      <c r="I2390" s="15" t="s">
        <v>10</v>
      </c>
      <c r="J2390" s="15" t="s">
        <v>10</v>
      </c>
      <c r="K2390" s="15">
        <v>1.1913917118594926</v>
      </c>
      <c r="L2390" s="15">
        <v>1.1913917118594926</v>
      </c>
      <c r="M2390" s="15" t="s">
        <v>10</v>
      </c>
      <c r="N2390" s="15" t="s">
        <v>10</v>
      </c>
      <c r="O2390" s="15" t="s">
        <v>10</v>
      </c>
      <c r="P2390" s="15" t="s">
        <v>10</v>
      </c>
      <c r="Q2390" s="8"/>
      <c r="R2390" s="9" t="s">
        <v>2366</v>
      </c>
    </row>
    <row r="2391" spans="1:18" x14ac:dyDescent="0.25">
      <c r="A2391" s="6" t="str">
        <f>HYPERLINK("proteomic_fractions_linear_files/Yang_linear_img/74315977.jpg", "74315977")</f>
        <v>74315977</v>
      </c>
      <c r="B2391" s="7"/>
      <c r="C2391" s="6" t="str">
        <f>HYPERLINK("http://www.ncbi.nlm.nih.gov/protein/74315977","Fam86")</f>
        <v>Fam86</v>
      </c>
      <c r="D2391" s="8"/>
      <c r="E2391" s="8">
        <v>36809</v>
      </c>
      <c r="F2391" s="8"/>
      <c r="G2391" s="15" t="s">
        <v>10</v>
      </c>
      <c r="H2391" s="15" t="s">
        <v>10</v>
      </c>
      <c r="I2391" s="15" t="s">
        <v>10</v>
      </c>
      <c r="J2391" s="15" t="s">
        <v>10</v>
      </c>
      <c r="K2391" s="15" t="s">
        <v>10</v>
      </c>
      <c r="L2391" s="15" t="s">
        <v>10</v>
      </c>
      <c r="M2391" s="15">
        <v>50.97201092251327</v>
      </c>
      <c r="N2391" s="15">
        <v>50.97201092251327</v>
      </c>
      <c r="O2391" s="15" t="s">
        <v>10</v>
      </c>
      <c r="P2391" s="15" t="s">
        <v>10</v>
      </c>
      <c r="Q2391" s="8"/>
      <c r="R2391" s="9" t="s">
        <v>2367</v>
      </c>
    </row>
    <row r="2392" spans="1:18" x14ac:dyDescent="0.25">
      <c r="A2392" s="6" t="str">
        <f>HYPERLINK("proteomic_fractions_linear_files/Yang_linear_img/13386128.jpg", "13386128")</f>
        <v>13386128</v>
      </c>
      <c r="B2392" s="7"/>
      <c r="C2392" s="6" t="str">
        <f>HYPERLINK("http://www.ncbi.nlm.nih.gov/protein/13386128","Fam96a")</f>
        <v>Fam96a</v>
      </c>
      <c r="D2392" s="8"/>
      <c r="E2392" s="8">
        <v>15446</v>
      </c>
      <c r="F2392" s="8"/>
      <c r="G2392" s="15" t="s">
        <v>10</v>
      </c>
      <c r="H2392" s="15" t="s">
        <v>10</v>
      </c>
      <c r="I2392" s="15" t="s">
        <v>10</v>
      </c>
      <c r="J2392" s="15" t="s">
        <v>10</v>
      </c>
      <c r="K2392" s="15" t="s">
        <v>10</v>
      </c>
      <c r="L2392" s="15" t="s">
        <v>10</v>
      </c>
      <c r="M2392" s="15" t="s">
        <v>10</v>
      </c>
      <c r="N2392" s="15" t="s">
        <v>10</v>
      </c>
      <c r="O2392" s="15">
        <v>1.0618294522121183</v>
      </c>
      <c r="P2392" s="15">
        <v>1.0618294522121183</v>
      </c>
      <c r="Q2392" s="8"/>
      <c r="R2392" s="9" t="s">
        <v>2368</v>
      </c>
    </row>
    <row r="2393" spans="1:18" x14ac:dyDescent="0.25">
      <c r="A2393" s="6" t="str">
        <f>HYPERLINK("proteomic_fractions_linear_files/Yang_linear_img/21312046.jpg", "21312046")</f>
        <v>21312046</v>
      </c>
      <c r="B2393" s="7"/>
      <c r="C2393" s="6" t="str">
        <f>HYPERLINK("http://www.ncbi.nlm.nih.gov/protein/21312046","Fam96b")</f>
        <v>Fam96b</v>
      </c>
      <c r="D2393" s="8"/>
      <c r="E2393" s="8">
        <v>17536</v>
      </c>
      <c r="F2393" s="8"/>
      <c r="G2393" s="15" t="s">
        <v>10</v>
      </c>
      <c r="H2393" s="15" t="s">
        <v>10</v>
      </c>
      <c r="I2393" s="15">
        <v>0.88485787684343198</v>
      </c>
      <c r="J2393" s="15">
        <v>0.88485787684343198</v>
      </c>
      <c r="K2393" s="15">
        <v>0.88485787684343198</v>
      </c>
      <c r="L2393" s="15">
        <v>0.88485787684343198</v>
      </c>
      <c r="M2393" s="15">
        <v>0.9286930289226123</v>
      </c>
      <c r="N2393" s="15">
        <v>0.9286930289226123</v>
      </c>
      <c r="O2393" s="15">
        <v>0.88485787684343198</v>
      </c>
      <c r="P2393" s="15">
        <v>0.88485787684343198</v>
      </c>
      <c r="Q2393" s="8"/>
      <c r="R2393" s="9" t="s">
        <v>2369</v>
      </c>
    </row>
    <row r="2394" spans="1:18" x14ac:dyDescent="0.25">
      <c r="A2394" s="6" t="str">
        <f>HYPERLINK("proteomic_fractions_linear_files/Yang_linear_img/139948818.jpg", "139948818")</f>
        <v>139948818</v>
      </c>
      <c r="B2394" s="7"/>
      <c r="C2394" s="6" t="str">
        <f>HYPERLINK("http://www.ncbi.nlm.nih.gov/protein/139948818","Fam98a")</f>
        <v>Fam98a</v>
      </c>
      <c r="D2394" s="8"/>
      <c r="E2394" s="8">
        <v>54924</v>
      </c>
      <c r="F2394" s="8"/>
      <c r="G2394" s="15" t="s">
        <v>10</v>
      </c>
      <c r="H2394" s="15" t="s">
        <v>10</v>
      </c>
      <c r="I2394" s="15">
        <v>1.0686037742835246</v>
      </c>
      <c r="J2394" s="15">
        <v>1.0686037742835246</v>
      </c>
      <c r="K2394" s="15">
        <v>1.1900593332826241</v>
      </c>
      <c r="L2394" s="15">
        <v>1.1900593332826241</v>
      </c>
      <c r="M2394" s="15">
        <v>1.0686037742835246</v>
      </c>
      <c r="N2394" s="15">
        <v>1.0686037742835246</v>
      </c>
      <c r="O2394" s="15" t="s">
        <v>10</v>
      </c>
      <c r="P2394" s="15" t="s">
        <v>10</v>
      </c>
      <c r="Q2394" s="8"/>
      <c r="R2394" s="9" t="s">
        <v>2370</v>
      </c>
    </row>
    <row r="2395" spans="1:18" x14ac:dyDescent="0.25">
      <c r="A2395" s="6" t="str">
        <f>HYPERLINK("proteomic_fractions_linear_files/Yang_linear_img/61098124.jpg", "61098124")</f>
        <v>61098124</v>
      </c>
      <c r="B2395" s="7"/>
      <c r="C2395" s="6" t="str">
        <f>HYPERLINK("http://www.ncbi.nlm.nih.gov/protein/61098124","Fam98b")</f>
        <v>Fam98b</v>
      </c>
      <c r="D2395" s="8"/>
      <c r="E2395" s="8">
        <v>45218</v>
      </c>
      <c r="F2395" s="8"/>
      <c r="G2395" s="15" t="s">
        <v>10</v>
      </c>
      <c r="H2395" s="15" t="s">
        <v>10</v>
      </c>
      <c r="I2395" s="15">
        <v>0.98056864993256598</v>
      </c>
      <c r="J2395" s="15">
        <v>0.98056864993256598</v>
      </c>
      <c r="K2395" s="15">
        <v>1.0731105685425613</v>
      </c>
      <c r="L2395" s="15">
        <v>1.0731105685425613</v>
      </c>
      <c r="M2395" s="15">
        <v>0.98056864993256598</v>
      </c>
      <c r="N2395" s="15">
        <v>0.98056864993256598</v>
      </c>
      <c r="O2395" s="15">
        <v>0.90016262673828318</v>
      </c>
      <c r="P2395" s="15">
        <v>0.90016262673828318</v>
      </c>
      <c r="Q2395" s="8"/>
      <c r="R2395" s="9" t="s">
        <v>2371</v>
      </c>
    </row>
    <row r="2396" spans="1:18" x14ac:dyDescent="0.25">
      <c r="A2396" s="6" t="str">
        <f>HYPERLINK("proteomic_fractions_linear_files/Yang_linear_img/225637492.jpg", "225637492")</f>
        <v>225637492</v>
      </c>
      <c r="B2396" s="7"/>
      <c r="C2396" s="6" t="str">
        <f>HYPERLINK("http://www.ncbi.nlm.nih.gov/protein/225637492","Fam98c")</f>
        <v>Fam98c</v>
      </c>
      <c r="D2396" s="8"/>
      <c r="E2396" s="8">
        <v>37141</v>
      </c>
      <c r="F2396" s="8"/>
      <c r="G2396" s="15" t="s">
        <v>10</v>
      </c>
      <c r="H2396" s="15" t="s">
        <v>10</v>
      </c>
      <c r="I2396" s="15" t="s">
        <v>10</v>
      </c>
      <c r="J2396" s="15" t="s">
        <v>10</v>
      </c>
      <c r="K2396" s="15" t="s">
        <v>10</v>
      </c>
      <c r="L2396" s="15" t="s">
        <v>10</v>
      </c>
      <c r="M2396" s="15" t="s">
        <v>10</v>
      </c>
      <c r="N2396" s="15" t="s">
        <v>10</v>
      </c>
      <c r="O2396" s="15">
        <v>0.86713710420901591</v>
      </c>
      <c r="P2396" s="15">
        <v>0.86713710420901591</v>
      </c>
      <c r="Q2396" s="8"/>
      <c r="R2396" s="9" t="s">
        <v>2372</v>
      </c>
    </row>
    <row r="2397" spans="1:18" x14ac:dyDescent="0.25">
      <c r="A2397" s="6" t="str">
        <f>HYPERLINK("proteomic_fractions_linear_files/Yang_linear_img/257467664.jpg", "257467664")</f>
        <v>257467664</v>
      </c>
      <c r="B2397" s="7"/>
      <c r="C2397" s="6" t="str">
        <f>HYPERLINK("http://www.ncbi.nlm.nih.gov/protein/257467664","Fan1")</f>
        <v>Fan1</v>
      </c>
      <c r="D2397" s="8"/>
      <c r="E2397" s="8">
        <v>112794</v>
      </c>
      <c r="F2397" s="8"/>
      <c r="G2397" s="15" t="s">
        <v>10</v>
      </c>
      <c r="H2397" s="15" t="s">
        <v>10</v>
      </c>
      <c r="I2397" s="15" t="s">
        <v>10</v>
      </c>
      <c r="J2397" s="15" t="s">
        <v>10</v>
      </c>
      <c r="K2397" s="15">
        <v>2.6706488905884846</v>
      </c>
      <c r="L2397" s="15">
        <v>2.6706488905884846</v>
      </c>
      <c r="M2397" s="15" t="s">
        <v>10</v>
      </c>
      <c r="N2397" s="15" t="s">
        <v>10</v>
      </c>
      <c r="O2397" s="15" t="s">
        <v>10</v>
      </c>
      <c r="P2397" s="15" t="s">
        <v>10</v>
      </c>
      <c r="Q2397" s="8"/>
      <c r="R2397" s="9" t="s">
        <v>2373</v>
      </c>
    </row>
    <row r="2398" spans="1:18" x14ac:dyDescent="0.25">
      <c r="A2398" s="6" t="str">
        <f>HYPERLINK("proteomic_fractions_linear_files/Yang_linear_img/126722700.jpg", "126722700")</f>
        <v>126722700</v>
      </c>
      <c r="B2398" s="7"/>
      <c r="C2398" s="6" t="str">
        <f>HYPERLINK("http://www.ncbi.nlm.nih.gov/protein/126722700","Fanci")</f>
        <v>Fanci</v>
      </c>
      <c r="D2398" s="8"/>
      <c r="E2398" s="8">
        <v>149196</v>
      </c>
      <c r="F2398" s="8"/>
      <c r="G2398" s="15" t="s">
        <v>10</v>
      </c>
      <c r="H2398" s="15" t="s">
        <v>10</v>
      </c>
      <c r="I2398" s="15" t="s">
        <v>10</v>
      </c>
      <c r="J2398" s="15" t="s">
        <v>10</v>
      </c>
      <c r="K2398" s="15" t="s">
        <v>10</v>
      </c>
      <c r="L2398" s="15" t="s">
        <v>10</v>
      </c>
      <c r="M2398" s="15">
        <v>1.2534619573150361</v>
      </c>
      <c r="N2398" s="15">
        <v>1.2534619573150361</v>
      </c>
      <c r="O2398" s="15">
        <v>0.73692324712168766</v>
      </c>
      <c r="P2398" s="15">
        <v>0.73692324712168766</v>
      </c>
      <c r="Q2398" s="8"/>
      <c r="R2398" s="9" t="s">
        <v>2374</v>
      </c>
    </row>
    <row r="2399" spans="1:18" x14ac:dyDescent="0.25">
      <c r="A2399" s="6" t="str">
        <f>HYPERLINK("proteomic_fractions_linear_files/Yang_linear_img/74096448.jpg", "74096448")</f>
        <v>74096448</v>
      </c>
      <c r="B2399" s="7"/>
      <c r="C2399" s="6" t="str">
        <f>HYPERLINK("http://www.ncbi.nlm.nih.gov/protein/74096448","Far1")</f>
        <v>Far1</v>
      </c>
      <c r="D2399" s="8"/>
      <c r="E2399" s="8">
        <v>59304</v>
      </c>
      <c r="F2399" s="8"/>
      <c r="G2399" s="15" t="s">
        <v>10</v>
      </c>
      <c r="H2399" s="15" t="s">
        <v>10</v>
      </c>
      <c r="I2399" s="15">
        <v>0.90034863779662844</v>
      </c>
      <c r="J2399" s="15">
        <v>0.90034863779662844</v>
      </c>
      <c r="K2399" s="15">
        <v>0.90034863779662844</v>
      </c>
      <c r="L2399" s="15">
        <v>0.90034863779662844</v>
      </c>
      <c r="M2399" s="15" t="s">
        <v>10</v>
      </c>
      <c r="N2399" s="15" t="s">
        <v>10</v>
      </c>
      <c r="O2399" s="15" t="s">
        <v>10</v>
      </c>
      <c r="P2399" s="15" t="s">
        <v>10</v>
      </c>
      <c r="Q2399" s="8"/>
      <c r="R2399" s="9" t="s">
        <v>2375</v>
      </c>
    </row>
    <row r="2400" spans="1:18" x14ac:dyDescent="0.25">
      <c r="A2400" s="6" t="str">
        <f>HYPERLINK("proteomic_fractions_linear_files/Yang_linear_img/110349752.jpg", "110349752")</f>
        <v>110349752</v>
      </c>
      <c r="B2400" s="7"/>
      <c r="C2400" s="6" t="str">
        <f>HYPERLINK("http://www.ncbi.nlm.nih.gov/protein/110349752","Farp1")</f>
        <v>Farp1</v>
      </c>
      <c r="D2400" s="8"/>
      <c r="E2400" s="8">
        <v>118745</v>
      </c>
      <c r="F2400" s="8"/>
      <c r="G2400" s="15" t="s">
        <v>10</v>
      </c>
      <c r="H2400" s="15" t="s">
        <v>10</v>
      </c>
      <c r="I2400" s="15">
        <v>1.2895199255146372</v>
      </c>
      <c r="J2400" s="15">
        <v>1.2895199255146372</v>
      </c>
      <c r="K2400" s="15">
        <v>1.2895199255146372</v>
      </c>
      <c r="L2400" s="15">
        <v>1.2895199255146372</v>
      </c>
      <c r="M2400" s="15" t="s">
        <v>10</v>
      </c>
      <c r="N2400" s="15" t="s">
        <v>10</v>
      </c>
      <c r="O2400" s="15" t="s">
        <v>10</v>
      </c>
      <c r="P2400" s="15" t="s">
        <v>10</v>
      </c>
      <c r="Q2400" s="8"/>
      <c r="R2400" s="9" t="s">
        <v>2376</v>
      </c>
    </row>
    <row r="2401" spans="1:18" x14ac:dyDescent="0.25">
      <c r="A2401" s="6" t="str">
        <f>HYPERLINK("proteomic_fractions_linear_files/Yang_linear_img/229892332.jpg", "229892332")</f>
        <v>229892332</v>
      </c>
      <c r="B2401" s="7"/>
      <c r="C2401" s="6" t="str">
        <f>HYPERLINK("http://www.ncbi.nlm.nih.gov/protein/229892332","Farp2")</f>
        <v>Farp2</v>
      </c>
      <c r="D2401" s="8"/>
      <c r="E2401" s="8">
        <v>121150</v>
      </c>
      <c r="F2401" s="8"/>
      <c r="G2401" s="15" t="s">
        <v>10</v>
      </c>
      <c r="H2401" s="15" t="s">
        <v>10</v>
      </c>
      <c r="I2401" s="15" t="s">
        <v>10</v>
      </c>
      <c r="J2401" s="15" t="s">
        <v>10</v>
      </c>
      <c r="K2401" s="15">
        <v>1.2682055465805111</v>
      </c>
      <c r="L2401" s="15">
        <v>1.2682055465805111</v>
      </c>
      <c r="M2401" s="15" t="s">
        <v>10</v>
      </c>
      <c r="N2401" s="15" t="s">
        <v>10</v>
      </c>
      <c r="O2401" s="15" t="s">
        <v>10</v>
      </c>
      <c r="P2401" s="15" t="s">
        <v>10</v>
      </c>
      <c r="Q2401" s="8"/>
      <c r="R2401" s="9" t="s">
        <v>2377</v>
      </c>
    </row>
    <row r="2402" spans="1:18" x14ac:dyDescent="0.25">
      <c r="A2402" s="6" t="str">
        <f>HYPERLINK("proteomic_fractions_linear_files/Yang_linear_img/162138894.jpg", "162138894")</f>
        <v>162138894</v>
      </c>
      <c r="B2402" s="7"/>
      <c r="C2402" s="6" t="str">
        <f>HYPERLINK("http://www.ncbi.nlm.nih.gov/protein/162138894","Farsa")</f>
        <v>Farsa</v>
      </c>
      <c r="D2402" s="8"/>
      <c r="E2402" s="8">
        <v>57468</v>
      </c>
      <c r="F2402" s="8"/>
      <c r="G2402" s="15">
        <v>1.2883536884505657</v>
      </c>
      <c r="H2402" s="15">
        <v>1.2883536884505657</v>
      </c>
      <c r="I2402" s="15">
        <v>1.0311089050104185</v>
      </c>
      <c r="J2402" s="15">
        <v>1.0311089050104185</v>
      </c>
      <c r="K2402" s="15">
        <v>1.0311089050104185</v>
      </c>
      <c r="L2402" s="15">
        <v>1.0311089050104185</v>
      </c>
      <c r="M2402" s="15">
        <v>1.0311089050104185</v>
      </c>
      <c r="N2402" s="15">
        <v>1.0311089050104185</v>
      </c>
      <c r="O2402" s="15" t="s">
        <v>10</v>
      </c>
      <c r="P2402" s="15" t="s">
        <v>10</v>
      </c>
      <c r="Q2402" s="8"/>
      <c r="R2402" s="9" t="s">
        <v>2378</v>
      </c>
    </row>
    <row r="2403" spans="1:18" x14ac:dyDescent="0.25">
      <c r="A2403" s="6" t="str">
        <f>HYPERLINK("proteomic_fractions_linear_files/Yang_linear_img/31981400.jpg", "31981400")</f>
        <v>31981400</v>
      </c>
      <c r="B2403" s="7"/>
      <c r="C2403" s="6" t="str">
        <f>HYPERLINK("http://www.ncbi.nlm.nih.gov/protein/31981400","Farsb")</f>
        <v>Farsb</v>
      </c>
      <c r="D2403" s="8"/>
      <c r="E2403" s="8">
        <v>65566</v>
      </c>
      <c r="F2403" s="8"/>
      <c r="G2403" s="15" t="s">
        <v>10</v>
      </c>
      <c r="H2403" s="15" t="s">
        <v>10</v>
      </c>
      <c r="I2403" s="15">
        <v>1.1126690945709432</v>
      </c>
      <c r="J2403" s="15">
        <v>1.1126690945709432</v>
      </c>
      <c r="K2403" s="15">
        <v>1.1126690945709432</v>
      </c>
      <c r="L2403" s="15">
        <v>1.1126690945709432</v>
      </c>
      <c r="M2403" s="15">
        <v>1.1126690945709432</v>
      </c>
      <c r="N2403" s="15">
        <v>1.1126690945709432</v>
      </c>
      <c r="O2403" s="15" t="s">
        <v>10</v>
      </c>
      <c r="P2403" s="15" t="s">
        <v>10</v>
      </c>
      <c r="Q2403" s="8"/>
      <c r="R2403" s="9" t="s">
        <v>2379</v>
      </c>
    </row>
    <row r="2404" spans="1:18" x14ac:dyDescent="0.25">
      <c r="A2404" s="6" t="str">
        <f>HYPERLINK("proteomic_fractions_linear_files/Yang_linear_img/93102409.jpg", "93102409")</f>
        <v>93102409</v>
      </c>
      <c r="B2404" s="7"/>
      <c r="C2404" s="6" t="str">
        <f>HYPERLINK("http://www.ncbi.nlm.nih.gov/protein/93102409","Fasn")</f>
        <v>Fasn</v>
      </c>
      <c r="D2404" s="8"/>
      <c r="E2404" s="8">
        <v>272299</v>
      </c>
      <c r="F2404" s="8"/>
      <c r="G2404" s="15">
        <v>0.85794429274944506</v>
      </c>
      <c r="H2404" s="15">
        <v>0.85794429274944506</v>
      </c>
      <c r="I2404" s="15">
        <v>0.85794429274944506</v>
      </c>
      <c r="J2404" s="15">
        <v>0.85794429274944506</v>
      </c>
      <c r="K2404" s="15">
        <v>1.1094975170459513</v>
      </c>
      <c r="L2404" s="15">
        <v>1.1094975170459513</v>
      </c>
      <c r="M2404" s="15">
        <v>1.1094975170459513</v>
      </c>
      <c r="N2404" s="15">
        <v>1.1094975170459513</v>
      </c>
      <c r="O2404" s="15">
        <v>1.1094975170459513</v>
      </c>
      <c r="P2404" s="15">
        <v>1.1094975170459513</v>
      </c>
      <c r="Q2404" s="8"/>
      <c r="R2404" s="9" t="s">
        <v>2380</v>
      </c>
    </row>
    <row r="2405" spans="1:18" x14ac:dyDescent="0.25">
      <c r="A2405" s="6" t="str">
        <f>HYPERLINK("proteomic_fractions_linear_files/Yang_linear_img/27369557.jpg", "27369557")</f>
        <v>27369557</v>
      </c>
      <c r="B2405" s="7"/>
      <c r="C2405" s="6" t="str">
        <f>HYPERLINK("http://www.ncbi.nlm.nih.gov/protein/27369557","Fastkd2")</f>
        <v>Fastkd2</v>
      </c>
      <c r="D2405" s="8"/>
      <c r="E2405" s="8">
        <v>78817</v>
      </c>
      <c r="F2405" s="8"/>
      <c r="G2405" s="15" t="s">
        <v>10</v>
      </c>
      <c r="H2405" s="15" t="s">
        <v>10</v>
      </c>
      <c r="I2405" s="15">
        <v>0.67241227379748203</v>
      </c>
      <c r="J2405" s="15">
        <v>0.67241227379748203</v>
      </c>
      <c r="K2405" s="15" t="s">
        <v>10</v>
      </c>
      <c r="L2405" s="15" t="s">
        <v>10</v>
      </c>
      <c r="M2405" s="15" t="s">
        <v>10</v>
      </c>
      <c r="N2405" s="15" t="s">
        <v>10</v>
      </c>
      <c r="O2405" s="15" t="s">
        <v>10</v>
      </c>
      <c r="P2405" s="15" t="s">
        <v>10</v>
      </c>
      <c r="Q2405" s="8"/>
      <c r="R2405" s="9" t="s">
        <v>2381</v>
      </c>
    </row>
    <row r="2406" spans="1:18" x14ac:dyDescent="0.25">
      <c r="A2406" s="6" t="str">
        <f>HYPERLINK("proteomic_fractions_linear_files/Yang_linear_img/157951641.jpg", "157951641")</f>
        <v>157951641</v>
      </c>
      <c r="B2406" s="7"/>
      <c r="C2406" s="6" t="str">
        <f>HYPERLINK("http://www.ncbi.nlm.nih.gov/protein/157951641","Fat1")</f>
        <v>Fat1</v>
      </c>
      <c r="D2406" s="8"/>
      <c r="E2406" s="8">
        <v>503857</v>
      </c>
      <c r="F2406" s="8"/>
      <c r="G2406" s="15" t="s">
        <v>10</v>
      </c>
      <c r="H2406" s="15" t="s">
        <v>10</v>
      </c>
      <c r="I2406" s="15">
        <v>0.8115943605941266</v>
      </c>
      <c r="J2406" s="15">
        <v>0.8115943605941266</v>
      </c>
      <c r="K2406" s="15">
        <v>0.8115943605941266</v>
      </c>
      <c r="L2406" s="15">
        <v>0.8115943605941266</v>
      </c>
      <c r="M2406" s="15" t="s">
        <v>10</v>
      </c>
      <c r="N2406" s="15" t="s">
        <v>10</v>
      </c>
      <c r="O2406" s="15" t="s">
        <v>10</v>
      </c>
      <c r="P2406" s="15" t="s">
        <v>10</v>
      </c>
      <c r="Q2406" s="8"/>
      <c r="R2406" s="9" t="s">
        <v>2382</v>
      </c>
    </row>
    <row r="2407" spans="1:18" x14ac:dyDescent="0.25">
      <c r="A2407" s="6" t="str">
        <f>HYPERLINK("proteomic_fractions_linear_files/Yang_linear_img/237681133.jpg", "237681133")</f>
        <v>237681133</v>
      </c>
      <c r="B2407" s="7"/>
      <c r="C2407" s="6" t="str">
        <f>HYPERLINK("http://www.ncbi.nlm.nih.gov/protein/237681133","Fau")</f>
        <v>Fau</v>
      </c>
      <c r="D2407" s="8"/>
      <c r="E2407" s="8">
        <v>14285</v>
      </c>
      <c r="F2407" s="8"/>
      <c r="G2407" s="15" t="s">
        <v>10</v>
      </c>
      <c r="H2407" s="15" t="s">
        <v>10</v>
      </c>
      <c r="I2407" s="15">
        <v>0.99184646428118928</v>
      </c>
      <c r="J2407" s="15">
        <v>0.99184646428118928</v>
      </c>
      <c r="K2407" s="15">
        <v>1.085452735272449</v>
      </c>
      <c r="L2407" s="15">
        <v>1.085452735272449</v>
      </c>
      <c r="M2407" s="15">
        <v>1.0369624087050249</v>
      </c>
      <c r="N2407" s="15">
        <v>1.0369624087050249</v>
      </c>
      <c r="O2407" s="15" t="s">
        <v>10</v>
      </c>
      <c r="P2407" s="15" t="s">
        <v>10</v>
      </c>
      <c r="Q2407" s="8"/>
      <c r="R2407" s="9" t="s">
        <v>2383</v>
      </c>
    </row>
    <row r="2408" spans="1:18" x14ac:dyDescent="0.25">
      <c r="A2408" s="6" t="str">
        <f>HYPERLINK("proteomic_fractions_linear_files/Yang_linear_img/144922653.jpg", "144922653")</f>
        <v>144922653</v>
      </c>
      <c r="B2408" s="7"/>
      <c r="C2408" s="6" t="str">
        <f>HYPERLINK("http://www.ncbi.nlm.nih.gov/protein/144922653","Fbf1")</f>
        <v>Fbf1</v>
      </c>
      <c r="D2408" s="8"/>
      <c r="E2408" s="8">
        <v>130007</v>
      </c>
      <c r="F2408" s="8"/>
      <c r="G2408" s="15" t="s">
        <v>10</v>
      </c>
      <c r="H2408" s="15" t="s">
        <v>10</v>
      </c>
      <c r="I2408" s="15" t="s">
        <v>10</v>
      </c>
      <c r="J2408" s="15" t="s">
        <v>10</v>
      </c>
      <c r="K2408" s="15">
        <v>1.4366602433841567</v>
      </c>
      <c r="L2408" s="15">
        <v>1.4366602433841567</v>
      </c>
      <c r="M2408" s="15" t="s">
        <v>10</v>
      </c>
      <c r="N2408" s="15" t="s">
        <v>10</v>
      </c>
      <c r="O2408" s="15" t="s">
        <v>10</v>
      </c>
      <c r="P2408" s="15" t="s">
        <v>10</v>
      </c>
      <c r="Q2408" s="8"/>
      <c r="R2408" s="9" t="s">
        <v>2384</v>
      </c>
    </row>
    <row r="2409" spans="1:18" x14ac:dyDescent="0.25">
      <c r="A2409" s="6" t="str">
        <f>HYPERLINK("proteomic_fractions_linear_files/Yang_linear_img/110625770.jpg", "110625770")</f>
        <v>110625770</v>
      </c>
      <c r="B2409" s="7"/>
      <c r="C2409" s="6" t="str">
        <f>HYPERLINK("http://www.ncbi.nlm.nih.gov/protein/110625770","Fblim1")</f>
        <v>Fblim1</v>
      </c>
      <c r="D2409" s="8"/>
      <c r="E2409" s="8">
        <v>40895</v>
      </c>
      <c r="F2409" s="8"/>
      <c r="G2409" s="15" t="s">
        <v>10</v>
      </c>
      <c r="H2409" s="15" t="s">
        <v>10</v>
      </c>
      <c r="I2409" s="15" t="s">
        <v>10</v>
      </c>
      <c r="J2409" s="15" t="s">
        <v>10</v>
      </c>
      <c r="K2409" s="15" t="s">
        <v>10</v>
      </c>
      <c r="L2409" s="15" t="s">
        <v>10</v>
      </c>
      <c r="M2409" s="15" t="s">
        <v>10</v>
      </c>
      <c r="N2409" s="15" t="s">
        <v>10</v>
      </c>
      <c r="O2409" s="15">
        <v>1.1778042825467134</v>
      </c>
      <c r="P2409" s="15">
        <v>1.1778042825467134</v>
      </c>
      <c r="Q2409" s="8"/>
      <c r="R2409" s="9" t="s">
        <v>2385</v>
      </c>
    </row>
    <row r="2410" spans="1:18" x14ac:dyDescent="0.25">
      <c r="A2410" s="6" t="str">
        <f>HYPERLINK("proteomic_fractions_linear_files/Yang_linear_img/51921297.jpg", "51921297")</f>
        <v>51921297</v>
      </c>
      <c r="B2410" s="7"/>
      <c r="C2410" s="6" t="str">
        <f>HYPERLINK("http://www.ncbi.nlm.nih.gov/protein/51921297","Fbll1")</f>
        <v>Fbll1</v>
      </c>
      <c r="D2410" s="8"/>
      <c r="E2410" s="8">
        <v>33208</v>
      </c>
      <c r="F2410" s="8"/>
      <c r="G2410" s="15">
        <v>1.4633325934671289</v>
      </c>
      <c r="H2410" s="15">
        <v>1.4633325934671289</v>
      </c>
      <c r="I2410" s="15">
        <v>1.0470720160750056</v>
      </c>
      <c r="J2410" s="15">
        <v>1.0470720160750056</v>
      </c>
      <c r="K2410" s="15">
        <v>1.0470720160750056</v>
      </c>
      <c r="L2410" s="15">
        <v>1.0470720160750056</v>
      </c>
      <c r="M2410" s="15">
        <v>1.0470720160750056</v>
      </c>
      <c r="N2410" s="15">
        <v>1.0470720160750056</v>
      </c>
      <c r="O2410" s="15" t="s">
        <v>10</v>
      </c>
      <c r="P2410" s="15" t="s">
        <v>10</v>
      </c>
      <c r="Q2410" s="8"/>
      <c r="R2410" s="9" t="s">
        <v>2386</v>
      </c>
    </row>
    <row r="2411" spans="1:18" x14ac:dyDescent="0.25">
      <c r="A2411" s="6" t="str">
        <f>HYPERLINK("proteomic_fractions_linear_files/Yang_linear_img/122937183.jpg", "122937183")</f>
        <v>122937183</v>
      </c>
      <c r="B2411" s="7"/>
      <c r="C2411" s="6" t="str">
        <f>HYPERLINK("http://www.ncbi.nlm.nih.gov/protein/122937183","Fbp2")</f>
        <v>Fbp2</v>
      </c>
      <c r="D2411" s="8"/>
      <c r="E2411" s="8">
        <v>36816</v>
      </c>
      <c r="F2411" s="8"/>
      <c r="G2411" s="15" t="s">
        <v>10</v>
      </c>
      <c r="H2411" s="15" t="s">
        <v>10</v>
      </c>
      <c r="I2411" s="15" t="s">
        <v>10</v>
      </c>
      <c r="J2411" s="15" t="s">
        <v>10</v>
      </c>
      <c r="K2411" s="15">
        <v>0.93387504136419419</v>
      </c>
      <c r="L2411" s="15">
        <v>0.93387504136419419</v>
      </c>
      <c r="M2411" s="15">
        <v>0.93387504136419419</v>
      </c>
      <c r="N2411" s="15">
        <v>0.93387504136419419</v>
      </c>
      <c r="O2411" s="15">
        <v>0.86713710420901591</v>
      </c>
      <c r="P2411" s="15">
        <v>0.86713710420901591</v>
      </c>
      <c r="Q2411" s="8"/>
      <c r="R2411" s="9" t="s">
        <v>2387</v>
      </c>
    </row>
    <row r="2412" spans="1:18" x14ac:dyDescent="0.25">
      <c r="A2412" s="6" t="str">
        <f>HYPERLINK("proteomic_fractions_linear_files/Yang_linear_img/125347476.jpg", "125347476")</f>
        <v>125347476</v>
      </c>
      <c r="B2412" s="7"/>
      <c r="C2412" s="6" t="str">
        <f>HYPERLINK("http://www.ncbi.nlm.nih.gov/protein/125347476","Fbrsl1")</f>
        <v>Fbrsl1</v>
      </c>
      <c r="D2412" s="8"/>
      <c r="E2412" s="8">
        <v>63751</v>
      </c>
      <c r="F2412" s="8"/>
      <c r="G2412" s="15" t="s">
        <v>10</v>
      </c>
      <c r="H2412" s="15" t="s">
        <v>10</v>
      </c>
      <c r="I2412" s="15" t="s">
        <v>10</v>
      </c>
      <c r="J2412" s="15" t="s">
        <v>10</v>
      </c>
      <c r="K2412" s="15">
        <v>0.23744278584084821</v>
      </c>
      <c r="L2412" s="15">
        <v>0.23744278584084821</v>
      </c>
      <c r="M2412" s="15" t="s">
        <v>10</v>
      </c>
      <c r="N2412" s="15" t="s">
        <v>10</v>
      </c>
      <c r="O2412" s="15" t="s">
        <v>10</v>
      </c>
      <c r="P2412" s="15" t="s">
        <v>10</v>
      </c>
      <c r="Q2412" s="8"/>
      <c r="R2412" s="9" t="s">
        <v>2388</v>
      </c>
    </row>
    <row r="2413" spans="1:18" x14ac:dyDescent="0.25">
      <c r="A2413" s="6" t="str">
        <f>HYPERLINK("proteomic_fractions_linear_files/Yang_linear_img/217416345.jpg", "217416345")</f>
        <v>217416345</v>
      </c>
      <c r="B2413" s="7"/>
      <c r="C2413" s="6" t="str">
        <f>HYPERLINK("http://www.ncbi.nlm.nih.gov/protein/217416345","Fbrsl1")</f>
        <v>Fbrsl1</v>
      </c>
      <c r="D2413" s="8"/>
      <c r="E2413" s="8">
        <v>110609</v>
      </c>
      <c r="F2413" s="8"/>
      <c r="G2413" s="15" t="s">
        <v>10</v>
      </c>
      <c r="H2413" s="15" t="s">
        <v>10</v>
      </c>
      <c r="I2413" s="15" t="s">
        <v>10</v>
      </c>
      <c r="J2413" s="15" t="s">
        <v>10</v>
      </c>
      <c r="K2413" s="15">
        <v>0.13690394859292149</v>
      </c>
      <c r="L2413" s="15">
        <v>0.13690394859292149</v>
      </c>
      <c r="M2413" s="15" t="s">
        <v>10</v>
      </c>
      <c r="N2413" s="15" t="s">
        <v>10</v>
      </c>
      <c r="O2413" s="15" t="s">
        <v>10</v>
      </c>
      <c r="P2413" s="15" t="s">
        <v>10</v>
      </c>
      <c r="Q2413" s="8"/>
      <c r="R2413" s="9" t="s">
        <v>2389</v>
      </c>
    </row>
    <row r="2414" spans="1:18" x14ac:dyDescent="0.25">
      <c r="A2414" s="6" t="str">
        <f>HYPERLINK("proteomic_fractions_linear_files/Yang_linear_img/140970874.jpg", "140970874")</f>
        <v>140970874</v>
      </c>
      <c r="B2414" s="7"/>
      <c r="C2414" s="6" t="str">
        <f>HYPERLINK("http://www.ncbi.nlm.nih.gov/protein/140970874","Fbxl15")</f>
        <v>Fbxl15</v>
      </c>
      <c r="D2414" s="8"/>
      <c r="E2414" s="8">
        <v>32994</v>
      </c>
      <c r="F2414" s="8"/>
      <c r="G2414" s="15" t="s">
        <v>10</v>
      </c>
      <c r="H2414" s="15" t="s">
        <v>10</v>
      </c>
      <c r="I2414" s="15" t="s">
        <v>10</v>
      </c>
      <c r="J2414" s="15" t="s">
        <v>10</v>
      </c>
      <c r="K2414" s="15" t="s">
        <v>10</v>
      </c>
      <c r="L2414" s="15" t="s">
        <v>10</v>
      </c>
      <c r="M2414" s="15" t="s">
        <v>10</v>
      </c>
      <c r="N2414" s="15" t="s">
        <v>10</v>
      </c>
      <c r="O2414" s="15">
        <v>0.84600640296006246</v>
      </c>
      <c r="P2414" s="15">
        <v>0.84600640296006246</v>
      </c>
      <c r="Q2414" s="8"/>
      <c r="R2414" s="9" t="s">
        <v>2390</v>
      </c>
    </row>
    <row r="2415" spans="1:18" x14ac:dyDescent="0.25">
      <c r="A2415" s="6" t="str">
        <f>HYPERLINK("proteomic_fractions_linear_files/Yang_linear_img/153945830.jpg", "153945830")</f>
        <v>153945830</v>
      </c>
      <c r="B2415" s="7"/>
      <c r="C2415" s="6" t="str">
        <f>HYPERLINK("http://www.ncbi.nlm.nih.gov/protein/153945830","Fbxl18")</f>
        <v>Fbxl18</v>
      </c>
      <c r="D2415" s="8"/>
      <c r="E2415" s="8">
        <v>77570</v>
      </c>
      <c r="F2415" s="8"/>
      <c r="G2415" s="15" t="s">
        <v>10</v>
      </c>
      <c r="H2415" s="15" t="s">
        <v>10</v>
      </c>
      <c r="I2415" s="15" t="s">
        <v>10</v>
      </c>
      <c r="J2415" s="15" t="s">
        <v>10</v>
      </c>
      <c r="K2415" s="15">
        <v>1.0653674163223572</v>
      </c>
      <c r="L2415" s="15">
        <v>1.0653674163223572</v>
      </c>
      <c r="M2415" s="15" t="s">
        <v>10</v>
      </c>
      <c r="N2415" s="15" t="s">
        <v>10</v>
      </c>
      <c r="O2415" s="15" t="s">
        <v>10</v>
      </c>
      <c r="P2415" s="15" t="s">
        <v>10</v>
      </c>
      <c r="Q2415" s="8"/>
      <c r="R2415" s="9" t="s">
        <v>2391</v>
      </c>
    </row>
    <row r="2416" spans="1:18" x14ac:dyDescent="0.25">
      <c r="A2416" s="6" t="str">
        <f>HYPERLINK("proteomic_fractions_linear_files/Yang_linear_img/111494221.jpg", "111494221")</f>
        <v>111494221</v>
      </c>
      <c r="B2416" s="7"/>
      <c r="C2416" s="6" t="str">
        <f>HYPERLINK("http://www.ncbi.nlm.nih.gov/protein/111494221","Fbxl20")</f>
        <v>Fbxl20</v>
      </c>
      <c r="D2416" s="8"/>
      <c r="E2416" s="8">
        <v>48265</v>
      </c>
      <c r="F2416" s="8"/>
      <c r="G2416" s="15" t="s">
        <v>10</v>
      </c>
      <c r="H2416" s="15" t="s">
        <v>10</v>
      </c>
      <c r="I2416" s="15">
        <v>0.91928310931178059</v>
      </c>
      <c r="J2416" s="15">
        <v>0.91928310931178059</v>
      </c>
      <c r="K2416" s="15">
        <v>1.006041158008651</v>
      </c>
      <c r="L2416" s="15">
        <v>1.006041158008651</v>
      </c>
      <c r="M2416" s="15" t="s">
        <v>10</v>
      </c>
      <c r="N2416" s="15" t="s">
        <v>10</v>
      </c>
      <c r="O2416" s="15" t="s">
        <v>10</v>
      </c>
      <c r="P2416" s="15" t="s">
        <v>10</v>
      </c>
      <c r="Q2416" s="8"/>
      <c r="R2416" s="9" t="s">
        <v>2392</v>
      </c>
    </row>
    <row r="2417" spans="1:18" x14ac:dyDescent="0.25">
      <c r="A2417" s="6" t="str">
        <f>HYPERLINK("proteomic_fractions_linear_files/Yang_linear_img/255683411.jpg", "255683411")</f>
        <v>255683411</v>
      </c>
      <c r="B2417" s="7"/>
      <c r="C2417" s="6" t="str">
        <f>HYPERLINK("http://www.ncbi.nlm.nih.gov/protein/255683411","Fbxl8")</f>
        <v>Fbxl8</v>
      </c>
      <c r="D2417" s="8"/>
      <c r="E2417" s="8">
        <v>41014</v>
      </c>
      <c r="F2417" s="8"/>
      <c r="G2417" s="15" t="s">
        <v>10</v>
      </c>
      <c r="H2417" s="15" t="s">
        <v>10</v>
      </c>
      <c r="I2417" s="15" t="s">
        <v>10</v>
      </c>
      <c r="J2417" s="15" t="s">
        <v>10</v>
      </c>
      <c r="K2417" s="15">
        <v>0.98798337081031085</v>
      </c>
      <c r="L2417" s="15">
        <v>0.98798337081031085</v>
      </c>
      <c r="M2417" s="15" t="s">
        <v>10</v>
      </c>
      <c r="N2417" s="15" t="s">
        <v>10</v>
      </c>
      <c r="O2417" s="15">
        <v>0.84276528123110206</v>
      </c>
      <c r="P2417" s="15">
        <v>0.84276528123110206</v>
      </c>
      <c r="Q2417" s="8"/>
      <c r="R2417" s="9" t="s">
        <v>2393</v>
      </c>
    </row>
    <row r="2418" spans="1:18" x14ac:dyDescent="0.25">
      <c r="A2418" s="6" t="str">
        <f>HYPERLINK("proteomic_fractions_linear_files/Yang_linear_img/33859801.jpg", "33859801")</f>
        <v>33859801</v>
      </c>
      <c r="B2418" s="7"/>
      <c r="C2418" s="6" t="str">
        <f>HYPERLINK("http://www.ncbi.nlm.nih.gov/protein/33859801","Fbxo2")</f>
        <v>Fbxo2</v>
      </c>
      <c r="D2418" s="8"/>
      <c r="E2418" s="8">
        <v>33545</v>
      </c>
      <c r="F2418" s="8"/>
      <c r="G2418" s="15" t="s">
        <v>10</v>
      </c>
      <c r="H2418" s="15" t="s">
        <v>10</v>
      </c>
      <c r="I2418" s="15" t="s">
        <v>10</v>
      </c>
      <c r="J2418" s="15" t="s">
        <v>10</v>
      </c>
      <c r="K2418" s="15" t="s">
        <v>10</v>
      </c>
      <c r="L2418" s="15" t="s">
        <v>10</v>
      </c>
      <c r="M2418" s="15" t="s">
        <v>10</v>
      </c>
      <c r="N2418" s="15" t="s">
        <v>10</v>
      </c>
      <c r="O2418" s="15">
        <v>1.0162757803080937</v>
      </c>
      <c r="P2418" s="15">
        <v>1.0162757803080937</v>
      </c>
      <c r="Q2418" s="8"/>
      <c r="R2418" s="9" t="s">
        <v>2394</v>
      </c>
    </row>
    <row r="2419" spans="1:18" x14ac:dyDescent="0.25">
      <c r="A2419" s="6" t="str">
        <f>HYPERLINK("proteomic_fractions_linear_files/Yang_linear_img/21704134.jpg", "21704134")</f>
        <v>21704134</v>
      </c>
      <c r="B2419" s="7"/>
      <c r="C2419" s="6" t="str">
        <f>HYPERLINK("http://www.ncbi.nlm.nih.gov/protein/21704134","Fbxo21")</f>
        <v>Fbxo21</v>
      </c>
      <c r="D2419" s="8"/>
      <c r="E2419" s="8">
        <v>72042</v>
      </c>
      <c r="F2419" s="8"/>
      <c r="G2419" s="15" t="s">
        <v>10</v>
      </c>
      <c r="H2419" s="15" t="s">
        <v>10</v>
      </c>
      <c r="I2419" s="15" t="s">
        <v>10</v>
      </c>
      <c r="J2419" s="15" t="s">
        <v>10</v>
      </c>
      <c r="K2419" s="15" t="s">
        <v>10</v>
      </c>
      <c r="L2419" s="15" t="s">
        <v>10</v>
      </c>
      <c r="M2419" s="15" t="s">
        <v>10</v>
      </c>
      <c r="N2419" s="15" t="s">
        <v>10</v>
      </c>
      <c r="O2419" s="15">
        <v>1.0199466700233646</v>
      </c>
      <c r="P2419" s="15">
        <v>1.0199466700233646</v>
      </c>
      <c r="Q2419" s="8"/>
      <c r="R2419" s="9" t="s">
        <v>2395</v>
      </c>
    </row>
    <row r="2420" spans="1:18" x14ac:dyDescent="0.25">
      <c r="A2420" s="6" t="str">
        <f>HYPERLINK("proteomic_fractions_linear_files/Yang_linear_img/139948465.jpg", "139948465")</f>
        <v>139948465</v>
      </c>
      <c r="B2420" s="7"/>
      <c r="C2420" s="6" t="str">
        <f>HYPERLINK("http://www.ncbi.nlm.nih.gov/protein/139948465","Fbxo22")</f>
        <v>Fbxo22</v>
      </c>
      <c r="D2420" s="8"/>
      <c r="E2420" s="8">
        <v>44072</v>
      </c>
      <c r="F2420" s="8"/>
      <c r="G2420" s="15" t="s">
        <v>10</v>
      </c>
      <c r="H2420" s="15" t="s">
        <v>10</v>
      </c>
      <c r="I2420" s="15">
        <v>0.9206208682550624</v>
      </c>
      <c r="J2420" s="15">
        <v>0.9206208682550624</v>
      </c>
      <c r="K2420" s="15">
        <v>1.0028543010673969</v>
      </c>
      <c r="L2420" s="15">
        <v>1.0028543010673969</v>
      </c>
      <c r="M2420" s="15">
        <v>0.9206208682550624</v>
      </c>
      <c r="N2420" s="15">
        <v>0.9206208682550624</v>
      </c>
      <c r="O2420" s="15">
        <v>0.84866650961646795</v>
      </c>
      <c r="P2420" s="15">
        <v>0.84866650961646795</v>
      </c>
      <c r="Q2420" s="8"/>
      <c r="R2420" s="9" t="s">
        <v>2396</v>
      </c>
    </row>
    <row r="2421" spans="1:18" x14ac:dyDescent="0.25">
      <c r="A2421" s="6" t="str">
        <f>HYPERLINK("proteomic_fractions_linear_files/Yang_linear_img/28201989.jpg", "28201989")</f>
        <v>28201989</v>
      </c>
      <c r="B2421" s="7"/>
      <c r="C2421" s="6" t="str">
        <f>HYPERLINK("http://www.ncbi.nlm.nih.gov/protein/28201989","Fbxo28")</f>
        <v>Fbxo28</v>
      </c>
      <c r="D2421" s="8"/>
      <c r="E2421" s="8">
        <v>40847</v>
      </c>
      <c r="F2421" s="8"/>
      <c r="G2421" s="15" t="s">
        <v>10</v>
      </c>
      <c r="H2421" s="15" t="s">
        <v>10</v>
      </c>
      <c r="I2421" s="15" t="s">
        <v>10</v>
      </c>
      <c r="J2421" s="15" t="s">
        <v>10</v>
      </c>
      <c r="K2421" s="15" t="s">
        <v>10</v>
      </c>
      <c r="L2421" s="15" t="s">
        <v>10</v>
      </c>
      <c r="M2421" s="15">
        <v>0.98798337081031085</v>
      </c>
      <c r="N2421" s="15">
        <v>0.98798337081031085</v>
      </c>
      <c r="O2421" s="15" t="s">
        <v>10</v>
      </c>
      <c r="P2421" s="15" t="s">
        <v>10</v>
      </c>
      <c r="Q2421" s="8"/>
      <c r="R2421" s="9" t="s">
        <v>2397</v>
      </c>
    </row>
    <row r="2422" spans="1:18" x14ac:dyDescent="0.25">
      <c r="A2422" s="6" t="str">
        <f>HYPERLINK("proteomic_fractions_linear_files/Yang_linear_img/10181216.jpg", "10181216")</f>
        <v>10181216</v>
      </c>
      <c r="B2422" s="7"/>
      <c r="C2422" s="6" t="str">
        <f>HYPERLINK("http://www.ncbi.nlm.nih.gov/protein/10181216","Fbxo3")</f>
        <v>Fbxo3</v>
      </c>
      <c r="D2422" s="8"/>
      <c r="E2422" s="8">
        <v>47322</v>
      </c>
      <c r="F2422" s="8"/>
      <c r="G2422" s="15" t="s">
        <v>10</v>
      </c>
      <c r="H2422" s="15" t="s">
        <v>10</v>
      </c>
      <c r="I2422" s="15" t="s">
        <v>10</v>
      </c>
      <c r="J2422" s="15" t="s">
        <v>10</v>
      </c>
      <c r="K2422" s="15" t="s">
        <v>10</v>
      </c>
      <c r="L2422" s="15" t="s">
        <v>10</v>
      </c>
      <c r="M2422" s="15" t="s">
        <v>10</v>
      </c>
      <c r="N2422" s="15" t="s">
        <v>10</v>
      </c>
      <c r="O2422" s="15">
        <v>0.86185783411112227</v>
      </c>
      <c r="P2422" s="15">
        <v>0.86185783411112227</v>
      </c>
      <c r="Q2422" s="8"/>
      <c r="R2422" s="9" t="s">
        <v>2398</v>
      </c>
    </row>
    <row r="2423" spans="1:18" x14ac:dyDescent="0.25">
      <c r="A2423" s="6" t="str">
        <f>HYPERLINK("proteomic_fractions_linear_files/Yang_linear_img/46877055.jpg", "46877055")</f>
        <v>46877055</v>
      </c>
      <c r="B2423" s="7"/>
      <c r="C2423" s="6" t="str">
        <f>HYPERLINK("http://www.ncbi.nlm.nih.gov/protein/46877055","Fbxo3")</f>
        <v>Fbxo3</v>
      </c>
      <c r="D2423" s="8"/>
      <c r="E2423" s="8">
        <v>55096</v>
      </c>
      <c r="F2423" s="8"/>
      <c r="G2423" s="15" t="s">
        <v>10</v>
      </c>
      <c r="H2423" s="15" t="s">
        <v>10</v>
      </c>
      <c r="I2423" s="15" t="s">
        <v>10</v>
      </c>
      <c r="J2423" s="15" t="s">
        <v>10</v>
      </c>
      <c r="K2423" s="15" t="s">
        <v>10</v>
      </c>
      <c r="L2423" s="15" t="s">
        <v>10</v>
      </c>
      <c r="M2423" s="15" t="s">
        <v>10</v>
      </c>
      <c r="N2423" s="15" t="s">
        <v>10</v>
      </c>
      <c r="O2423" s="15">
        <v>0.73649669460404987</v>
      </c>
      <c r="P2423" s="15">
        <v>0.73649669460404987</v>
      </c>
      <c r="Q2423" s="8"/>
      <c r="R2423" s="9" t="s">
        <v>2399</v>
      </c>
    </row>
    <row r="2424" spans="1:18" x14ac:dyDescent="0.25">
      <c r="A2424" s="6" t="str">
        <f>HYPERLINK("proteomic_fractions_linear_files/Yang_linear_img/13385848.jpg", "13385848")</f>
        <v>13385848</v>
      </c>
      <c r="B2424" s="7"/>
      <c r="C2424" s="6" t="str">
        <f>HYPERLINK("http://www.ncbi.nlm.nih.gov/protein/13385848","Fbxo32")</f>
        <v>Fbxo32</v>
      </c>
      <c r="D2424" s="8"/>
      <c r="E2424" s="8">
        <v>41373</v>
      </c>
      <c r="F2424" s="8"/>
      <c r="G2424" s="15" t="s">
        <v>10</v>
      </c>
      <c r="H2424" s="15" t="s">
        <v>10</v>
      </c>
      <c r="I2424" s="15" t="s">
        <v>10</v>
      </c>
      <c r="J2424" s="15" t="s">
        <v>10</v>
      </c>
      <c r="K2424" s="15">
        <v>2.6780869224666213</v>
      </c>
      <c r="L2424" s="15">
        <v>2.6780869224666213</v>
      </c>
      <c r="M2424" s="15" t="s">
        <v>10</v>
      </c>
      <c r="N2424" s="15" t="s">
        <v>10</v>
      </c>
      <c r="O2424" s="15" t="s">
        <v>10</v>
      </c>
      <c r="P2424" s="15" t="s">
        <v>10</v>
      </c>
      <c r="Q2424" s="8"/>
      <c r="R2424" s="9" t="s">
        <v>2400</v>
      </c>
    </row>
    <row r="2425" spans="1:18" x14ac:dyDescent="0.25">
      <c r="A2425" s="6" t="str">
        <f>HYPERLINK("proteomic_fractions_linear_files/Yang_linear_img/256665259.jpg", "256665259")</f>
        <v>256665259</v>
      </c>
      <c r="B2425" s="7"/>
      <c r="C2425" s="6" t="str">
        <f>HYPERLINK("http://www.ncbi.nlm.nih.gov/protein/256665259","Fbxo4")</f>
        <v>Fbxo4</v>
      </c>
      <c r="D2425" s="8"/>
      <c r="E2425" s="8">
        <v>43646</v>
      </c>
      <c r="F2425" s="8"/>
      <c r="G2425" s="15" t="s">
        <v>10</v>
      </c>
      <c r="H2425" s="15" t="s">
        <v>10</v>
      </c>
      <c r="I2425" s="15">
        <v>0.9206208682550624</v>
      </c>
      <c r="J2425" s="15">
        <v>0.9206208682550624</v>
      </c>
      <c r="K2425" s="15" t="s">
        <v>10</v>
      </c>
      <c r="L2425" s="15" t="s">
        <v>10</v>
      </c>
      <c r="M2425" s="15" t="s">
        <v>10</v>
      </c>
      <c r="N2425" s="15" t="s">
        <v>10</v>
      </c>
      <c r="O2425" s="15">
        <v>0.84866650961646795</v>
      </c>
      <c r="P2425" s="15">
        <v>0.84866650961646795</v>
      </c>
      <c r="Q2425" s="8"/>
      <c r="R2425" s="9" t="s">
        <v>2401</v>
      </c>
    </row>
    <row r="2426" spans="1:18" x14ac:dyDescent="0.25">
      <c r="A2426" s="6" t="str">
        <f>HYPERLINK("proteomic_fractions_linear_files/Yang_linear_img/47564092.jpg", "47564092")</f>
        <v>47564092</v>
      </c>
      <c r="B2426" s="7"/>
      <c r="C2426" s="6" t="str">
        <f>HYPERLINK("http://www.ncbi.nlm.nih.gov/protein/47564092","Fbxo41")</f>
        <v>Fbxo41</v>
      </c>
      <c r="D2426" s="8"/>
      <c r="E2426" s="8">
        <v>94200</v>
      </c>
      <c r="F2426" s="8"/>
      <c r="G2426" s="15" t="s">
        <v>10</v>
      </c>
      <c r="H2426" s="15" t="s">
        <v>10</v>
      </c>
      <c r="I2426" s="15" t="s">
        <v>10</v>
      </c>
      <c r="J2426" s="15" t="s">
        <v>10</v>
      </c>
      <c r="K2426" s="15" t="s">
        <v>10</v>
      </c>
      <c r="L2426" s="15" t="s">
        <v>10</v>
      </c>
      <c r="M2426" s="15" t="s">
        <v>10</v>
      </c>
      <c r="N2426" s="15" t="s">
        <v>10</v>
      </c>
      <c r="O2426" s="15">
        <v>1.1681017427779943</v>
      </c>
      <c r="P2426" s="15">
        <v>1.1681017427779943</v>
      </c>
      <c r="Q2426" s="8"/>
      <c r="R2426" s="9" t="s">
        <v>2402</v>
      </c>
    </row>
    <row r="2427" spans="1:18" x14ac:dyDescent="0.25">
      <c r="A2427" s="6" t="str">
        <f>HYPERLINK("proteomic_fractions_linear_files/Yang_linear_img/56961627.jpg", "56961627")</f>
        <v>56961627</v>
      </c>
      <c r="B2427" s="7"/>
      <c r="C2427" s="6" t="str">
        <f>HYPERLINK("http://www.ncbi.nlm.nih.gov/protein/56961627","Fbxo45")</f>
        <v>Fbxo45</v>
      </c>
      <c r="D2427" s="8"/>
      <c r="E2427" s="8">
        <v>30474</v>
      </c>
      <c r="F2427" s="8"/>
      <c r="G2427" s="15" t="s">
        <v>10</v>
      </c>
      <c r="H2427" s="15" t="s">
        <v>10</v>
      </c>
      <c r="I2427" s="15" t="s">
        <v>10</v>
      </c>
      <c r="J2427" s="15" t="s">
        <v>10</v>
      </c>
      <c r="K2427" s="15">
        <v>0.93060704325606869</v>
      </c>
      <c r="L2427" s="15">
        <v>0.93060704325606869</v>
      </c>
      <c r="M2427" s="15">
        <v>0.93060704325606869</v>
      </c>
      <c r="N2427" s="15">
        <v>0.93060704325606869</v>
      </c>
      <c r="O2427" s="15" t="s">
        <v>10</v>
      </c>
      <c r="P2427" s="15" t="s">
        <v>10</v>
      </c>
      <c r="Q2427" s="8"/>
      <c r="R2427" s="9" t="s">
        <v>2403</v>
      </c>
    </row>
    <row r="2428" spans="1:18" x14ac:dyDescent="0.25">
      <c r="A2428" s="6" t="str">
        <f>HYPERLINK("proteomic_fractions_linear_files/Yang_linear_img/7657083.jpg", "7657083")</f>
        <v>7657083</v>
      </c>
      <c r="B2428" s="7"/>
      <c r="C2428" s="6" t="str">
        <f>HYPERLINK("http://www.ncbi.nlm.nih.gov/protein/7657083","Fbxo6")</f>
        <v>Fbxo6</v>
      </c>
      <c r="D2428" s="8"/>
      <c r="E2428" s="8">
        <v>34361</v>
      </c>
      <c r="F2428" s="8"/>
      <c r="G2428" s="15" t="s">
        <v>10</v>
      </c>
      <c r="H2428" s="15" t="s">
        <v>10</v>
      </c>
      <c r="I2428" s="15">
        <v>0.82112386169653118</v>
      </c>
      <c r="J2428" s="15">
        <v>0.82112386169653118</v>
      </c>
      <c r="K2428" s="15">
        <v>0.87898255563862149</v>
      </c>
      <c r="L2428" s="15">
        <v>0.87898255563862149</v>
      </c>
      <c r="M2428" s="15">
        <v>0.82112386169653118</v>
      </c>
      <c r="N2428" s="15">
        <v>0.82112386169653118</v>
      </c>
      <c r="O2428" s="15">
        <v>0.76912523868897065</v>
      </c>
      <c r="P2428" s="15">
        <v>0.76912523868897065</v>
      </c>
      <c r="Q2428" s="8"/>
      <c r="R2428" s="9" t="s">
        <v>2404</v>
      </c>
    </row>
    <row r="2429" spans="1:18" x14ac:dyDescent="0.25">
      <c r="A2429" s="6" t="str">
        <f>HYPERLINK("proteomic_fractions_linear_files/Yang_linear_img/23956270.jpg", "23956270")</f>
        <v>23956270</v>
      </c>
      <c r="B2429" s="7"/>
      <c r="C2429" s="6" t="str">
        <f>HYPERLINK("http://www.ncbi.nlm.nih.gov/protein/23956270","Fbxw11")</f>
        <v>Fbxw11</v>
      </c>
      <c r="D2429" s="8"/>
      <c r="E2429" s="8">
        <v>64351</v>
      </c>
      <c r="F2429" s="8"/>
      <c r="G2429" s="15" t="s">
        <v>10</v>
      </c>
      <c r="H2429" s="15" t="s">
        <v>10</v>
      </c>
      <c r="I2429" s="15" t="s">
        <v>10</v>
      </c>
      <c r="J2429" s="15" t="s">
        <v>10</v>
      </c>
      <c r="K2429" s="15">
        <v>0.83000890046876685</v>
      </c>
      <c r="L2429" s="15">
        <v>0.83000890046876685</v>
      </c>
      <c r="M2429" s="15">
        <v>0.83000890046876685</v>
      </c>
      <c r="N2429" s="15">
        <v>0.83000890046876685</v>
      </c>
      <c r="O2429" s="15" t="s">
        <v>10</v>
      </c>
      <c r="P2429" s="15" t="s">
        <v>10</v>
      </c>
      <c r="Q2429" s="8"/>
      <c r="R2429" s="9" t="s">
        <v>2405</v>
      </c>
    </row>
    <row r="2430" spans="1:18" x14ac:dyDescent="0.25">
      <c r="A2430" s="6" t="str">
        <f>HYPERLINK("proteomic_fractions_linear_files/Yang_linear_img/405778325.jpg", "405778325")</f>
        <v>405778325</v>
      </c>
      <c r="B2430" s="7"/>
      <c r="C2430" s="6" t="str">
        <f>HYPERLINK("http://www.ncbi.nlm.nih.gov/protein/405778325","Fbxw11")</f>
        <v>Fbxw11</v>
      </c>
      <c r="D2430" s="8"/>
      <c r="E2430" s="8">
        <v>61932</v>
      </c>
      <c r="F2430" s="8"/>
      <c r="G2430" s="15" t="s">
        <v>10</v>
      </c>
      <c r="H2430" s="15" t="s">
        <v>10</v>
      </c>
      <c r="I2430" s="15" t="s">
        <v>10</v>
      </c>
      <c r="J2430" s="15" t="s">
        <v>10</v>
      </c>
      <c r="K2430" s="15">
        <v>0.85678338112904961</v>
      </c>
      <c r="L2430" s="15">
        <v>0.85678338112904961</v>
      </c>
      <c r="M2430" s="15">
        <v>0.85678338112904961</v>
      </c>
      <c r="N2430" s="15">
        <v>0.85678338112904961</v>
      </c>
      <c r="O2430" s="15" t="s">
        <v>10</v>
      </c>
      <c r="P2430" s="15" t="s">
        <v>10</v>
      </c>
      <c r="Q2430" s="8"/>
      <c r="R2430" s="9" t="s">
        <v>2406</v>
      </c>
    </row>
    <row r="2431" spans="1:18" x14ac:dyDescent="0.25">
      <c r="A2431" s="6" t="str">
        <f>HYPERLINK("proteomic_fractions_linear_files/Yang_linear_img/405778327.jpg", "405778327")</f>
        <v>405778327</v>
      </c>
      <c r="B2431" s="7"/>
      <c r="C2431" s="6" t="str">
        <f>HYPERLINK("http://www.ncbi.nlm.nih.gov/protein/405778327","Fbxw11")</f>
        <v>Fbxw11</v>
      </c>
      <c r="D2431" s="8"/>
      <c r="E2431" s="8">
        <v>60682</v>
      </c>
      <c r="F2431" s="8"/>
      <c r="G2431" s="15" t="s">
        <v>10</v>
      </c>
      <c r="H2431" s="15" t="s">
        <v>10</v>
      </c>
      <c r="I2431" s="15" t="s">
        <v>10</v>
      </c>
      <c r="J2431" s="15" t="s">
        <v>10</v>
      </c>
      <c r="K2431" s="15">
        <v>0.87082901032788651</v>
      </c>
      <c r="L2431" s="15">
        <v>0.87082901032788651</v>
      </c>
      <c r="M2431" s="15">
        <v>0.87082901032788651</v>
      </c>
      <c r="N2431" s="15">
        <v>0.87082901032788651</v>
      </c>
      <c r="O2431" s="15" t="s">
        <v>10</v>
      </c>
      <c r="P2431" s="15" t="s">
        <v>10</v>
      </c>
      <c r="Q2431" s="8"/>
      <c r="R2431" s="9" t="s">
        <v>2407</v>
      </c>
    </row>
    <row r="2432" spans="1:18" x14ac:dyDescent="0.25">
      <c r="A2432" s="6" t="str">
        <f>HYPERLINK("proteomic_fractions_linear_files/Yang_linear_img/405778329.jpg", "405778329")</f>
        <v>405778329</v>
      </c>
      <c r="B2432" s="7"/>
      <c r="C2432" s="6" t="str">
        <f>HYPERLINK("http://www.ncbi.nlm.nih.gov/protein/405778329","Fbxw11")</f>
        <v>Fbxw11</v>
      </c>
      <c r="D2432" s="8"/>
      <c r="E2432" s="8">
        <v>58264</v>
      </c>
      <c r="F2432" s="8"/>
      <c r="G2432" s="15" t="s">
        <v>10</v>
      </c>
      <c r="H2432" s="15" t="s">
        <v>10</v>
      </c>
      <c r="I2432" s="15" t="s">
        <v>10</v>
      </c>
      <c r="J2432" s="15" t="s">
        <v>10</v>
      </c>
      <c r="K2432" s="15">
        <v>0.91587189017243242</v>
      </c>
      <c r="L2432" s="15">
        <v>0.91587189017243242</v>
      </c>
      <c r="M2432" s="15">
        <v>0.91587189017243242</v>
      </c>
      <c r="N2432" s="15">
        <v>0.91587189017243242</v>
      </c>
      <c r="O2432" s="15" t="s">
        <v>10</v>
      </c>
      <c r="P2432" s="15" t="s">
        <v>10</v>
      </c>
      <c r="Q2432" s="8"/>
      <c r="R2432" s="9" t="s">
        <v>2408</v>
      </c>
    </row>
    <row r="2433" spans="1:18" x14ac:dyDescent="0.25">
      <c r="A2433" s="6" t="str">
        <f>HYPERLINK("proteomic_fractions_linear_files/Yang_linear_img/29243960.jpg", "29243960")</f>
        <v>29243960</v>
      </c>
      <c r="B2433" s="7"/>
      <c r="C2433" s="6" t="str">
        <f>HYPERLINK("http://www.ncbi.nlm.nih.gov/protein/29243960","Fbxw13")</f>
        <v>Fbxw13</v>
      </c>
      <c r="D2433" s="8"/>
      <c r="E2433" s="8">
        <v>53827</v>
      </c>
      <c r="F2433" s="8"/>
      <c r="G2433" s="15" t="s">
        <v>10</v>
      </c>
      <c r="H2433" s="15" t="s">
        <v>10</v>
      </c>
      <c r="I2433" s="15" t="s">
        <v>10</v>
      </c>
      <c r="J2433" s="15" t="s">
        <v>10</v>
      </c>
      <c r="K2433" s="15">
        <v>0.3095643429742041</v>
      </c>
      <c r="L2433" s="15">
        <v>0.3095643429742041</v>
      </c>
      <c r="M2433" s="15" t="s">
        <v>10</v>
      </c>
      <c r="N2433" s="15" t="s">
        <v>10</v>
      </c>
      <c r="O2433" s="15" t="s">
        <v>10</v>
      </c>
      <c r="P2433" s="15" t="s">
        <v>10</v>
      </c>
      <c r="Q2433" s="8"/>
      <c r="R2433" s="9" t="s">
        <v>2409</v>
      </c>
    </row>
    <row r="2434" spans="1:18" x14ac:dyDescent="0.25">
      <c r="A2434" s="6" t="str">
        <f>HYPERLINK("proteomic_fractions_linear_files/Yang_linear_img/47271358.jpg", "47271358")</f>
        <v>47271358</v>
      </c>
      <c r="B2434" s="7"/>
      <c r="C2434" s="6" t="str">
        <f>HYPERLINK("http://www.ncbi.nlm.nih.gov/protein/47271358","Fbxw14")</f>
        <v>Fbxw14</v>
      </c>
      <c r="D2434" s="8"/>
      <c r="E2434" s="8">
        <v>54128</v>
      </c>
      <c r="F2434" s="8"/>
      <c r="G2434" s="15" t="s">
        <v>10</v>
      </c>
      <c r="H2434" s="15" t="s">
        <v>10</v>
      </c>
      <c r="I2434" s="15" t="s">
        <v>10</v>
      </c>
      <c r="J2434" s="15" t="s">
        <v>10</v>
      </c>
      <c r="K2434" s="15" t="s">
        <v>10</v>
      </c>
      <c r="L2434" s="15" t="s">
        <v>10</v>
      </c>
      <c r="M2434" s="15">
        <v>0.34250554008452005</v>
      </c>
      <c r="N2434" s="15">
        <v>0.34250554008452005</v>
      </c>
      <c r="O2434" s="15" t="s">
        <v>10</v>
      </c>
      <c r="P2434" s="15" t="s">
        <v>10</v>
      </c>
      <c r="Q2434" s="8"/>
      <c r="R2434" s="9" t="s">
        <v>2410</v>
      </c>
    </row>
    <row r="2435" spans="1:18" x14ac:dyDescent="0.25">
      <c r="A2435" s="6" t="str">
        <f>HYPERLINK("proteomic_fractions_linear_files/Yang_linear_img/148539588.jpg", "148539588")</f>
        <v>148539588</v>
      </c>
      <c r="B2435" s="7"/>
      <c r="C2435" s="6" t="str">
        <f>HYPERLINK("http://www.ncbi.nlm.nih.gov/protein/148539588","Fbxw22")</f>
        <v>Fbxw22</v>
      </c>
      <c r="D2435" s="8"/>
      <c r="E2435" s="8">
        <v>53867</v>
      </c>
      <c r="F2435" s="8"/>
      <c r="G2435" s="15" t="s">
        <v>10</v>
      </c>
      <c r="H2435" s="15" t="s">
        <v>10</v>
      </c>
      <c r="I2435" s="15" t="s">
        <v>10</v>
      </c>
      <c r="J2435" s="15" t="s">
        <v>10</v>
      </c>
      <c r="K2435" s="15" t="s">
        <v>10</v>
      </c>
      <c r="L2435" s="15" t="s">
        <v>10</v>
      </c>
      <c r="M2435" s="15">
        <v>0.34250554008452005</v>
      </c>
      <c r="N2435" s="15">
        <v>0.34250554008452005</v>
      </c>
      <c r="O2435" s="15" t="s">
        <v>10</v>
      </c>
      <c r="P2435" s="15" t="s">
        <v>10</v>
      </c>
      <c r="Q2435" s="8"/>
      <c r="R2435" s="9" t="s">
        <v>2411</v>
      </c>
    </row>
    <row r="2436" spans="1:18" x14ac:dyDescent="0.25">
      <c r="A2436" s="6" t="str">
        <f>HYPERLINK("proteomic_fractions_linear_files/Yang_linear_img/294459937.jpg", "294459937")</f>
        <v>294459937</v>
      </c>
      <c r="B2436" s="7"/>
      <c r="C2436" s="6" t="str">
        <f>HYPERLINK("http://www.ncbi.nlm.nih.gov/protein/294459937","Fbxw28")</f>
        <v>Fbxw28</v>
      </c>
      <c r="D2436" s="8"/>
      <c r="E2436" s="8">
        <v>52627</v>
      </c>
      <c r="F2436" s="8"/>
      <c r="G2436" s="15" t="s">
        <v>10</v>
      </c>
      <c r="H2436" s="15" t="s">
        <v>10</v>
      </c>
      <c r="I2436" s="15" t="s">
        <v>10</v>
      </c>
      <c r="J2436" s="15" t="s">
        <v>10</v>
      </c>
      <c r="K2436" s="15" t="s">
        <v>10</v>
      </c>
      <c r="L2436" s="15" t="s">
        <v>10</v>
      </c>
      <c r="M2436" s="15">
        <v>0.3489679087653601</v>
      </c>
      <c r="N2436" s="15">
        <v>0.3489679087653601</v>
      </c>
      <c r="O2436" s="15" t="s">
        <v>10</v>
      </c>
      <c r="P2436" s="15" t="s">
        <v>10</v>
      </c>
      <c r="Q2436" s="8"/>
      <c r="R2436" s="9" t="s">
        <v>2412</v>
      </c>
    </row>
    <row r="2437" spans="1:18" x14ac:dyDescent="0.25">
      <c r="A2437" s="6" t="str">
        <f>HYPERLINK("proteomic_fractions_linear_files/Yang_linear_img/294459939.jpg", "294459939")</f>
        <v>294459939</v>
      </c>
      <c r="B2437" s="7"/>
      <c r="C2437" s="6" t="str">
        <f>HYPERLINK("http://www.ncbi.nlm.nih.gov/protein/294459939","Fbxw28")</f>
        <v>Fbxw28</v>
      </c>
      <c r="D2437" s="8"/>
      <c r="E2437" s="8">
        <v>54177</v>
      </c>
      <c r="F2437" s="8"/>
      <c r="G2437" s="15" t="s">
        <v>10</v>
      </c>
      <c r="H2437" s="15" t="s">
        <v>10</v>
      </c>
      <c r="I2437" s="15" t="s">
        <v>10</v>
      </c>
      <c r="J2437" s="15" t="s">
        <v>10</v>
      </c>
      <c r="K2437" s="15" t="s">
        <v>10</v>
      </c>
      <c r="L2437" s="15" t="s">
        <v>10</v>
      </c>
      <c r="M2437" s="15">
        <v>0.34250554008452005</v>
      </c>
      <c r="N2437" s="15">
        <v>0.34250554008452005</v>
      </c>
      <c r="O2437" s="15" t="s">
        <v>10</v>
      </c>
      <c r="P2437" s="15" t="s">
        <v>10</v>
      </c>
      <c r="Q2437" s="8"/>
      <c r="R2437" s="9" t="s">
        <v>2413</v>
      </c>
    </row>
    <row r="2438" spans="1:18" x14ac:dyDescent="0.25">
      <c r="A2438" s="6" t="str">
        <f>HYPERLINK("proteomic_fractions_linear_files/Yang_linear_img/14780880.jpg", "14780880")</f>
        <v>14780880</v>
      </c>
      <c r="B2438" s="7"/>
      <c r="C2438" s="6" t="str">
        <f>HYPERLINK("http://www.ncbi.nlm.nih.gov/protein/14780880","Fbxw4")</f>
        <v>Fbxw4</v>
      </c>
      <c r="D2438" s="8"/>
      <c r="E2438" s="8">
        <v>46011</v>
      </c>
      <c r="F2438" s="8"/>
      <c r="G2438" s="15" t="s">
        <v>10</v>
      </c>
      <c r="H2438" s="15" t="s">
        <v>10</v>
      </c>
      <c r="I2438" s="15" t="s">
        <v>10</v>
      </c>
      <c r="J2438" s="15" t="s">
        <v>10</v>
      </c>
      <c r="K2438" s="15">
        <v>1.596438266123527</v>
      </c>
      <c r="L2438" s="15">
        <v>1.596438266123527</v>
      </c>
      <c r="M2438" s="15">
        <v>1.4228970289248768</v>
      </c>
      <c r="N2438" s="15">
        <v>1.4228970289248768</v>
      </c>
      <c r="O2438" s="15" t="s">
        <v>10</v>
      </c>
      <c r="P2438" s="15" t="s">
        <v>10</v>
      </c>
      <c r="Q2438" s="8"/>
      <c r="R2438" s="9" t="s">
        <v>2414</v>
      </c>
    </row>
    <row r="2439" spans="1:18" x14ac:dyDescent="0.25">
      <c r="A2439" s="6" t="str">
        <f>HYPERLINK("proteomic_fractions_linear_files/Yang_linear_img/120407054.jpg", "120407054")</f>
        <v>120407054</v>
      </c>
      <c r="B2439" s="7"/>
      <c r="C2439" s="6" t="str">
        <f>HYPERLINK("http://www.ncbi.nlm.nih.gov/protein/120407054","Fbxw8")</f>
        <v>Fbxw8</v>
      </c>
      <c r="D2439" s="8"/>
      <c r="E2439" s="8">
        <v>67825</v>
      </c>
      <c r="F2439" s="8"/>
      <c r="G2439" s="15" t="s">
        <v>10</v>
      </c>
      <c r="H2439" s="15" t="s">
        <v>10</v>
      </c>
      <c r="I2439" s="15" t="s">
        <v>10</v>
      </c>
      <c r="J2439" s="15" t="s">
        <v>10</v>
      </c>
      <c r="K2439" s="15" t="s">
        <v>10</v>
      </c>
      <c r="L2439" s="15" t="s">
        <v>10</v>
      </c>
      <c r="M2439" s="15">
        <v>1.0799435329659153</v>
      </c>
      <c r="N2439" s="15">
        <v>1.0799435329659153</v>
      </c>
      <c r="O2439" s="15" t="s">
        <v>10</v>
      </c>
      <c r="P2439" s="15" t="s">
        <v>10</v>
      </c>
      <c r="Q2439" s="8"/>
      <c r="R2439" s="9" t="s">
        <v>2415</v>
      </c>
    </row>
    <row r="2440" spans="1:18" x14ac:dyDescent="0.25">
      <c r="A2440" s="6" t="str">
        <f>HYPERLINK("proteomic_fractions_linear_files/Yang_linear_img/359279906.jpg", "359279906")</f>
        <v>359279906</v>
      </c>
      <c r="B2440" s="7"/>
      <c r="C2440" s="6" t="str">
        <f>HYPERLINK("http://www.ncbi.nlm.nih.gov/protein/359279906","Fcer2a")</f>
        <v>Fcer2a</v>
      </c>
      <c r="D2440" s="8"/>
      <c r="E2440" s="8">
        <v>37357</v>
      </c>
      <c r="F2440" s="8"/>
      <c r="G2440" s="15" t="s">
        <v>10</v>
      </c>
      <c r="H2440" s="15" t="s">
        <v>10</v>
      </c>
      <c r="I2440" s="15" t="s">
        <v>10</v>
      </c>
      <c r="J2440" s="15" t="s">
        <v>10</v>
      </c>
      <c r="K2440" s="15">
        <v>0.45179660866505467</v>
      </c>
      <c r="L2440" s="15">
        <v>0.45179660866505467</v>
      </c>
      <c r="M2440" s="15" t="s">
        <v>10</v>
      </c>
      <c r="N2440" s="15" t="s">
        <v>10</v>
      </c>
      <c r="O2440" s="15" t="s">
        <v>10</v>
      </c>
      <c r="P2440" s="15" t="s">
        <v>10</v>
      </c>
      <c r="Q2440" s="8"/>
      <c r="R2440" s="9" t="s">
        <v>2416</v>
      </c>
    </row>
    <row r="2441" spans="1:18" x14ac:dyDescent="0.25">
      <c r="A2441" s="6" t="str">
        <f>HYPERLINK("proteomic_fractions_linear_files/Yang_linear_img/359279914.jpg", "359279914")</f>
        <v>359279914</v>
      </c>
      <c r="B2441" s="7"/>
      <c r="C2441" s="6" t="str">
        <f>HYPERLINK("http://www.ncbi.nlm.nih.gov/protein/359279914","Fcer2a")</f>
        <v>Fcer2a</v>
      </c>
      <c r="D2441" s="8"/>
      <c r="E2441" s="8">
        <v>31681</v>
      </c>
      <c r="F2441" s="8"/>
      <c r="G2441" s="15" t="s">
        <v>10</v>
      </c>
      <c r="H2441" s="15" t="s">
        <v>10</v>
      </c>
      <c r="I2441" s="15" t="s">
        <v>10</v>
      </c>
      <c r="J2441" s="15" t="s">
        <v>10</v>
      </c>
      <c r="K2441" s="15">
        <v>0.52238982876896944</v>
      </c>
      <c r="L2441" s="15">
        <v>0.52238982876896944</v>
      </c>
      <c r="M2441" s="15" t="s">
        <v>10</v>
      </c>
      <c r="N2441" s="15" t="s">
        <v>10</v>
      </c>
      <c r="O2441" s="15" t="s">
        <v>10</v>
      </c>
      <c r="P2441" s="15" t="s">
        <v>10</v>
      </c>
      <c r="Q2441" s="8"/>
      <c r="R2441" s="9" t="s">
        <v>2417</v>
      </c>
    </row>
    <row r="2442" spans="1:18" x14ac:dyDescent="0.25">
      <c r="A2442" s="6" t="str">
        <f>HYPERLINK("proteomic_fractions_linear_files/Yang_linear_img/359279919.jpg", "359279919")</f>
        <v>359279919</v>
      </c>
      <c r="B2442" s="7"/>
      <c r="C2442" s="6" t="str">
        <f>HYPERLINK("http://www.ncbi.nlm.nih.gov/protein/359279919","Fcer2a")</f>
        <v>Fcer2a</v>
      </c>
      <c r="D2442" s="8"/>
      <c r="E2442" s="8">
        <v>34940</v>
      </c>
      <c r="F2442" s="8"/>
      <c r="G2442" s="15" t="s">
        <v>10</v>
      </c>
      <c r="H2442" s="15" t="s">
        <v>10</v>
      </c>
      <c r="I2442" s="15" t="s">
        <v>10</v>
      </c>
      <c r="J2442" s="15" t="s">
        <v>10</v>
      </c>
      <c r="K2442" s="15">
        <v>0.47761355773162922</v>
      </c>
      <c r="L2442" s="15">
        <v>0.47761355773162922</v>
      </c>
      <c r="M2442" s="15" t="s">
        <v>10</v>
      </c>
      <c r="N2442" s="15" t="s">
        <v>10</v>
      </c>
      <c r="O2442" s="15" t="s">
        <v>10</v>
      </c>
      <c r="P2442" s="15" t="s">
        <v>10</v>
      </c>
      <c r="Q2442" s="8"/>
      <c r="R2442" s="9" t="s">
        <v>2418</v>
      </c>
    </row>
    <row r="2443" spans="1:18" x14ac:dyDescent="0.25">
      <c r="A2443" s="6" t="str">
        <f>HYPERLINK("proteomic_fractions_linear_files/Yang_linear_img/359279923.jpg", "359279923")</f>
        <v>359279923</v>
      </c>
      <c r="B2443" s="7"/>
      <c r="C2443" s="6" t="str">
        <f>HYPERLINK("http://www.ncbi.nlm.nih.gov/protein/359279923","Fcer2a")</f>
        <v>Fcer2a</v>
      </c>
      <c r="D2443" s="8"/>
      <c r="E2443" s="8">
        <v>34895</v>
      </c>
      <c r="F2443" s="8"/>
      <c r="G2443" s="15" t="s">
        <v>10</v>
      </c>
      <c r="H2443" s="15" t="s">
        <v>10</v>
      </c>
      <c r="I2443" s="15" t="s">
        <v>10</v>
      </c>
      <c r="J2443" s="15" t="s">
        <v>10</v>
      </c>
      <c r="K2443" s="15">
        <v>0.47761355773162922</v>
      </c>
      <c r="L2443" s="15">
        <v>0.47761355773162922</v>
      </c>
      <c r="M2443" s="15" t="s">
        <v>10</v>
      </c>
      <c r="N2443" s="15" t="s">
        <v>10</v>
      </c>
      <c r="O2443" s="15" t="s">
        <v>10</v>
      </c>
      <c r="P2443" s="15" t="s">
        <v>10</v>
      </c>
      <c r="Q2443" s="8"/>
      <c r="R2443" s="9" t="s">
        <v>2419</v>
      </c>
    </row>
    <row r="2444" spans="1:18" x14ac:dyDescent="0.25">
      <c r="A2444" s="6" t="str">
        <f>HYPERLINK("proteomic_fractions_linear_files/Yang_linear_img/359279925.jpg", "359279925")</f>
        <v>359279925</v>
      </c>
      <c r="B2444" s="7"/>
      <c r="C2444" s="6" t="str">
        <f>HYPERLINK("http://www.ncbi.nlm.nih.gov/protein/359279925","Fcer2a")</f>
        <v>Fcer2a</v>
      </c>
      <c r="D2444" s="8"/>
      <c r="E2444" s="8">
        <v>32964</v>
      </c>
      <c r="F2444" s="8"/>
      <c r="G2444" s="15" t="s">
        <v>10</v>
      </c>
      <c r="H2444" s="15" t="s">
        <v>10</v>
      </c>
      <c r="I2444" s="15" t="s">
        <v>10</v>
      </c>
      <c r="J2444" s="15" t="s">
        <v>10</v>
      </c>
      <c r="K2444" s="15">
        <v>0.50655983395778859</v>
      </c>
      <c r="L2444" s="15">
        <v>0.50655983395778859</v>
      </c>
      <c r="M2444" s="15" t="s">
        <v>10</v>
      </c>
      <c r="N2444" s="15" t="s">
        <v>10</v>
      </c>
      <c r="O2444" s="15" t="s">
        <v>10</v>
      </c>
      <c r="P2444" s="15" t="s">
        <v>10</v>
      </c>
      <c r="Q2444" s="8"/>
      <c r="R2444" s="9" t="s">
        <v>2420</v>
      </c>
    </row>
    <row r="2445" spans="1:18" x14ac:dyDescent="0.25">
      <c r="A2445" s="6" t="str">
        <f>HYPERLINK("proteomic_fractions_linear_files/Yang_linear_img/359339166.jpg", "359339166")</f>
        <v>359339166</v>
      </c>
      <c r="B2445" s="7"/>
      <c r="C2445" s="6" t="str">
        <f>HYPERLINK("http://www.ncbi.nlm.nih.gov/protein/359339166","Fcer2a")</f>
        <v>Fcer2a</v>
      </c>
      <c r="D2445" s="8"/>
      <c r="E2445" s="8">
        <v>37336</v>
      </c>
      <c r="F2445" s="8"/>
      <c r="G2445" s="15" t="s">
        <v>10</v>
      </c>
      <c r="H2445" s="15" t="s">
        <v>10</v>
      </c>
      <c r="I2445" s="15" t="s">
        <v>10</v>
      </c>
      <c r="J2445" s="15" t="s">
        <v>10</v>
      </c>
      <c r="K2445" s="15">
        <v>0.45179660866505467</v>
      </c>
      <c r="L2445" s="15">
        <v>0.45179660866505467</v>
      </c>
      <c r="M2445" s="15" t="s">
        <v>10</v>
      </c>
      <c r="N2445" s="15" t="s">
        <v>10</v>
      </c>
      <c r="O2445" s="15" t="s">
        <v>10</v>
      </c>
      <c r="P2445" s="15" t="s">
        <v>10</v>
      </c>
      <c r="Q2445" s="8"/>
      <c r="R2445" s="9" t="s">
        <v>2421</v>
      </c>
    </row>
    <row r="2446" spans="1:18" x14ac:dyDescent="0.25">
      <c r="A2446" s="6" t="str">
        <f>HYPERLINK("proteomic_fractions_linear_files/Yang_linear_img/7305051.jpg", "7305051")</f>
        <v>7305051</v>
      </c>
      <c r="B2446" s="7"/>
      <c r="C2446" s="6" t="str">
        <f>HYPERLINK("http://www.ncbi.nlm.nih.gov/protein/7305051","Fcer2a")</f>
        <v>Fcer2a</v>
      </c>
      <c r="D2446" s="8"/>
      <c r="E2446" s="8">
        <v>37517</v>
      </c>
      <c r="F2446" s="8"/>
      <c r="G2446" s="15" t="s">
        <v>10</v>
      </c>
      <c r="H2446" s="15" t="s">
        <v>10</v>
      </c>
      <c r="I2446" s="15" t="s">
        <v>10</v>
      </c>
      <c r="J2446" s="15" t="s">
        <v>10</v>
      </c>
      <c r="K2446" s="15">
        <v>0.43990722422650058</v>
      </c>
      <c r="L2446" s="15">
        <v>0.43990722422650058</v>
      </c>
      <c r="M2446" s="15" t="s">
        <v>10</v>
      </c>
      <c r="N2446" s="15" t="s">
        <v>10</v>
      </c>
      <c r="O2446" s="15" t="s">
        <v>10</v>
      </c>
      <c r="P2446" s="15" t="s">
        <v>10</v>
      </c>
      <c r="Q2446" s="8"/>
      <c r="R2446" s="9" t="s">
        <v>2417</v>
      </c>
    </row>
    <row r="2447" spans="1:18" x14ac:dyDescent="0.25">
      <c r="A2447" s="6" t="str">
        <f>HYPERLINK("proteomic_fractions_linear_files/Yang_linear_img/268607601.jpg", "268607601")</f>
        <v>268607601</v>
      </c>
      <c r="B2447" s="7"/>
      <c r="C2447" s="6" t="str">
        <f>HYPERLINK("http://www.ncbi.nlm.nih.gov/protein/268607601","Fcf1")</f>
        <v>Fcf1</v>
      </c>
      <c r="D2447" s="8"/>
      <c r="E2447" s="8">
        <v>23209</v>
      </c>
      <c r="F2447" s="8"/>
      <c r="G2447" s="15" t="s">
        <v>10</v>
      </c>
      <c r="H2447" s="15" t="s">
        <v>10</v>
      </c>
      <c r="I2447" s="15" t="s">
        <v>10</v>
      </c>
      <c r="J2447" s="15" t="s">
        <v>10</v>
      </c>
      <c r="K2447" s="15">
        <v>0.94764096829038047</v>
      </c>
      <c r="L2447" s="15">
        <v>0.94764096829038047</v>
      </c>
      <c r="M2447" s="15">
        <v>0.94764096829038047</v>
      </c>
      <c r="N2447" s="15">
        <v>0.94764096829038047</v>
      </c>
      <c r="O2447" s="15" t="s">
        <v>10</v>
      </c>
      <c r="P2447" s="15" t="s">
        <v>10</v>
      </c>
      <c r="Q2447" s="8"/>
      <c r="R2447" s="9" t="s">
        <v>2422</v>
      </c>
    </row>
    <row r="2448" spans="1:18" x14ac:dyDescent="0.25">
      <c r="A2448" s="6" t="str">
        <f>HYPERLINK("proteomic_fractions_linear_files/Yang_linear_img/169790797.jpg", "169790797")</f>
        <v>169790797</v>
      </c>
      <c r="B2448" s="7"/>
      <c r="C2448" s="6" t="str">
        <f>HYPERLINK("http://www.ncbi.nlm.nih.gov/protein/169790797","Fcgbp")</f>
        <v>Fcgbp</v>
      </c>
      <c r="D2448" s="8"/>
      <c r="E2448" s="8">
        <v>272334</v>
      </c>
      <c r="F2448" s="8"/>
      <c r="G2448" s="15" t="s">
        <v>10</v>
      </c>
      <c r="H2448" s="15" t="s">
        <v>10</v>
      </c>
      <c r="I2448" s="15">
        <v>0.19529621187500396</v>
      </c>
      <c r="J2448" s="15">
        <v>0.19529621187500396</v>
      </c>
      <c r="K2448" s="15">
        <v>0.21607796906468327</v>
      </c>
      <c r="L2448" s="15">
        <v>0.21607796906468327</v>
      </c>
      <c r="M2448" s="15">
        <v>6.459536678440797E-2</v>
      </c>
      <c r="N2448" s="15">
        <v>6.459536678440797E-2</v>
      </c>
      <c r="O2448" s="15">
        <v>0.17753667494270314</v>
      </c>
      <c r="P2448" s="15">
        <v>0.17753667494270314</v>
      </c>
      <c r="Q2448" s="8"/>
      <c r="R2448" s="9" t="s">
        <v>2423</v>
      </c>
    </row>
    <row r="2449" spans="1:18" x14ac:dyDescent="0.25">
      <c r="A2449" s="6" t="str">
        <f>HYPERLINK("proteomic_fractions_linear_files/Yang_linear_img/224994271.jpg", "224994271")</f>
        <v>224994271</v>
      </c>
      <c r="B2449" s="7"/>
      <c r="C2449" s="6" t="str">
        <f>HYPERLINK("http://www.ncbi.nlm.nih.gov/protein/224994271","Fcho2")</f>
        <v>Fcho2</v>
      </c>
      <c r="D2449" s="8"/>
      <c r="E2449" s="8">
        <v>88603</v>
      </c>
      <c r="F2449" s="8"/>
      <c r="G2449" s="15" t="s">
        <v>10</v>
      </c>
      <c r="H2449" s="15" t="s">
        <v>10</v>
      </c>
      <c r="I2449" s="15" t="s">
        <v>10</v>
      </c>
      <c r="J2449" s="15" t="s">
        <v>10</v>
      </c>
      <c r="K2449" s="15" t="s">
        <v>10</v>
      </c>
      <c r="L2449" s="15" t="s">
        <v>10</v>
      </c>
      <c r="M2449" s="15">
        <v>1.2337254361924883</v>
      </c>
      <c r="N2449" s="15">
        <v>1.2337254361924883</v>
      </c>
      <c r="O2449" s="15">
        <v>1.0670559683436462</v>
      </c>
      <c r="P2449" s="15">
        <v>1.0670559683436462</v>
      </c>
      <c r="Q2449" s="8"/>
      <c r="R2449" s="9" t="s">
        <v>2424</v>
      </c>
    </row>
    <row r="2450" spans="1:18" x14ac:dyDescent="0.25">
      <c r="A2450" s="6" t="str">
        <f>HYPERLINK("proteomic_fractions_linear_files/Yang_linear_img/34328173.jpg", "34328173")</f>
        <v>34328173</v>
      </c>
      <c r="B2450" s="7"/>
      <c r="C2450" s="6" t="str">
        <f>HYPERLINK("http://www.ncbi.nlm.nih.gov/protein/34328173","Fdft1")</f>
        <v>Fdft1</v>
      </c>
      <c r="D2450" s="8"/>
      <c r="E2450" s="8">
        <v>48023</v>
      </c>
      <c r="F2450" s="8"/>
      <c r="G2450" s="15" t="s">
        <v>10</v>
      </c>
      <c r="H2450" s="15" t="s">
        <v>10</v>
      </c>
      <c r="I2450" s="15">
        <v>0.91928310931178059</v>
      </c>
      <c r="J2450" s="15">
        <v>0.91928310931178059</v>
      </c>
      <c r="K2450" s="15" t="s">
        <v>10</v>
      </c>
      <c r="L2450" s="15" t="s">
        <v>10</v>
      </c>
      <c r="M2450" s="15" t="s">
        <v>10</v>
      </c>
      <c r="N2450" s="15" t="s">
        <v>10</v>
      </c>
      <c r="O2450" s="15" t="s">
        <v>10</v>
      </c>
      <c r="P2450" s="15" t="s">
        <v>10</v>
      </c>
      <c r="Q2450" s="8"/>
      <c r="R2450" s="9" t="s">
        <v>2425</v>
      </c>
    </row>
    <row r="2451" spans="1:18" x14ac:dyDescent="0.25">
      <c r="A2451" s="6" t="str">
        <f>HYPERLINK("proteomic_fractions_linear_files/Yang_linear_img/19882207.jpg", "19882207")</f>
        <v>19882207</v>
      </c>
      <c r="B2451" s="7"/>
      <c r="C2451" s="6" t="str">
        <f>HYPERLINK("http://www.ncbi.nlm.nih.gov/protein/19882207","Fdps")</f>
        <v>Fdps</v>
      </c>
      <c r="D2451" s="8"/>
      <c r="E2451" s="8">
        <v>40451</v>
      </c>
      <c r="F2451" s="8"/>
      <c r="G2451" s="15">
        <v>1.2072493896103813</v>
      </c>
      <c r="H2451" s="15">
        <v>0.8638344132618796</v>
      </c>
      <c r="I2451" s="15">
        <v>0.8638344132618796</v>
      </c>
      <c r="J2451" s="15">
        <v>0.8638344132618796</v>
      </c>
      <c r="K2451" s="15">
        <v>0.93353316057811475</v>
      </c>
      <c r="L2451" s="15">
        <v>0.93353316057811475</v>
      </c>
      <c r="M2451" s="15">
        <v>0.93353316057811475</v>
      </c>
      <c r="N2451" s="15">
        <v>0.93353316057811475</v>
      </c>
      <c r="O2451" s="15">
        <v>0.8638344132618796</v>
      </c>
      <c r="P2451" s="15">
        <v>0.8638344132618796</v>
      </c>
      <c r="Q2451" s="8"/>
      <c r="R2451" s="9" t="s">
        <v>2426</v>
      </c>
    </row>
    <row r="2452" spans="1:18" x14ac:dyDescent="0.25">
      <c r="A2452" s="6" t="str">
        <f>HYPERLINK("proteomic_fractions_linear_files/Yang_linear_img/359279938.jpg", "359279938")</f>
        <v>359279938</v>
      </c>
      <c r="B2452" s="7"/>
      <c r="C2452" s="6" t="str">
        <f>HYPERLINK("http://www.ncbi.nlm.nih.gov/protein/359279938","Fdps")</f>
        <v>Fdps</v>
      </c>
      <c r="D2452" s="8"/>
      <c r="E2452" s="8">
        <v>46025</v>
      </c>
      <c r="F2452" s="8"/>
      <c r="G2452" s="15">
        <v>1.0497820779220708</v>
      </c>
      <c r="H2452" s="15">
        <v>0.75116035935815617</v>
      </c>
      <c r="I2452" s="15">
        <v>0.75116035935815617</v>
      </c>
      <c r="J2452" s="15">
        <v>0.75116035935815617</v>
      </c>
      <c r="K2452" s="15">
        <v>0.81176796572009979</v>
      </c>
      <c r="L2452" s="15">
        <v>0.81176796572009979</v>
      </c>
      <c r="M2452" s="15">
        <v>0.81176796572009979</v>
      </c>
      <c r="N2452" s="15">
        <v>0.81176796572009979</v>
      </c>
      <c r="O2452" s="15">
        <v>0.75116035935815617</v>
      </c>
      <c r="P2452" s="15">
        <v>0.75116035935815617</v>
      </c>
      <c r="Q2452" s="8"/>
      <c r="R2452" s="9" t="s">
        <v>2427</v>
      </c>
    </row>
    <row r="2453" spans="1:18" x14ac:dyDescent="0.25">
      <c r="A2453" s="6" t="str">
        <f>HYPERLINK("proteomic_fractions_linear_files/Yang_linear_img/6679765.jpg", "6679765")</f>
        <v>6679765</v>
      </c>
      <c r="B2453" s="7"/>
      <c r="C2453" s="6" t="str">
        <f>HYPERLINK("http://www.ncbi.nlm.nih.gov/protein/6679765","Fdx1")</f>
        <v>Fdx1</v>
      </c>
      <c r="D2453" s="8"/>
      <c r="E2453" s="8">
        <v>13617</v>
      </c>
      <c r="F2453" s="8"/>
      <c r="G2453" s="15">
        <v>0.94979028735725246</v>
      </c>
      <c r="H2453" s="15">
        <v>0.94979028735725246</v>
      </c>
      <c r="I2453" s="15">
        <v>0.91051566728125899</v>
      </c>
      <c r="J2453" s="15">
        <v>0.91051566728125899</v>
      </c>
      <c r="K2453" s="15" t="s">
        <v>10</v>
      </c>
      <c r="L2453" s="15" t="s">
        <v>10</v>
      </c>
      <c r="M2453" s="15" t="s">
        <v>10</v>
      </c>
      <c r="N2453" s="15" t="s">
        <v>10</v>
      </c>
      <c r="O2453" s="15">
        <v>0.91051566728125899</v>
      </c>
      <c r="P2453" s="15">
        <v>0.94979028735725246</v>
      </c>
      <c r="Q2453" s="8"/>
      <c r="R2453" s="9" t="s">
        <v>2428</v>
      </c>
    </row>
    <row r="2454" spans="1:18" x14ac:dyDescent="0.25">
      <c r="A2454" s="6" t="str">
        <f>HYPERLINK("proteomic_fractions_linear_files/Yang_linear_img/90017457.jpg", "90017457")</f>
        <v>90017457</v>
      </c>
      <c r="B2454" s="7"/>
      <c r="C2454" s="6" t="str">
        <f>HYPERLINK("http://www.ncbi.nlm.nih.gov/protein/90017457","Fdx1l")</f>
        <v>Fdx1l</v>
      </c>
      <c r="D2454" s="8"/>
      <c r="E2454" s="8">
        <v>14398</v>
      </c>
      <c r="F2454" s="8"/>
      <c r="G2454" s="15" t="s">
        <v>10</v>
      </c>
      <c r="H2454" s="15" t="s">
        <v>10</v>
      </c>
      <c r="I2454" s="15">
        <v>1.1376744130844125</v>
      </c>
      <c r="J2454" s="15">
        <v>1.1376744130844125</v>
      </c>
      <c r="K2454" s="15" t="s">
        <v>10</v>
      </c>
      <c r="L2454" s="15" t="s">
        <v>10</v>
      </c>
      <c r="M2454" s="15" t="s">
        <v>10</v>
      </c>
      <c r="N2454" s="15" t="s">
        <v>10</v>
      </c>
      <c r="O2454" s="15" t="s">
        <v>10</v>
      </c>
      <c r="P2454" s="15" t="s">
        <v>10</v>
      </c>
      <c r="Q2454" s="8"/>
      <c r="R2454" s="9" t="s">
        <v>2429</v>
      </c>
    </row>
    <row r="2455" spans="1:18" x14ac:dyDescent="0.25">
      <c r="A2455" s="6" t="str">
        <f>HYPERLINK("proteomic_fractions_linear_files/Yang_linear_img/6679767.jpg", "6679767")</f>
        <v>6679767</v>
      </c>
      <c r="B2455" s="7"/>
      <c r="C2455" s="6" t="str">
        <f>HYPERLINK("http://www.ncbi.nlm.nih.gov/protein/6679767","Fdxr")</f>
        <v>Fdxr</v>
      </c>
      <c r="D2455" s="8"/>
      <c r="E2455" s="8">
        <v>50129</v>
      </c>
      <c r="F2455" s="8"/>
      <c r="G2455" s="15" t="s">
        <v>10</v>
      </c>
      <c r="H2455" s="15" t="s">
        <v>10</v>
      </c>
      <c r="I2455" s="15">
        <v>0.88251178493930937</v>
      </c>
      <c r="J2455" s="15">
        <v>0.88251178493930937</v>
      </c>
      <c r="K2455" s="15" t="s">
        <v>10</v>
      </c>
      <c r="L2455" s="15" t="s">
        <v>10</v>
      </c>
      <c r="M2455" s="15" t="s">
        <v>10</v>
      </c>
      <c r="N2455" s="15" t="s">
        <v>10</v>
      </c>
      <c r="O2455" s="15" t="s">
        <v>10</v>
      </c>
      <c r="P2455" s="15" t="s">
        <v>10</v>
      </c>
      <c r="Q2455" s="8"/>
      <c r="R2455" s="9" t="s">
        <v>2430</v>
      </c>
    </row>
    <row r="2456" spans="1:18" x14ac:dyDescent="0.25">
      <c r="A2456" s="6" t="str">
        <f>HYPERLINK("proteomic_fractions_linear_files/Yang_linear_img/20452466.jpg", "20452466")</f>
        <v>20452466</v>
      </c>
      <c r="B2456" s="7"/>
      <c r="C2456" s="6" t="str">
        <f>HYPERLINK("http://www.ncbi.nlm.nih.gov/protein/20452466","Fech")</f>
        <v>Fech</v>
      </c>
      <c r="D2456" s="8"/>
      <c r="E2456" s="8">
        <v>41985</v>
      </c>
      <c r="F2456" s="8"/>
      <c r="G2456" s="15" t="s">
        <v>10</v>
      </c>
      <c r="H2456" s="15" t="s">
        <v>10</v>
      </c>
      <c r="I2456" s="15">
        <v>0.96445995721958921</v>
      </c>
      <c r="J2456" s="15">
        <v>0.96445995721958921</v>
      </c>
      <c r="K2456" s="15" t="s">
        <v>10</v>
      </c>
      <c r="L2456" s="15" t="s">
        <v>10</v>
      </c>
      <c r="M2456" s="15" t="s">
        <v>10</v>
      </c>
      <c r="N2456" s="15" t="s">
        <v>10</v>
      </c>
      <c r="O2456" s="15" t="s">
        <v>10</v>
      </c>
      <c r="P2456" s="15" t="s">
        <v>10</v>
      </c>
      <c r="Q2456" s="8"/>
      <c r="R2456" s="9" t="s">
        <v>2431</v>
      </c>
    </row>
    <row r="2457" spans="1:18" x14ac:dyDescent="0.25">
      <c r="A2457" s="6" t="str">
        <f>HYPERLINK("proteomic_fractions_linear_files/Yang_linear_img/6753840.jpg", "6753840")</f>
        <v>6753840</v>
      </c>
      <c r="B2457" s="7"/>
      <c r="C2457" s="6" t="str">
        <f>HYPERLINK("http://www.ncbi.nlm.nih.gov/protein/6753840","Fem1b")</f>
        <v>Fem1b</v>
      </c>
      <c r="D2457" s="8"/>
      <c r="E2457" s="8">
        <v>70092</v>
      </c>
      <c r="F2457" s="8"/>
      <c r="G2457" s="15" t="s">
        <v>10</v>
      </c>
      <c r="H2457" s="15" t="s">
        <v>10</v>
      </c>
      <c r="I2457" s="15" t="s">
        <v>10</v>
      </c>
      <c r="J2457" s="15" t="s">
        <v>10</v>
      </c>
      <c r="K2457" s="15" t="s">
        <v>10</v>
      </c>
      <c r="L2457" s="15" t="s">
        <v>10</v>
      </c>
      <c r="M2457" s="15">
        <v>1.0490880034526036</v>
      </c>
      <c r="N2457" s="15">
        <v>1.0490880034526036</v>
      </c>
      <c r="O2457" s="15" t="s">
        <v>10</v>
      </c>
      <c r="P2457" s="15" t="s">
        <v>10</v>
      </c>
      <c r="Q2457" s="8"/>
      <c r="R2457" s="9" t="s">
        <v>2432</v>
      </c>
    </row>
    <row r="2458" spans="1:18" x14ac:dyDescent="0.25">
      <c r="A2458" s="6" t="str">
        <f>HYPERLINK("proteomic_fractions_linear_files/Yang_linear_img/27734132.jpg", "27734132")</f>
        <v>27734132</v>
      </c>
      <c r="B2458" s="7"/>
      <c r="C2458" s="6" t="str">
        <f>HYPERLINK("http://www.ncbi.nlm.nih.gov/protein/27734132","Fem1c")</f>
        <v>Fem1c</v>
      </c>
      <c r="D2458" s="8"/>
      <c r="E2458" s="8">
        <v>68447</v>
      </c>
      <c r="F2458" s="8"/>
      <c r="G2458" s="15" t="s">
        <v>10</v>
      </c>
      <c r="H2458" s="15" t="s">
        <v>10</v>
      </c>
      <c r="I2458" s="15" t="s">
        <v>10</v>
      </c>
      <c r="J2458" s="15" t="s">
        <v>10</v>
      </c>
      <c r="K2458" s="15" t="s">
        <v>10</v>
      </c>
      <c r="L2458" s="15" t="s">
        <v>10</v>
      </c>
      <c r="M2458" s="15">
        <v>1.0799435329659153</v>
      </c>
      <c r="N2458" s="15">
        <v>1.0799435329659153</v>
      </c>
      <c r="O2458" s="15" t="s">
        <v>10</v>
      </c>
      <c r="P2458" s="15" t="s">
        <v>10</v>
      </c>
      <c r="Q2458" s="8"/>
      <c r="R2458" s="9" t="s">
        <v>2433</v>
      </c>
    </row>
    <row r="2459" spans="1:18" x14ac:dyDescent="0.25">
      <c r="A2459" s="6" t="str">
        <f>HYPERLINK("proteomic_fractions_linear_files/Yang_linear_img/46048490.jpg", "46048490")</f>
        <v>46048490</v>
      </c>
      <c r="B2459" s="7"/>
      <c r="C2459" s="6" t="str">
        <f>HYPERLINK("http://www.ncbi.nlm.nih.gov/protein/46048490","Fen1")</f>
        <v>Fen1</v>
      </c>
      <c r="D2459" s="8"/>
      <c r="E2459" s="8">
        <v>42492</v>
      </c>
      <c r="F2459" s="8"/>
      <c r="G2459" s="15">
        <v>1.3993620853712823</v>
      </c>
      <c r="H2459" s="15">
        <v>1.3993620853712823</v>
      </c>
      <c r="I2459" s="15">
        <v>1.0506092677848922</v>
      </c>
      <c r="J2459" s="15">
        <v>1.0506092677848922</v>
      </c>
      <c r="K2459" s="15">
        <v>1.1497613234384585</v>
      </c>
      <c r="L2459" s="15">
        <v>1.1497613234384585</v>
      </c>
      <c r="M2459" s="15">
        <v>1.0506092677848922</v>
      </c>
      <c r="N2459" s="15">
        <v>1.0506092677848922</v>
      </c>
      <c r="O2459" s="15">
        <v>0.96445995721958921</v>
      </c>
      <c r="P2459" s="15">
        <v>0.96445995721958921</v>
      </c>
      <c r="Q2459" s="8"/>
      <c r="R2459" s="9" t="s">
        <v>2434</v>
      </c>
    </row>
    <row r="2460" spans="1:18" x14ac:dyDescent="0.25">
      <c r="A2460" s="6" t="str">
        <f>HYPERLINK("proteomic_fractions_linear_files/Yang_linear_img/124487315.jpg", "124487315")</f>
        <v>124487315</v>
      </c>
      <c r="B2460" s="7"/>
      <c r="C2460" s="6" t="str">
        <f>HYPERLINK("http://www.ncbi.nlm.nih.gov/protein/124487315","Fermt1")</f>
        <v>Fermt1</v>
      </c>
      <c r="D2460" s="8"/>
      <c r="E2460" s="8">
        <v>76811</v>
      </c>
      <c r="F2460" s="8"/>
      <c r="G2460" s="15" t="s">
        <v>10</v>
      </c>
      <c r="H2460" s="15" t="s">
        <v>10</v>
      </c>
      <c r="I2460" s="15" t="s">
        <v>10</v>
      </c>
      <c r="J2460" s="15" t="s">
        <v>10</v>
      </c>
      <c r="K2460" s="15">
        <v>1.079203356794076</v>
      </c>
      <c r="L2460" s="15">
        <v>1.079203356794076</v>
      </c>
      <c r="M2460" s="15" t="s">
        <v>10</v>
      </c>
      <c r="N2460" s="15" t="s">
        <v>10</v>
      </c>
      <c r="O2460" s="15" t="s">
        <v>10</v>
      </c>
      <c r="P2460" s="15" t="s">
        <v>10</v>
      </c>
      <c r="Q2460" s="8"/>
      <c r="R2460" s="9" t="s">
        <v>2435</v>
      </c>
    </row>
    <row r="2461" spans="1:18" x14ac:dyDescent="0.25">
      <c r="A2461" s="6" t="str">
        <f>HYPERLINK("proteomic_fractions_linear_files/Yang_linear_img/67906179.jpg", "67906179")</f>
        <v>67906179</v>
      </c>
      <c r="B2461" s="7"/>
      <c r="C2461" s="6" t="str">
        <f>HYPERLINK("http://www.ncbi.nlm.nih.gov/protein/67906179","Fermt2")</f>
        <v>Fermt2</v>
      </c>
      <c r="D2461" s="8"/>
      <c r="E2461" s="8">
        <v>77670</v>
      </c>
      <c r="F2461" s="8"/>
      <c r="G2461" s="15" t="s">
        <v>10</v>
      </c>
      <c r="H2461" s="15" t="s">
        <v>10</v>
      </c>
      <c r="I2461" s="15">
        <v>0.9414892338677211</v>
      </c>
      <c r="J2461" s="15">
        <v>0.9414892338677211</v>
      </c>
      <c r="K2461" s="15">
        <v>1.0653674163223572</v>
      </c>
      <c r="L2461" s="15">
        <v>1.0653674163223572</v>
      </c>
      <c r="M2461" s="15">
        <v>1.0653674163223572</v>
      </c>
      <c r="N2461" s="15">
        <v>1.0653674163223572</v>
      </c>
      <c r="O2461" s="15">
        <v>0.9414892338677211</v>
      </c>
      <c r="P2461" s="15">
        <v>0.9414892338677211</v>
      </c>
      <c r="Q2461" s="8"/>
      <c r="R2461" s="9" t="s">
        <v>2436</v>
      </c>
    </row>
    <row r="2462" spans="1:18" x14ac:dyDescent="0.25">
      <c r="A2462" s="6" t="str">
        <f>HYPERLINK("proteomic_fractions_linear_files/Yang_linear_img/40789098.jpg", "40789098")</f>
        <v>40789098</v>
      </c>
      <c r="B2462" s="7"/>
      <c r="C2462" s="6" t="str">
        <f>HYPERLINK("http://www.ncbi.nlm.nih.gov/protein/40789098","Fez2")</f>
        <v>Fez2</v>
      </c>
      <c r="D2462" s="8"/>
      <c r="E2462" s="8">
        <v>38970</v>
      </c>
      <c r="F2462" s="8"/>
      <c r="G2462" s="15" t="s">
        <v>10</v>
      </c>
      <c r="H2462" s="15" t="s">
        <v>10</v>
      </c>
      <c r="I2462" s="15" t="s">
        <v>10</v>
      </c>
      <c r="J2462" s="15" t="s">
        <v>10</v>
      </c>
      <c r="K2462" s="15" t="s">
        <v>10</v>
      </c>
      <c r="L2462" s="15" t="s">
        <v>10</v>
      </c>
      <c r="M2462" s="15" t="s">
        <v>10</v>
      </c>
      <c r="N2462" s="15" t="s">
        <v>10</v>
      </c>
      <c r="O2462" s="15">
        <v>1.1314253653068069</v>
      </c>
      <c r="P2462" s="15">
        <v>1.1314253653068069</v>
      </c>
      <c r="Q2462" s="8"/>
      <c r="R2462" s="9" t="s">
        <v>2437</v>
      </c>
    </row>
    <row r="2463" spans="1:18" x14ac:dyDescent="0.25">
      <c r="A2463" s="6" t="str">
        <f>HYPERLINK("proteomic_fractions_linear_files/Yang_linear_img/31982367.jpg", "31982367")</f>
        <v>31982367</v>
      </c>
      <c r="B2463" s="7"/>
      <c r="C2463" s="6" t="str">
        <f>HYPERLINK("http://www.ncbi.nlm.nih.gov/protein/31982367","Fgd1")</f>
        <v>Fgd1</v>
      </c>
      <c r="D2463" s="8"/>
      <c r="E2463" s="8">
        <v>106234</v>
      </c>
      <c r="F2463" s="8"/>
      <c r="G2463" s="15" t="s">
        <v>10</v>
      </c>
      <c r="H2463" s="15" t="s">
        <v>10</v>
      </c>
      <c r="I2463" s="15" t="s">
        <v>10</v>
      </c>
      <c r="J2463" s="15" t="s">
        <v>10</v>
      </c>
      <c r="K2463" s="15" t="s">
        <v>10</v>
      </c>
      <c r="L2463" s="15" t="s">
        <v>10</v>
      </c>
      <c r="M2463" s="15" t="s">
        <v>10</v>
      </c>
      <c r="N2463" s="15" t="s">
        <v>10</v>
      </c>
      <c r="O2463" s="15">
        <v>1.0358638096333157</v>
      </c>
      <c r="P2463" s="15">
        <v>1.0358638096333157</v>
      </c>
      <c r="Q2463" s="8"/>
      <c r="R2463" s="9" t="s">
        <v>2438</v>
      </c>
    </row>
    <row r="2464" spans="1:18" x14ac:dyDescent="0.25">
      <c r="A2464" s="6" t="str">
        <f>HYPERLINK("proteomic_fractions_linear_files/Yang_linear_img/85719309.jpg", "85719309")</f>
        <v>85719309</v>
      </c>
      <c r="B2464" s="7"/>
      <c r="C2464" s="6" t="str">
        <f>HYPERLINK("http://www.ncbi.nlm.nih.gov/protein/85719309","Fgd3")</f>
        <v>Fgd3</v>
      </c>
      <c r="D2464" s="8"/>
      <c r="E2464" s="8">
        <v>80535</v>
      </c>
      <c r="F2464" s="8"/>
      <c r="G2464" s="15" t="s">
        <v>10</v>
      </c>
      <c r="H2464" s="15" t="s">
        <v>10</v>
      </c>
      <c r="I2464" s="15" t="s">
        <v>10</v>
      </c>
      <c r="J2464" s="15" t="s">
        <v>10</v>
      </c>
      <c r="K2464" s="15" t="s">
        <v>10</v>
      </c>
      <c r="L2464" s="15" t="s">
        <v>10</v>
      </c>
      <c r="M2464" s="15" t="s">
        <v>10</v>
      </c>
      <c r="N2464" s="15" t="s">
        <v>10</v>
      </c>
      <c r="O2464" s="15">
        <v>1.3555748619892773</v>
      </c>
      <c r="P2464" s="15">
        <v>1.3555748619892773</v>
      </c>
      <c r="Q2464" s="8"/>
      <c r="R2464" s="9" t="s">
        <v>2439</v>
      </c>
    </row>
    <row r="2465" spans="1:18" x14ac:dyDescent="0.25">
      <c r="A2465" s="6" t="str">
        <f>HYPERLINK("proteomic_fractions_linear_files/Yang_linear_img/22296595.jpg", "22296595")</f>
        <v>22296595</v>
      </c>
      <c r="B2465" s="7"/>
      <c r="C2465" s="6" t="str">
        <f>HYPERLINK("http://www.ncbi.nlm.nih.gov/protein/22296595","Fgd4")</f>
        <v>Fgd4</v>
      </c>
      <c r="D2465" s="8"/>
      <c r="E2465" s="8">
        <v>68079</v>
      </c>
      <c r="F2465" s="8"/>
      <c r="G2465" s="15" t="s">
        <v>10</v>
      </c>
      <c r="H2465" s="15" t="s">
        <v>10</v>
      </c>
      <c r="I2465" s="15" t="s">
        <v>10</v>
      </c>
      <c r="J2465" s="15" t="s">
        <v>10</v>
      </c>
      <c r="K2465" s="15" t="s">
        <v>10</v>
      </c>
      <c r="L2465" s="15" t="s">
        <v>10</v>
      </c>
      <c r="M2465" s="15" t="s">
        <v>10</v>
      </c>
      <c r="N2465" s="15" t="s">
        <v>10</v>
      </c>
      <c r="O2465" s="15">
        <v>1.6147288797225217</v>
      </c>
      <c r="P2465" s="15">
        <v>1.6147288797225217</v>
      </c>
      <c r="Q2465" s="8"/>
      <c r="R2465" s="9" t="s">
        <v>2440</v>
      </c>
    </row>
    <row r="2466" spans="1:18" x14ac:dyDescent="0.25">
      <c r="A2466" s="6" t="str">
        <f>HYPERLINK("proteomic_fractions_linear_files/Yang_linear_img/22296599.jpg", "22296599")</f>
        <v>22296599</v>
      </c>
      <c r="B2466" s="7"/>
      <c r="C2466" s="6" t="str">
        <f>HYPERLINK("http://www.ncbi.nlm.nih.gov/protein/22296599","Fgd4")</f>
        <v>Fgd4</v>
      </c>
      <c r="D2466" s="8"/>
      <c r="E2466" s="8">
        <v>56566</v>
      </c>
      <c r="F2466" s="8"/>
      <c r="G2466" s="15" t="s">
        <v>10</v>
      </c>
      <c r="H2466" s="15" t="s">
        <v>10</v>
      </c>
      <c r="I2466" s="15" t="s">
        <v>10</v>
      </c>
      <c r="J2466" s="15" t="s">
        <v>10</v>
      </c>
      <c r="K2466" s="15" t="s">
        <v>10</v>
      </c>
      <c r="L2466" s="15" t="s">
        <v>10</v>
      </c>
      <c r="M2466" s="15" t="s">
        <v>10</v>
      </c>
      <c r="N2466" s="15" t="s">
        <v>10</v>
      </c>
      <c r="O2466" s="15">
        <v>1.9263432249321311</v>
      </c>
      <c r="P2466" s="15">
        <v>1.9263432249321311</v>
      </c>
      <c r="Q2466" s="8"/>
      <c r="R2466" s="9" t="s">
        <v>2441</v>
      </c>
    </row>
    <row r="2467" spans="1:18" x14ac:dyDescent="0.25">
      <c r="A2467" s="6" t="str">
        <f>HYPERLINK("proteomic_fractions_linear_files/Yang_linear_img/29336047.jpg", "29336047")</f>
        <v>29336047</v>
      </c>
      <c r="B2467" s="7"/>
      <c r="C2467" s="6" t="str">
        <f>HYPERLINK("http://www.ncbi.nlm.nih.gov/protein/29336047","Fgd4")</f>
        <v>Fgd4</v>
      </c>
      <c r="D2467" s="8"/>
      <c r="E2467" s="8">
        <v>86410</v>
      </c>
      <c r="F2467" s="8"/>
      <c r="G2467" s="15" t="s">
        <v>10</v>
      </c>
      <c r="H2467" s="15" t="s">
        <v>10</v>
      </c>
      <c r="I2467" s="15" t="s">
        <v>10</v>
      </c>
      <c r="J2467" s="15" t="s">
        <v>10</v>
      </c>
      <c r="K2467" s="15" t="s">
        <v>10</v>
      </c>
      <c r="L2467" s="15" t="s">
        <v>10</v>
      </c>
      <c r="M2467" s="15" t="s">
        <v>10</v>
      </c>
      <c r="N2467" s="15" t="s">
        <v>10</v>
      </c>
      <c r="O2467" s="15">
        <v>1.2767623700131565</v>
      </c>
      <c r="P2467" s="15">
        <v>1.2767623700131565</v>
      </c>
      <c r="Q2467" s="8"/>
      <c r="R2467" s="9" t="s">
        <v>2442</v>
      </c>
    </row>
    <row r="2468" spans="1:18" x14ac:dyDescent="0.25">
      <c r="A2468" s="6" t="str">
        <f>HYPERLINK("proteomic_fractions_linear_files/Yang_linear_img/6753850.jpg", "6753850")</f>
        <v>6753850</v>
      </c>
      <c r="B2468" s="7"/>
      <c r="C2468" s="6" t="str">
        <f>HYPERLINK("http://www.ncbi.nlm.nih.gov/protein/6753850","Fgf1")</f>
        <v>Fgf1</v>
      </c>
      <c r="D2468" s="8"/>
      <c r="E2468" s="8">
        <v>17287</v>
      </c>
      <c r="F2468" s="8"/>
      <c r="G2468" s="15" t="s">
        <v>10</v>
      </c>
      <c r="H2468" s="15" t="s">
        <v>10</v>
      </c>
      <c r="I2468" s="15" t="s">
        <v>10</v>
      </c>
      <c r="J2468" s="15" t="s">
        <v>10</v>
      </c>
      <c r="K2468" s="15" t="s">
        <v>10</v>
      </c>
      <c r="L2468" s="15" t="s">
        <v>10</v>
      </c>
      <c r="M2468" s="15" t="s">
        <v>10</v>
      </c>
      <c r="N2468" s="15" t="s">
        <v>10</v>
      </c>
      <c r="O2468" s="15">
        <v>0.98332203062394252</v>
      </c>
      <c r="P2468" s="15">
        <v>0.98332203062394252</v>
      </c>
      <c r="Q2468" s="8"/>
      <c r="R2468" s="9" t="s">
        <v>2443</v>
      </c>
    </row>
    <row r="2469" spans="1:18" x14ac:dyDescent="0.25">
      <c r="A2469" s="6" t="str">
        <f>HYPERLINK("proteomic_fractions_linear_files/Yang_linear_img/120952633.jpg", "120952633")</f>
        <v>120952633</v>
      </c>
      <c r="B2469" s="7"/>
      <c r="C2469" s="6" t="str">
        <f>HYPERLINK("http://www.ncbi.nlm.nih.gov/protein/120952633","Fgfr1")</f>
        <v>Fgfr1</v>
      </c>
      <c r="D2469" s="8"/>
      <c r="E2469" s="8">
        <v>79816</v>
      </c>
      <c r="F2469" s="8"/>
      <c r="G2469" s="15" t="s">
        <v>10</v>
      </c>
      <c r="H2469" s="15" t="s">
        <v>10</v>
      </c>
      <c r="I2469" s="15">
        <v>0.34897764122102576</v>
      </c>
      <c r="J2469" s="15">
        <v>0.34897764122102576</v>
      </c>
      <c r="K2469" s="15">
        <v>0.37356758614641417</v>
      </c>
      <c r="L2469" s="15">
        <v>0.37356758614641417</v>
      </c>
      <c r="M2469" s="15">
        <v>0.46676658028905738</v>
      </c>
      <c r="N2469" s="15">
        <v>0.46676658028905738</v>
      </c>
      <c r="O2469" s="15">
        <v>0.3268782264428125</v>
      </c>
      <c r="P2469" s="15">
        <v>0.3268782264428125</v>
      </c>
      <c r="Q2469" s="8"/>
      <c r="R2469" s="9" t="s">
        <v>2444</v>
      </c>
    </row>
    <row r="2470" spans="1:18" x14ac:dyDescent="0.25">
      <c r="A2470" s="6" t="str">
        <f>HYPERLINK("proteomic_fractions_linear_files/Yang_linear_img/120952641.jpg", "120952641")</f>
        <v>120952641</v>
      </c>
      <c r="B2470" s="7"/>
      <c r="C2470" s="6" t="str">
        <f>HYPERLINK("http://www.ncbi.nlm.nih.gov/protein/120952641","Fgfr1")</f>
        <v>Fgfr1</v>
      </c>
      <c r="D2470" s="8"/>
      <c r="E2470" s="8">
        <v>89585</v>
      </c>
      <c r="F2470" s="8"/>
      <c r="G2470" s="15" t="s">
        <v>10</v>
      </c>
      <c r="H2470" s="15" t="s">
        <v>10</v>
      </c>
      <c r="I2470" s="15">
        <v>0.31020234775202288</v>
      </c>
      <c r="J2470" s="15">
        <v>0.31020234775202288</v>
      </c>
      <c r="K2470" s="15">
        <v>0.33206007657459036</v>
      </c>
      <c r="L2470" s="15">
        <v>0.33206007657459036</v>
      </c>
      <c r="M2470" s="15">
        <v>0.41490362692360655</v>
      </c>
      <c r="N2470" s="15">
        <v>0.41490362692360655</v>
      </c>
      <c r="O2470" s="15">
        <v>0.29055842350472222</v>
      </c>
      <c r="P2470" s="15">
        <v>0.29055842350472222</v>
      </c>
      <c r="Q2470" s="8"/>
      <c r="R2470" s="9" t="s">
        <v>2445</v>
      </c>
    </row>
    <row r="2471" spans="1:18" x14ac:dyDescent="0.25">
      <c r="A2471" s="6" t="str">
        <f>HYPERLINK("proteomic_fractions_linear_files/Yang_linear_img/120952698.jpg", "120952698")</f>
        <v>120952698</v>
      </c>
      <c r="B2471" s="7"/>
      <c r="C2471" s="6" t="str">
        <f>HYPERLINK("http://www.ncbi.nlm.nih.gov/protein/120952698","Fgfr1")</f>
        <v>Fgfr1</v>
      </c>
      <c r="D2471" s="8"/>
      <c r="E2471" s="8">
        <v>89273</v>
      </c>
      <c r="F2471" s="8"/>
      <c r="G2471" s="15" t="s">
        <v>10</v>
      </c>
      <c r="H2471" s="15" t="s">
        <v>10</v>
      </c>
      <c r="I2471" s="15">
        <v>0.31368776738968607</v>
      </c>
      <c r="J2471" s="15">
        <v>0.31368776738968607</v>
      </c>
      <c r="K2471" s="15">
        <v>0.33579108867093405</v>
      </c>
      <c r="L2471" s="15">
        <v>0.33579108867093405</v>
      </c>
      <c r="M2471" s="15">
        <v>0.4195654654283662</v>
      </c>
      <c r="N2471" s="15">
        <v>0.4195654654283662</v>
      </c>
      <c r="O2471" s="15">
        <v>0.29382312489241574</v>
      </c>
      <c r="P2471" s="15">
        <v>0.29382312489241574</v>
      </c>
      <c r="Q2471" s="8"/>
      <c r="R2471" s="9" t="s">
        <v>2446</v>
      </c>
    </row>
    <row r="2472" spans="1:18" x14ac:dyDescent="0.25">
      <c r="A2472" s="6" t="str">
        <f>HYPERLINK("proteomic_fractions_linear_files/Yang_linear_img/116089349.jpg", "116089349")</f>
        <v>116089349</v>
      </c>
      <c r="B2472" s="7"/>
      <c r="C2472" s="6" t="str">
        <f>HYPERLINK("http://www.ncbi.nlm.nih.gov/protein/116089349","Fgfr2")</f>
        <v>Fgfr2</v>
      </c>
      <c r="D2472" s="8"/>
      <c r="E2472" s="8">
        <v>94016</v>
      </c>
      <c r="F2472" s="8"/>
      <c r="G2472" s="15" t="s">
        <v>10</v>
      </c>
      <c r="H2472" s="15" t="s">
        <v>10</v>
      </c>
      <c r="I2472" s="15">
        <v>0.29700224784768148</v>
      </c>
      <c r="J2472" s="15">
        <v>0.29700224784768148</v>
      </c>
      <c r="K2472" s="15">
        <v>0.31792986055013972</v>
      </c>
      <c r="L2472" s="15">
        <v>0.31792986055013972</v>
      </c>
      <c r="M2472" s="15">
        <v>0.39724815343749564</v>
      </c>
      <c r="N2472" s="15">
        <v>0.39724815343749564</v>
      </c>
      <c r="O2472" s="15">
        <v>0.27819423527047871</v>
      </c>
      <c r="P2472" s="15">
        <v>0.27819423527047871</v>
      </c>
      <c r="Q2472" s="8"/>
      <c r="R2472" s="9" t="s">
        <v>2447</v>
      </c>
    </row>
    <row r="2473" spans="1:18" x14ac:dyDescent="0.25">
      <c r="A2473" s="6" t="str">
        <f>HYPERLINK("proteomic_fractions_linear_files/Yang_linear_img/116089355.jpg", "116089355")</f>
        <v>116089355</v>
      </c>
      <c r="B2473" s="7"/>
      <c r="C2473" s="6" t="str">
        <f>HYPERLINK("http://www.ncbi.nlm.nih.gov/protein/116089355","Fgfr2")</f>
        <v>Fgfr2</v>
      </c>
      <c r="D2473" s="8"/>
      <c r="E2473" s="8">
        <v>81513</v>
      </c>
      <c r="F2473" s="8"/>
      <c r="G2473" s="15" t="s">
        <v>10</v>
      </c>
      <c r="H2473" s="15" t="s">
        <v>10</v>
      </c>
      <c r="I2473" s="15">
        <v>0.34046599143514705</v>
      </c>
      <c r="J2473" s="15">
        <v>0.34046599143514705</v>
      </c>
      <c r="K2473" s="15">
        <v>0.3644561816062577</v>
      </c>
      <c r="L2473" s="15">
        <v>0.3644561816062577</v>
      </c>
      <c r="M2473" s="15">
        <v>0.45538202955029988</v>
      </c>
      <c r="N2473" s="15">
        <v>0.45538202955029988</v>
      </c>
      <c r="O2473" s="15">
        <v>0.31890558677347564</v>
      </c>
      <c r="P2473" s="15">
        <v>0.31890558677347564</v>
      </c>
      <c r="Q2473" s="8"/>
      <c r="R2473" s="9" t="s">
        <v>2448</v>
      </c>
    </row>
    <row r="2474" spans="1:18" x14ac:dyDescent="0.25">
      <c r="A2474" s="6" t="str">
        <f>HYPERLINK("proteomic_fractions_linear_files/Yang_linear_img/254028252.jpg", "254028252")</f>
        <v>254028252</v>
      </c>
      <c r="B2474" s="7"/>
      <c r="C2474" s="6" t="str">
        <f>HYPERLINK("http://www.ncbi.nlm.nih.gov/protein/254028252","Fgfr3")</f>
        <v>Fgfr3</v>
      </c>
      <c r="D2474" s="8"/>
      <c r="E2474" s="8">
        <v>83953</v>
      </c>
      <c r="F2474" s="8"/>
      <c r="G2474" s="15" t="s">
        <v>10</v>
      </c>
      <c r="H2474" s="15" t="s">
        <v>10</v>
      </c>
      <c r="I2474" s="15">
        <v>0.33235965830573883</v>
      </c>
      <c r="J2474" s="15">
        <v>0.33235965830573883</v>
      </c>
      <c r="K2474" s="15">
        <v>0.35577865347277537</v>
      </c>
      <c r="L2474" s="15">
        <v>0.35577865347277537</v>
      </c>
      <c r="M2474" s="15">
        <v>0.44453960027529277</v>
      </c>
      <c r="N2474" s="15">
        <v>0.44453960027529277</v>
      </c>
      <c r="O2474" s="15">
        <v>0.3113125966122024</v>
      </c>
      <c r="P2474" s="15">
        <v>0.3113125966122024</v>
      </c>
      <c r="Q2474" s="8"/>
      <c r="R2474" s="9" t="s">
        <v>2449</v>
      </c>
    </row>
    <row r="2475" spans="1:18" x14ac:dyDescent="0.25">
      <c r="A2475" s="6" t="str">
        <f>HYPERLINK("proteomic_fractions_linear_files/Yang_linear_img/254028254.jpg", "254028254")</f>
        <v>254028254</v>
      </c>
      <c r="B2475" s="7"/>
      <c r="C2475" s="6" t="str">
        <f>HYPERLINK("http://www.ncbi.nlm.nih.gov/protein/254028254","Fgfr3")</f>
        <v>Fgfr3</v>
      </c>
      <c r="D2475" s="8"/>
      <c r="E2475" s="8">
        <v>86247</v>
      </c>
      <c r="F2475" s="8"/>
      <c r="G2475" s="15" t="s">
        <v>10</v>
      </c>
      <c r="H2475" s="15" t="s">
        <v>10</v>
      </c>
      <c r="I2475" s="15">
        <v>0.3246303639265356</v>
      </c>
      <c r="J2475" s="15">
        <v>0.3246303639265356</v>
      </c>
      <c r="K2475" s="15">
        <v>0.3475047312989899</v>
      </c>
      <c r="L2475" s="15">
        <v>0.3475047312989899</v>
      </c>
      <c r="M2475" s="15">
        <v>0.43420147003633247</v>
      </c>
      <c r="N2475" s="15">
        <v>0.43420147003633247</v>
      </c>
      <c r="O2475" s="15">
        <v>0.30407276878401163</v>
      </c>
      <c r="P2475" s="15">
        <v>0.30407276878401163</v>
      </c>
      <c r="Q2475" s="8"/>
      <c r="R2475" s="9" t="s">
        <v>2450</v>
      </c>
    </row>
    <row r="2476" spans="1:18" x14ac:dyDescent="0.25">
      <c r="A2476" s="6" t="str">
        <f>HYPERLINK("proteomic_fractions_linear_files/Yang_linear_img/328751707.jpg", "328751707")</f>
        <v>328751707</v>
      </c>
      <c r="B2476" s="7"/>
      <c r="C2476" s="6" t="str">
        <f>HYPERLINK("http://www.ncbi.nlm.nih.gov/protein/328751707","Fgfr3")</f>
        <v>Fgfr3</v>
      </c>
      <c r="D2476" s="8"/>
      <c r="E2476" s="8">
        <v>85887</v>
      </c>
      <c r="F2476" s="8"/>
      <c r="G2476" s="15" t="s">
        <v>10</v>
      </c>
      <c r="H2476" s="15" t="s">
        <v>10</v>
      </c>
      <c r="I2476" s="15">
        <v>0.3246303639265356</v>
      </c>
      <c r="J2476" s="15">
        <v>0.3246303639265356</v>
      </c>
      <c r="K2476" s="15">
        <v>0.3475047312989899</v>
      </c>
      <c r="L2476" s="15">
        <v>0.3475047312989899</v>
      </c>
      <c r="M2476" s="15">
        <v>0.43420147003633247</v>
      </c>
      <c r="N2476" s="15">
        <v>0.43420147003633247</v>
      </c>
      <c r="O2476" s="15">
        <v>0.30407276878401163</v>
      </c>
      <c r="P2476" s="15">
        <v>0.30407276878401163</v>
      </c>
      <c r="Q2476" s="8"/>
      <c r="R2476" s="9" t="s">
        <v>2451</v>
      </c>
    </row>
    <row r="2477" spans="1:18" x14ac:dyDescent="0.25">
      <c r="A2477" s="6" t="str">
        <f>HYPERLINK("proteomic_fractions_linear_files/Yang_linear_img/46877057.jpg", "46877057")</f>
        <v>46877057</v>
      </c>
      <c r="B2477" s="7"/>
      <c r="C2477" s="6" t="str">
        <f>HYPERLINK("http://www.ncbi.nlm.nih.gov/protein/46877057","Fgfr3")</f>
        <v>Fgfr3</v>
      </c>
      <c r="D2477" s="8"/>
      <c r="E2477" s="8">
        <v>85759</v>
      </c>
      <c r="F2477" s="8"/>
      <c r="G2477" s="15" t="s">
        <v>10</v>
      </c>
      <c r="H2477" s="15" t="s">
        <v>10</v>
      </c>
      <c r="I2477" s="15">
        <v>0.3246303639265356</v>
      </c>
      <c r="J2477" s="15">
        <v>0.3246303639265356</v>
      </c>
      <c r="K2477" s="15">
        <v>0.3475047312989899</v>
      </c>
      <c r="L2477" s="15">
        <v>0.3475047312989899</v>
      </c>
      <c r="M2477" s="15">
        <v>0.43420147003633247</v>
      </c>
      <c r="N2477" s="15">
        <v>0.43420147003633247</v>
      </c>
      <c r="O2477" s="15">
        <v>0.30407276878401163</v>
      </c>
      <c r="P2477" s="15">
        <v>0.30407276878401163</v>
      </c>
      <c r="Q2477" s="8"/>
      <c r="R2477" s="9" t="s">
        <v>2452</v>
      </c>
    </row>
    <row r="2478" spans="1:18" x14ac:dyDescent="0.25">
      <c r="A2478" s="6" t="str">
        <f>HYPERLINK("proteomic_fractions_linear_files/Yang_linear_img/112293260.jpg", "112293260")</f>
        <v>112293260</v>
      </c>
      <c r="B2478" s="7"/>
      <c r="C2478" s="6" t="str">
        <f>HYPERLINK("http://www.ncbi.nlm.nih.gov/protein/112293260","Fgfr4")</f>
        <v>Fgfr4</v>
      </c>
      <c r="D2478" s="8"/>
      <c r="E2478" s="8">
        <v>86834</v>
      </c>
      <c r="F2478" s="8"/>
      <c r="G2478" s="15" t="s">
        <v>10</v>
      </c>
      <c r="H2478" s="15" t="s">
        <v>10</v>
      </c>
      <c r="I2478" s="15">
        <v>0.32089898043312715</v>
      </c>
      <c r="J2478" s="15">
        <v>0.32089898043312715</v>
      </c>
      <c r="K2478" s="15">
        <v>0.34351042404267967</v>
      </c>
      <c r="L2478" s="15">
        <v>0.34351042404267967</v>
      </c>
      <c r="M2478" s="15">
        <v>0.42921064854166197</v>
      </c>
      <c r="N2478" s="15">
        <v>0.42921064854166197</v>
      </c>
      <c r="O2478" s="15">
        <v>0.30057767948764369</v>
      </c>
      <c r="P2478" s="15">
        <v>0.30057767948764369</v>
      </c>
      <c r="Q2478" s="8"/>
      <c r="R2478" s="9" t="s">
        <v>2453</v>
      </c>
    </row>
    <row r="2479" spans="1:18" x14ac:dyDescent="0.25">
      <c r="A2479" s="6" t="str">
        <f>HYPERLINK("proteomic_fractions_linear_files/Yang_linear_img/171542819.jpg", "171542819")</f>
        <v>171542819</v>
      </c>
      <c r="B2479" s="7"/>
      <c r="C2479" s="6" t="str">
        <f>HYPERLINK("http://www.ncbi.nlm.nih.gov/protein/171542819","Fgr")</f>
        <v>Fgr</v>
      </c>
      <c r="D2479" s="8"/>
      <c r="E2479" s="8">
        <v>58736</v>
      </c>
      <c r="F2479" s="8"/>
      <c r="G2479" s="15" t="s">
        <v>10</v>
      </c>
      <c r="H2479" s="15" t="s">
        <v>10</v>
      </c>
      <c r="I2479" s="15">
        <v>0.47319002199461119</v>
      </c>
      <c r="J2479" s="15">
        <v>0.47319002199461119</v>
      </c>
      <c r="K2479" s="15">
        <v>0.50653232019852767</v>
      </c>
      <c r="L2479" s="15">
        <v>0.50653232019852767</v>
      </c>
      <c r="M2479" s="15">
        <v>0.63290383768007785</v>
      </c>
      <c r="N2479" s="15">
        <v>0.63290383768007785</v>
      </c>
      <c r="O2479" s="15">
        <v>0.44322471382076273</v>
      </c>
      <c r="P2479" s="15">
        <v>0.44322471382076273</v>
      </c>
      <c r="Q2479" s="8"/>
      <c r="R2479" s="9" t="s">
        <v>2454</v>
      </c>
    </row>
    <row r="2480" spans="1:18" x14ac:dyDescent="0.25">
      <c r="A2480" s="6" t="str">
        <f>HYPERLINK("proteomic_fractions_linear_files/Yang_linear_img/226823367.jpg", "226823367")</f>
        <v>226823367</v>
      </c>
      <c r="B2480" s="7"/>
      <c r="C2480" s="6" t="str">
        <f>HYPERLINK("http://www.ncbi.nlm.nih.gov/protein/226823367","Fh1")</f>
        <v>Fh1</v>
      </c>
      <c r="D2480" s="8"/>
      <c r="E2480" s="8">
        <v>49922</v>
      </c>
      <c r="F2480" s="8"/>
      <c r="G2480" s="15">
        <v>1.1754641517118771</v>
      </c>
      <c r="H2480" s="15">
        <v>1.1754641517118771</v>
      </c>
      <c r="I2480" s="15">
        <v>0.88251178493930937</v>
      </c>
      <c r="J2480" s="15">
        <v>0.88251178493930937</v>
      </c>
      <c r="K2480" s="15">
        <v>0.96579951168830502</v>
      </c>
      <c r="L2480" s="15">
        <v>0.96579951168830502</v>
      </c>
      <c r="M2480" s="15">
        <v>0.96579951168830502</v>
      </c>
      <c r="N2480" s="15">
        <v>0.96579951168830502</v>
      </c>
      <c r="O2480" s="15">
        <v>0.88251178493930937</v>
      </c>
      <c r="P2480" s="15">
        <v>0.88251178493930937</v>
      </c>
      <c r="Q2480" s="8"/>
      <c r="R2480" s="9" t="s">
        <v>2455</v>
      </c>
    </row>
    <row r="2481" spans="1:18" x14ac:dyDescent="0.25">
      <c r="A2481" s="6" t="str">
        <f>HYPERLINK("proteomic_fractions_linear_files/Yang_linear_img/209413705.jpg", "209413705")</f>
        <v>209413705</v>
      </c>
      <c r="B2481" s="7"/>
      <c r="C2481" s="6" t="str">
        <f>HYPERLINK("http://www.ncbi.nlm.nih.gov/protein/209413705","Fhad1")</f>
        <v>Fhad1</v>
      </c>
      <c r="D2481" s="8"/>
      <c r="E2481" s="8">
        <v>163598</v>
      </c>
      <c r="F2481" s="8"/>
      <c r="G2481" s="15" t="s">
        <v>10</v>
      </c>
      <c r="H2481" s="15" t="s">
        <v>10</v>
      </c>
      <c r="I2481" s="15" t="s">
        <v>10</v>
      </c>
      <c r="J2481" s="15" t="s">
        <v>10</v>
      </c>
      <c r="K2481" s="15" t="s">
        <v>10</v>
      </c>
      <c r="L2481" s="15" t="s">
        <v>10</v>
      </c>
      <c r="M2481" s="15">
        <v>0.15945279338673782</v>
      </c>
      <c r="N2481" s="15">
        <v>0.15945279338673782</v>
      </c>
      <c r="O2481" s="15" t="s">
        <v>10</v>
      </c>
      <c r="P2481" s="15" t="s">
        <v>10</v>
      </c>
      <c r="Q2481" s="8"/>
      <c r="R2481" s="9" t="s">
        <v>2456</v>
      </c>
    </row>
    <row r="2482" spans="1:18" x14ac:dyDescent="0.25">
      <c r="A2482" s="6" t="str">
        <f>HYPERLINK("proteomic_fractions_linear_files/Yang_linear_img/116517334.jpg", "116517334")</f>
        <v>116517334</v>
      </c>
      <c r="B2482" s="7"/>
      <c r="C2482" s="6" t="str">
        <f>HYPERLINK("http://www.ncbi.nlm.nih.gov/protein/116517334","Fhl1")</f>
        <v>Fhl1</v>
      </c>
      <c r="D2482" s="8"/>
      <c r="E2482" s="8">
        <v>31758</v>
      </c>
      <c r="F2482" s="8"/>
      <c r="G2482" s="15" t="s">
        <v>10</v>
      </c>
      <c r="H2482" s="15" t="s">
        <v>10</v>
      </c>
      <c r="I2482" s="15">
        <v>0.93391896536603536</v>
      </c>
      <c r="J2482" s="15">
        <v>0.93391896536603536</v>
      </c>
      <c r="K2482" s="15">
        <v>0.93391896536603536</v>
      </c>
      <c r="L2482" s="15">
        <v>0.93391896536603536</v>
      </c>
      <c r="M2482" s="15">
        <v>0.93391896536603536</v>
      </c>
      <c r="N2482" s="15">
        <v>0.93391896536603536</v>
      </c>
      <c r="O2482" s="15">
        <v>0.81719556610703126</v>
      </c>
      <c r="P2482" s="15">
        <v>0.81719556610703126</v>
      </c>
      <c r="Q2482" s="8"/>
      <c r="R2482" s="9" t="s">
        <v>2457</v>
      </c>
    </row>
    <row r="2483" spans="1:18" x14ac:dyDescent="0.25">
      <c r="A2483" s="6" t="str">
        <f>HYPERLINK("proteomic_fractions_linear_files/Yang_linear_img/116517336.jpg", "116517336")</f>
        <v>116517336</v>
      </c>
      <c r="B2483" s="7"/>
      <c r="C2483" s="6" t="str">
        <f>HYPERLINK("http://www.ncbi.nlm.nih.gov/protein/116517336","Fhl1")</f>
        <v>Fhl1</v>
      </c>
      <c r="D2483" s="8"/>
      <c r="E2483" s="8">
        <v>33433</v>
      </c>
      <c r="F2483" s="8"/>
      <c r="G2483" s="15" t="s">
        <v>10</v>
      </c>
      <c r="H2483" s="15" t="s">
        <v>10</v>
      </c>
      <c r="I2483" s="15">
        <v>0.90561839065797367</v>
      </c>
      <c r="J2483" s="15">
        <v>0.90561839065797367</v>
      </c>
      <c r="K2483" s="15">
        <v>0.90561839065797367</v>
      </c>
      <c r="L2483" s="15">
        <v>0.90561839065797367</v>
      </c>
      <c r="M2483" s="15">
        <v>0.90561839065797367</v>
      </c>
      <c r="N2483" s="15">
        <v>0.90561839065797367</v>
      </c>
      <c r="O2483" s="15">
        <v>0.79243206410378786</v>
      </c>
      <c r="P2483" s="15">
        <v>0.79243206410378786</v>
      </c>
      <c r="Q2483" s="8"/>
      <c r="R2483" s="9" t="s">
        <v>2458</v>
      </c>
    </row>
    <row r="2484" spans="1:18" x14ac:dyDescent="0.25">
      <c r="A2484" s="6" t="str">
        <f>HYPERLINK("proteomic_fractions_linear_files/Yang_linear_img/116517340.jpg", "116517340")</f>
        <v>116517340</v>
      </c>
      <c r="B2484" s="7"/>
      <c r="C2484" s="6" t="str">
        <f>HYPERLINK("http://www.ncbi.nlm.nih.gov/protein/116517340","Fhl1")</f>
        <v>Fhl1</v>
      </c>
      <c r="D2484" s="8"/>
      <c r="E2484" s="8">
        <v>36130</v>
      </c>
      <c r="F2484" s="8"/>
      <c r="G2484" s="15" t="s">
        <v>10</v>
      </c>
      <c r="H2484" s="15" t="s">
        <v>10</v>
      </c>
      <c r="I2484" s="15">
        <v>0.83015019143647584</v>
      </c>
      <c r="J2484" s="15">
        <v>0.83015019143647584</v>
      </c>
      <c r="K2484" s="15">
        <v>0.83015019143647584</v>
      </c>
      <c r="L2484" s="15">
        <v>0.83015019143647584</v>
      </c>
      <c r="M2484" s="15">
        <v>0.83015019143647584</v>
      </c>
      <c r="N2484" s="15">
        <v>0.83015019143647584</v>
      </c>
      <c r="O2484" s="15">
        <v>0.72639605876180557</v>
      </c>
      <c r="P2484" s="15">
        <v>0.72639605876180557</v>
      </c>
      <c r="Q2484" s="8"/>
      <c r="R2484" s="9" t="s">
        <v>2459</v>
      </c>
    </row>
    <row r="2485" spans="1:18" x14ac:dyDescent="0.25">
      <c r="A2485" s="6" t="str">
        <f>HYPERLINK("proteomic_fractions_linear_files/Yang_linear_img/6753866.jpg", "6753866")</f>
        <v>6753866</v>
      </c>
      <c r="B2485" s="7"/>
      <c r="C2485" s="6" t="str">
        <f>HYPERLINK("http://www.ncbi.nlm.nih.gov/protein/6753866","Fhl2")</f>
        <v>Fhl2</v>
      </c>
      <c r="D2485" s="8"/>
      <c r="E2485" s="8">
        <v>31942</v>
      </c>
      <c r="F2485" s="8"/>
      <c r="G2485" s="15" t="s">
        <v>10</v>
      </c>
      <c r="H2485" s="15" t="s">
        <v>10</v>
      </c>
      <c r="I2485" s="15" t="s">
        <v>10</v>
      </c>
      <c r="J2485" s="15" t="s">
        <v>10</v>
      </c>
      <c r="K2485" s="15" t="s">
        <v>10</v>
      </c>
      <c r="L2485" s="15" t="s">
        <v>10</v>
      </c>
      <c r="M2485" s="15" t="s">
        <v>10</v>
      </c>
      <c r="N2485" s="15" t="s">
        <v>10</v>
      </c>
      <c r="O2485" s="15">
        <v>0.87244410305256437</v>
      </c>
      <c r="P2485" s="15">
        <v>0.87244410305256437</v>
      </c>
      <c r="Q2485" s="8"/>
      <c r="R2485" s="9" t="s">
        <v>2460</v>
      </c>
    </row>
    <row r="2486" spans="1:18" x14ac:dyDescent="0.25">
      <c r="A2486" s="6" t="str">
        <f>HYPERLINK("proteomic_fractions_linear_files/Yang_linear_img/130488506.jpg", "130488506")</f>
        <v>130488506</v>
      </c>
      <c r="B2486" s="7"/>
      <c r="C2486" s="6" t="str">
        <f>HYPERLINK("http://www.ncbi.nlm.nih.gov/protein/130488506","Fhl3")</f>
        <v>Fhl3</v>
      </c>
      <c r="D2486" s="8"/>
      <c r="E2486" s="8">
        <v>31664</v>
      </c>
      <c r="F2486" s="8"/>
      <c r="G2486" s="15" t="s">
        <v>10</v>
      </c>
      <c r="H2486" s="15" t="s">
        <v>10</v>
      </c>
      <c r="I2486" s="15">
        <v>1.0797930165773495</v>
      </c>
      <c r="J2486" s="15">
        <v>1.0797930165773495</v>
      </c>
      <c r="K2486" s="15">
        <v>1.0797930165773495</v>
      </c>
      <c r="L2486" s="15">
        <v>1.0797930165773495</v>
      </c>
      <c r="M2486" s="15">
        <v>1.0797930165773495</v>
      </c>
      <c r="N2486" s="15">
        <v>1.0797930165773495</v>
      </c>
      <c r="O2486" s="15">
        <v>0.93391896536603536</v>
      </c>
      <c r="P2486" s="15">
        <v>0.93391896536603536</v>
      </c>
      <c r="Q2486" s="8"/>
      <c r="R2486" s="9" t="s">
        <v>2461</v>
      </c>
    </row>
    <row r="2487" spans="1:18" x14ac:dyDescent="0.25">
      <c r="A2487" s="6" t="str">
        <f>HYPERLINK("proteomic_fractions_linear_files/Yang_linear_img/269973931.jpg", "269973931")</f>
        <v>269973931</v>
      </c>
      <c r="B2487" s="7"/>
      <c r="C2487" s="6" t="str">
        <f>HYPERLINK("http://www.ncbi.nlm.nih.gov/protein/269973931","Fhod1")</f>
        <v>Fhod1</v>
      </c>
      <c r="D2487" s="8"/>
      <c r="E2487" s="8">
        <v>129470</v>
      </c>
      <c r="F2487" s="8"/>
      <c r="G2487" s="15" t="s">
        <v>10</v>
      </c>
      <c r="H2487" s="15" t="s">
        <v>10</v>
      </c>
      <c r="I2487" s="15" t="s">
        <v>10</v>
      </c>
      <c r="J2487" s="15" t="s">
        <v>10</v>
      </c>
      <c r="K2487" s="15" t="s">
        <v>10</v>
      </c>
      <c r="L2487" s="15" t="s">
        <v>10</v>
      </c>
      <c r="M2487" s="15" t="s">
        <v>10</v>
      </c>
      <c r="N2487" s="15" t="s">
        <v>10</v>
      </c>
      <c r="O2487" s="15">
        <v>1.4477971444956617</v>
      </c>
      <c r="P2487" s="15">
        <v>1.4477971444956617</v>
      </c>
      <c r="Q2487" s="8"/>
      <c r="R2487" s="9" t="s">
        <v>2462</v>
      </c>
    </row>
    <row r="2488" spans="1:18" x14ac:dyDescent="0.25">
      <c r="A2488" s="6" t="str">
        <f>HYPERLINK("proteomic_fractions_linear_files/Yang_linear_img/37674240.jpg", "37674240")</f>
        <v>37674240</v>
      </c>
      <c r="B2488" s="7"/>
      <c r="C2488" s="6" t="str">
        <f>HYPERLINK("http://www.ncbi.nlm.nih.gov/protein/37674240","Fhod3")</f>
        <v>Fhod3</v>
      </c>
      <c r="D2488" s="8"/>
      <c r="E2488" s="8">
        <v>175524</v>
      </c>
      <c r="F2488" s="8"/>
      <c r="G2488" s="15" t="s">
        <v>10</v>
      </c>
      <c r="H2488" s="15" t="s">
        <v>10</v>
      </c>
      <c r="I2488" s="15" t="s">
        <v>10</v>
      </c>
      <c r="J2488" s="15" t="s">
        <v>10</v>
      </c>
      <c r="K2488" s="15">
        <v>0.37189354165082006</v>
      </c>
      <c r="L2488" s="15">
        <v>0.37189354165082006</v>
      </c>
      <c r="M2488" s="15" t="s">
        <v>10</v>
      </c>
      <c r="N2488" s="15" t="s">
        <v>10</v>
      </c>
      <c r="O2488" s="15" t="s">
        <v>10</v>
      </c>
      <c r="P2488" s="15" t="s">
        <v>10</v>
      </c>
      <c r="Q2488" s="8"/>
      <c r="R2488" s="9" t="s">
        <v>2463</v>
      </c>
    </row>
    <row r="2489" spans="1:18" x14ac:dyDescent="0.25">
      <c r="A2489" s="6" t="str">
        <f>HYPERLINK("proteomic_fractions_linear_files/Yang_linear_img/19527220.jpg", "19527220")</f>
        <v>19527220</v>
      </c>
      <c r="B2489" s="7"/>
      <c r="C2489" s="6" t="str">
        <f>HYPERLINK("http://www.ncbi.nlm.nih.gov/protein/19527220","Fig4")</f>
        <v>Fig4</v>
      </c>
      <c r="D2489" s="8"/>
      <c r="E2489" s="8">
        <v>103316</v>
      </c>
      <c r="F2489" s="8"/>
      <c r="G2489" s="15" t="s">
        <v>10</v>
      </c>
      <c r="H2489" s="15" t="s">
        <v>10</v>
      </c>
      <c r="I2489" s="15">
        <v>1.0660346002051599</v>
      </c>
      <c r="J2489" s="15">
        <v>1.0660346002051599</v>
      </c>
      <c r="K2489" s="15">
        <v>1.2497245450982231</v>
      </c>
      <c r="L2489" s="15">
        <v>1.2497245450982231</v>
      </c>
      <c r="M2489" s="15">
        <v>1.0660346002051599</v>
      </c>
      <c r="N2489" s="15">
        <v>1.0660346002051599</v>
      </c>
      <c r="O2489" s="15" t="s">
        <v>10</v>
      </c>
      <c r="P2489" s="15" t="s">
        <v>10</v>
      </c>
      <c r="Q2489" s="8"/>
      <c r="R2489" s="9" t="s">
        <v>2464</v>
      </c>
    </row>
    <row r="2490" spans="1:18" x14ac:dyDescent="0.25">
      <c r="A2490" s="6" t="str">
        <f>HYPERLINK("proteomic_fractions_linear_files/Yang_linear_img/31560300.jpg", "31560300")</f>
        <v>31560300</v>
      </c>
      <c r="B2490" s="7"/>
      <c r="C2490" s="6" t="str">
        <f>HYPERLINK("http://www.ncbi.nlm.nih.gov/protein/31560300","Fignl1")</f>
        <v>Fignl1</v>
      </c>
      <c r="D2490" s="8"/>
      <c r="E2490" s="8">
        <v>74720</v>
      </c>
      <c r="F2490" s="8"/>
      <c r="G2490" s="15" t="s">
        <v>10</v>
      </c>
      <c r="H2490" s="15" t="s">
        <v>10</v>
      </c>
      <c r="I2490" s="15" t="s">
        <v>10</v>
      </c>
      <c r="J2490" s="15" t="s">
        <v>10</v>
      </c>
      <c r="K2490" s="15">
        <v>0.78364276780791797</v>
      </c>
      <c r="L2490" s="15">
        <v>0.78364276780791797</v>
      </c>
      <c r="M2490" s="15" t="s">
        <v>10</v>
      </c>
      <c r="N2490" s="15" t="s">
        <v>10</v>
      </c>
      <c r="O2490" s="15">
        <v>0.64386634112553665</v>
      </c>
      <c r="P2490" s="15">
        <v>0.64386634112553665</v>
      </c>
      <c r="Q2490" s="8"/>
      <c r="R2490" s="9" t="s">
        <v>2465</v>
      </c>
    </row>
    <row r="2491" spans="1:18" x14ac:dyDescent="0.25">
      <c r="A2491" s="6" t="str">
        <f>HYPERLINK("proteomic_fractions_linear_files/Yang_linear_img/227330595.jpg", "227330595")</f>
        <v>227330595</v>
      </c>
      <c r="B2491" s="7"/>
      <c r="C2491" s="6" t="str">
        <f>HYPERLINK("http://www.ncbi.nlm.nih.gov/protein/227330595","Fip1l1")</f>
        <v>Fip1l1</v>
      </c>
      <c r="D2491" s="8"/>
      <c r="E2491" s="8">
        <v>64828</v>
      </c>
      <c r="F2491" s="8"/>
      <c r="G2491" s="15" t="s">
        <v>10</v>
      </c>
      <c r="H2491" s="15" t="s">
        <v>10</v>
      </c>
      <c r="I2491" s="15" t="s">
        <v>10</v>
      </c>
      <c r="J2491" s="15" t="s">
        <v>10</v>
      </c>
      <c r="K2491" s="15">
        <v>1.2784408995868286</v>
      </c>
      <c r="L2491" s="15">
        <v>1.2784408995868286</v>
      </c>
      <c r="M2491" s="15" t="s">
        <v>10</v>
      </c>
      <c r="N2491" s="15" t="s">
        <v>10</v>
      </c>
      <c r="O2491" s="15" t="s">
        <v>10</v>
      </c>
      <c r="P2491" s="15" t="s">
        <v>10</v>
      </c>
      <c r="Q2491" s="8"/>
      <c r="R2491" s="9" t="s">
        <v>2466</v>
      </c>
    </row>
    <row r="2492" spans="1:18" x14ac:dyDescent="0.25">
      <c r="A2492" s="6" t="str">
        <f>HYPERLINK("proteomic_fractions_linear_files/Yang_linear_img/227330598.jpg", "227330598")</f>
        <v>227330598</v>
      </c>
      <c r="B2492" s="7"/>
      <c r="C2492" s="6" t="str">
        <f>HYPERLINK("http://www.ncbi.nlm.nih.gov/protein/227330598","Fip1l1")</f>
        <v>Fip1l1</v>
      </c>
      <c r="D2492" s="8"/>
      <c r="E2492" s="8">
        <v>60057</v>
      </c>
      <c r="F2492" s="8"/>
      <c r="G2492" s="15" t="s">
        <v>10</v>
      </c>
      <c r="H2492" s="15" t="s">
        <v>10</v>
      </c>
      <c r="I2492" s="15" t="s">
        <v>10</v>
      </c>
      <c r="J2492" s="15" t="s">
        <v>10</v>
      </c>
      <c r="K2492" s="15">
        <v>1.3849776412190642</v>
      </c>
      <c r="L2492" s="15">
        <v>1.3849776412190642</v>
      </c>
      <c r="M2492" s="15" t="s">
        <v>10</v>
      </c>
      <c r="N2492" s="15" t="s">
        <v>10</v>
      </c>
      <c r="O2492" s="15" t="s">
        <v>10</v>
      </c>
      <c r="P2492" s="15" t="s">
        <v>10</v>
      </c>
      <c r="Q2492" s="8"/>
      <c r="R2492" s="9" t="s">
        <v>2467</v>
      </c>
    </row>
    <row r="2493" spans="1:18" x14ac:dyDescent="0.25">
      <c r="A2493" s="6" t="str">
        <f>HYPERLINK("proteomic_fractions_linear_files/Yang_linear_img/31560210.jpg", "31560210")</f>
        <v>31560210</v>
      </c>
      <c r="B2493" s="7"/>
      <c r="C2493" s="6" t="str">
        <f>HYPERLINK("http://www.ncbi.nlm.nih.gov/protein/31560210","Fip1l1")</f>
        <v>Fip1l1</v>
      </c>
      <c r="D2493" s="8"/>
      <c r="E2493" s="8">
        <v>60929</v>
      </c>
      <c r="F2493" s="8"/>
      <c r="G2493" s="15" t="s">
        <v>10</v>
      </c>
      <c r="H2493" s="15" t="s">
        <v>10</v>
      </c>
      <c r="I2493" s="15" t="s">
        <v>10</v>
      </c>
      <c r="J2493" s="15" t="s">
        <v>10</v>
      </c>
      <c r="K2493" s="15">
        <v>1.3622730897236699</v>
      </c>
      <c r="L2493" s="15">
        <v>1.3622730897236699</v>
      </c>
      <c r="M2493" s="15" t="s">
        <v>10</v>
      </c>
      <c r="N2493" s="15" t="s">
        <v>10</v>
      </c>
      <c r="O2493" s="15" t="s">
        <v>10</v>
      </c>
      <c r="P2493" s="15" t="s">
        <v>10</v>
      </c>
      <c r="Q2493" s="8"/>
      <c r="R2493" s="9" t="s">
        <v>2468</v>
      </c>
    </row>
    <row r="2494" spans="1:18" x14ac:dyDescent="0.25">
      <c r="A2494" s="6" t="str">
        <f>HYPERLINK("proteomic_fractions_linear_files/Yang_linear_img/13384998.jpg", "13384998")</f>
        <v>13384998</v>
      </c>
      <c r="B2494" s="7"/>
      <c r="C2494" s="6" t="str">
        <f>HYPERLINK("http://www.ncbi.nlm.nih.gov/protein/13384998","Fis1")</f>
        <v>Fis1</v>
      </c>
      <c r="D2494" s="8"/>
      <c r="E2494" s="8">
        <v>16878</v>
      </c>
      <c r="F2494" s="8"/>
      <c r="G2494" s="15">
        <v>1.2821024865105148</v>
      </c>
      <c r="H2494" s="15">
        <v>1.2821024865105148</v>
      </c>
      <c r="I2494" s="15">
        <v>0.93690834018716329</v>
      </c>
      <c r="J2494" s="15">
        <v>0.93690834018716329</v>
      </c>
      <c r="K2494" s="15">
        <v>0.93690834018716329</v>
      </c>
      <c r="L2494" s="15">
        <v>0.93690834018716329</v>
      </c>
      <c r="M2494" s="15">
        <v>0.93690834018716329</v>
      </c>
      <c r="N2494" s="15">
        <v>0.93690834018716329</v>
      </c>
      <c r="O2494" s="15">
        <v>0.89390225257731093</v>
      </c>
      <c r="P2494" s="15">
        <v>0.81681473529039117</v>
      </c>
      <c r="Q2494" s="8"/>
      <c r="R2494" s="9" t="s">
        <v>2469</v>
      </c>
    </row>
    <row r="2495" spans="1:18" x14ac:dyDescent="0.25">
      <c r="A2495" s="6" t="str">
        <f>HYPERLINK("proteomic_fractions_linear_files/Yang_linear_img/253735731.jpg", "253735731")</f>
        <v>253735731</v>
      </c>
      <c r="B2495" s="7"/>
      <c r="C2495" s="6" t="str">
        <f>HYPERLINK("http://www.ncbi.nlm.nih.gov/protein/253735731","Fis1")</f>
        <v>Fis1</v>
      </c>
      <c r="D2495" s="8"/>
      <c r="E2495" s="8">
        <v>16134</v>
      </c>
      <c r="F2495" s="8"/>
      <c r="G2495" s="15">
        <v>1.3622338919174219</v>
      </c>
      <c r="H2495" s="15">
        <v>1.3622338919174219</v>
      </c>
      <c r="I2495" s="15">
        <v>0.99546511144886096</v>
      </c>
      <c r="J2495" s="15">
        <v>0.99546511144886096</v>
      </c>
      <c r="K2495" s="15">
        <v>0.99546511144886096</v>
      </c>
      <c r="L2495" s="15">
        <v>0.99546511144886096</v>
      </c>
      <c r="M2495" s="15">
        <v>0.99546511144886096</v>
      </c>
      <c r="N2495" s="15">
        <v>0.99546511144886096</v>
      </c>
      <c r="O2495" s="15">
        <v>0.94977114336339286</v>
      </c>
      <c r="P2495" s="15">
        <v>0.86786565624604062</v>
      </c>
      <c r="Q2495" s="8"/>
      <c r="R2495" s="9" t="s">
        <v>2470</v>
      </c>
    </row>
    <row r="2496" spans="1:18" x14ac:dyDescent="0.25">
      <c r="A2496" s="6" t="str">
        <f>HYPERLINK("proteomic_fractions_linear_files/Yang_linear_img/27734174.jpg", "27734174")</f>
        <v>27734174</v>
      </c>
      <c r="B2496" s="7"/>
      <c r="C2496" s="6" t="str">
        <f>HYPERLINK("http://www.ncbi.nlm.nih.gov/protein/27734174","Fitm2")</f>
        <v>Fitm2</v>
      </c>
      <c r="D2496" s="8"/>
      <c r="E2496" s="8">
        <v>29885</v>
      </c>
      <c r="F2496" s="8"/>
      <c r="G2496" s="15" t="s">
        <v>10</v>
      </c>
      <c r="H2496" s="15" t="s">
        <v>10</v>
      </c>
      <c r="I2496" s="15">
        <v>0.72652474235595832</v>
      </c>
      <c r="J2496" s="15">
        <v>0.72652474235595832</v>
      </c>
      <c r="K2496" s="15" t="s">
        <v>10</v>
      </c>
      <c r="L2496" s="15" t="s">
        <v>10</v>
      </c>
      <c r="M2496" s="15" t="s">
        <v>10</v>
      </c>
      <c r="N2496" s="15" t="s">
        <v>10</v>
      </c>
      <c r="O2496" s="15" t="s">
        <v>10</v>
      </c>
      <c r="P2496" s="15" t="s">
        <v>10</v>
      </c>
      <c r="Q2496" s="8"/>
      <c r="R2496" s="9" t="s">
        <v>2471</v>
      </c>
    </row>
    <row r="2497" spans="1:18" x14ac:dyDescent="0.25">
      <c r="A2497" s="6" t="str">
        <f>HYPERLINK("proteomic_fractions_linear_files/Yang_linear_img/160333154.jpg", "160333154")</f>
        <v>160333154</v>
      </c>
      <c r="B2497" s="7"/>
      <c r="C2497" s="6" t="str">
        <f>HYPERLINK("http://www.ncbi.nlm.nih.gov/protein/160333154","Fiz1")</f>
        <v>Fiz1</v>
      </c>
      <c r="D2497" s="8"/>
      <c r="E2497" s="8">
        <v>52554</v>
      </c>
      <c r="F2497" s="8"/>
      <c r="G2497" s="15" t="s">
        <v>10</v>
      </c>
      <c r="H2497" s="15" t="s">
        <v>10</v>
      </c>
      <c r="I2497" s="15" t="s">
        <v>10</v>
      </c>
      <c r="J2497" s="15" t="s">
        <v>10</v>
      </c>
      <c r="K2497" s="15">
        <v>1.2349672326517798</v>
      </c>
      <c r="L2497" s="15">
        <v>1.2349672326517798</v>
      </c>
      <c r="M2497" s="15">
        <v>1.2349672326517798</v>
      </c>
      <c r="N2497" s="15">
        <v>1.2349672326517798</v>
      </c>
      <c r="O2497" s="15" t="s">
        <v>10</v>
      </c>
      <c r="P2497" s="15" t="s">
        <v>10</v>
      </c>
      <c r="Q2497" s="8"/>
      <c r="R2497" s="9" t="s">
        <v>2472</v>
      </c>
    </row>
    <row r="2498" spans="1:18" x14ac:dyDescent="0.25">
      <c r="A2498" s="6" t="str">
        <f>HYPERLINK("proteomic_fractions_linear_files/Yang_linear_img/227116320.jpg", "227116320")</f>
        <v>227116320</v>
      </c>
      <c r="B2498" s="7"/>
      <c r="C2498" s="6" t="str">
        <f>HYPERLINK("http://www.ncbi.nlm.nih.gov/protein/227116320","Fkbp15")</f>
        <v>Fkbp15</v>
      </c>
      <c r="D2498" s="8"/>
      <c r="E2498" s="8">
        <v>132830</v>
      </c>
      <c r="F2498" s="8"/>
      <c r="G2498" s="15" t="s">
        <v>10</v>
      </c>
      <c r="H2498" s="15" t="s">
        <v>10</v>
      </c>
      <c r="I2498" s="15">
        <v>1.1537809859867807</v>
      </c>
      <c r="J2498" s="15">
        <v>1.1537809859867807</v>
      </c>
      <c r="K2498" s="15">
        <v>1.4042543732326342</v>
      </c>
      <c r="L2498" s="15">
        <v>1.4042543732326342</v>
      </c>
      <c r="M2498" s="15" t="s">
        <v>10</v>
      </c>
      <c r="N2498" s="15" t="s">
        <v>10</v>
      </c>
      <c r="O2498" s="15">
        <v>1.4042543732326342</v>
      </c>
      <c r="P2498" s="15">
        <v>1.4042543732326342</v>
      </c>
      <c r="Q2498" s="8"/>
      <c r="R2498" s="9" t="s">
        <v>2473</v>
      </c>
    </row>
    <row r="2499" spans="1:18" x14ac:dyDescent="0.25">
      <c r="A2499" s="6" t="str">
        <f>HYPERLINK("proteomic_fractions_linear_files/Yang_linear_img/6679803.jpg", "6679803")</f>
        <v>6679803</v>
      </c>
      <c r="B2499" s="7"/>
      <c r="C2499" s="6" t="str">
        <f>HYPERLINK("http://www.ncbi.nlm.nih.gov/protein/6679803","Fkbp1a")</f>
        <v>Fkbp1a</v>
      </c>
      <c r="D2499" s="8"/>
      <c r="E2499" s="8">
        <v>11791</v>
      </c>
      <c r="F2499" s="8"/>
      <c r="G2499" s="15">
        <v>1.0194051076942798</v>
      </c>
      <c r="H2499" s="15">
        <v>1.0194051076942798</v>
      </c>
      <c r="I2499" s="15">
        <v>1.1080886685834612</v>
      </c>
      <c r="J2499" s="15">
        <v>1.1080886685834612</v>
      </c>
      <c r="K2499" s="15">
        <v>1.209789476822529</v>
      </c>
      <c r="L2499" s="15">
        <v>1.209789476822529</v>
      </c>
      <c r="M2499" s="15">
        <v>1.1080886685834612</v>
      </c>
      <c r="N2499" s="15">
        <v>1.1080886685834612</v>
      </c>
      <c r="O2499" s="15">
        <v>1.1080886685834612</v>
      </c>
      <c r="P2499" s="15">
        <v>1.1080886685834612</v>
      </c>
      <c r="Q2499" s="8"/>
      <c r="R2499" s="9" t="s">
        <v>2474</v>
      </c>
    </row>
    <row r="2500" spans="1:18" x14ac:dyDescent="0.25">
      <c r="A2500" s="6" t="str">
        <f>HYPERLINK("proteomic_fractions_linear_files/Yang_linear_img/123173728.jpg", "123173728")</f>
        <v>123173728</v>
      </c>
      <c r="B2500" s="7"/>
      <c r="C2500" s="6" t="str">
        <f>HYPERLINK("http://www.ncbi.nlm.nih.gov/protein/123173728","Fkbp1b")</f>
        <v>Fkbp1b</v>
      </c>
      <c r="D2500" s="8"/>
      <c r="E2500" s="8">
        <v>11666</v>
      </c>
      <c r="F2500" s="8"/>
      <c r="G2500" s="15" t="s">
        <v>10</v>
      </c>
      <c r="H2500" s="15" t="s">
        <v>10</v>
      </c>
      <c r="I2500" s="15" t="s">
        <v>10</v>
      </c>
      <c r="J2500" s="15" t="s">
        <v>10</v>
      </c>
      <c r="K2500" s="15" t="s">
        <v>10</v>
      </c>
      <c r="L2500" s="15" t="s">
        <v>10</v>
      </c>
      <c r="M2500" s="15" t="s">
        <v>10</v>
      </c>
      <c r="N2500" s="15" t="s">
        <v>10</v>
      </c>
      <c r="O2500" s="15">
        <v>1.1080886685834612</v>
      </c>
      <c r="P2500" s="15">
        <v>1.1080886685834612</v>
      </c>
      <c r="Q2500" s="8"/>
      <c r="R2500" s="9" t="s">
        <v>2475</v>
      </c>
    </row>
    <row r="2501" spans="1:18" x14ac:dyDescent="0.25">
      <c r="A2501" s="6" t="str">
        <f>HYPERLINK("proteomic_fractions_linear_files/Yang_linear_img/261824055;6679805.jpg", "261824055;6679805")</f>
        <v>261824055;6679805</v>
      </c>
      <c r="B2501" s="8"/>
      <c r="C2501" s="6" t="str">
        <f>HYPERLINK("http://www.ncbi.nlm.nih.gov/protein/261824055;6679805","Fkbp2")</f>
        <v>Fkbp2</v>
      </c>
      <c r="D2501" s="8"/>
      <c r="E2501" s="8">
        <v>13057</v>
      </c>
      <c r="F2501" s="8"/>
      <c r="G2501" s="15">
        <v>1.1167287478361805</v>
      </c>
      <c r="H2501" s="15">
        <v>1.1167287478361805</v>
      </c>
      <c r="I2501" s="15" t="s">
        <v>10</v>
      </c>
      <c r="J2501" s="15" t="s">
        <v>10</v>
      </c>
      <c r="K2501" s="15">
        <v>1.1167287478361805</v>
      </c>
      <c r="L2501" s="15">
        <v>1.1689490995241758</v>
      </c>
      <c r="M2501" s="15" t="s">
        <v>10</v>
      </c>
      <c r="N2501" s="15" t="s">
        <v>10</v>
      </c>
      <c r="O2501" s="15" t="s">
        <v>10</v>
      </c>
      <c r="P2501" s="15" t="s">
        <v>10</v>
      </c>
      <c r="Q2501" s="8"/>
      <c r="R2501" s="9" t="s">
        <v>2476</v>
      </c>
    </row>
    <row r="2502" spans="1:18" x14ac:dyDescent="0.25">
      <c r="A2502" s="6" t="str">
        <f>HYPERLINK("proteomic_fractions_linear_files/Yang_linear_img/6679805.jpg", "6679805")</f>
        <v>6679805</v>
      </c>
      <c r="B2502" s="7"/>
      <c r="C2502" s="6" t="str">
        <f>HYPERLINK("http://www.ncbi.nlm.nih.gov/protein/6679805","Fkbp2")</f>
        <v>Fkbp2</v>
      </c>
      <c r="D2502" s="8"/>
      <c r="E2502" s="8">
        <v>13057</v>
      </c>
      <c r="F2502" s="8"/>
      <c r="G2502" s="15" t="s">
        <v>10</v>
      </c>
      <c r="H2502" s="15" t="s">
        <v>10</v>
      </c>
      <c r="I2502" s="15">
        <v>1.1167287478361805</v>
      </c>
      <c r="J2502" s="15">
        <v>1.1167287478361805</v>
      </c>
      <c r="K2502" s="15" t="s">
        <v>10</v>
      </c>
      <c r="L2502" s="15" t="s">
        <v>10</v>
      </c>
      <c r="M2502" s="15" t="s">
        <v>10</v>
      </c>
      <c r="N2502" s="15" t="s">
        <v>10</v>
      </c>
      <c r="O2502" s="15">
        <v>1.1167287478361805</v>
      </c>
      <c r="P2502" s="15">
        <v>1.1167287478361805</v>
      </c>
      <c r="Q2502" s="8"/>
      <c r="R2502" s="9" t="s">
        <v>2476</v>
      </c>
    </row>
    <row r="2503" spans="1:18" x14ac:dyDescent="0.25">
      <c r="A2503" s="6" t="str">
        <f>HYPERLINK("proteomic_fractions_linear_files/Yang_linear_img/7305061.jpg", "7305061")</f>
        <v>7305061</v>
      </c>
      <c r="B2503" s="7"/>
      <c r="C2503" s="6" t="str">
        <f>HYPERLINK("http://www.ncbi.nlm.nih.gov/protein/7305061","Fkbp3")</f>
        <v>Fkbp3</v>
      </c>
      <c r="D2503" s="8"/>
      <c r="E2503" s="8">
        <v>25017</v>
      </c>
      <c r="F2503" s="8"/>
      <c r="G2503" s="15">
        <v>0.9821928245310767</v>
      </c>
      <c r="H2503" s="15">
        <v>0.9821928245310767</v>
      </c>
      <c r="I2503" s="15">
        <v>1.0460103246170001</v>
      </c>
      <c r="J2503" s="15">
        <v>1.0460103246170001</v>
      </c>
      <c r="K2503" s="15">
        <v>1.0460103246170001</v>
      </c>
      <c r="L2503" s="15">
        <v>1.0460103246170001</v>
      </c>
      <c r="M2503" s="15">
        <v>1.0460103246170001</v>
      </c>
      <c r="N2503" s="15">
        <v>1.0460103246170001</v>
      </c>
      <c r="O2503" s="15">
        <v>0.92438293498869784</v>
      </c>
      <c r="P2503" s="15">
        <v>0.92438293498869784</v>
      </c>
      <c r="Q2503" s="8"/>
      <c r="R2503" s="9" t="s">
        <v>2477</v>
      </c>
    </row>
    <row r="2504" spans="1:18" x14ac:dyDescent="0.25">
      <c r="A2504" s="6" t="str">
        <f>HYPERLINK("proteomic_fractions_linear_files/Yang_linear_img/6753882.jpg", "6753882")</f>
        <v>6753882</v>
      </c>
      <c r="B2504" s="7"/>
      <c r="C2504" s="6" t="str">
        <f>HYPERLINK("http://www.ncbi.nlm.nih.gov/protein/6753882","Fkbp4")</f>
        <v>Fkbp4</v>
      </c>
      <c r="D2504" s="8"/>
      <c r="E2504" s="8">
        <v>51441</v>
      </c>
      <c r="F2504" s="8"/>
      <c r="G2504" s="15">
        <v>1.2833973202067517</v>
      </c>
      <c r="H2504" s="15">
        <v>1.4399247106212205</v>
      </c>
      <c r="I2504" s="15">
        <v>1.0415797966666878</v>
      </c>
      <c r="J2504" s="15">
        <v>1.0415797966666878</v>
      </c>
      <c r="K2504" s="15">
        <v>1.1524158350116442</v>
      </c>
      <c r="L2504" s="15">
        <v>1.1524158350116442</v>
      </c>
      <c r="M2504" s="15">
        <v>1.1524158350116442</v>
      </c>
      <c r="N2504" s="15">
        <v>1.1524158350116442</v>
      </c>
      <c r="O2504" s="15">
        <v>1.0415797966666878</v>
      </c>
      <c r="P2504" s="15">
        <v>1.0415797966666878</v>
      </c>
      <c r="Q2504" s="8"/>
      <c r="R2504" s="9" t="s">
        <v>2478</v>
      </c>
    </row>
    <row r="2505" spans="1:18" x14ac:dyDescent="0.25">
      <c r="A2505" s="6" t="str">
        <f>HYPERLINK("proteomic_fractions_linear_files/Yang_linear_img/6753884.jpg", "6753884")</f>
        <v>6753884</v>
      </c>
      <c r="B2505" s="7"/>
      <c r="C2505" s="6" t="str">
        <f>HYPERLINK("http://www.ncbi.nlm.nih.gov/protein/6753884","Fkbp5")</f>
        <v>Fkbp5</v>
      </c>
      <c r="D2505" s="8"/>
      <c r="E2505" s="8">
        <v>50835</v>
      </c>
      <c r="F2505" s="8"/>
      <c r="G2505" s="15">
        <v>1.2833973202067517</v>
      </c>
      <c r="H2505" s="15">
        <v>1.2833973202067517</v>
      </c>
      <c r="I2505" s="15">
        <v>1.0415797966666878</v>
      </c>
      <c r="J2505" s="15">
        <v>1.0415797966666878</v>
      </c>
      <c r="K2505" s="15">
        <v>1.0415797966666878</v>
      </c>
      <c r="L2505" s="15">
        <v>1.0415797966666878</v>
      </c>
      <c r="M2505" s="15">
        <v>1.0415797966666878</v>
      </c>
      <c r="N2505" s="15">
        <v>1.0415797966666878</v>
      </c>
      <c r="O2505" s="15">
        <v>0.94686226636108339</v>
      </c>
      <c r="P2505" s="15">
        <v>0.94686226636108339</v>
      </c>
      <c r="Q2505" s="8"/>
      <c r="R2505" s="9" t="s">
        <v>2479</v>
      </c>
    </row>
    <row r="2506" spans="1:18" x14ac:dyDescent="0.25">
      <c r="A2506" s="6" t="str">
        <f>HYPERLINK("proteomic_fractions_linear_files/Yang_linear_img/161484656.jpg", "161484656")</f>
        <v>161484656</v>
      </c>
      <c r="B2506" s="7"/>
      <c r="C2506" s="6" t="str">
        <f>HYPERLINK("http://www.ncbi.nlm.nih.gov/protein/161484656","Fkbp8")</f>
        <v>Fkbp8</v>
      </c>
      <c r="D2506" s="8"/>
      <c r="E2506" s="8">
        <v>43398</v>
      </c>
      <c r="F2506" s="8"/>
      <c r="G2506" s="15">
        <v>1.5221689146638218</v>
      </c>
      <c r="H2506" s="15">
        <v>1.5221689146638218</v>
      </c>
      <c r="I2506" s="15">
        <v>1.2353620844186297</v>
      </c>
      <c r="J2506" s="15">
        <v>1.2353620844186297</v>
      </c>
      <c r="K2506" s="15">
        <v>1.2353620844186297</v>
      </c>
      <c r="L2506" s="15">
        <v>1.2353620844186297</v>
      </c>
      <c r="M2506" s="15" t="s">
        <v>10</v>
      </c>
      <c r="N2506" s="15" t="s">
        <v>10</v>
      </c>
      <c r="O2506" s="15" t="s">
        <v>10</v>
      </c>
      <c r="P2506" s="15" t="s">
        <v>10</v>
      </c>
      <c r="Q2506" s="8"/>
      <c r="R2506" s="9" t="s">
        <v>2480</v>
      </c>
    </row>
    <row r="2507" spans="1:18" x14ac:dyDescent="0.25">
      <c r="A2507" s="6" t="str">
        <f>HYPERLINK("proteomic_fractions_linear_files/Yang_linear_img/161484658.jpg", "161484658")</f>
        <v>161484658</v>
      </c>
      <c r="B2507" s="7"/>
      <c r="C2507" s="6" t="str">
        <f>HYPERLINK("http://www.ncbi.nlm.nih.gov/protein/161484658","Fkbp8")</f>
        <v>Fkbp8</v>
      </c>
      <c r="D2507" s="8"/>
      <c r="E2507" s="8">
        <v>43485</v>
      </c>
      <c r="F2507" s="8"/>
      <c r="G2507" s="15">
        <v>1.5221689146638218</v>
      </c>
      <c r="H2507" s="15">
        <v>1.5221689146638218</v>
      </c>
      <c r="I2507" s="15">
        <v>1.2353620844186297</v>
      </c>
      <c r="J2507" s="15">
        <v>1.2353620844186297</v>
      </c>
      <c r="K2507" s="15">
        <v>1.2353620844186297</v>
      </c>
      <c r="L2507" s="15">
        <v>1.2353620844186297</v>
      </c>
      <c r="M2507" s="15" t="s">
        <v>10</v>
      </c>
      <c r="N2507" s="15" t="s">
        <v>10</v>
      </c>
      <c r="O2507" s="15" t="s">
        <v>10</v>
      </c>
      <c r="P2507" s="15" t="s">
        <v>10</v>
      </c>
      <c r="Q2507" s="8"/>
      <c r="R2507" s="9" t="s">
        <v>2481</v>
      </c>
    </row>
    <row r="2508" spans="1:18" x14ac:dyDescent="0.25">
      <c r="A2508" s="6" t="str">
        <f>HYPERLINK("proteomic_fractions_linear_files/Yang_linear_img/172072617.jpg", "172072617")</f>
        <v>172072617</v>
      </c>
      <c r="B2508" s="7"/>
      <c r="C2508" s="6" t="str">
        <f>HYPERLINK("http://www.ncbi.nlm.nih.gov/protein/172072617","Fkbp9")</f>
        <v>Fkbp9</v>
      </c>
      <c r="D2508" s="8"/>
      <c r="E2508" s="8">
        <v>60275</v>
      </c>
      <c r="F2508" s="8"/>
      <c r="G2508" s="15" t="s">
        <v>10</v>
      </c>
      <c r="H2508" s="15" t="s">
        <v>10</v>
      </c>
      <c r="I2508" s="15">
        <v>1.2239360040280374</v>
      </c>
      <c r="J2508" s="15">
        <v>1.2239360040280374</v>
      </c>
      <c r="K2508" s="15" t="s">
        <v>10</v>
      </c>
      <c r="L2508" s="15" t="s">
        <v>10</v>
      </c>
      <c r="M2508" s="15" t="s">
        <v>10</v>
      </c>
      <c r="N2508" s="15" t="s">
        <v>10</v>
      </c>
      <c r="O2508" s="15" t="s">
        <v>10</v>
      </c>
      <c r="P2508" s="15" t="s">
        <v>10</v>
      </c>
      <c r="Q2508" s="8"/>
      <c r="R2508" s="9" t="s">
        <v>2482</v>
      </c>
    </row>
    <row r="2509" spans="1:18" x14ac:dyDescent="0.25">
      <c r="A2509" s="6" t="str">
        <f>HYPERLINK("proteomic_fractions_linear_files/Yang_linear_img/89337262.jpg", "89337262")</f>
        <v>89337262</v>
      </c>
      <c r="B2509" s="7"/>
      <c r="C2509" s="6" t="str">
        <f>HYPERLINK("http://www.ncbi.nlm.nih.gov/protein/89337262","Flad1")</f>
        <v>Flad1</v>
      </c>
      <c r="D2509" s="8"/>
      <c r="E2509" s="8">
        <v>54636</v>
      </c>
      <c r="F2509" s="8"/>
      <c r="G2509" s="15" t="s">
        <v>10</v>
      </c>
      <c r="H2509" s="15" t="s">
        <v>10</v>
      </c>
      <c r="I2509" s="15">
        <v>0.96582853872729235</v>
      </c>
      <c r="J2509" s="15">
        <v>0.96582853872729235</v>
      </c>
      <c r="K2509" s="15" t="s">
        <v>10</v>
      </c>
      <c r="L2509" s="15" t="s">
        <v>10</v>
      </c>
      <c r="M2509" s="15" t="s">
        <v>10</v>
      </c>
      <c r="N2509" s="15" t="s">
        <v>10</v>
      </c>
      <c r="O2509" s="15">
        <v>0.87799955608027735</v>
      </c>
      <c r="P2509" s="15">
        <v>0.87799955608027735</v>
      </c>
      <c r="Q2509" s="8"/>
      <c r="R2509" s="9" t="s">
        <v>2483</v>
      </c>
    </row>
    <row r="2510" spans="1:18" x14ac:dyDescent="0.25">
      <c r="A2510" s="6" t="str">
        <f>HYPERLINK("proteomic_fractions_linear_files/Yang_linear_img/405778335.jpg", "405778335")</f>
        <v>405778335</v>
      </c>
      <c r="B2510" s="7"/>
      <c r="C2510" s="6" t="str">
        <f>HYPERLINK("http://www.ncbi.nlm.nih.gov/protein/405778335","Flcn")</f>
        <v>Flcn</v>
      </c>
      <c r="D2510" s="8"/>
      <c r="E2510" s="8">
        <v>64196</v>
      </c>
      <c r="F2510" s="8"/>
      <c r="G2510" s="15" t="s">
        <v>10</v>
      </c>
      <c r="H2510" s="15" t="s">
        <v>10</v>
      </c>
      <c r="I2510" s="15" t="s">
        <v>10</v>
      </c>
      <c r="J2510" s="15" t="s">
        <v>10</v>
      </c>
      <c r="K2510" s="15">
        <v>1.1474400037762851</v>
      </c>
      <c r="L2510" s="15">
        <v>1.1474400037762851</v>
      </c>
      <c r="M2510" s="15" t="s">
        <v>10</v>
      </c>
      <c r="N2510" s="15" t="s">
        <v>10</v>
      </c>
      <c r="O2510" s="15">
        <v>1.0227072395397552</v>
      </c>
      <c r="P2510" s="15">
        <v>1.0227072395397552</v>
      </c>
      <c r="Q2510" s="8"/>
      <c r="R2510" s="9" t="s">
        <v>2484</v>
      </c>
    </row>
    <row r="2511" spans="1:18" x14ac:dyDescent="0.25">
      <c r="A2511" s="6" t="str">
        <f>HYPERLINK("proteomic_fractions_linear_files/Yang_linear_img/84370015.jpg", "84370015")</f>
        <v>84370015</v>
      </c>
      <c r="B2511" s="7"/>
      <c r="C2511" s="6" t="str">
        <f>HYPERLINK("http://www.ncbi.nlm.nih.gov/protein/84370015","Flg2")</f>
        <v>Flg2</v>
      </c>
      <c r="D2511" s="8"/>
      <c r="E2511" s="8">
        <v>251265</v>
      </c>
      <c r="F2511" s="8"/>
      <c r="G2511" s="15" t="s">
        <v>10</v>
      </c>
      <c r="H2511" s="15" t="s">
        <v>10</v>
      </c>
      <c r="I2511" s="15" t="s">
        <v>10</v>
      </c>
      <c r="J2511" s="15" t="s">
        <v>10</v>
      </c>
      <c r="K2511" s="15">
        <v>7.3686450854836993E-2</v>
      </c>
      <c r="L2511" s="15">
        <v>7.3686450854836993E-2</v>
      </c>
      <c r="M2511" s="15" t="s">
        <v>10</v>
      </c>
      <c r="N2511" s="15" t="s">
        <v>10</v>
      </c>
      <c r="O2511" s="15" t="s">
        <v>10</v>
      </c>
      <c r="P2511" s="15" t="s">
        <v>10</v>
      </c>
      <c r="Q2511" s="8"/>
      <c r="R2511" s="9" t="s">
        <v>2485</v>
      </c>
    </row>
    <row r="2512" spans="1:18" x14ac:dyDescent="0.25">
      <c r="A2512" s="6" t="str">
        <f>HYPERLINK("proteomic_fractions_linear_files/Yang_linear_img/11528490.jpg", "11528490")</f>
        <v>11528490</v>
      </c>
      <c r="B2512" s="7"/>
      <c r="C2512" s="6" t="str">
        <f>HYPERLINK("http://www.ncbi.nlm.nih.gov/protein/11528490","Flii")</f>
        <v>Flii</v>
      </c>
      <c r="D2512" s="8"/>
      <c r="E2512" s="8">
        <v>144673</v>
      </c>
      <c r="F2512" s="8"/>
      <c r="G2512" s="15">
        <v>1.0582956630085645</v>
      </c>
      <c r="H2512" s="15">
        <v>1.0582956630085645</v>
      </c>
      <c r="I2512" s="15">
        <v>1.0582956630085645</v>
      </c>
      <c r="J2512" s="15">
        <v>1.0582956630085645</v>
      </c>
      <c r="K2512" s="15">
        <v>1.2880402182064852</v>
      </c>
      <c r="L2512" s="15">
        <v>1.2880402182064852</v>
      </c>
      <c r="M2512" s="15">
        <v>1.2880402182064852</v>
      </c>
      <c r="N2512" s="15">
        <v>1.2880402182064852</v>
      </c>
      <c r="O2512" s="15">
        <v>1.2880402182064852</v>
      </c>
      <c r="P2512" s="15">
        <v>1.2880402182064852</v>
      </c>
      <c r="Q2512" s="8"/>
      <c r="R2512" s="9" t="s">
        <v>2486</v>
      </c>
    </row>
    <row r="2513" spans="1:18" x14ac:dyDescent="0.25">
      <c r="A2513" s="6" t="str">
        <f>HYPERLINK("proteomic_fractions_linear_files/Yang_linear_img/125347376.jpg", "125347376")</f>
        <v>125347376</v>
      </c>
      <c r="B2513" s="7"/>
      <c r="C2513" s="6" t="str">
        <f>HYPERLINK("http://www.ncbi.nlm.nih.gov/protein/125347376","Flna")</f>
        <v>Flna</v>
      </c>
      <c r="D2513" s="8"/>
      <c r="E2513" s="8">
        <v>280371</v>
      </c>
      <c r="F2513" s="8"/>
      <c r="G2513" s="15">
        <v>0.83343159867088956</v>
      </c>
      <c r="H2513" s="15">
        <v>0.83343159867088956</v>
      </c>
      <c r="I2513" s="15">
        <v>1.0777975879874957</v>
      </c>
      <c r="J2513" s="15">
        <v>1.0777975879874957</v>
      </c>
      <c r="K2513" s="15">
        <v>1.0777975879874957</v>
      </c>
      <c r="L2513" s="15">
        <v>1.0777975879874957</v>
      </c>
      <c r="M2513" s="15">
        <v>1.4608698490694279</v>
      </c>
      <c r="N2513" s="15">
        <v>1.4608698490694279</v>
      </c>
      <c r="O2513" s="15">
        <v>1.0777975879874957</v>
      </c>
      <c r="P2513" s="15">
        <v>1.0777975879874957</v>
      </c>
      <c r="Q2513" s="8"/>
      <c r="R2513" s="9" t="s">
        <v>2487</v>
      </c>
    </row>
    <row r="2514" spans="1:18" x14ac:dyDescent="0.25">
      <c r="A2514" s="6" t="str">
        <f>HYPERLINK("proteomic_fractions_linear_files/Yang_linear_img/145966915.jpg", "145966915")</f>
        <v>145966915</v>
      </c>
      <c r="B2514" s="7"/>
      <c r="C2514" s="6" t="str">
        <f>HYPERLINK("http://www.ncbi.nlm.nih.gov/protein/145966915","Flnb")</f>
        <v>Flnb</v>
      </c>
      <c r="D2514" s="8"/>
      <c r="E2514" s="8">
        <v>276469</v>
      </c>
      <c r="F2514" s="8"/>
      <c r="G2514" s="15">
        <v>1.0934178428858652</v>
      </c>
      <c r="H2514" s="15">
        <v>1.0934178428858652</v>
      </c>
      <c r="I2514" s="15">
        <v>0.84551031749220673</v>
      </c>
      <c r="J2514" s="15">
        <v>0.84551031749220673</v>
      </c>
      <c r="K2514" s="15">
        <v>1.0934178428858652</v>
      </c>
      <c r="L2514" s="15">
        <v>1.0934178428858652</v>
      </c>
      <c r="M2514" s="15">
        <v>1.4820418758675356</v>
      </c>
      <c r="N2514" s="15">
        <v>1.4820418758675356</v>
      </c>
      <c r="O2514" s="15">
        <v>1.0934178428858652</v>
      </c>
      <c r="P2514" s="15">
        <v>1.0934178428858652</v>
      </c>
      <c r="Q2514" s="8"/>
      <c r="R2514" s="9" t="s">
        <v>2488</v>
      </c>
    </row>
    <row r="2515" spans="1:18" x14ac:dyDescent="0.25">
      <c r="A2515" s="6" t="str">
        <f>HYPERLINK("proteomic_fractions_linear_files/Yang_linear_img/124487139.jpg", "124487139")</f>
        <v>124487139</v>
      </c>
      <c r="B2515" s="7"/>
      <c r="C2515" s="6" t="str">
        <f>HYPERLINK("http://www.ncbi.nlm.nih.gov/protein/124487139","Flnc")</f>
        <v>Flnc</v>
      </c>
      <c r="D2515" s="8"/>
      <c r="E2515" s="8">
        <v>290990</v>
      </c>
      <c r="F2515" s="8"/>
      <c r="G2515" s="15">
        <v>0.80192731143590745</v>
      </c>
      <c r="H2515" s="15">
        <v>0.80192731143590745</v>
      </c>
      <c r="I2515" s="15">
        <v>0.80192731143590745</v>
      </c>
      <c r="J2515" s="15">
        <v>0.80192731143590745</v>
      </c>
      <c r="K2515" s="15">
        <v>1.0370560984072124</v>
      </c>
      <c r="L2515" s="15">
        <v>1.0370560984072124</v>
      </c>
      <c r="M2515" s="15">
        <v>1.4056479647403428</v>
      </c>
      <c r="N2515" s="15">
        <v>1.4056479647403428</v>
      </c>
      <c r="O2515" s="15">
        <v>1.0370560984072124</v>
      </c>
      <c r="P2515" s="15">
        <v>1.0370560984072124</v>
      </c>
      <c r="Q2515" s="8"/>
      <c r="R2515" s="9" t="s">
        <v>2489</v>
      </c>
    </row>
    <row r="2516" spans="1:18" x14ac:dyDescent="0.25">
      <c r="A2516" s="6" t="str">
        <f>HYPERLINK("proteomic_fractions_linear_files/Yang_linear_img/6679809.jpg", "6679809")</f>
        <v>6679809</v>
      </c>
      <c r="B2516" s="7"/>
      <c r="C2516" s="6" t="str">
        <f>HYPERLINK("http://www.ncbi.nlm.nih.gov/protein/6679809","Flot1")</f>
        <v>Flot1</v>
      </c>
      <c r="D2516" s="8"/>
      <c r="E2516" s="8">
        <v>47382</v>
      </c>
      <c r="F2516" s="8"/>
      <c r="G2516" s="15">
        <v>1.1302248857447037</v>
      </c>
      <c r="H2516" s="15">
        <v>1.1302248857447037</v>
      </c>
      <c r="I2516" s="15">
        <v>1.0274462890301117</v>
      </c>
      <c r="J2516" s="15">
        <v>1.0274462890301117</v>
      </c>
      <c r="K2516" s="15">
        <v>1.0274462890301117</v>
      </c>
      <c r="L2516" s="15">
        <v>1.0274462890301117</v>
      </c>
      <c r="M2516" s="15" t="s">
        <v>10</v>
      </c>
      <c r="N2516" s="15" t="s">
        <v>10</v>
      </c>
      <c r="O2516" s="15" t="s">
        <v>10</v>
      </c>
      <c r="P2516" s="15" t="s">
        <v>10</v>
      </c>
      <c r="Q2516" s="8"/>
      <c r="R2516" s="9" t="s">
        <v>2490</v>
      </c>
    </row>
    <row r="2517" spans="1:18" x14ac:dyDescent="0.25">
      <c r="A2517" s="6" t="str">
        <f>HYPERLINK("proteomic_fractions_linear_files/Yang_linear_img/6679811.jpg", "6679811")</f>
        <v>6679811</v>
      </c>
      <c r="B2517" s="7"/>
      <c r="C2517" s="6" t="str">
        <f>HYPERLINK("http://www.ncbi.nlm.nih.gov/protein/6679811","Flot2")</f>
        <v>Flot2</v>
      </c>
      <c r="D2517" s="8"/>
      <c r="E2517" s="8">
        <v>41528</v>
      </c>
      <c r="F2517" s="8"/>
      <c r="G2517" s="15" t="s">
        <v>10</v>
      </c>
      <c r="H2517" s="15" t="s">
        <v>10</v>
      </c>
      <c r="I2517" s="15">
        <v>1.1497613234384585</v>
      </c>
      <c r="J2517" s="15">
        <v>1.1497613234384585</v>
      </c>
      <c r="K2517" s="15">
        <v>1.1497613234384585</v>
      </c>
      <c r="L2517" s="15">
        <v>1.1497613234384585</v>
      </c>
      <c r="M2517" s="15" t="s">
        <v>10</v>
      </c>
      <c r="N2517" s="15" t="s">
        <v>10</v>
      </c>
      <c r="O2517" s="15" t="s">
        <v>10</v>
      </c>
      <c r="P2517" s="15" t="s">
        <v>10</v>
      </c>
      <c r="Q2517" s="8"/>
      <c r="R2517" s="9" t="s">
        <v>2491</v>
      </c>
    </row>
    <row r="2518" spans="1:18" x14ac:dyDescent="0.25">
      <c r="A2518" s="6" t="str">
        <f>HYPERLINK("proteomic_fractions_linear_files/Yang_linear_img/94536791.jpg", "94536791")</f>
        <v>94536791</v>
      </c>
      <c r="B2518" s="7"/>
      <c r="C2518" s="6" t="str">
        <f>HYPERLINK("http://www.ncbi.nlm.nih.gov/protein/94536791","Flot2")</f>
        <v>Flot2</v>
      </c>
      <c r="D2518" s="8"/>
      <c r="E2518" s="8">
        <v>46907</v>
      </c>
      <c r="F2518" s="8"/>
      <c r="G2518" s="15" t="s">
        <v>10</v>
      </c>
      <c r="H2518" s="15" t="s">
        <v>10</v>
      </c>
      <c r="I2518" s="15">
        <v>1.0274462890301117</v>
      </c>
      <c r="J2518" s="15">
        <v>1.0274462890301117</v>
      </c>
      <c r="K2518" s="15">
        <v>1.0274462890301117</v>
      </c>
      <c r="L2518" s="15">
        <v>1.0274462890301117</v>
      </c>
      <c r="M2518" s="15" t="s">
        <v>10</v>
      </c>
      <c r="N2518" s="15" t="s">
        <v>10</v>
      </c>
      <c r="O2518" s="15" t="s">
        <v>10</v>
      </c>
      <c r="P2518" s="15" t="s">
        <v>10</v>
      </c>
      <c r="Q2518" s="8"/>
      <c r="R2518" s="9" t="s">
        <v>2492</v>
      </c>
    </row>
    <row r="2519" spans="1:18" x14ac:dyDescent="0.25">
      <c r="A2519" s="6" t="str">
        <f>HYPERLINK("proteomic_fractions_linear_files/Yang_linear_img/34328180.jpg", "34328180")</f>
        <v>34328180</v>
      </c>
      <c r="B2519" s="7"/>
      <c r="C2519" s="6" t="str">
        <f>HYPERLINK("http://www.ncbi.nlm.nih.gov/protein/34328180","Flt1")</f>
        <v>Flt1</v>
      </c>
      <c r="D2519" s="8"/>
      <c r="E2519" s="8">
        <v>147525</v>
      </c>
      <c r="F2519" s="8"/>
      <c r="G2519" s="15" t="s">
        <v>10</v>
      </c>
      <c r="H2519" s="15" t="s">
        <v>10</v>
      </c>
      <c r="I2519" s="15">
        <v>0.25230625961570669</v>
      </c>
      <c r="J2519" s="15">
        <v>0.25230625961570669</v>
      </c>
      <c r="K2519" s="15">
        <v>0.27369809596772127</v>
      </c>
      <c r="L2519" s="15">
        <v>0.27369809596772127</v>
      </c>
      <c r="M2519" s="15">
        <v>0.25230625961570669</v>
      </c>
      <c r="N2519" s="15">
        <v>0.25230625961570669</v>
      </c>
      <c r="O2519" s="15">
        <v>0.23346876034104855</v>
      </c>
      <c r="P2519" s="15">
        <v>0.23346876034104855</v>
      </c>
      <c r="Q2519" s="8"/>
      <c r="R2519" s="9" t="s">
        <v>2493</v>
      </c>
    </row>
    <row r="2520" spans="1:18" x14ac:dyDescent="0.25">
      <c r="A2520" s="6" t="str">
        <f>HYPERLINK("proteomic_fractions_linear_files/Yang_linear_img/122937353.jpg", "122937353")</f>
        <v>122937353</v>
      </c>
      <c r="B2520" s="7"/>
      <c r="C2520" s="6" t="str">
        <f>HYPERLINK("http://www.ncbi.nlm.nih.gov/protein/122937353","Flt3")</f>
        <v>Flt3</v>
      </c>
      <c r="D2520" s="8"/>
      <c r="E2520" s="8">
        <v>110216</v>
      </c>
      <c r="F2520" s="8"/>
      <c r="G2520" s="15" t="s">
        <v>10</v>
      </c>
      <c r="H2520" s="15" t="s">
        <v>10</v>
      </c>
      <c r="I2520" s="15">
        <v>0.33946660384658722</v>
      </c>
      <c r="J2520" s="15">
        <v>0.33946660384658722</v>
      </c>
      <c r="K2520" s="15">
        <v>0.36824834730202494</v>
      </c>
      <c r="L2520" s="15">
        <v>0.36824834730202494</v>
      </c>
      <c r="M2520" s="15">
        <v>0.33946660384658722</v>
      </c>
      <c r="N2520" s="15">
        <v>0.33946660384658722</v>
      </c>
      <c r="O2520" s="15">
        <v>0.31412160482250168</v>
      </c>
      <c r="P2520" s="15">
        <v>0.31412160482250168</v>
      </c>
      <c r="Q2520" s="8"/>
      <c r="R2520" s="9" t="s">
        <v>2494</v>
      </c>
    </row>
    <row r="2521" spans="1:18" x14ac:dyDescent="0.25">
      <c r="A2521" s="6" t="str">
        <f>HYPERLINK("proteomic_fractions_linear_files/Yang_linear_img/6679813.jpg", "6679813")</f>
        <v>6679813</v>
      </c>
      <c r="B2521" s="7"/>
      <c r="C2521" s="6" t="str">
        <f>HYPERLINK("http://www.ncbi.nlm.nih.gov/protein/6679813","Flt4")</f>
        <v>Flt4</v>
      </c>
      <c r="D2521" s="8"/>
      <c r="E2521" s="8">
        <v>150512</v>
      </c>
      <c r="F2521" s="8"/>
      <c r="G2521" s="15" t="s">
        <v>10</v>
      </c>
      <c r="H2521" s="15" t="s">
        <v>10</v>
      </c>
      <c r="I2521" s="15">
        <v>0.24729355247102378</v>
      </c>
      <c r="J2521" s="15">
        <v>0.24729355247102378</v>
      </c>
      <c r="K2521" s="15">
        <v>0.26826038545180625</v>
      </c>
      <c r="L2521" s="15">
        <v>0.26826038545180625</v>
      </c>
      <c r="M2521" s="15">
        <v>0.24729355247102378</v>
      </c>
      <c r="N2521" s="15">
        <v>0.24729355247102378</v>
      </c>
      <c r="O2521" s="15">
        <v>0.22883030814884228</v>
      </c>
      <c r="P2521" s="15">
        <v>0.22883030814884228</v>
      </c>
      <c r="Q2521" s="8"/>
      <c r="R2521" s="9" t="s">
        <v>2495</v>
      </c>
    </row>
    <row r="2522" spans="1:18" x14ac:dyDescent="0.25">
      <c r="A2522" s="6" t="str">
        <f>HYPERLINK("proteomic_fractions_linear_files/Yang_linear_img/21553307.jpg", "21553307")</f>
        <v>21553307</v>
      </c>
      <c r="B2522" s="7"/>
      <c r="C2522" s="6" t="str">
        <f>HYPERLINK("http://www.ncbi.nlm.nih.gov/protein/21553307","Flywch2")</f>
        <v>Flywch2</v>
      </c>
      <c r="D2522" s="8"/>
      <c r="E2522" s="8">
        <v>14327</v>
      </c>
      <c r="F2522" s="8"/>
      <c r="G2522" s="15" t="s">
        <v>10</v>
      </c>
      <c r="H2522" s="15" t="s">
        <v>10</v>
      </c>
      <c r="I2522" s="15" t="s">
        <v>10</v>
      </c>
      <c r="J2522" s="15" t="s">
        <v>10</v>
      </c>
      <c r="K2522" s="15" t="s">
        <v>10</v>
      </c>
      <c r="L2522" s="15" t="s">
        <v>10</v>
      </c>
      <c r="M2522" s="15" t="s">
        <v>10</v>
      </c>
      <c r="N2522" s="15" t="s">
        <v>10</v>
      </c>
      <c r="O2522" s="15">
        <v>1.5568387336199108</v>
      </c>
      <c r="P2522" s="15">
        <v>1.5568387336199108</v>
      </c>
      <c r="Q2522" s="8"/>
      <c r="R2522" s="9" t="s">
        <v>2496</v>
      </c>
    </row>
    <row r="2523" spans="1:18" x14ac:dyDescent="0.25">
      <c r="A2523" s="6" t="str">
        <f>HYPERLINK("proteomic_fractions_linear_files/Yang_linear_img/112807205.jpg", "112807205")</f>
        <v>112807205</v>
      </c>
      <c r="B2523" s="7"/>
      <c r="C2523" s="6" t="str">
        <f>HYPERLINK("http://www.ncbi.nlm.nih.gov/protein/112807205","Fmn1")</f>
        <v>Fmn1</v>
      </c>
      <c r="D2523" s="8"/>
      <c r="E2523" s="8">
        <v>163450</v>
      </c>
      <c r="F2523" s="8"/>
      <c r="G2523" s="15" t="s">
        <v>10</v>
      </c>
      <c r="H2523" s="15" t="s">
        <v>10</v>
      </c>
      <c r="I2523" s="15" t="s">
        <v>10</v>
      </c>
      <c r="J2523" s="15" t="s">
        <v>10</v>
      </c>
      <c r="K2523" s="15" t="s">
        <v>10</v>
      </c>
      <c r="L2523" s="15" t="s">
        <v>10</v>
      </c>
      <c r="M2523" s="15">
        <v>0.21198390509493978</v>
      </c>
      <c r="N2523" s="15">
        <v>0.21198390509493978</v>
      </c>
      <c r="O2523" s="15">
        <v>0.19683480279591159</v>
      </c>
      <c r="P2523" s="15">
        <v>0.19683480279591159</v>
      </c>
      <c r="Q2523" s="8"/>
      <c r="R2523" s="9" t="s">
        <v>2497</v>
      </c>
    </row>
    <row r="2524" spans="1:18" x14ac:dyDescent="0.25">
      <c r="A2524" s="6" t="str">
        <f>HYPERLINK("proteomic_fractions_linear_files/Yang_linear_img/112807211.jpg", "112807211")</f>
        <v>112807211</v>
      </c>
      <c r="B2524" s="7"/>
      <c r="C2524" s="6" t="str">
        <f>HYPERLINK("http://www.ncbi.nlm.nih.gov/protein/112807211","Fmn1")</f>
        <v>Fmn1</v>
      </c>
      <c r="D2524" s="8"/>
      <c r="E2524" s="8">
        <v>159260</v>
      </c>
      <c r="F2524" s="8"/>
      <c r="G2524" s="15" t="s">
        <v>10</v>
      </c>
      <c r="H2524" s="15" t="s">
        <v>10</v>
      </c>
      <c r="I2524" s="15" t="s">
        <v>10</v>
      </c>
      <c r="J2524" s="15" t="s">
        <v>10</v>
      </c>
      <c r="K2524" s="15" t="s">
        <v>10</v>
      </c>
      <c r="L2524" s="15" t="s">
        <v>10</v>
      </c>
      <c r="M2524" s="15">
        <v>0.21731683352500117</v>
      </c>
      <c r="N2524" s="15">
        <v>0.21731683352500117</v>
      </c>
      <c r="O2524" s="15">
        <v>0.2017866217341735</v>
      </c>
      <c r="P2524" s="15">
        <v>0.2017866217341735</v>
      </c>
      <c r="Q2524" s="8"/>
      <c r="R2524" s="9" t="s">
        <v>2498</v>
      </c>
    </row>
    <row r="2525" spans="1:18" x14ac:dyDescent="0.25">
      <c r="A2525" s="6" t="str">
        <f>HYPERLINK("proteomic_fractions_linear_files/Yang_linear_img/118136288.jpg", "118136288")</f>
        <v>118136288</v>
      </c>
      <c r="B2525" s="7"/>
      <c r="C2525" s="6" t="str">
        <f>HYPERLINK("http://www.ncbi.nlm.nih.gov/protein/118136288","Fmnl1")</f>
        <v>Fmnl1</v>
      </c>
      <c r="D2525" s="8"/>
      <c r="E2525" s="8">
        <v>121929</v>
      </c>
      <c r="F2525" s="8"/>
      <c r="G2525" s="15" t="s">
        <v>10</v>
      </c>
      <c r="H2525" s="15" t="s">
        <v>10</v>
      </c>
      <c r="I2525" s="15" t="s">
        <v>10</v>
      </c>
      <c r="J2525" s="15" t="s">
        <v>10</v>
      </c>
      <c r="K2525" s="15">
        <v>1.5308674724585276</v>
      </c>
      <c r="L2525" s="15">
        <v>1.5308674724585276</v>
      </c>
      <c r="M2525" s="15" t="s">
        <v>10</v>
      </c>
      <c r="N2525" s="15" t="s">
        <v>10</v>
      </c>
      <c r="O2525" s="15" t="s">
        <v>10</v>
      </c>
      <c r="P2525" s="15" t="s">
        <v>10</v>
      </c>
      <c r="Q2525" s="8"/>
      <c r="R2525" s="9" t="s">
        <v>2499</v>
      </c>
    </row>
    <row r="2526" spans="1:18" x14ac:dyDescent="0.25">
      <c r="A2526" s="6" t="str">
        <f>HYPERLINK("proteomic_fractions_linear_files/Yang_linear_img/118136290.jpg", "118136290")</f>
        <v>118136290</v>
      </c>
      <c r="B2526" s="7"/>
      <c r="C2526" s="6" t="str">
        <f>HYPERLINK("http://www.ncbi.nlm.nih.gov/protein/118136290","Fmnl1")</f>
        <v>Fmnl1</v>
      </c>
      <c r="D2526" s="8"/>
      <c r="E2526" s="8">
        <v>121411</v>
      </c>
      <c r="F2526" s="8"/>
      <c r="G2526" s="15" t="s">
        <v>10</v>
      </c>
      <c r="H2526" s="15" t="s">
        <v>10</v>
      </c>
      <c r="I2526" s="15" t="s">
        <v>10</v>
      </c>
      <c r="J2526" s="15" t="s">
        <v>10</v>
      </c>
      <c r="K2526" s="15">
        <v>1.5435192697515732</v>
      </c>
      <c r="L2526" s="15">
        <v>1.5435192697515732</v>
      </c>
      <c r="M2526" s="15" t="s">
        <v>10</v>
      </c>
      <c r="N2526" s="15" t="s">
        <v>10</v>
      </c>
      <c r="O2526" s="15" t="s">
        <v>10</v>
      </c>
      <c r="P2526" s="15" t="s">
        <v>10</v>
      </c>
      <c r="Q2526" s="8"/>
      <c r="R2526" s="9" t="s">
        <v>2500</v>
      </c>
    </row>
    <row r="2527" spans="1:18" x14ac:dyDescent="0.25">
      <c r="A2527" s="6" t="str">
        <f>HYPERLINK("proteomic_fractions_linear_files/Yang_linear_img/124378048.jpg", "124378048")</f>
        <v>124378048</v>
      </c>
      <c r="B2527" s="7"/>
      <c r="C2527" s="6" t="str">
        <f>HYPERLINK("http://www.ncbi.nlm.nih.gov/protein/124378048","Fmnl2")</f>
        <v>Fmnl2</v>
      </c>
      <c r="D2527" s="8"/>
      <c r="E2527" s="8">
        <v>122782</v>
      </c>
      <c r="F2527" s="8"/>
      <c r="G2527" s="15">
        <v>1.5184213954466697</v>
      </c>
      <c r="H2527" s="15">
        <v>1.5184213954466697</v>
      </c>
      <c r="I2527" s="15">
        <v>1.2475843181808279</v>
      </c>
      <c r="J2527" s="15">
        <v>1.2475843181808279</v>
      </c>
      <c r="K2527" s="15">
        <v>1.5184213954466697</v>
      </c>
      <c r="L2527" s="15">
        <v>1.5184213954466697</v>
      </c>
      <c r="M2527" s="15">
        <v>1.5184213954466697</v>
      </c>
      <c r="N2527" s="15">
        <v>1.2475843181808279</v>
      </c>
      <c r="O2527" s="15">
        <v>1.2475843181808279</v>
      </c>
      <c r="P2527" s="15">
        <v>1.2475843181808279</v>
      </c>
      <c r="Q2527" s="8"/>
      <c r="R2527" s="9" t="s">
        <v>2501</v>
      </c>
    </row>
    <row r="2528" spans="1:18" x14ac:dyDescent="0.25">
      <c r="A2528" s="6" t="str">
        <f>HYPERLINK("proteomic_fractions_linear_files/Yang_linear_img/38708163.jpg", "38708163")</f>
        <v>38708163</v>
      </c>
      <c r="B2528" s="7"/>
      <c r="C2528" s="6" t="str">
        <f>HYPERLINK("http://www.ncbi.nlm.nih.gov/protein/38708163","Fmnl3")</f>
        <v>Fmnl3</v>
      </c>
      <c r="D2528" s="8"/>
      <c r="E2528" s="8">
        <v>117038</v>
      </c>
      <c r="F2528" s="8"/>
      <c r="G2528" s="15">
        <v>1.5962891593157296</v>
      </c>
      <c r="H2528" s="15">
        <v>1.5962891593157296</v>
      </c>
      <c r="I2528" s="15">
        <v>1.3115630011644601</v>
      </c>
      <c r="J2528" s="15">
        <v>1.3115630011644601</v>
      </c>
      <c r="K2528" s="15">
        <v>1.3115630011644601</v>
      </c>
      <c r="L2528" s="15">
        <v>1.3115630011644601</v>
      </c>
      <c r="M2528" s="15">
        <v>1.3115630011644601</v>
      </c>
      <c r="N2528" s="15">
        <v>1.3115630011644601</v>
      </c>
      <c r="O2528" s="15">
        <v>1.3115630011644601</v>
      </c>
      <c r="P2528" s="15">
        <v>1.3115630011644601</v>
      </c>
      <c r="Q2528" s="8"/>
      <c r="R2528" s="9" t="s">
        <v>2502</v>
      </c>
    </row>
    <row r="2529" spans="1:18" x14ac:dyDescent="0.25">
      <c r="A2529" s="6" t="str">
        <f>HYPERLINK("proteomic_fractions_linear_files/Yang_linear_img/31542819.jpg", "31542819")</f>
        <v>31542819</v>
      </c>
      <c r="B2529" s="7"/>
      <c r="C2529" s="6" t="str">
        <f>HYPERLINK("http://www.ncbi.nlm.nih.gov/protein/31542819","Fmo2")</f>
        <v>Fmo2</v>
      </c>
      <c r="D2529" s="8"/>
      <c r="E2529" s="8">
        <v>60844</v>
      </c>
      <c r="F2529" s="8"/>
      <c r="G2529" s="15" t="s">
        <v>10</v>
      </c>
      <c r="H2529" s="15" t="s">
        <v>10</v>
      </c>
      <c r="I2529" s="15" t="s">
        <v>10</v>
      </c>
      <c r="J2529" s="15" t="s">
        <v>10</v>
      </c>
      <c r="K2529" s="15" t="s">
        <v>10</v>
      </c>
      <c r="L2529" s="15" t="s">
        <v>10</v>
      </c>
      <c r="M2529" s="15" t="s">
        <v>10</v>
      </c>
      <c r="N2529" s="15" t="s">
        <v>10</v>
      </c>
      <c r="O2529" s="15">
        <v>0.79163894400680745</v>
      </c>
      <c r="P2529" s="15">
        <v>0.79163894400680745</v>
      </c>
      <c r="Q2529" s="8"/>
      <c r="R2529" s="9" t="s">
        <v>2503</v>
      </c>
    </row>
    <row r="2530" spans="1:18" x14ac:dyDescent="0.25">
      <c r="A2530" s="6" t="str">
        <f>HYPERLINK("proteomic_fractions_linear_files/Yang_linear_img/51036613.jpg", "51036613")</f>
        <v>51036613</v>
      </c>
      <c r="B2530" s="7"/>
      <c r="C2530" s="6" t="str">
        <f>HYPERLINK("http://www.ncbi.nlm.nih.gov/protein/51036613","Fmr1")</f>
        <v>Fmr1</v>
      </c>
      <c r="D2530" s="8"/>
      <c r="E2530" s="8">
        <v>68759</v>
      </c>
      <c r="F2530" s="8"/>
      <c r="G2530" s="15">
        <v>0.58706258265540212</v>
      </c>
      <c r="H2530" s="15">
        <v>0.58706258265540212</v>
      </c>
      <c r="I2530" s="15">
        <v>0.63950129343428219</v>
      </c>
      <c r="J2530" s="15">
        <v>0.63950129343428219</v>
      </c>
      <c r="K2530" s="15">
        <v>1.2043283836687515</v>
      </c>
      <c r="L2530" s="15">
        <v>1.2043283836687515</v>
      </c>
      <c r="M2530" s="15">
        <v>1.2043283836687515</v>
      </c>
      <c r="N2530" s="15">
        <v>1.2043283836687515</v>
      </c>
      <c r="O2530" s="15" t="s">
        <v>10</v>
      </c>
      <c r="P2530" s="15" t="s">
        <v>10</v>
      </c>
      <c r="Q2530" s="8"/>
      <c r="R2530" s="9" t="s">
        <v>2504</v>
      </c>
    </row>
    <row r="2531" spans="1:18" x14ac:dyDescent="0.25">
      <c r="A2531" s="6" t="str">
        <f>HYPERLINK("proteomic_fractions_linear_files/Yang_linear_img/449083336.jpg", "449083336")</f>
        <v>449083336</v>
      </c>
      <c r="B2531" s="7"/>
      <c r="C2531" s="6" t="str">
        <f>HYPERLINK("http://www.ncbi.nlm.nih.gov/protein/449083336","Fn1")</f>
        <v>Fn1</v>
      </c>
      <c r="D2531" s="8"/>
      <c r="E2531" s="8">
        <v>260064</v>
      </c>
      <c r="F2531" s="8"/>
      <c r="G2531" s="15" t="s">
        <v>10</v>
      </c>
      <c r="H2531" s="15" t="s">
        <v>10</v>
      </c>
      <c r="I2531" s="15">
        <v>23.050384615384615</v>
      </c>
      <c r="J2531" s="15">
        <v>23.050384615384615</v>
      </c>
      <c r="K2531" s="15" t="s">
        <v>10</v>
      </c>
      <c r="L2531" s="15" t="s">
        <v>10</v>
      </c>
      <c r="M2531" s="15" t="s">
        <v>10</v>
      </c>
      <c r="N2531" s="15" t="s">
        <v>10</v>
      </c>
      <c r="O2531" s="15" t="s">
        <v>10</v>
      </c>
      <c r="P2531" s="15" t="s">
        <v>10</v>
      </c>
      <c r="Q2531" s="8"/>
      <c r="R2531" s="9" t="s">
        <v>2505</v>
      </c>
    </row>
    <row r="2532" spans="1:18" x14ac:dyDescent="0.25">
      <c r="A2532" s="6" t="str">
        <f>HYPERLINK("proteomic_fractions_linear_files/Yang_linear_img/449083339.jpg", "449083339")</f>
        <v>449083339</v>
      </c>
      <c r="B2532" s="7"/>
      <c r="C2532" s="6" t="str">
        <f>HYPERLINK("http://www.ncbi.nlm.nih.gov/protein/449083339","Fn1")</f>
        <v>Fn1</v>
      </c>
      <c r="D2532" s="8"/>
      <c r="E2532" s="8">
        <v>257350</v>
      </c>
      <c r="F2532" s="8"/>
      <c r="G2532" s="15" t="s">
        <v>10</v>
      </c>
      <c r="H2532" s="15" t="s">
        <v>10</v>
      </c>
      <c r="I2532" s="15">
        <v>23.319455252918289</v>
      </c>
      <c r="J2532" s="15">
        <v>23.319455252918289</v>
      </c>
      <c r="K2532" s="15" t="s">
        <v>10</v>
      </c>
      <c r="L2532" s="15" t="s">
        <v>10</v>
      </c>
      <c r="M2532" s="15" t="s">
        <v>10</v>
      </c>
      <c r="N2532" s="15" t="s">
        <v>10</v>
      </c>
      <c r="O2532" s="15" t="s">
        <v>10</v>
      </c>
      <c r="P2532" s="15" t="s">
        <v>10</v>
      </c>
      <c r="Q2532" s="8"/>
      <c r="R2532" s="9" t="s">
        <v>2506</v>
      </c>
    </row>
    <row r="2533" spans="1:18" x14ac:dyDescent="0.25">
      <c r="A2533" s="6" t="str">
        <f>HYPERLINK("proteomic_fractions_linear_files/Yang_linear_img/449083341.jpg", "449083341")</f>
        <v>449083341</v>
      </c>
      <c r="B2533" s="7"/>
      <c r="C2533" s="6" t="str">
        <f>HYPERLINK("http://www.ncbi.nlm.nih.gov/protein/449083341","Fn1")</f>
        <v>Fn1</v>
      </c>
      <c r="D2533" s="8"/>
      <c r="E2533" s="8">
        <v>250233</v>
      </c>
      <c r="F2533" s="8"/>
      <c r="G2533" s="15" t="s">
        <v>10</v>
      </c>
      <c r="H2533" s="15" t="s">
        <v>10</v>
      </c>
      <c r="I2533" s="15">
        <v>23.9724</v>
      </c>
      <c r="J2533" s="15">
        <v>23.9724</v>
      </c>
      <c r="K2533" s="15" t="s">
        <v>10</v>
      </c>
      <c r="L2533" s="15" t="s">
        <v>10</v>
      </c>
      <c r="M2533" s="15" t="s">
        <v>10</v>
      </c>
      <c r="N2533" s="15" t="s">
        <v>10</v>
      </c>
      <c r="O2533" s="15" t="s">
        <v>10</v>
      </c>
      <c r="P2533" s="15" t="s">
        <v>10</v>
      </c>
      <c r="Q2533" s="8"/>
      <c r="R2533" s="9" t="s">
        <v>2507</v>
      </c>
    </row>
    <row r="2534" spans="1:18" x14ac:dyDescent="0.25">
      <c r="A2534" s="6" t="str">
        <f>HYPERLINK("proteomic_fractions_linear_files/Yang_linear_img/449083343.jpg", "449083343")</f>
        <v>449083343</v>
      </c>
      <c r="B2534" s="7"/>
      <c r="C2534" s="6" t="str">
        <f>HYPERLINK("http://www.ncbi.nlm.nih.gov/protein/449083343","Fn1")</f>
        <v>Fn1</v>
      </c>
      <c r="D2534" s="8"/>
      <c r="E2534" s="8">
        <v>247519</v>
      </c>
      <c r="F2534" s="8"/>
      <c r="G2534" s="15" t="s">
        <v>10</v>
      </c>
      <c r="H2534" s="15" t="s">
        <v>10</v>
      </c>
      <c r="I2534" s="15">
        <v>24.165725806451615</v>
      </c>
      <c r="J2534" s="15">
        <v>24.165725806451615</v>
      </c>
      <c r="K2534" s="15" t="s">
        <v>10</v>
      </c>
      <c r="L2534" s="15" t="s">
        <v>10</v>
      </c>
      <c r="M2534" s="15" t="s">
        <v>10</v>
      </c>
      <c r="N2534" s="15" t="s">
        <v>10</v>
      </c>
      <c r="O2534" s="15" t="s">
        <v>10</v>
      </c>
      <c r="P2534" s="15" t="s">
        <v>10</v>
      </c>
      <c r="Q2534" s="8"/>
      <c r="R2534" s="9" t="s">
        <v>2508</v>
      </c>
    </row>
    <row r="2535" spans="1:18" x14ac:dyDescent="0.25">
      <c r="A2535" s="6" t="str">
        <f>HYPERLINK("proteomic_fractions_linear_files/Yang_linear_img/449083345.jpg", "449083345")</f>
        <v>449083345</v>
      </c>
      <c r="B2535" s="7"/>
      <c r="C2535" s="6" t="str">
        <f>HYPERLINK("http://www.ncbi.nlm.nih.gov/protein/449083345","Fn1")</f>
        <v>Fn1</v>
      </c>
      <c r="D2535" s="8"/>
      <c r="E2535" s="8">
        <v>246774</v>
      </c>
      <c r="F2535" s="8"/>
      <c r="G2535" s="15" t="s">
        <v>10</v>
      </c>
      <c r="H2535" s="15" t="s">
        <v>10</v>
      </c>
      <c r="I2535" s="15">
        <v>24.263562753036439</v>
      </c>
      <c r="J2535" s="15">
        <v>24.263562753036439</v>
      </c>
      <c r="K2535" s="15" t="s">
        <v>10</v>
      </c>
      <c r="L2535" s="15" t="s">
        <v>10</v>
      </c>
      <c r="M2535" s="15" t="s">
        <v>10</v>
      </c>
      <c r="N2535" s="15" t="s">
        <v>10</v>
      </c>
      <c r="O2535" s="15" t="s">
        <v>10</v>
      </c>
      <c r="P2535" s="15" t="s">
        <v>10</v>
      </c>
      <c r="Q2535" s="8"/>
      <c r="R2535" s="9" t="s">
        <v>2509</v>
      </c>
    </row>
    <row r="2536" spans="1:18" x14ac:dyDescent="0.25">
      <c r="A2536" s="6" t="str">
        <f>HYPERLINK("proteomic_fractions_linear_files/Yang_linear_img/449083347.jpg", "449083347")</f>
        <v>449083347</v>
      </c>
      <c r="B2536" s="7"/>
      <c r="C2536" s="6" t="str">
        <f>HYPERLINK("http://www.ncbi.nlm.nih.gov/protein/449083347","Fn1")</f>
        <v>Fn1</v>
      </c>
      <c r="D2536" s="8"/>
      <c r="E2536" s="8">
        <v>236943</v>
      </c>
      <c r="F2536" s="8"/>
      <c r="G2536" s="15" t="s">
        <v>10</v>
      </c>
      <c r="H2536" s="15" t="s">
        <v>10</v>
      </c>
      <c r="I2536" s="15">
        <v>25.287341772151901</v>
      </c>
      <c r="J2536" s="15">
        <v>25.287341772151901</v>
      </c>
      <c r="K2536" s="15" t="s">
        <v>10</v>
      </c>
      <c r="L2536" s="15" t="s">
        <v>10</v>
      </c>
      <c r="M2536" s="15" t="s">
        <v>10</v>
      </c>
      <c r="N2536" s="15" t="s">
        <v>10</v>
      </c>
      <c r="O2536" s="15" t="s">
        <v>10</v>
      </c>
      <c r="P2536" s="15" t="s">
        <v>10</v>
      </c>
      <c r="Q2536" s="8"/>
      <c r="R2536" s="9" t="s">
        <v>2510</v>
      </c>
    </row>
    <row r="2537" spans="1:18" x14ac:dyDescent="0.25">
      <c r="A2537" s="6" t="str">
        <f>HYPERLINK("proteomic_fractions_linear_files/Yang_linear_img/46849812.jpg", "46849812")</f>
        <v>46849812</v>
      </c>
      <c r="B2537" s="7"/>
      <c r="C2537" s="6" t="str">
        <f>HYPERLINK("http://www.ncbi.nlm.nih.gov/protein/46849812","Fn1")</f>
        <v>Fn1</v>
      </c>
      <c r="D2537" s="8"/>
      <c r="E2537" s="8">
        <v>269760</v>
      </c>
      <c r="F2537" s="8"/>
      <c r="G2537" s="15" t="s">
        <v>10</v>
      </c>
      <c r="H2537" s="15" t="s">
        <v>10</v>
      </c>
      <c r="I2537" s="15">
        <v>22.196666666666669</v>
      </c>
      <c r="J2537" s="15">
        <v>22.196666666666669</v>
      </c>
      <c r="K2537" s="15" t="s">
        <v>10</v>
      </c>
      <c r="L2537" s="15" t="s">
        <v>10</v>
      </c>
      <c r="M2537" s="15" t="s">
        <v>10</v>
      </c>
      <c r="N2537" s="15" t="s">
        <v>10</v>
      </c>
      <c r="O2537" s="15" t="s">
        <v>10</v>
      </c>
      <c r="P2537" s="15" t="s">
        <v>10</v>
      </c>
      <c r="Q2537" s="8"/>
      <c r="R2537" s="9" t="s">
        <v>2511</v>
      </c>
    </row>
    <row r="2538" spans="1:18" x14ac:dyDescent="0.25">
      <c r="A2538" s="6" t="str">
        <f>HYPERLINK("proteomic_fractions_linear_files/Yang_linear_img/11528496.jpg", "11528496")</f>
        <v>11528496</v>
      </c>
      <c r="B2538" s="7"/>
      <c r="C2538" s="6" t="str">
        <f>HYPERLINK("http://www.ncbi.nlm.nih.gov/protein/11528496","Fn3k")</f>
        <v>Fn3k</v>
      </c>
      <c r="D2538" s="8"/>
      <c r="E2538" s="8">
        <v>34901</v>
      </c>
      <c r="F2538" s="8"/>
      <c r="G2538" s="15" t="s">
        <v>10</v>
      </c>
      <c r="H2538" s="15" t="s">
        <v>10</v>
      </c>
      <c r="I2538" s="15" t="s">
        <v>10</v>
      </c>
      <c r="J2538" s="15" t="s">
        <v>10</v>
      </c>
      <c r="K2538" s="15" t="s">
        <v>10</v>
      </c>
      <c r="L2538" s="15" t="s">
        <v>10</v>
      </c>
      <c r="M2538" s="15" t="s">
        <v>10</v>
      </c>
      <c r="N2538" s="15" t="s">
        <v>10</v>
      </c>
      <c r="O2538" s="15">
        <v>0.91668779587810256</v>
      </c>
      <c r="P2538" s="15">
        <v>0.91668779587810256</v>
      </c>
      <c r="Q2538" s="8"/>
      <c r="R2538" s="9" t="s">
        <v>2512</v>
      </c>
    </row>
    <row r="2539" spans="1:18" x14ac:dyDescent="0.25">
      <c r="A2539" s="6" t="str">
        <f>HYPERLINK("proteomic_fractions_linear_files/Yang_linear_img/84662727.jpg", "84662727")</f>
        <v>84662727</v>
      </c>
      <c r="B2539" s="7"/>
      <c r="C2539" s="6" t="str">
        <f>HYPERLINK("http://www.ncbi.nlm.nih.gov/protein/84662727","Fn3k")</f>
        <v>Fn3k</v>
      </c>
      <c r="D2539" s="8"/>
      <c r="E2539" s="8">
        <v>22556</v>
      </c>
      <c r="F2539" s="8"/>
      <c r="G2539" s="15" t="s">
        <v>10</v>
      </c>
      <c r="H2539" s="15" t="s">
        <v>10</v>
      </c>
      <c r="I2539" s="15" t="s">
        <v>10</v>
      </c>
      <c r="J2539" s="15" t="s">
        <v>10</v>
      </c>
      <c r="K2539" s="15" t="s">
        <v>10</v>
      </c>
      <c r="L2539" s="15" t="s">
        <v>10</v>
      </c>
      <c r="M2539" s="15" t="s">
        <v>10</v>
      </c>
      <c r="N2539" s="15" t="s">
        <v>10</v>
      </c>
      <c r="O2539" s="15">
        <v>1.3949596893797211</v>
      </c>
      <c r="P2539" s="15">
        <v>1.3949596893797211</v>
      </c>
      <c r="Q2539" s="8"/>
      <c r="R2539" s="9" t="s">
        <v>2513</v>
      </c>
    </row>
    <row r="2540" spans="1:18" x14ac:dyDescent="0.25">
      <c r="A2540" s="6" t="str">
        <f>HYPERLINK("proteomic_fractions_linear_files/Yang_linear_img/253970463.jpg", "253970463")</f>
        <v>253970463</v>
      </c>
      <c r="B2540" s="7"/>
      <c r="C2540" s="6" t="str">
        <f>HYPERLINK("http://www.ncbi.nlm.nih.gov/protein/253970463","Fn3krp")</f>
        <v>Fn3krp</v>
      </c>
      <c r="D2540" s="8"/>
      <c r="E2540" s="8">
        <v>34337</v>
      </c>
      <c r="F2540" s="8"/>
      <c r="G2540" s="15" t="s">
        <v>10</v>
      </c>
      <c r="H2540" s="15" t="s">
        <v>10</v>
      </c>
      <c r="I2540" s="15">
        <v>0.94364920163922317</v>
      </c>
      <c r="J2540" s="15">
        <v>0.94364920163922317</v>
      </c>
      <c r="K2540" s="15">
        <v>0.94364920163922317</v>
      </c>
      <c r="L2540" s="15">
        <v>0.94364920163922317</v>
      </c>
      <c r="M2540" s="15">
        <v>0.94364920163922317</v>
      </c>
      <c r="N2540" s="15">
        <v>0.94364920163922317</v>
      </c>
      <c r="O2540" s="15">
        <v>0.82112386169653118</v>
      </c>
      <c r="P2540" s="15">
        <v>0.82112386169653118</v>
      </c>
      <c r="Q2540" s="8"/>
      <c r="R2540" s="9" t="s">
        <v>2514</v>
      </c>
    </row>
    <row r="2541" spans="1:18" x14ac:dyDescent="0.25">
      <c r="A2541" s="6" t="str">
        <f>HYPERLINK("proteomic_fractions_linear_files/Yang_linear_img/294997322.jpg", "294997322")</f>
        <v>294997322</v>
      </c>
      <c r="B2541" s="7"/>
      <c r="C2541" s="6" t="str">
        <f>HYPERLINK("http://www.ncbi.nlm.nih.gov/protein/294997322","Fnbp1")</f>
        <v>Fnbp1</v>
      </c>
      <c r="D2541" s="8"/>
      <c r="E2541" s="8">
        <v>71213</v>
      </c>
      <c r="F2541" s="8"/>
      <c r="G2541" s="15" t="s">
        <v>10</v>
      </c>
      <c r="H2541" s="15" t="s">
        <v>10</v>
      </c>
      <c r="I2541" s="15" t="s">
        <v>10</v>
      </c>
      <c r="J2541" s="15" t="s">
        <v>10</v>
      </c>
      <c r="K2541" s="15" t="s">
        <v>10</v>
      </c>
      <c r="L2541" s="15" t="s">
        <v>10</v>
      </c>
      <c r="M2541" s="15">
        <v>1.3375771997547115</v>
      </c>
      <c r="N2541" s="15">
        <v>1.3375771997547115</v>
      </c>
      <c r="O2541" s="15" t="s">
        <v>10</v>
      </c>
      <c r="P2541" s="15" t="s">
        <v>10</v>
      </c>
      <c r="Q2541" s="8"/>
      <c r="R2541" s="9" t="s">
        <v>2515</v>
      </c>
    </row>
    <row r="2542" spans="1:18" x14ac:dyDescent="0.25">
      <c r="A2542" s="6" t="str">
        <f>HYPERLINK("proteomic_fractions_linear_files/Yang_linear_img/294997326.jpg", "294997326")</f>
        <v>294997326</v>
      </c>
      <c r="B2542" s="7"/>
      <c r="C2542" s="6" t="str">
        <f>HYPERLINK("http://www.ncbi.nlm.nih.gov/protein/294997326","Fnbp1")</f>
        <v>Fnbp1</v>
      </c>
      <c r="D2542" s="8"/>
      <c r="E2542" s="8">
        <v>64096</v>
      </c>
      <c r="F2542" s="8"/>
      <c r="G2542" s="15" t="s">
        <v>10</v>
      </c>
      <c r="H2542" s="15" t="s">
        <v>10</v>
      </c>
      <c r="I2542" s="15" t="s">
        <v>10</v>
      </c>
      <c r="J2542" s="15" t="s">
        <v>10</v>
      </c>
      <c r="K2542" s="15" t="s">
        <v>10</v>
      </c>
      <c r="L2542" s="15" t="s">
        <v>10</v>
      </c>
      <c r="M2542" s="15">
        <v>1.483874705977883</v>
      </c>
      <c r="N2542" s="15">
        <v>1.483874705977883</v>
      </c>
      <c r="O2542" s="15" t="s">
        <v>10</v>
      </c>
      <c r="P2542" s="15" t="s">
        <v>10</v>
      </c>
      <c r="Q2542" s="8"/>
      <c r="R2542" s="9" t="s">
        <v>2516</v>
      </c>
    </row>
    <row r="2543" spans="1:18" x14ac:dyDescent="0.25">
      <c r="A2543" s="6" t="str">
        <f>HYPERLINK("proteomic_fractions_linear_files/Yang_linear_img/294997328.jpg", "294997328")</f>
        <v>294997328</v>
      </c>
      <c r="B2543" s="7"/>
      <c r="C2543" s="6" t="str">
        <f>HYPERLINK("http://www.ncbi.nlm.nih.gov/protein/294997328","Fnbp1")</f>
        <v>Fnbp1</v>
      </c>
      <c r="D2543" s="8"/>
      <c r="E2543" s="8">
        <v>59955</v>
      </c>
      <c r="F2543" s="8"/>
      <c r="G2543" s="15" t="s">
        <v>10</v>
      </c>
      <c r="H2543" s="15" t="s">
        <v>10</v>
      </c>
      <c r="I2543" s="15" t="s">
        <v>10</v>
      </c>
      <c r="J2543" s="15" t="s">
        <v>10</v>
      </c>
      <c r="K2543" s="15" t="s">
        <v>10</v>
      </c>
      <c r="L2543" s="15" t="s">
        <v>10</v>
      </c>
      <c r="M2543" s="15">
        <v>1.5827996863764084</v>
      </c>
      <c r="N2543" s="15">
        <v>1.5827996863764084</v>
      </c>
      <c r="O2543" s="15" t="s">
        <v>10</v>
      </c>
      <c r="P2543" s="15" t="s">
        <v>10</v>
      </c>
      <c r="Q2543" s="8"/>
      <c r="R2543" s="9" t="s">
        <v>2517</v>
      </c>
    </row>
    <row r="2544" spans="1:18" x14ac:dyDescent="0.25">
      <c r="A2544" s="6" t="str">
        <f>HYPERLINK("proteomic_fractions_linear_files/Yang_linear_img/84662770.jpg", "84662770")</f>
        <v>84662770</v>
      </c>
      <c r="B2544" s="7"/>
      <c r="C2544" s="6" t="str">
        <f>HYPERLINK("http://www.ncbi.nlm.nih.gov/protein/84662770","Fnbp1")</f>
        <v>Fnbp1</v>
      </c>
      <c r="D2544" s="8"/>
      <c r="E2544" s="8">
        <v>64008</v>
      </c>
      <c r="F2544" s="8"/>
      <c r="G2544" s="15" t="s">
        <v>10</v>
      </c>
      <c r="H2544" s="15" t="s">
        <v>10</v>
      </c>
      <c r="I2544" s="15" t="s">
        <v>10</v>
      </c>
      <c r="J2544" s="15" t="s">
        <v>10</v>
      </c>
      <c r="K2544" s="15" t="s">
        <v>10</v>
      </c>
      <c r="L2544" s="15" t="s">
        <v>10</v>
      </c>
      <c r="M2544" s="15">
        <v>1.483874705977883</v>
      </c>
      <c r="N2544" s="15">
        <v>1.483874705977883</v>
      </c>
      <c r="O2544" s="15" t="s">
        <v>10</v>
      </c>
      <c r="P2544" s="15" t="s">
        <v>10</v>
      </c>
      <c r="Q2544" s="8"/>
      <c r="R2544" s="9" t="s">
        <v>2518</v>
      </c>
    </row>
    <row r="2545" spans="1:18" x14ac:dyDescent="0.25">
      <c r="A2545" s="6" t="str">
        <f>HYPERLINK("proteomic_fractions_linear_files/Yang_linear_img/167900464.jpg", "167900464")</f>
        <v>167900464</v>
      </c>
      <c r="B2545" s="7"/>
      <c r="C2545" s="6" t="str">
        <f>HYPERLINK("http://www.ncbi.nlm.nih.gov/protein/167900464","Fnbp1l")</f>
        <v>Fnbp1l</v>
      </c>
      <c r="D2545" s="8"/>
      <c r="E2545" s="8">
        <v>63844</v>
      </c>
      <c r="F2545" s="8"/>
      <c r="G2545" s="15" t="s">
        <v>10</v>
      </c>
      <c r="H2545" s="15" t="s">
        <v>10</v>
      </c>
      <c r="I2545" s="15">
        <v>1.1474400037762851</v>
      </c>
      <c r="J2545" s="15">
        <v>1.1474400037762851</v>
      </c>
      <c r="K2545" s="15">
        <v>1.1474400037762851</v>
      </c>
      <c r="L2545" s="15">
        <v>1.1474400037762851</v>
      </c>
      <c r="M2545" s="15">
        <v>1.1474400037762851</v>
      </c>
      <c r="N2545" s="15">
        <v>1.1474400037762851</v>
      </c>
      <c r="O2545" s="15" t="s">
        <v>10</v>
      </c>
      <c r="P2545" s="15" t="s">
        <v>10</v>
      </c>
      <c r="Q2545" s="8"/>
      <c r="R2545" s="9" t="s">
        <v>2519</v>
      </c>
    </row>
    <row r="2546" spans="1:18" x14ac:dyDescent="0.25">
      <c r="A2546" s="6" t="str">
        <f>HYPERLINK("proteomic_fractions_linear_files/Yang_linear_img/167900466.jpg", "167900466")</f>
        <v>167900466</v>
      </c>
      <c r="B2546" s="7"/>
      <c r="C2546" s="6" t="str">
        <f>HYPERLINK("http://www.ncbi.nlm.nih.gov/protein/167900466","Fnbp1l")</f>
        <v>Fnbp1l</v>
      </c>
      <c r="D2546" s="8"/>
      <c r="E2546" s="8">
        <v>70335</v>
      </c>
      <c r="F2546" s="8"/>
      <c r="G2546" s="15" t="s">
        <v>10</v>
      </c>
      <c r="H2546" s="15" t="s">
        <v>10</v>
      </c>
      <c r="I2546" s="15">
        <v>1.0490880034526036</v>
      </c>
      <c r="J2546" s="15">
        <v>1.0490880034526036</v>
      </c>
      <c r="K2546" s="15">
        <v>1.0490880034526036</v>
      </c>
      <c r="L2546" s="15">
        <v>1.0490880034526036</v>
      </c>
      <c r="M2546" s="15">
        <v>1.0490880034526036</v>
      </c>
      <c r="N2546" s="15">
        <v>1.0490880034526036</v>
      </c>
      <c r="O2546" s="15" t="s">
        <v>10</v>
      </c>
      <c r="P2546" s="15" t="s">
        <v>10</v>
      </c>
      <c r="Q2546" s="8"/>
      <c r="R2546" s="9" t="s">
        <v>2520</v>
      </c>
    </row>
    <row r="2547" spans="1:18" x14ac:dyDescent="0.25">
      <c r="A2547" s="6" t="str">
        <f>HYPERLINK("proteomic_fractions_linear_files/Yang_linear_img/9055220.jpg", "9055220")</f>
        <v>9055220</v>
      </c>
      <c r="B2547" s="7"/>
      <c r="C2547" s="6" t="str">
        <f>HYPERLINK("http://www.ncbi.nlm.nih.gov/protein/9055220","Fnbp4")</f>
        <v>Fnbp4</v>
      </c>
      <c r="D2547" s="8"/>
      <c r="E2547" s="8">
        <v>116181</v>
      </c>
      <c r="F2547" s="8"/>
      <c r="G2547" s="15" t="s">
        <v>10</v>
      </c>
      <c r="H2547" s="15" t="s">
        <v>10</v>
      </c>
      <c r="I2547" s="15" t="s">
        <v>10</v>
      </c>
      <c r="J2547" s="15" t="s">
        <v>10</v>
      </c>
      <c r="K2547" s="15" t="s">
        <v>10</v>
      </c>
      <c r="L2547" s="15" t="s">
        <v>10</v>
      </c>
      <c r="M2547" s="15" t="s">
        <v>10</v>
      </c>
      <c r="N2547" s="15" t="s">
        <v>10</v>
      </c>
      <c r="O2547" s="15">
        <v>1.6100502727581065</v>
      </c>
      <c r="P2547" s="15">
        <v>1.6100502727581065</v>
      </c>
      <c r="Q2547" s="8"/>
      <c r="R2547" s="9" t="s">
        <v>2521</v>
      </c>
    </row>
    <row r="2548" spans="1:18" x14ac:dyDescent="0.25">
      <c r="A2548" s="6" t="str">
        <f>HYPERLINK("proteomic_fractions_linear_files/Yang_linear_img/170932548.jpg", "170932548")</f>
        <v>170932548</v>
      </c>
      <c r="B2548" s="7"/>
      <c r="C2548" s="6" t="str">
        <f>HYPERLINK("http://www.ncbi.nlm.nih.gov/protein/170932548","Fndc3b")</f>
        <v>Fndc3b</v>
      </c>
      <c r="D2548" s="8"/>
      <c r="E2548" s="8">
        <v>132640</v>
      </c>
      <c r="F2548" s="8"/>
      <c r="G2548" s="15" t="s">
        <v>10</v>
      </c>
      <c r="H2548" s="15" t="s">
        <v>10</v>
      </c>
      <c r="I2548" s="15">
        <v>1.1537809859867807</v>
      </c>
      <c r="J2548" s="15">
        <v>1.1537809859867807</v>
      </c>
      <c r="K2548" s="15" t="s">
        <v>10</v>
      </c>
      <c r="L2548" s="15" t="s">
        <v>10</v>
      </c>
      <c r="M2548" s="15" t="s">
        <v>10</v>
      </c>
      <c r="N2548" s="15" t="s">
        <v>10</v>
      </c>
      <c r="O2548" s="15" t="s">
        <v>10</v>
      </c>
      <c r="P2548" s="15" t="s">
        <v>10</v>
      </c>
      <c r="Q2548" s="8"/>
      <c r="R2548" s="9" t="s">
        <v>2522</v>
      </c>
    </row>
    <row r="2549" spans="1:18" x14ac:dyDescent="0.25">
      <c r="A2549" s="6" t="str">
        <f>HYPERLINK("proteomic_fractions_linear_files/Yang_linear_img/6679821.jpg", "6679821")</f>
        <v>6679821</v>
      </c>
      <c r="B2549" s="7"/>
      <c r="C2549" s="6" t="str">
        <f>HYPERLINK("http://www.ncbi.nlm.nih.gov/protein/6679821","Fnta")</f>
        <v>Fnta</v>
      </c>
      <c r="D2549" s="8"/>
      <c r="E2549" s="8">
        <v>43882</v>
      </c>
      <c r="F2549" s="8"/>
      <c r="G2549" s="15" t="s">
        <v>10</v>
      </c>
      <c r="H2549" s="15" t="s">
        <v>10</v>
      </c>
      <c r="I2549" s="15">
        <v>1.0028543010673969</v>
      </c>
      <c r="J2549" s="15">
        <v>1.0028543010673969</v>
      </c>
      <c r="K2549" s="15">
        <v>1.0028543010673969</v>
      </c>
      <c r="L2549" s="15">
        <v>1.0028543010673969</v>
      </c>
      <c r="M2549" s="15" t="s">
        <v>10</v>
      </c>
      <c r="N2549" s="15" t="s">
        <v>10</v>
      </c>
      <c r="O2549" s="15">
        <v>0.9206208682550624</v>
      </c>
      <c r="P2549" s="15">
        <v>0.9206208682550624</v>
      </c>
      <c r="Q2549" s="8"/>
      <c r="R2549" s="9" t="s">
        <v>2523</v>
      </c>
    </row>
    <row r="2550" spans="1:18" x14ac:dyDescent="0.25">
      <c r="A2550" s="6" t="str">
        <f>HYPERLINK("proteomic_fractions_linear_files/Yang_linear_img/22122343.jpg", "22122343")</f>
        <v>22122343</v>
      </c>
      <c r="B2550" s="7"/>
      <c r="C2550" s="6" t="str">
        <f>HYPERLINK("http://www.ncbi.nlm.nih.gov/protein/22122343","Fntb")</f>
        <v>Fntb</v>
      </c>
      <c r="D2550" s="8"/>
      <c r="E2550" s="8">
        <v>48689</v>
      </c>
      <c r="F2550" s="8"/>
      <c r="G2550" s="15" t="s">
        <v>10</v>
      </c>
      <c r="H2550" s="15" t="s">
        <v>10</v>
      </c>
      <c r="I2550" s="15">
        <v>0.90052222952990757</v>
      </c>
      <c r="J2550" s="15">
        <v>0.90052222952990757</v>
      </c>
      <c r="K2550" s="15">
        <v>0.90052222952990757</v>
      </c>
      <c r="L2550" s="15">
        <v>0.90052222952990757</v>
      </c>
      <c r="M2550" s="15" t="s">
        <v>10</v>
      </c>
      <c r="N2550" s="15" t="s">
        <v>10</v>
      </c>
      <c r="O2550" s="15">
        <v>0.82667996333107641</v>
      </c>
      <c r="P2550" s="15">
        <v>0.82667996333107641</v>
      </c>
      <c r="Q2550" s="8"/>
      <c r="R2550" s="9" t="s">
        <v>2524</v>
      </c>
    </row>
    <row r="2551" spans="1:18" x14ac:dyDescent="0.25">
      <c r="A2551" s="6" t="str">
        <f>HYPERLINK("proteomic_fractions_linear_files/Yang_linear_img/124487123.jpg", "124487123")</f>
        <v>124487123</v>
      </c>
      <c r="B2551" s="7"/>
      <c r="C2551" s="6" t="str">
        <f>HYPERLINK("http://www.ncbi.nlm.nih.gov/protein/124487123","Focad")</f>
        <v>Focad</v>
      </c>
      <c r="D2551" s="8"/>
      <c r="E2551" s="8">
        <v>198820</v>
      </c>
      <c r="F2551" s="8"/>
      <c r="G2551" s="15" t="s">
        <v>10</v>
      </c>
      <c r="H2551" s="15" t="s">
        <v>10</v>
      </c>
      <c r="I2551" s="15" t="s">
        <v>10</v>
      </c>
      <c r="J2551" s="15" t="s">
        <v>10</v>
      </c>
      <c r="K2551" s="15">
        <v>1.1726675760193421</v>
      </c>
      <c r="L2551" s="15">
        <v>1.1726675760193421</v>
      </c>
      <c r="M2551" s="15">
        <v>1.1726675760193421</v>
      </c>
      <c r="N2551" s="15">
        <v>1.1726675760193421</v>
      </c>
      <c r="O2551" s="15" t="s">
        <v>10</v>
      </c>
      <c r="P2551" s="15" t="s">
        <v>10</v>
      </c>
      <c r="Q2551" s="8"/>
      <c r="R2551" s="9" t="s">
        <v>2525</v>
      </c>
    </row>
    <row r="2552" spans="1:18" x14ac:dyDescent="0.25">
      <c r="A2552" s="6" t="str">
        <f>HYPERLINK("proteomic_fractions_linear_files/Yang_linear_img/21313614.jpg", "21313614")</f>
        <v>21313614</v>
      </c>
      <c r="B2552" s="7"/>
      <c r="C2552" s="6" t="str">
        <f>HYPERLINK("http://www.ncbi.nlm.nih.gov/protein/21313614","Fopnl")</f>
        <v>Fopnl</v>
      </c>
      <c r="D2552" s="8"/>
      <c r="E2552" s="8">
        <v>19511</v>
      </c>
      <c r="F2552" s="8"/>
      <c r="G2552" s="15" t="s">
        <v>10</v>
      </c>
      <c r="H2552" s="15" t="s">
        <v>10</v>
      </c>
      <c r="I2552" s="15" t="s">
        <v>10</v>
      </c>
      <c r="J2552" s="15" t="s">
        <v>10</v>
      </c>
      <c r="K2552" s="15" t="s">
        <v>10</v>
      </c>
      <c r="L2552" s="15" t="s">
        <v>10</v>
      </c>
      <c r="M2552" s="15" t="s">
        <v>10</v>
      </c>
      <c r="N2552" s="15" t="s">
        <v>10</v>
      </c>
      <c r="O2552" s="15">
        <v>0.92476495822820426</v>
      </c>
      <c r="P2552" s="15">
        <v>0.92476495822820426</v>
      </c>
      <c r="Q2552" s="8"/>
      <c r="R2552" s="9" t="s">
        <v>2526</v>
      </c>
    </row>
    <row r="2553" spans="1:18" x14ac:dyDescent="0.25">
      <c r="A2553" s="6" t="str">
        <f>HYPERLINK("proteomic_fractions_linear_files/Yang_linear_img/34304111.jpg", "34304111")</f>
        <v>34304111</v>
      </c>
      <c r="B2553" s="7"/>
      <c r="C2553" s="6" t="str">
        <f>HYPERLINK("http://www.ncbi.nlm.nih.gov/protein/34304111","Foxe1")</f>
        <v>Foxe1</v>
      </c>
      <c r="D2553" s="8"/>
      <c r="E2553" s="8">
        <v>37637</v>
      </c>
      <c r="F2553" s="8"/>
      <c r="G2553" s="15">
        <v>157.71315789473684</v>
      </c>
      <c r="H2553" s="15">
        <v>157.71315789473684</v>
      </c>
      <c r="I2553" s="15" t="s">
        <v>10</v>
      </c>
      <c r="J2553" s="15" t="s">
        <v>10</v>
      </c>
      <c r="K2553" s="15" t="s">
        <v>10</v>
      </c>
      <c r="L2553" s="15" t="s">
        <v>10</v>
      </c>
      <c r="M2553" s="15" t="s">
        <v>10</v>
      </c>
      <c r="N2553" s="15" t="s">
        <v>10</v>
      </c>
      <c r="O2553" s="15" t="s">
        <v>10</v>
      </c>
      <c r="P2553" s="15" t="s">
        <v>10</v>
      </c>
      <c r="Q2553" s="8"/>
      <c r="R2553" s="9" t="s">
        <v>2527</v>
      </c>
    </row>
    <row r="2554" spans="1:18" x14ac:dyDescent="0.25">
      <c r="A2554" s="6" t="str">
        <f>HYPERLINK("proteomic_fractions_linear_files/Yang_linear_img/172088163.jpg", "172088163")</f>
        <v>172088163</v>
      </c>
      <c r="B2554" s="7"/>
      <c r="C2554" s="6" t="str">
        <f>HYPERLINK("http://www.ncbi.nlm.nih.gov/protein/172088163","Fpgs")</f>
        <v>Fpgs</v>
      </c>
      <c r="D2554" s="8"/>
      <c r="E2554" s="8">
        <v>60627</v>
      </c>
      <c r="F2554" s="8"/>
      <c r="G2554" s="15" t="s">
        <v>10</v>
      </c>
      <c r="H2554" s="15" t="s">
        <v>10</v>
      </c>
      <c r="I2554" s="15">
        <v>0.96349520632121066</v>
      </c>
      <c r="J2554" s="15">
        <v>0.96349520632121066</v>
      </c>
      <c r="K2554" s="15" t="s">
        <v>10</v>
      </c>
      <c r="L2554" s="15" t="s">
        <v>10</v>
      </c>
      <c r="M2554" s="15" t="s">
        <v>10</v>
      </c>
      <c r="N2554" s="15" t="s">
        <v>10</v>
      </c>
      <c r="O2554" s="15" t="s">
        <v>10</v>
      </c>
      <c r="P2554" s="15" t="s">
        <v>10</v>
      </c>
      <c r="Q2554" s="8"/>
      <c r="R2554" s="9" t="s">
        <v>2528</v>
      </c>
    </row>
    <row r="2555" spans="1:18" x14ac:dyDescent="0.25">
      <c r="A2555" s="6" t="str">
        <f>HYPERLINK("proteomic_fractions_linear_files/Yang_linear_img/126157515.jpg", "126157515")</f>
        <v>126157515</v>
      </c>
      <c r="B2555" s="7"/>
      <c r="C2555" s="6" t="str">
        <f>HYPERLINK("http://www.ncbi.nlm.nih.gov/protein/126157515","Fras1")</f>
        <v>Fras1</v>
      </c>
      <c r="D2555" s="8"/>
      <c r="E2555" s="8">
        <v>439817</v>
      </c>
      <c r="F2555" s="8"/>
      <c r="G2555" s="15" t="s">
        <v>10</v>
      </c>
      <c r="H2555" s="15" t="s">
        <v>10</v>
      </c>
      <c r="I2555" s="15">
        <v>0.68587119235567906</v>
      </c>
      <c r="J2555" s="15">
        <v>0.68587119235567906</v>
      </c>
      <c r="K2555" s="15">
        <v>0.92964444940781765</v>
      </c>
      <c r="L2555" s="15">
        <v>0.92964444940781765</v>
      </c>
      <c r="M2555" s="15" t="s">
        <v>10</v>
      </c>
      <c r="N2555" s="15" t="s">
        <v>10</v>
      </c>
      <c r="O2555" s="15" t="s">
        <v>10</v>
      </c>
      <c r="P2555" s="15" t="s">
        <v>10</v>
      </c>
      <c r="Q2555" s="8"/>
      <c r="R2555" s="9" t="s">
        <v>2529</v>
      </c>
    </row>
    <row r="2556" spans="1:18" x14ac:dyDescent="0.25">
      <c r="A2556" s="6" t="str">
        <f>HYPERLINK("proteomic_fractions_linear_files/Yang_linear_img/71051607.jpg", "71051607")</f>
        <v>71051607</v>
      </c>
      <c r="B2556" s="7"/>
      <c r="C2556" s="6" t="str">
        <f>HYPERLINK("http://www.ncbi.nlm.nih.gov/protein/71051607","Frem2")</f>
        <v>Frem2</v>
      </c>
      <c r="D2556" s="8"/>
      <c r="E2556" s="8">
        <v>346310</v>
      </c>
      <c r="F2556" s="8"/>
      <c r="G2556" s="15" t="s">
        <v>10</v>
      </c>
      <c r="H2556" s="15" t="s">
        <v>10</v>
      </c>
      <c r="I2556" s="15">
        <v>0.87220614056791557</v>
      </c>
      <c r="J2556" s="15">
        <v>0.87220614056791557</v>
      </c>
      <c r="K2556" s="15">
        <v>1.1822068142758375</v>
      </c>
      <c r="L2556" s="15">
        <v>1.1822068142758375</v>
      </c>
      <c r="M2556" s="15" t="s">
        <v>10</v>
      </c>
      <c r="N2556" s="15" t="s">
        <v>10</v>
      </c>
      <c r="O2556" s="15">
        <v>0.87220614056791557</v>
      </c>
      <c r="P2556" s="15">
        <v>0.87220614056791557</v>
      </c>
      <c r="Q2556" s="8"/>
      <c r="R2556" s="9" t="s">
        <v>2530</v>
      </c>
    </row>
    <row r="2557" spans="1:18" x14ac:dyDescent="0.25">
      <c r="A2557" s="6" t="str">
        <f>HYPERLINK("proteomic_fractions_linear_files/Yang_linear_img/225543552.jpg", "225543552")</f>
        <v>225543552</v>
      </c>
      <c r="B2557" s="7"/>
      <c r="C2557" s="6" t="str">
        <f>HYPERLINK("http://www.ncbi.nlm.nih.gov/protein/225543552","Frg1")</f>
        <v>Frg1</v>
      </c>
      <c r="D2557" s="8"/>
      <c r="E2557" s="8">
        <v>28996</v>
      </c>
      <c r="F2557" s="8"/>
      <c r="G2557" s="15">
        <v>1.3968040759731981</v>
      </c>
      <c r="H2557" s="15">
        <v>0.96269694129938133</v>
      </c>
      <c r="I2557" s="15">
        <v>1.0305312721280391</v>
      </c>
      <c r="J2557" s="15">
        <v>1.0305312721280391</v>
      </c>
      <c r="K2557" s="15">
        <v>1.0305312721280391</v>
      </c>
      <c r="L2557" s="15">
        <v>1.0305312721280391</v>
      </c>
      <c r="M2557" s="15">
        <v>1.0305312721280391</v>
      </c>
      <c r="N2557" s="15">
        <v>1.0305312721280391</v>
      </c>
      <c r="O2557" s="15" t="s">
        <v>10</v>
      </c>
      <c r="P2557" s="15" t="s">
        <v>10</v>
      </c>
      <c r="Q2557" s="8"/>
      <c r="R2557" s="9" t="s">
        <v>2531</v>
      </c>
    </row>
    <row r="2558" spans="1:18" x14ac:dyDescent="0.25">
      <c r="A2558" s="6" t="str">
        <f>HYPERLINK("proteomic_fractions_linear_files/Yang_linear_img/31542823.jpg", "31542823")</f>
        <v>31542823</v>
      </c>
      <c r="B2558" s="7"/>
      <c r="C2558" s="6" t="str">
        <f>HYPERLINK("http://www.ncbi.nlm.nih.gov/protein/31542823","Frk")</f>
        <v>Frk</v>
      </c>
      <c r="D2558" s="8"/>
      <c r="E2558" s="8">
        <v>58713</v>
      </c>
      <c r="F2558" s="8"/>
      <c r="G2558" s="15">
        <v>1.1093773445854971</v>
      </c>
      <c r="H2558" s="15">
        <v>1.1093773445854971</v>
      </c>
      <c r="I2558" s="15">
        <v>0.90034863779662844</v>
      </c>
      <c r="J2558" s="15">
        <v>0.90034863779662844</v>
      </c>
      <c r="K2558" s="15">
        <v>0.99615606077277719</v>
      </c>
      <c r="L2558" s="15">
        <v>0.99615606077277719</v>
      </c>
      <c r="M2558" s="15">
        <v>0.90034863779662844</v>
      </c>
      <c r="N2558" s="15">
        <v>0.90034863779662844</v>
      </c>
      <c r="O2558" s="15">
        <v>0.81847416244771609</v>
      </c>
      <c r="P2558" s="15">
        <v>0.81847416244771609</v>
      </c>
      <c r="Q2558" s="8"/>
      <c r="R2558" s="9" t="s">
        <v>2532</v>
      </c>
    </row>
    <row r="2559" spans="1:18" x14ac:dyDescent="0.25">
      <c r="A2559" s="6" t="str">
        <f>HYPERLINK("proteomic_fractions_linear_files/Yang_linear_img/13385676.jpg", "13385676")</f>
        <v>13385676</v>
      </c>
      <c r="B2559" s="7"/>
      <c r="C2559" s="6" t="str">
        <f>HYPERLINK("http://www.ncbi.nlm.nih.gov/protein/13385676","Frmd8")</f>
        <v>Frmd8</v>
      </c>
      <c r="D2559" s="8"/>
      <c r="E2559" s="8">
        <v>51697</v>
      </c>
      <c r="F2559" s="8"/>
      <c r="G2559" s="15" t="s">
        <v>10</v>
      </c>
      <c r="H2559" s="15" t="s">
        <v>10</v>
      </c>
      <c r="I2559" s="15">
        <v>1.1302539920306509</v>
      </c>
      <c r="J2559" s="15">
        <v>1.1302539920306509</v>
      </c>
      <c r="K2559" s="15">
        <v>1.2587166025104679</v>
      </c>
      <c r="L2559" s="15">
        <v>1.2587166025104679</v>
      </c>
      <c r="M2559" s="15">
        <v>1.1302539920306509</v>
      </c>
      <c r="N2559" s="15">
        <v>1.1302539920306509</v>
      </c>
      <c r="O2559" s="15" t="s">
        <v>10</v>
      </c>
      <c r="P2559" s="15" t="s">
        <v>10</v>
      </c>
      <c r="Q2559" s="8"/>
      <c r="R2559" s="9" t="s">
        <v>2533</v>
      </c>
    </row>
    <row r="2560" spans="1:18" x14ac:dyDescent="0.25">
      <c r="A2560" s="6" t="str">
        <f>HYPERLINK("proteomic_fractions_linear_files/Yang_linear_img/124487185.jpg", "124487185")</f>
        <v>124487185</v>
      </c>
      <c r="B2560" s="7"/>
      <c r="C2560" s="6" t="str">
        <f>HYPERLINK("http://www.ncbi.nlm.nih.gov/protein/124487185","Frmpd1")</f>
        <v>Frmpd1</v>
      </c>
      <c r="D2560" s="8"/>
      <c r="E2560" s="8">
        <v>169078</v>
      </c>
      <c r="F2560" s="8"/>
      <c r="G2560" s="15" t="s">
        <v>10</v>
      </c>
      <c r="H2560" s="15" t="s">
        <v>10</v>
      </c>
      <c r="I2560" s="15">
        <v>0.64971339539131046</v>
      </c>
      <c r="J2560" s="15">
        <v>0.64971339539131046</v>
      </c>
      <c r="K2560" s="15">
        <v>0.76166643872850281</v>
      </c>
      <c r="L2560" s="15">
        <v>0.76166643872850281</v>
      </c>
      <c r="M2560" s="15" t="s">
        <v>10</v>
      </c>
      <c r="N2560" s="15" t="s">
        <v>10</v>
      </c>
      <c r="O2560" s="15" t="s">
        <v>10</v>
      </c>
      <c r="P2560" s="15" t="s">
        <v>10</v>
      </c>
      <c r="Q2560" s="8"/>
      <c r="R2560" s="9" t="s">
        <v>2534</v>
      </c>
    </row>
    <row r="2561" spans="1:18" x14ac:dyDescent="0.25">
      <c r="A2561" s="6" t="str">
        <f>HYPERLINK("proteomic_fractions_linear_files/Yang_linear_img/85362701.jpg", "85362701")</f>
        <v>85362701</v>
      </c>
      <c r="B2561" s="7"/>
      <c r="C2561" s="6" t="str">
        <f>HYPERLINK("http://www.ncbi.nlm.nih.gov/protein/85362701","Frmpd4")</f>
        <v>Frmpd4</v>
      </c>
      <c r="D2561" s="8"/>
      <c r="E2561" s="8">
        <v>143970</v>
      </c>
      <c r="F2561" s="8"/>
      <c r="G2561" s="15" t="s">
        <v>10</v>
      </c>
      <c r="H2561" s="15" t="s">
        <v>10</v>
      </c>
      <c r="I2561" s="15" t="s">
        <v>10</v>
      </c>
      <c r="J2561" s="15" t="s">
        <v>10</v>
      </c>
      <c r="K2561" s="15" t="s">
        <v>10</v>
      </c>
      <c r="L2561" s="15" t="s">
        <v>10</v>
      </c>
      <c r="M2561" s="15" t="s">
        <v>10</v>
      </c>
      <c r="N2561" s="15" t="s">
        <v>10</v>
      </c>
      <c r="O2561" s="15">
        <v>0.33534705266955034</v>
      </c>
      <c r="P2561" s="15">
        <v>0.33534705266955034</v>
      </c>
      <c r="Q2561" s="8"/>
      <c r="R2561" s="9" t="s">
        <v>2535</v>
      </c>
    </row>
    <row r="2562" spans="1:18" x14ac:dyDescent="0.25">
      <c r="A2562" s="6" t="str">
        <f>HYPERLINK("proteomic_fractions_linear_files/Yang_linear_img/164698442.jpg", "164698442")</f>
        <v>164698442</v>
      </c>
      <c r="B2562" s="7"/>
      <c r="C2562" s="6" t="str">
        <f>HYPERLINK("http://www.ncbi.nlm.nih.gov/protein/164698442","Frrs1")</f>
        <v>Frrs1</v>
      </c>
      <c r="D2562" s="8"/>
      <c r="E2562" s="8">
        <v>63869</v>
      </c>
      <c r="F2562" s="8"/>
      <c r="G2562" s="15" t="s">
        <v>10</v>
      </c>
      <c r="H2562" s="15" t="s">
        <v>10</v>
      </c>
      <c r="I2562" s="15">
        <v>0.23744278584084821</v>
      </c>
      <c r="J2562" s="15">
        <v>0.23744278584084821</v>
      </c>
      <c r="K2562" s="15">
        <v>0.24886627786221524</v>
      </c>
      <c r="L2562" s="15">
        <v>0.24886627786221524</v>
      </c>
      <c r="M2562" s="15" t="s">
        <v>10</v>
      </c>
      <c r="N2562" s="15" t="s">
        <v>10</v>
      </c>
      <c r="O2562" s="15">
        <v>0.22683552690422418</v>
      </c>
      <c r="P2562" s="15">
        <v>0.22683552690422418</v>
      </c>
      <c r="Q2562" s="8"/>
      <c r="R2562" s="9" t="s">
        <v>2536</v>
      </c>
    </row>
    <row r="2563" spans="1:18" x14ac:dyDescent="0.25">
      <c r="A2563" s="6" t="str">
        <f>HYPERLINK("proteomic_fractions_linear_files/Yang_linear_img/29244340.jpg", "29244340")</f>
        <v>29244340</v>
      </c>
      <c r="B2563" s="7"/>
      <c r="C2563" s="6" t="str">
        <f>HYPERLINK("http://www.ncbi.nlm.nih.gov/protein/29244340","Frs2")</f>
        <v>Frs2</v>
      </c>
      <c r="D2563" s="8"/>
      <c r="E2563" s="8">
        <v>56663</v>
      </c>
      <c r="F2563" s="8"/>
      <c r="G2563" s="15" t="s">
        <v>10</v>
      </c>
      <c r="H2563" s="15" t="s">
        <v>10</v>
      </c>
      <c r="I2563" s="15" t="s">
        <v>10</v>
      </c>
      <c r="J2563" s="15" t="s">
        <v>10</v>
      </c>
      <c r="K2563" s="15">
        <v>1.2883536884505657</v>
      </c>
      <c r="L2563" s="15">
        <v>1.2883536884505657</v>
      </c>
      <c r="M2563" s="15" t="s">
        <v>10</v>
      </c>
      <c r="N2563" s="15" t="s">
        <v>10</v>
      </c>
      <c r="O2563" s="15" t="s">
        <v>10</v>
      </c>
      <c r="P2563" s="15" t="s">
        <v>10</v>
      </c>
      <c r="Q2563" s="8"/>
      <c r="R2563" s="9" t="s">
        <v>2537</v>
      </c>
    </row>
    <row r="2564" spans="1:18" x14ac:dyDescent="0.25">
      <c r="A2564" s="6" t="str">
        <f>HYPERLINK("proteomic_fractions_linear_files/Yang_linear_img/119964716.jpg", "119964716")</f>
        <v>119964716</v>
      </c>
      <c r="B2564" s="7"/>
      <c r="C2564" s="6" t="str">
        <f>HYPERLINK("http://www.ncbi.nlm.nih.gov/protein/119964716","Fryl")</f>
        <v>Fryl</v>
      </c>
      <c r="D2564" s="8"/>
      <c r="E2564" s="8">
        <v>337690</v>
      </c>
      <c r="F2564" s="8"/>
      <c r="G2564" s="15" t="s">
        <v>10</v>
      </c>
      <c r="H2564" s="15" t="s">
        <v>10</v>
      </c>
      <c r="I2564" s="15">
        <v>0.89285007288904961</v>
      </c>
      <c r="J2564" s="15">
        <v>0.89285007288904961</v>
      </c>
      <c r="K2564" s="15">
        <v>0.28097035852835656</v>
      </c>
      <c r="L2564" s="15">
        <v>0.28097035852835656</v>
      </c>
      <c r="M2564" s="15">
        <v>0.89285007288904961</v>
      </c>
      <c r="N2564" s="15">
        <v>0.89285007288904961</v>
      </c>
      <c r="O2564" s="15" t="s">
        <v>10</v>
      </c>
      <c r="P2564" s="15" t="s">
        <v>10</v>
      </c>
      <c r="Q2564" s="8"/>
      <c r="R2564" s="9" t="s">
        <v>2538</v>
      </c>
    </row>
    <row r="2565" spans="1:18" x14ac:dyDescent="0.25">
      <c r="A2565" s="6" t="str">
        <f>HYPERLINK("proteomic_fractions_linear_files/Yang_linear_img/309264486.jpg", "309264486")</f>
        <v>309264486</v>
      </c>
      <c r="B2565" s="7"/>
      <c r="C2565" s="6" t="str">
        <f>HYPERLINK("http://www.ncbi.nlm.nih.gov/protein/309264486","Fsip2")</f>
        <v>Fsip2</v>
      </c>
      <c r="D2565" s="8"/>
      <c r="E2565" s="8">
        <v>783069</v>
      </c>
      <c r="F2565" s="8"/>
      <c r="G2565" s="15" t="s">
        <v>10</v>
      </c>
      <c r="H2565" s="15" t="s">
        <v>10</v>
      </c>
      <c r="I2565" s="15" t="s">
        <v>10</v>
      </c>
      <c r="J2565" s="15" t="s">
        <v>10</v>
      </c>
      <c r="K2565" s="15">
        <v>7.5061567797693296E-2</v>
      </c>
      <c r="L2565" s="15">
        <v>7.5061567797693296E-2</v>
      </c>
      <c r="M2565" s="15">
        <v>4.7690072060184663E-2</v>
      </c>
      <c r="N2565" s="15">
        <v>4.7690072060184663E-2</v>
      </c>
      <c r="O2565" s="15" t="s">
        <v>10</v>
      </c>
      <c r="P2565" s="15" t="s">
        <v>10</v>
      </c>
      <c r="Q2565" s="8"/>
      <c r="R2565" s="9" t="s">
        <v>8050</v>
      </c>
    </row>
    <row r="2566" spans="1:18" x14ac:dyDescent="0.25">
      <c r="A2566" s="6" t="str">
        <f>HYPERLINK("proteomic_fractions_linear_files/Yang_linear_img/31560699.jpg", "31560699")</f>
        <v>31560699</v>
      </c>
      <c r="B2566" s="7"/>
      <c r="C2566" s="6" t="str">
        <f>HYPERLINK("http://www.ncbi.nlm.nih.gov/protein/31560699","Fstl1")</f>
        <v>Fstl1</v>
      </c>
      <c r="D2566" s="8"/>
      <c r="E2566" s="8">
        <v>32478</v>
      </c>
      <c r="F2566" s="8"/>
      <c r="G2566" s="15" t="s">
        <v>10</v>
      </c>
      <c r="H2566" s="15" t="s">
        <v>10</v>
      </c>
      <c r="I2566" s="15" t="s">
        <v>10</v>
      </c>
      <c r="J2566" s="15" t="s">
        <v>10</v>
      </c>
      <c r="K2566" s="15" t="s">
        <v>10</v>
      </c>
      <c r="L2566" s="15" t="s">
        <v>10</v>
      </c>
      <c r="M2566" s="15" t="s">
        <v>10</v>
      </c>
      <c r="N2566" s="15" t="s">
        <v>10</v>
      </c>
      <c r="O2566" s="15">
        <v>0.39835060443555081</v>
      </c>
      <c r="P2566" s="15">
        <v>0.39835060443555081</v>
      </c>
      <c r="Q2566" s="8"/>
      <c r="R2566" s="9" t="s">
        <v>2539</v>
      </c>
    </row>
    <row r="2567" spans="1:18" x14ac:dyDescent="0.25">
      <c r="A2567" s="6" t="str">
        <f>HYPERLINK("proteomic_fractions_linear_files/Yang_linear_img/18252784.jpg", "18252784")</f>
        <v>18252784</v>
      </c>
      <c r="B2567" s="7"/>
      <c r="C2567" s="6" t="str">
        <f>HYPERLINK("http://www.ncbi.nlm.nih.gov/protein/18252784","Ftcd")</f>
        <v>Ftcd</v>
      </c>
      <c r="D2567" s="8"/>
      <c r="E2567" s="8">
        <v>58808</v>
      </c>
      <c r="F2567" s="8"/>
      <c r="G2567" s="15" t="s">
        <v>10</v>
      </c>
      <c r="H2567" s="15" t="s">
        <v>10</v>
      </c>
      <c r="I2567" s="15" t="s">
        <v>10</v>
      </c>
      <c r="J2567" s="15" t="s">
        <v>10</v>
      </c>
      <c r="K2567" s="15">
        <v>3.1655225701684806</v>
      </c>
      <c r="L2567" s="15">
        <v>3.1655225701684806</v>
      </c>
      <c r="M2567" s="15">
        <v>3.1655225701684806</v>
      </c>
      <c r="N2567" s="15">
        <v>3.1655225701684806</v>
      </c>
      <c r="O2567" s="15" t="s">
        <v>10</v>
      </c>
      <c r="P2567" s="15" t="s">
        <v>10</v>
      </c>
      <c r="Q2567" s="8"/>
      <c r="R2567" s="9" t="s">
        <v>2540</v>
      </c>
    </row>
    <row r="2568" spans="1:18" x14ac:dyDescent="0.25">
      <c r="A2568" s="6" t="str">
        <f>HYPERLINK("proteomic_fractions_linear_files/Yang_linear_img/6753912.jpg", "6753912")</f>
        <v>6753912</v>
      </c>
      <c r="B2568" s="7"/>
      <c r="C2568" s="6" t="str">
        <f>HYPERLINK("http://www.ncbi.nlm.nih.gov/protein/6753912","Fth1")</f>
        <v>Fth1</v>
      </c>
      <c r="D2568" s="8"/>
      <c r="E2568" s="8">
        <v>20936</v>
      </c>
      <c r="F2568" s="8"/>
      <c r="G2568" s="15">
        <v>0.88072853164590881</v>
      </c>
      <c r="H2568" s="15">
        <v>0.88072853164590881</v>
      </c>
      <c r="I2568" s="15">
        <v>0.92862618228739402</v>
      </c>
      <c r="J2568" s="15">
        <v>0.92862618228739402</v>
      </c>
      <c r="K2568" s="15">
        <v>19.478264654259039</v>
      </c>
      <c r="L2568" s="15">
        <v>19.478264654259039</v>
      </c>
      <c r="M2568" s="15">
        <v>19.478264654259039</v>
      </c>
      <c r="N2568" s="15">
        <v>19.478264654259039</v>
      </c>
      <c r="O2568" s="15">
        <v>14.370634506499941</v>
      </c>
      <c r="P2568" s="15">
        <v>14.370634506499941</v>
      </c>
      <c r="Q2568" s="8"/>
      <c r="R2568" s="9" t="s">
        <v>2541</v>
      </c>
    </row>
    <row r="2569" spans="1:18" x14ac:dyDescent="0.25">
      <c r="A2569" s="6" t="str">
        <f>HYPERLINK("proteomic_fractions_linear_files/Yang_linear_img/166851822.jpg", "166851822")</f>
        <v>166851822</v>
      </c>
      <c r="B2569" s="7"/>
      <c r="C2569" s="6" t="str">
        <f>HYPERLINK("http://www.ncbi.nlm.nih.gov/protein/166851822","Fto")</f>
        <v>Fto</v>
      </c>
      <c r="D2569" s="8"/>
      <c r="E2569" s="8">
        <v>57876</v>
      </c>
      <c r="F2569" s="8"/>
      <c r="G2569" s="15" t="s">
        <v>10</v>
      </c>
      <c r="H2569" s="15" t="s">
        <v>10</v>
      </c>
      <c r="I2569" s="15">
        <v>1.0133311652688595</v>
      </c>
      <c r="J2569" s="15">
        <v>1.0133311652688595</v>
      </c>
      <c r="K2569" s="15" t="s">
        <v>10</v>
      </c>
      <c r="L2569" s="15" t="s">
        <v>10</v>
      </c>
      <c r="M2569" s="15">
        <v>1.0133311652688595</v>
      </c>
      <c r="N2569" s="15">
        <v>1.0133311652688595</v>
      </c>
      <c r="O2569" s="15">
        <v>0.91587189017243242</v>
      </c>
      <c r="P2569" s="15">
        <v>0.91587189017243242</v>
      </c>
      <c r="Q2569" s="8"/>
      <c r="R2569" s="9" t="s">
        <v>2542</v>
      </c>
    </row>
    <row r="2570" spans="1:18" x14ac:dyDescent="0.25">
      <c r="A2570" s="6" t="str">
        <f>HYPERLINK("proteomic_fractions_linear_files/Yang_linear_img/46877062.jpg", "46877062")</f>
        <v>46877062</v>
      </c>
      <c r="B2570" s="7"/>
      <c r="C2570" s="6" t="str">
        <f>HYPERLINK("http://www.ncbi.nlm.nih.gov/protein/46877062","Ftsj1")</f>
        <v>Ftsj1</v>
      </c>
      <c r="D2570" s="8"/>
      <c r="E2570" s="8">
        <v>35455</v>
      </c>
      <c r="F2570" s="8"/>
      <c r="G2570" s="15" t="s">
        <v>10</v>
      </c>
      <c r="H2570" s="15" t="s">
        <v>10</v>
      </c>
      <c r="I2570" s="15" t="s">
        <v>10</v>
      </c>
      <c r="J2570" s="15" t="s">
        <v>10</v>
      </c>
      <c r="K2570" s="15" t="s">
        <v>10</v>
      </c>
      <c r="L2570" s="15" t="s">
        <v>10</v>
      </c>
      <c r="M2570" s="15">
        <v>1.0668950406607027</v>
      </c>
      <c r="N2570" s="15">
        <v>1.0668950406607027</v>
      </c>
      <c r="O2570" s="15" t="s">
        <v>10</v>
      </c>
      <c r="P2570" s="15" t="s">
        <v>10</v>
      </c>
      <c r="Q2570" s="8"/>
      <c r="R2570" s="9" t="s">
        <v>2543</v>
      </c>
    </row>
    <row r="2571" spans="1:18" x14ac:dyDescent="0.25">
      <c r="A2571" s="6" t="str">
        <f>HYPERLINK("proteomic_fractions_linear_files/Yang_linear_img/84662730.jpg", "84662730")</f>
        <v>84662730</v>
      </c>
      <c r="B2571" s="7"/>
      <c r="C2571" s="6" t="str">
        <f>HYPERLINK("http://www.ncbi.nlm.nih.gov/protein/84662730","Fubp1")</f>
        <v>Fubp1</v>
      </c>
      <c r="D2571" s="8"/>
      <c r="E2571" s="8">
        <v>67313</v>
      </c>
      <c r="F2571" s="8"/>
      <c r="G2571" s="15">
        <v>1.4174325549639479</v>
      </c>
      <c r="H2571" s="15">
        <v>1.4174325549639479</v>
      </c>
      <c r="I2571" s="15">
        <v>1.0960620931594365</v>
      </c>
      <c r="J2571" s="15">
        <v>1.0960620931594365</v>
      </c>
      <c r="K2571" s="15">
        <v>1.2402784846737889</v>
      </c>
      <c r="L2571" s="15">
        <v>1.2402784846737889</v>
      </c>
      <c r="M2571" s="15">
        <v>1.2402784846737889</v>
      </c>
      <c r="N2571" s="15">
        <v>1.2402784846737889</v>
      </c>
      <c r="O2571" s="15">
        <v>1.0960620931594365</v>
      </c>
      <c r="P2571" s="15">
        <v>1.0960620931594365</v>
      </c>
      <c r="Q2571" s="8"/>
      <c r="R2571" s="9" t="s">
        <v>2544</v>
      </c>
    </row>
    <row r="2572" spans="1:18" x14ac:dyDescent="0.25">
      <c r="A2572" s="6" t="str">
        <f>HYPERLINK("proteomic_fractions_linear_files/Yang_linear_img/224922832.jpg", "224922832")</f>
        <v>224922832</v>
      </c>
      <c r="B2572" s="7"/>
      <c r="C2572" s="6" t="str">
        <f>HYPERLINK("http://www.ncbi.nlm.nih.gov/protein/224922832","Fubp3")</f>
        <v>Fubp3</v>
      </c>
      <c r="D2572" s="8"/>
      <c r="E2572" s="8">
        <v>61829</v>
      </c>
      <c r="F2572" s="8"/>
      <c r="G2572" s="15" t="s">
        <v>10</v>
      </c>
      <c r="H2572" s="15" t="s">
        <v>10</v>
      </c>
      <c r="I2572" s="15">
        <v>1.0556977956539408</v>
      </c>
      <c r="J2572" s="15">
        <v>1.0556977956539408</v>
      </c>
      <c r="K2572" s="15">
        <v>1.0556977956539408</v>
      </c>
      <c r="L2572" s="15">
        <v>1.0556977956539408</v>
      </c>
      <c r="M2572" s="15">
        <v>1.0556977956539408</v>
      </c>
      <c r="N2572" s="15">
        <v>1.0556977956539408</v>
      </c>
      <c r="O2572" s="15">
        <v>1.1844541974464877</v>
      </c>
      <c r="P2572" s="15">
        <v>1.1844541974464877</v>
      </c>
      <c r="Q2572" s="8"/>
      <c r="R2572" s="9" t="s">
        <v>2545</v>
      </c>
    </row>
    <row r="2573" spans="1:18" x14ac:dyDescent="0.25">
      <c r="A2573" s="6" t="str">
        <f>HYPERLINK("proteomic_fractions_linear_files/Yang_linear_img/169808427.jpg", "169808427")</f>
        <v>169808427</v>
      </c>
      <c r="B2573" s="7"/>
      <c r="C2573" s="6" t="str">
        <f>HYPERLINK("http://www.ncbi.nlm.nih.gov/protein/169808427","Fuca1")</f>
        <v>Fuca1</v>
      </c>
      <c r="D2573" s="8"/>
      <c r="E2573" s="8">
        <v>50563</v>
      </c>
      <c r="F2573" s="8"/>
      <c r="G2573" s="15" t="s">
        <v>10</v>
      </c>
      <c r="H2573" s="15" t="s">
        <v>10</v>
      </c>
      <c r="I2573" s="15">
        <v>0.94686226636108339</v>
      </c>
      <c r="J2573" s="15">
        <v>0.94686226636108339</v>
      </c>
      <c r="K2573" s="15">
        <v>1.0415797966666878</v>
      </c>
      <c r="L2573" s="15">
        <v>1.0415797966666878</v>
      </c>
      <c r="M2573" s="15" t="s">
        <v>10</v>
      </c>
      <c r="N2573" s="15" t="s">
        <v>10</v>
      </c>
      <c r="O2573" s="15" t="s">
        <v>10</v>
      </c>
      <c r="P2573" s="15" t="s">
        <v>10</v>
      </c>
      <c r="Q2573" s="8"/>
      <c r="R2573" s="9" t="s">
        <v>2546</v>
      </c>
    </row>
    <row r="2574" spans="1:18" x14ac:dyDescent="0.25">
      <c r="A2574" s="6" t="str">
        <f>HYPERLINK("proteomic_fractions_linear_files/Yang_linear_img/31541791.jpg", "31541791")</f>
        <v>31541791</v>
      </c>
      <c r="B2574" s="7"/>
      <c r="C2574" s="6" t="str">
        <f>HYPERLINK("http://www.ncbi.nlm.nih.gov/protein/31541791","Fuca2")</f>
        <v>Fuca2</v>
      </c>
      <c r="D2574" s="8"/>
      <c r="E2574" s="8">
        <v>50773</v>
      </c>
      <c r="F2574" s="8"/>
      <c r="G2574" s="15">
        <v>0.94686226636108339</v>
      </c>
      <c r="H2574" s="15">
        <v>0.94686226636108339</v>
      </c>
      <c r="I2574" s="15">
        <v>1.0415797966666878</v>
      </c>
      <c r="J2574" s="15">
        <v>1.0415797966666878</v>
      </c>
      <c r="K2574" s="15">
        <v>1.0415797966666878</v>
      </c>
      <c r="L2574" s="15">
        <v>1.0415797966666878</v>
      </c>
      <c r="M2574" s="15" t="s">
        <v>10</v>
      </c>
      <c r="N2574" s="15" t="s">
        <v>10</v>
      </c>
      <c r="O2574" s="15">
        <v>0.94686226636108339</v>
      </c>
      <c r="P2574" s="15">
        <v>0.94686226636108339</v>
      </c>
      <c r="Q2574" s="8"/>
      <c r="R2574" s="9" t="s">
        <v>2547</v>
      </c>
    </row>
    <row r="2575" spans="1:18" x14ac:dyDescent="0.25">
      <c r="A2575" s="6" t="str">
        <f>HYPERLINK("proteomic_fractions_linear_files/Yang_linear_img/31981686.jpg", "31981686")</f>
        <v>31981686</v>
      </c>
      <c r="B2575" s="7"/>
      <c r="C2575" s="6" t="str">
        <f>HYPERLINK("http://www.ncbi.nlm.nih.gov/protein/31981686","Fuk")</f>
        <v>Fuk</v>
      </c>
      <c r="D2575" s="8"/>
      <c r="E2575" s="8">
        <v>119137</v>
      </c>
      <c r="F2575" s="8"/>
      <c r="G2575" s="15" t="s">
        <v>10</v>
      </c>
      <c r="H2575" s="15" t="s">
        <v>10</v>
      </c>
      <c r="I2575" s="15" t="s">
        <v>10</v>
      </c>
      <c r="J2575" s="15" t="s">
        <v>10</v>
      </c>
      <c r="K2575" s="15">
        <v>1.0816943541606467</v>
      </c>
      <c r="L2575" s="15">
        <v>1.0816943541606467</v>
      </c>
      <c r="M2575" s="15">
        <v>1.0816943541606467</v>
      </c>
      <c r="N2575" s="15">
        <v>1.0816943541606467</v>
      </c>
      <c r="O2575" s="15">
        <v>1.0816943541606467</v>
      </c>
      <c r="P2575" s="15">
        <v>1.0816943541606467</v>
      </c>
      <c r="Q2575" s="8"/>
      <c r="R2575" s="9" t="s">
        <v>2548</v>
      </c>
    </row>
    <row r="2576" spans="1:18" x14ac:dyDescent="0.25">
      <c r="A2576" s="6" t="str">
        <f>HYPERLINK("proteomic_fractions_linear_files/Yang_linear_img/262050556.jpg", "262050556")</f>
        <v>262050556</v>
      </c>
      <c r="B2576" s="7"/>
      <c r="C2576" s="6" t="str">
        <f>HYPERLINK("http://www.ncbi.nlm.nih.gov/protein/262050556","Fundc2")</f>
        <v>Fundc2</v>
      </c>
      <c r="D2576" s="8"/>
      <c r="E2576" s="8">
        <v>16433</v>
      </c>
      <c r="F2576" s="8"/>
      <c r="G2576" s="15">
        <v>1.4443483359198404</v>
      </c>
      <c r="H2576" s="15">
        <v>1.3622338919174219</v>
      </c>
      <c r="I2576" s="15">
        <v>0.94977114336339286</v>
      </c>
      <c r="J2576" s="15">
        <v>0.94977114336339286</v>
      </c>
      <c r="K2576" s="15">
        <v>0.94977114336339286</v>
      </c>
      <c r="L2576" s="15">
        <v>0.94977114336339286</v>
      </c>
      <c r="M2576" s="15" t="s">
        <v>10</v>
      </c>
      <c r="N2576" s="15" t="s">
        <v>10</v>
      </c>
      <c r="O2576" s="15" t="s">
        <v>10</v>
      </c>
      <c r="P2576" s="15" t="s">
        <v>10</v>
      </c>
      <c r="Q2576" s="8"/>
      <c r="R2576" s="9" t="s">
        <v>2549</v>
      </c>
    </row>
    <row r="2577" spans="1:18" x14ac:dyDescent="0.25">
      <c r="A2577" s="6" t="str">
        <f>HYPERLINK("proteomic_fractions_linear_files/Yang_linear_img/124377998.jpg", "124377998")</f>
        <v>124377998</v>
      </c>
      <c r="B2577" s="7"/>
      <c r="C2577" s="6" t="str">
        <f>HYPERLINK("http://www.ncbi.nlm.nih.gov/protein/124377998","Fuom")</f>
        <v>Fuom</v>
      </c>
      <c r="D2577" s="8"/>
      <c r="E2577" s="8">
        <v>16674</v>
      </c>
      <c r="F2577" s="8"/>
      <c r="G2577" s="15" t="s">
        <v>10</v>
      </c>
      <c r="H2577" s="15" t="s">
        <v>10</v>
      </c>
      <c r="I2577" s="15" t="s">
        <v>10</v>
      </c>
      <c r="J2577" s="15" t="s">
        <v>10</v>
      </c>
      <c r="K2577" s="15" t="s">
        <v>10</v>
      </c>
      <c r="L2577" s="15" t="s">
        <v>10</v>
      </c>
      <c r="M2577" s="15">
        <v>0.93690834018716329</v>
      </c>
      <c r="N2577" s="15">
        <v>0.93690834018716329</v>
      </c>
      <c r="O2577" s="15" t="s">
        <v>10</v>
      </c>
      <c r="P2577" s="15" t="s">
        <v>10</v>
      </c>
      <c r="Q2577" s="8"/>
      <c r="R2577" s="9" t="s">
        <v>2550</v>
      </c>
    </row>
    <row r="2578" spans="1:18" x14ac:dyDescent="0.25">
      <c r="A2578" s="6" t="str">
        <f>HYPERLINK("proteomic_fractions_linear_files/Yang_linear_img/20982845.jpg", "20982845")</f>
        <v>20982845</v>
      </c>
      <c r="B2578" s="7"/>
      <c r="C2578" s="6" t="str">
        <f>HYPERLINK("http://www.ncbi.nlm.nih.gov/protein/20982845","Fus")</f>
        <v>Fus</v>
      </c>
      <c r="D2578" s="8"/>
      <c r="E2578" s="8">
        <v>52542</v>
      </c>
      <c r="F2578" s="8"/>
      <c r="G2578" s="15">
        <v>1.5678992164744123</v>
      </c>
      <c r="H2578" s="15">
        <v>1.5678992164744123</v>
      </c>
      <c r="I2578" s="15">
        <v>1.2349672326517798</v>
      </c>
      <c r="J2578" s="15">
        <v>1.2349672326517798</v>
      </c>
      <c r="K2578" s="15">
        <v>1.3855879290883442</v>
      </c>
      <c r="L2578" s="15">
        <v>1.3855879290883442</v>
      </c>
      <c r="M2578" s="15">
        <v>1.3855879290883442</v>
      </c>
      <c r="N2578" s="15">
        <v>1.3855879290883442</v>
      </c>
      <c r="O2578" s="15">
        <v>1.3855879290883442</v>
      </c>
      <c r="P2578" s="15">
        <v>1.3855879290883442</v>
      </c>
      <c r="Q2578" s="8"/>
      <c r="R2578" s="9" t="s">
        <v>2551</v>
      </c>
    </row>
    <row r="2579" spans="1:18" x14ac:dyDescent="0.25">
      <c r="A2579" s="6" t="str">
        <f>HYPERLINK("proteomic_fractions_linear_files/Yang_linear_img/31560444.jpg", "31560444")</f>
        <v>31560444</v>
      </c>
      <c r="B2579" s="7"/>
      <c r="C2579" s="6" t="str">
        <f>HYPERLINK("http://www.ncbi.nlm.nih.gov/protein/31560444","Fut8")</f>
        <v>Fut8</v>
      </c>
      <c r="D2579" s="8"/>
      <c r="E2579" s="8">
        <v>66426</v>
      </c>
      <c r="F2579" s="8"/>
      <c r="G2579" s="15" t="s">
        <v>10</v>
      </c>
      <c r="H2579" s="15" t="s">
        <v>10</v>
      </c>
      <c r="I2579" s="15" t="s">
        <v>10</v>
      </c>
      <c r="J2579" s="15" t="s">
        <v>10</v>
      </c>
      <c r="K2579" s="15">
        <v>0.99171611106885349</v>
      </c>
      <c r="L2579" s="15">
        <v>0.99171611106885349</v>
      </c>
      <c r="M2579" s="15" t="s">
        <v>10</v>
      </c>
      <c r="N2579" s="15" t="s">
        <v>10</v>
      </c>
      <c r="O2579" s="15" t="s">
        <v>10</v>
      </c>
      <c r="P2579" s="15" t="s">
        <v>10</v>
      </c>
      <c r="Q2579" s="8"/>
      <c r="R2579" s="9" t="s">
        <v>2552</v>
      </c>
    </row>
    <row r="2580" spans="1:18" x14ac:dyDescent="0.25">
      <c r="A2580" s="6" t="str">
        <f>HYPERLINK("proteomic_fractions_linear_files/Yang_linear_img/6679863.jpg", "6679863")</f>
        <v>6679863</v>
      </c>
      <c r="B2580" s="7"/>
      <c r="C2580" s="6" t="str">
        <f>HYPERLINK("http://www.ncbi.nlm.nih.gov/protein/6679863","Fxn")</f>
        <v>Fxn</v>
      </c>
      <c r="D2580" s="8"/>
      <c r="E2580" s="8">
        <v>18574</v>
      </c>
      <c r="F2580" s="8"/>
      <c r="G2580" s="15">
        <v>1.1471443300357238</v>
      </c>
      <c r="H2580" s="15">
        <v>1.1471443300357238</v>
      </c>
      <c r="I2580" s="15">
        <v>0.76407756430896567</v>
      </c>
      <c r="J2580" s="15">
        <v>0.76407756430896567</v>
      </c>
      <c r="K2580" s="15" t="s">
        <v>10</v>
      </c>
      <c r="L2580" s="15" t="s">
        <v>10</v>
      </c>
      <c r="M2580" s="15" t="s">
        <v>10</v>
      </c>
      <c r="N2580" s="15" t="s">
        <v>10</v>
      </c>
      <c r="O2580" s="15" t="s">
        <v>10</v>
      </c>
      <c r="P2580" s="15" t="s">
        <v>10</v>
      </c>
      <c r="Q2580" s="8"/>
      <c r="R2580" s="9" t="s">
        <v>2553</v>
      </c>
    </row>
    <row r="2581" spans="1:18" x14ac:dyDescent="0.25">
      <c r="A2581" s="6" t="str">
        <f>HYPERLINK("proteomic_fractions_linear_files/Yang_linear_img/17998694.jpg", "17998694")</f>
        <v>17998694</v>
      </c>
      <c r="B2581" s="7"/>
      <c r="C2581" s="6" t="str">
        <f>HYPERLINK("http://www.ncbi.nlm.nih.gov/protein/17998694","Fxr1")</f>
        <v>Fxr1</v>
      </c>
      <c r="D2581" s="8"/>
      <c r="E2581" s="8">
        <v>60685</v>
      </c>
      <c r="F2581" s="8"/>
      <c r="G2581" s="15" t="s">
        <v>10</v>
      </c>
      <c r="H2581" s="15" t="s">
        <v>10</v>
      </c>
      <c r="I2581" s="15">
        <v>1.2038714793718401</v>
      </c>
      <c r="J2581" s="15">
        <v>1.2038714793718401</v>
      </c>
      <c r="K2581" s="15">
        <v>1.2038714793718401</v>
      </c>
      <c r="L2581" s="15">
        <v>1.2038714793718401</v>
      </c>
      <c r="M2581" s="15">
        <v>1.2038714793718401</v>
      </c>
      <c r="N2581" s="15">
        <v>1.2038714793718401</v>
      </c>
      <c r="O2581" s="15" t="s">
        <v>10</v>
      </c>
      <c r="P2581" s="15" t="s">
        <v>10</v>
      </c>
      <c r="Q2581" s="8"/>
      <c r="R2581" s="9" t="s">
        <v>2554</v>
      </c>
    </row>
    <row r="2582" spans="1:18" x14ac:dyDescent="0.25">
      <c r="A2582" s="6" t="str">
        <f>HYPERLINK("proteomic_fractions_linear_files/Yang_linear_img/163954941.jpg", "163954941")</f>
        <v>163954941</v>
      </c>
      <c r="B2582" s="7"/>
      <c r="C2582" s="6" t="str">
        <f>HYPERLINK("http://www.ncbi.nlm.nih.gov/protein/163954941","Fxr1")</f>
        <v>Fxr1</v>
      </c>
      <c r="D2582" s="8"/>
      <c r="E2582" s="8">
        <v>76091</v>
      </c>
      <c r="F2582" s="8"/>
      <c r="G2582" s="15" t="s">
        <v>10</v>
      </c>
      <c r="H2582" s="15" t="s">
        <v>10</v>
      </c>
      <c r="I2582" s="15">
        <v>0.96626526633792431</v>
      </c>
      <c r="J2582" s="15">
        <v>0.96626526633792431</v>
      </c>
      <c r="K2582" s="15">
        <v>1.0934034009624192</v>
      </c>
      <c r="L2582" s="15">
        <v>1.0934034009624192</v>
      </c>
      <c r="M2582" s="15">
        <v>0.96626526633792431</v>
      </c>
      <c r="N2582" s="15">
        <v>0.96626526633792431</v>
      </c>
      <c r="O2582" s="15">
        <v>0.16772657028865298</v>
      </c>
      <c r="P2582" s="15">
        <v>0.16772657028865298</v>
      </c>
      <c r="Q2582" s="8"/>
      <c r="R2582" s="9" t="s">
        <v>2555</v>
      </c>
    </row>
    <row r="2583" spans="1:18" x14ac:dyDescent="0.25">
      <c r="A2583" s="6" t="str">
        <f>HYPERLINK("proteomic_fractions_linear_files/Yang_linear_img/163954943.jpg", "163954943")</f>
        <v>163954943</v>
      </c>
      <c r="B2583" s="7"/>
      <c r="C2583" s="6" t="str">
        <f>HYPERLINK("http://www.ncbi.nlm.nih.gov/protein/163954943","Fxr1")</f>
        <v>Fxr1</v>
      </c>
      <c r="D2583" s="8"/>
      <c r="E2583" s="8">
        <v>69584</v>
      </c>
      <c r="F2583" s="8"/>
      <c r="G2583" s="15" t="s">
        <v>10</v>
      </c>
      <c r="H2583" s="15" t="s">
        <v>10</v>
      </c>
      <c r="I2583" s="15">
        <v>1.0490880034526036</v>
      </c>
      <c r="J2583" s="15">
        <v>1.0490880034526036</v>
      </c>
      <c r="K2583" s="15">
        <v>1.1871236924734836</v>
      </c>
      <c r="L2583" s="15">
        <v>1.1871236924734836</v>
      </c>
      <c r="M2583" s="15">
        <v>1.0490880034526036</v>
      </c>
      <c r="N2583" s="15">
        <v>1.0490880034526036</v>
      </c>
      <c r="O2583" s="15">
        <v>0.18210313345625181</v>
      </c>
      <c r="P2583" s="15">
        <v>0.18210313345625181</v>
      </c>
      <c r="Q2583" s="8"/>
      <c r="R2583" s="9" t="s">
        <v>2556</v>
      </c>
    </row>
    <row r="2584" spans="1:18" x14ac:dyDescent="0.25">
      <c r="A2584" s="6" t="str">
        <f>HYPERLINK("proteomic_fractions_linear_files/Yang_linear_img/83921589.jpg", "83921589")</f>
        <v>83921589</v>
      </c>
      <c r="B2584" s="7"/>
      <c r="C2584" s="6" t="str">
        <f>HYPERLINK("http://www.ncbi.nlm.nih.gov/protein/83921589","Fxr2")</f>
        <v>Fxr2</v>
      </c>
      <c r="D2584" s="8"/>
      <c r="E2584" s="8">
        <v>74122</v>
      </c>
      <c r="F2584" s="8"/>
      <c r="G2584" s="15" t="s">
        <v>10</v>
      </c>
      <c r="H2584" s="15" t="s">
        <v>10</v>
      </c>
      <c r="I2584" s="15">
        <v>1.2833510970619528</v>
      </c>
      <c r="J2584" s="15">
        <v>1.2833510970619528</v>
      </c>
      <c r="K2584" s="15">
        <v>1.4838049165017766</v>
      </c>
      <c r="L2584" s="15">
        <v>1.4838049165017766</v>
      </c>
      <c r="M2584" s="15">
        <v>0.99238054380651686</v>
      </c>
      <c r="N2584" s="15">
        <v>0.99238054380651686</v>
      </c>
      <c r="O2584" s="15" t="s">
        <v>10</v>
      </c>
      <c r="P2584" s="15" t="s">
        <v>10</v>
      </c>
      <c r="Q2584" s="8"/>
      <c r="R2584" s="9" t="s">
        <v>2557</v>
      </c>
    </row>
    <row r="2585" spans="1:18" x14ac:dyDescent="0.25">
      <c r="A2585" s="6" t="str">
        <f>HYPERLINK("proteomic_fractions_linear_files/Yang_linear_img/16554570.jpg", "16554570")</f>
        <v>16554570</v>
      </c>
      <c r="B2585" s="7"/>
      <c r="C2585" s="6" t="str">
        <f>HYPERLINK("http://www.ncbi.nlm.nih.gov/protein/16554570","Fxyd2")</f>
        <v>Fxyd2</v>
      </c>
      <c r="D2585" s="8"/>
      <c r="E2585" s="8">
        <v>7388</v>
      </c>
      <c r="F2585" s="8"/>
      <c r="G2585" s="15">
        <v>2.9424915980937532</v>
      </c>
      <c r="H2585" s="15">
        <v>2.9424915980937532</v>
      </c>
      <c r="I2585" s="15">
        <v>1.821031334562518</v>
      </c>
      <c r="J2585" s="15">
        <v>1.821031334562518</v>
      </c>
      <c r="K2585" s="15">
        <v>2.170905470544898</v>
      </c>
      <c r="L2585" s="15">
        <v>2.170905470544898</v>
      </c>
      <c r="M2585" s="15">
        <v>2.0739248174100497</v>
      </c>
      <c r="N2585" s="15">
        <v>2.0739248174100497</v>
      </c>
      <c r="O2585" s="15" t="s">
        <v>10</v>
      </c>
      <c r="P2585" s="15" t="s">
        <v>10</v>
      </c>
      <c r="Q2585" s="8"/>
      <c r="R2585" s="9" t="s">
        <v>2558</v>
      </c>
    </row>
    <row r="2586" spans="1:18" x14ac:dyDescent="0.25">
      <c r="A2586" s="6" t="str">
        <f>HYPERLINK("proteomic_fractions_linear_files/Yang_linear_img/16554572.jpg", "16554572")</f>
        <v>16554572</v>
      </c>
      <c r="B2586" s="7"/>
      <c r="C2586" s="6" t="str">
        <f>HYPERLINK("http://www.ncbi.nlm.nih.gov/protein/16554572","Fxyd2")</f>
        <v>Fxyd2</v>
      </c>
      <c r="D2586" s="8"/>
      <c r="E2586" s="8">
        <v>7077</v>
      </c>
      <c r="F2586" s="8"/>
      <c r="G2586" s="15">
        <v>2.9424915980937532</v>
      </c>
      <c r="H2586" s="15">
        <v>2.9424915980937532</v>
      </c>
      <c r="I2586" s="15">
        <v>1.821031334562518</v>
      </c>
      <c r="J2586" s="15">
        <v>1.821031334562518</v>
      </c>
      <c r="K2586" s="15">
        <v>2.170905470544898</v>
      </c>
      <c r="L2586" s="15">
        <v>2.170905470544898</v>
      </c>
      <c r="M2586" s="15">
        <v>2.0739248174100497</v>
      </c>
      <c r="N2586" s="15">
        <v>2.0739248174100497</v>
      </c>
      <c r="O2586" s="15" t="s">
        <v>10</v>
      </c>
      <c r="P2586" s="15" t="s">
        <v>10</v>
      </c>
      <c r="Q2586" s="8"/>
      <c r="R2586" s="9" t="s">
        <v>2559</v>
      </c>
    </row>
    <row r="2587" spans="1:18" x14ac:dyDescent="0.25">
      <c r="A2587" s="6" t="str">
        <f>HYPERLINK("proteomic_fractions_linear_files/Yang_linear_img/16258807.jpg", "16258807")</f>
        <v>16258807</v>
      </c>
      <c r="B2587" s="7"/>
      <c r="C2587" s="6" t="str">
        <f>HYPERLINK("http://www.ncbi.nlm.nih.gov/protein/16258807","Fxyd4")</f>
        <v>Fxyd4</v>
      </c>
      <c r="D2587" s="8"/>
      <c r="E2587" s="8">
        <v>7168</v>
      </c>
      <c r="F2587" s="8"/>
      <c r="G2587" s="15">
        <v>1.7475516131901938</v>
      </c>
      <c r="H2587" s="15">
        <v>1.7475516131901938</v>
      </c>
      <c r="I2587" s="15" t="s">
        <v>10</v>
      </c>
      <c r="J2587" s="15" t="s">
        <v>10</v>
      </c>
      <c r="K2587" s="15" t="s">
        <v>10</v>
      </c>
      <c r="L2587" s="15" t="s">
        <v>10</v>
      </c>
      <c r="M2587" s="15" t="s">
        <v>10</v>
      </c>
      <c r="N2587" s="15" t="s">
        <v>10</v>
      </c>
      <c r="O2587" s="15" t="s">
        <v>10</v>
      </c>
      <c r="P2587" s="15" t="s">
        <v>10</v>
      </c>
      <c r="Q2587" s="8"/>
      <c r="R2587" s="9" t="s">
        <v>2560</v>
      </c>
    </row>
    <row r="2588" spans="1:18" x14ac:dyDescent="0.25">
      <c r="A2588" s="6" t="str">
        <f>HYPERLINK("proteomic_fractions_linear_files/Yang_linear_img/159131876.jpg", "159131876")</f>
        <v>159131876</v>
      </c>
      <c r="B2588" s="7"/>
      <c r="C2588" s="6" t="str">
        <f>HYPERLINK("http://www.ncbi.nlm.nih.gov/protein/159131876","Fyco1")</f>
        <v>Fyco1</v>
      </c>
      <c r="D2588" s="8"/>
      <c r="E2588" s="8">
        <v>162335</v>
      </c>
      <c r="F2588" s="8"/>
      <c r="G2588" s="15" t="s">
        <v>10</v>
      </c>
      <c r="H2588" s="15" t="s">
        <v>10</v>
      </c>
      <c r="I2588" s="15">
        <v>1.4404990594311671</v>
      </c>
      <c r="J2588" s="15">
        <v>1.4404990594311671</v>
      </c>
      <c r="K2588" s="15">
        <v>1.4404990594311671</v>
      </c>
      <c r="L2588" s="15">
        <v>1.4404990594311671</v>
      </c>
      <c r="M2588" s="15">
        <v>1.4404990594311671</v>
      </c>
      <c r="N2588" s="15">
        <v>1.4404990594311671</v>
      </c>
      <c r="O2588" s="15">
        <v>1.4404990594311671</v>
      </c>
      <c r="P2588" s="15">
        <v>1.4404990594311671</v>
      </c>
      <c r="Q2588" s="8"/>
      <c r="R2588" s="9" t="s">
        <v>2561</v>
      </c>
    </row>
    <row r="2589" spans="1:18" x14ac:dyDescent="0.25">
      <c r="A2589" s="6" t="str">
        <f>HYPERLINK("proteomic_fractions_linear_files/Yang_linear_img/171543837.jpg", "171543837")</f>
        <v>171543837</v>
      </c>
      <c r="B2589" s="7"/>
      <c r="C2589" s="6" t="str">
        <f>HYPERLINK("http://www.ncbi.nlm.nih.gov/protein/171543837","Fyn")</f>
        <v>Fyn</v>
      </c>
      <c r="D2589" s="8"/>
      <c r="E2589" s="8">
        <v>59928</v>
      </c>
      <c r="F2589" s="8"/>
      <c r="G2589" s="15">
        <v>1.2239360040280374</v>
      </c>
      <c r="H2589" s="15">
        <v>1.2239360040280374</v>
      </c>
      <c r="I2589" s="15">
        <v>0.97955345975989749</v>
      </c>
      <c r="J2589" s="15">
        <v>0.97955345975989749</v>
      </c>
      <c r="K2589" s="15">
        <v>0.97955345975989749</v>
      </c>
      <c r="L2589" s="15">
        <v>0.97955345975989749</v>
      </c>
      <c r="M2589" s="15">
        <v>0.97955345975989749</v>
      </c>
      <c r="N2589" s="15">
        <v>0.97955345975989749</v>
      </c>
      <c r="O2589" s="15">
        <v>0.43583763525708336</v>
      </c>
      <c r="P2589" s="15">
        <v>0.43583763525708336</v>
      </c>
      <c r="Q2589" s="8"/>
      <c r="R2589" s="9" t="s">
        <v>2562</v>
      </c>
    </row>
    <row r="2590" spans="1:18" x14ac:dyDescent="0.25">
      <c r="A2590" s="6" t="str">
        <f>HYPERLINK("proteomic_fractions_linear_files/Yang_linear_img/171543841.jpg", "171543841")</f>
        <v>171543841</v>
      </c>
      <c r="B2590" s="7"/>
      <c r="C2590" s="6" t="str">
        <f>HYPERLINK("http://www.ncbi.nlm.nih.gov/protein/171543841","Fyn")</f>
        <v>Fyn</v>
      </c>
      <c r="D2590" s="8"/>
      <c r="E2590" s="8">
        <v>60544</v>
      </c>
      <c r="F2590" s="8"/>
      <c r="G2590" s="15">
        <v>1.2038714793718401</v>
      </c>
      <c r="H2590" s="15">
        <v>1.2038714793718401</v>
      </c>
      <c r="I2590" s="15">
        <v>0.96349520632121066</v>
      </c>
      <c r="J2590" s="15">
        <v>0.96349520632121066</v>
      </c>
      <c r="K2590" s="15">
        <v>0.96349520632121066</v>
      </c>
      <c r="L2590" s="15">
        <v>0.96349520632121066</v>
      </c>
      <c r="M2590" s="15">
        <v>0.96349520632121066</v>
      </c>
      <c r="N2590" s="15">
        <v>0.96349520632121066</v>
      </c>
      <c r="O2590" s="15">
        <v>0.42869275599057377</v>
      </c>
      <c r="P2590" s="15">
        <v>0.42869275599057377</v>
      </c>
      <c r="Q2590" s="8"/>
      <c r="R2590" s="9" t="s">
        <v>2563</v>
      </c>
    </row>
    <row r="2591" spans="1:18" x14ac:dyDescent="0.25">
      <c r="A2591" s="6" t="str">
        <f>HYPERLINK("proteomic_fractions_linear_files/Yang_linear_img/226823218.jpg", "226823218")</f>
        <v>226823218</v>
      </c>
      <c r="B2591" s="7"/>
      <c r="C2591" s="6" t="str">
        <f>HYPERLINK("http://www.ncbi.nlm.nih.gov/protein/226823218","Fyttd1")</f>
        <v>Fyttd1</v>
      </c>
      <c r="D2591" s="8"/>
      <c r="E2591" s="8">
        <v>32159</v>
      </c>
      <c r="F2591" s="8"/>
      <c r="G2591" s="15">
        <v>1.5090617370129766</v>
      </c>
      <c r="H2591" s="15">
        <v>1.5090617370129766</v>
      </c>
      <c r="I2591" s="15" t="s">
        <v>10</v>
      </c>
      <c r="J2591" s="15" t="s">
        <v>10</v>
      </c>
      <c r="K2591" s="15" t="s">
        <v>10</v>
      </c>
      <c r="L2591" s="15" t="s">
        <v>10</v>
      </c>
      <c r="M2591" s="15" t="s">
        <v>10</v>
      </c>
      <c r="N2591" s="15" t="s">
        <v>10</v>
      </c>
      <c r="O2591" s="15" t="s">
        <v>10</v>
      </c>
      <c r="P2591" s="15" t="s">
        <v>10</v>
      </c>
      <c r="Q2591" s="8"/>
      <c r="R2591" s="9" t="s">
        <v>2564</v>
      </c>
    </row>
    <row r="2592" spans="1:18" x14ac:dyDescent="0.25">
      <c r="A2592" s="6" t="str">
        <f>HYPERLINK("proteomic_fractions_linear_files/Yang_linear_img/31541947.jpg", "31541947")</f>
        <v>31541947</v>
      </c>
      <c r="B2592" s="7"/>
      <c r="C2592" s="6" t="str">
        <f>HYPERLINK("http://www.ncbi.nlm.nih.gov/protein/31541947","Fyttd1")</f>
        <v>Fyttd1</v>
      </c>
      <c r="D2592" s="8"/>
      <c r="E2592" s="8">
        <v>35756</v>
      </c>
      <c r="F2592" s="8"/>
      <c r="G2592" s="15">
        <v>1.3413882106782014</v>
      </c>
      <c r="H2592" s="15">
        <v>1.3413882106782014</v>
      </c>
      <c r="I2592" s="15" t="s">
        <v>10</v>
      </c>
      <c r="J2592" s="15" t="s">
        <v>10</v>
      </c>
      <c r="K2592" s="15" t="s">
        <v>10</v>
      </c>
      <c r="L2592" s="15" t="s">
        <v>10</v>
      </c>
      <c r="M2592" s="15" t="s">
        <v>10</v>
      </c>
      <c r="N2592" s="15" t="s">
        <v>10</v>
      </c>
      <c r="O2592" s="15" t="s">
        <v>10</v>
      </c>
      <c r="P2592" s="15" t="s">
        <v>10</v>
      </c>
      <c r="Q2592" s="8"/>
      <c r="R2592" s="9" t="s">
        <v>2565</v>
      </c>
    </row>
    <row r="2593" spans="1:18" x14ac:dyDescent="0.25">
      <c r="A2593" s="6" t="str">
        <f>HYPERLINK("proteomic_fractions_linear_files/Yang_linear_img/7305075.jpg", "7305075")</f>
        <v>7305075</v>
      </c>
      <c r="B2593" s="7"/>
      <c r="C2593" s="6" t="str">
        <f>HYPERLINK("http://www.ncbi.nlm.nih.gov/protein/7305075","G3bp1")</f>
        <v>G3bp1</v>
      </c>
      <c r="D2593" s="8"/>
      <c r="E2593" s="8">
        <v>51698</v>
      </c>
      <c r="F2593" s="8"/>
      <c r="G2593" s="15">
        <v>1.5980511244835358</v>
      </c>
      <c r="H2593" s="15">
        <v>1.5980511244835358</v>
      </c>
      <c r="I2593" s="15">
        <v>1.2587166025104679</v>
      </c>
      <c r="J2593" s="15">
        <v>1.2587166025104679</v>
      </c>
      <c r="K2593" s="15">
        <v>1.4122338508015817</v>
      </c>
      <c r="L2593" s="15">
        <v>1.4122338508015817</v>
      </c>
      <c r="M2593" s="15">
        <v>1.4122338508015817</v>
      </c>
      <c r="N2593" s="15">
        <v>1.4122338508015817</v>
      </c>
      <c r="O2593" s="15" t="s">
        <v>10</v>
      </c>
      <c r="P2593" s="15" t="s">
        <v>10</v>
      </c>
      <c r="Q2593" s="8"/>
      <c r="R2593" s="9" t="s">
        <v>2566</v>
      </c>
    </row>
    <row r="2594" spans="1:18" x14ac:dyDescent="0.25">
      <c r="A2594" s="6" t="str">
        <f>HYPERLINK("proteomic_fractions_linear_files/Yang_linear_img/124248570.jpg", "124248570")</f>
        <v>124248570</v>
      </c>
      <c r="B2594" s="7"/>
      <c r="C2594" s="6" t="str">
        <f>HYPERLINK("http://www.ncbi.nlm.nih.gov/protein/124248570","G3bp2")</f>
        <v>G3bp2</v>
      </c>
      <c r="D2594" s="8"/>
      <c r="E2594" s="8">
        <v>50653</v>
      </c>
      <c r="F2594" s="8"/>
      <c r="G2594" s="15">
        <v>1.6293854602577227</v>
      </c>
      <c r="H2594" s="15">
        <v>1.6293854602577227</v>
      </c>
      <c r="I2594" s="15">
        <v>1.2833973202067517</v>
      </c>
      <c r="J2594" s="15">
        <v>1.2833973202067517</v>
      </c>
      <c r="K2594" s="15">
        <v>1.4399247106212205</v>
      </c>
      <c r="L2594" s="15">
        <v>1.4399247106212205</v>
      </c>
      <c r="M2594" s="15">
        <v>1.4399247106212205</v>
      </c>
      <c r="N2594" s="15">
        <v>1.4399247106212205</v>
      </c>
      <c r="O2594" s="15" t="s">
        <v>10</v>
      </c>
      <c r="P2594" s="15" t="s">
        <v>10</v>
      </c>
      <c r="Q2594" s="8"/>
      <c r="R2594" s="9" t="s">
        <v>2567</v>
      </c>
    </row>
    <row r="2595" spans="1:18" x14ac:dyDescent="0.25">
      <c r="A2595" s="6" t="str">
        <f>HYPERLINK("proteomic_fractions_linear_files/Yang_linear_img/31982757.jpg", "31982757")</f>
        <v>31982757</v>
      </c>
      <c r="B2595" s="7"/>
      <c r="C2595" s="6" t="str">
        <f>HYPERLINK("http://www.ncbi.nlm.nih.gov/protein/31982757","G3bp2")</f>
        <v>G3bp2</v>
      </c>
      <c r="D2595" s="8"/>
      <c r="E2595" s="8">
        <v>53957</v>
      </c>
      <c r="F2595" s="8"/>
      <c r="G2595" s="15">
        <v>1.5388640457989604</v>
      </c>
      <c r="H2595" s="15">
        <v>1.5388640457989604</v>
      </c>
      <c r="I2595" s="15">
        <v>1.2120974690841544</v>
      </c>
      <c r="J2595" s="15">
        <v>1.2120974690841544</v>
      </c>
      <c r="K2595" s="15">
        <v>1.359928893364486</v>
      </c>
      <c r="L2595" s="15">
        <v>1.359928893364486</v>
      </c>
      <c r="M2595" s="15">
        <v>1.359928893364486</v>
      </c>
      <c r="N2595" s="15">
        <v>1.359928893364486</v>
      </c>
      <c r="O2595" s="15" t="s">
        <v>10</v>
      </c>
      <c r="P2595" s="15" t="s">
        <v>10</v>
      </c>
      <c r="Q2595" s="8"/>
      <c r="R2595" s="9" t="s">
        <v>2568</v>
      </c>
    </row>
    <row r="2596" spans="1:18" x14ac:dyDescent="0.25">
      <c r="A2596" s="6" t="str">
        <f>HYPERLINK("proteomic_fractions_linear_files/Yang_linear_img/227330582.jpg", "227330582")</f>
        <v>227330582</v>
      </c>
      <c r="B2596" s="7"/>
      <c r="C2596" s="6" t="str">
        <f>HYPERLINK("http://www.ncbi.nlm.nih.gov/protein/227330582","G6pd2")</f>
        <v>G6pd2</v>
      </c>
      <c r="D2596" s="8"/>
      <c r="E2596" s="8">
        <v>59020</v>
      </c>
      <c r="F2596" s="8"/>
      <c r="G2596" s="15" t="s">
        <v>10</v>
      </c>
      <c r="H2596" s="15" t="s">
        <v>10</v>
      </c>
      <c r="I2596" s="15">
        <v>0.99615606077277719</v>
      </c>
      <c r="J2596" s="15">
        <v>0.99615606077277719</v>
      </c>
      <c r="K2596" s="15">
        <v>0.99615606077277719</v>
      </c>
      <c r="L2596" s="15">
        <v>0.99615606077277719</v>
      </c>
      <c r="M2596" s="15">
        <v>0.99615606077277719</v>
      </c>
      <c r="N2596" s="15">
        <v>0.99615606077277719</v>
      </c>
      <c r="O2596" s="15">
        <v>0.90034863779662844</v>
      </c>
      <c r="P2596" s="15">
        <v>0.90034863779662844</v>
      </c>
      <c r="Q2596" s="8"/>
      <c r="R2596" s="9" t="s">
        <v>2569</v>
      </c>
    </row>
    <row r="2597" spans="1:18" x14ac:dyDescent="0.25">
      <c r="A2597" s="6" t="str">
        <f>HYPERLINK("proteomic_fractions_linear_files/Yang_linear_img/6996917.jpg", "6996917")</f>
        <v>6996917</v>
      </c>
      <c r="B2597" s="7"/>
      <c r="C2597" s="6" t="str">
        <f>HYPERLINK("http://www.ncbi.nlm.nih.gov/protein/6996917","G6pdx")</f>
        <v>G6pdx</v>
      </c>
      <c r="D2597" s="8"/>
      <c r="E2597" s="8">
        <v>59132</v>
      </c>
      <c r="F2597" s="8"/>
      <c r="G2597" s="15">
        <v>1.244680682062411</v>
      </c>
      <c r="H2597" s="15">
        <v>1.244680682062411</v>
      </c>
      <c r="I2597" s="15">
        <v>0.99615606077277719</v>
      </c>
      <c r="J2597" s="15">
        <v>0.99615606077277719</v>
      </c>
      <c r="K2597" s="15">
        <v>0.99615606077277719</v>
      </c>
      <c r="L2597" s="15">
        <v>0.99615606077277719</v>
      </c>
      <c r="M2597" s="15">
        <v>0.99615606077277719</v>
      </c>
      <c r="N2597" s="15">
        <v>0.99615606077277719</v>
      </c>
      <c r="O2597" s="15">
        <v>0.90034863779662844</v>
      </c>
      <c r="P2597" s="15">
        <v>0.90034863779662844</v>
      </c>
      <c r="Q2597" s="8"/>
      <c r="R2597" s="9" t="s">
        <v>2570</v>
      </c>
    </row>
    <row r="2598" spans="1:18" x14ac:dyDescent="0.25">
      <c r="A2598" s="6" t="str">
        <f>HYPERLINK("proteomic_fractions_linear_files/Yang_linear_img/226693367.jpg", "226693367")</f>
        <v>226693367</v>
      </c>
      <c r="B2598" s="7"/>
      <c r="C2598" s="6" t="str">
        <f>HYPERLINK("http://www.ncbi.nlm.nih.gov/protein/226693367","Gaa")</f>
        <v>Gaa</v>
      </c>
      <c r="D2598" s="8"/>
      <c r="E2598" s="8">
        <v>98534</v>
      </c>
      <c r="F2598" s="8"/>
      <c r="G2598" s="15">
        <v>0.95927253719782335</v>
      </c>
      <c r="H2598" s="15">
        <v>0.95927253719782335</v>
      </c>
      <c r="I2598" s="15">
        <v>1.1091067052639543</v>
      </c>
      <c r="J2598" s="15">
        <v>1.1091067052639543</v>
      </c>
      <c r="K2598" s="15">
        <v>0.74177939638062873</v>
      </c>
      <c r="L2598" s="15">
        <v>0.74177939638062873</v>
      </c>
      <c r="M2598" s="15">
        <v>0.16885327798592953</v>
      </c>
      <c r="N2598" s="15">
        <v>0.16885327798592953</v>
      </c>
      <c r="O2598" s="15">
        <v>0.66114407404590236</v>
      </c>
      <c r="P2598" s="15">
        <v>0.66114407404590236</v>
      </c>
      <c r="Q2598" s="8"/>
      <c r="R2598" s="9" t="s">
        <v>2571</v>
      </c>
    </row>
    <row r="2599" spans="1:18" x14ac:dyDescent="0.25">
      <c r="A2599" s="6" t="str">
        <f>HYPERLINK("proteomic_fractions_linear_files/Yang_linear_img/31542871.jpg", "31542871")</f>
        <v>31542871</v>
      </c>
      <c r="B2599" s="7"/>
      <c r="C2599" s="6" t="str">
        <f>HYPERLINK("http://www.ncbi.nlm.nih.gov/protein/31542871","Gab1")</f>
        <v>Gab1</v>
      </c>
      <c r="D2599" s="8"/>
      <c r="E2599" s="8">
        <v>76682</v>
      </c>
      <c r="F2599" s="8"/>
      <c r="G2599" s="15" t="s">
        <v>10</v>
      </c>
      <c r="H2599" s="15" t="s">
        <v>10</v>
      </c>
      <c r="I2599" s="15" t="s">
        <v>10</v>
      </c>
      <c r="J2599" s="15" t="s">
        <v>10</v>
      </c>
      <c r="K2599" s="15" t="s">
        <v>10</v>
      </c>
      <c r="L2599" s="15" t="s">
        <v>10</v>
      </c>
      <c r="M2599" s="15" t="s">
        <v>10</v>
      </c>
      <c r="N2599" s="15" t="s">
        <v>10</v>
      </c>
      <c r="O2599" s="15">
        <v>1.4259943353393696</v>
      </c>
      <c r="P2599" s="15">
        <v>1.4259943353393696</v>
      </c>
      <c r="Q2599" s="8"/>
      <c r="R2599" s="9" t="s">
        <v>2572</v>
      </c>
    </row>
    <row r="2600" spans="1:18" x14ac:dyDescent="0.25">
      <c r="A2600" s="6" t="str">
        <f>HYPERLINK("proteomic_fractions_linear_files/Yang_linear_img/9789961.jpg", "9789961")</f>
        <v>9789961</v>
      </c>
      <c r="B2600" s="7"/>
      <c r="C2600" s="6" t="str">
        <f>HYPERLINK("http://www.ncbi.nlm.nih.gov/protein/9789961","Gabarap")</f>
        <v>Gabarap</v>
      </c>
      <c r="D2600" s="8"/>
      <c r="E2600" s="8">
        <v>13787</v>
      </c>
      <c r="F2600" s="8"/>
      <c r="G2600" s="15" t="s">
        <v>10</v>
      </c>
      <c r="H2600" s="15" t="s">
        <v>10</v>
      </c>
      <c r="I2600" s="15" t="s">
        <v>10</v>
      </c>
      <c r="J2600" s="15" t="s">
        <v>10</v>
      </c>
      <c r="K2600" s="15" t="s">
        <v>10</v>
      </c>
      <c r="L2600" s="15" t="s">
        <v>10</v>
      </c>
      <c r="M2600" s="15" t="s">
        <v>10</v>
      </c>
      <c r="N2600" s="15" t="s">
        <v>10</v>
      </c>
      <c r="O2600" s="15">
        <v>1.1940338943290729</v>
      </c>
      <c r="P2600" s="15">
        <v>1.1940338943290729</v>
      </c>
      <c r="Q2600" s="8"/>
      <c r="R2600" s="9" t="s">
        <v>2573</v>
      </c>
    </row>
    <row r="2601" spans="1:18" x14ac:dyDescent="0.25">
      <c r="A2601" s="6" t="str">
        <f>HYPERLINK("proteomic_fractions_linear_files/Yang_linear_img/10181206.jpg", "10181206")</f>
        <v>10181206</v>
      </c>
      <c r="B2601" s="7"/>
      <c r="C2601" s="6" t="str">
        <f>HYPERLINK("http://www.ncbi.nlm.nih.gov/protein/10181206","Gabarapl1")</f>
        <v>Gabarapl1</v>
      </c>
      <c r="D2601" s="8"/>
      <c r="E2601" s="8">
        <v>13913</v>
      </c>
      <c r="F2601" s="8"/>
      <c r="G2601" s="15" t="s">
        <v>10</v>
      </c>
      <c r="H2601" s="15" t="s">
        <v>10</v>
      </c>
      <c r="I2601" s="15" t="s">
        <v>10</v>
      </c>
      <c r="J2601" s="15" t="s">
        <v>10</v>
      </c>
      <c r="K2601" s="15">
        <v>1.3210927974688631</v>
      </c>
      <c r="L2601" s="15">
        <v>1.3210927974688631</v>
      </c>
      <c r="M2601" s="15" t="s">
        <v>10</v>
      </c>
      <c r="N2601" s="15" t="s">
        <v>10</v>
      </c>
      <c r="O2601" s="15">
        <v>1.1940338943290729</v>
      </c>
      <c r="P2601" s="15">
        <v>1.1940338943290729</v>
      </c>
      <c r="Q2601" s="8"/>
      <c r="R2601" s="9" t="s">
        <v>2574</v>
      </c>
    </row>
    <row r="2602" spans="1:18" x14ac:dyDescent="0.25">
      <c r="A2602" s="6" t="str">
        <f>HYPERLINK("proteomic_fractions_linear_files/Yang_linear_img/31542873.jpg", "31542873")</f>
        <v>31542873</v>
      </c>
      <c r="B2602" s="7"/>
      <c r="C2602" s="6" t="str">
        <f>HYPERLINK("http://www.ncbi.nlm.nih.gov/protein/31542873","Gabarapl2")</f>
        <v>Gabarapl2</v>
      </c>
      <c r="D2602" s="8"/>
      <c r="E2602" s="8">
        <v>13536</v>
      </c>
      <c r="F2602" s="8"/>
      <c r="G2602" s="15" t="s">
        <v>10</v>
      </c>
      <c r="H2602" s="15" t="s">
        <v>10</v>
      </c>
      <c r="I2602" s="15">
        <v>1.085452735272449</v>
      </c>
      <c r="J2602" s="15">
        <v>1.085452735272449</v>
      </c>
      <c r="K2602" s="15">
        <v>0.99184646428118928</v>
      </c>
      <c r="L2602" s="15">
        <v>0.99184646428118928</v>
      </c>
      <c r="M2602" s="15" t="s">
        <v>10</v>
      </c>
      <c r="N2602" s="15" t="s">
        <v>10</v>
      </c>
      <c r="O2602" s="15">
        <v>1.0369624087050249</v>
      </c>
      <c r="P2602" s="15">
        <v>1.0369624087050249</v>
      </c>
      <c r="Q2602" s="8"/>
      <c r="R2602" s="9" t="s">
        <v>2575</v>
      </c>
    </row>
    <row r="2603" spans="1:18" x14ac:dyDescent="0.25">
      <c r="A2603" s="6" t="str">
        <f>HYPERLINK("proteomic_fractions_linear_files/Yang_linear_img/34328119.jpg", "34328119")</f>
        <v>34328119</v>
      </c>
      <c r="B2603" s="7"/>
      <c r="C2603" s="6" t="str">
        <f>HYPERLINK("http://www.ncbi.nlm.nih.gov/protein/34328119","Gabpa")</f>
        <v>Gabpa</v>
      </c>
      <c r="D2603" s="8"/>
      <c r="E2603" s="8">
        <v>51213</v>
      </c>
      <c r="F2603" s="8"/>
      <c r="G2603" s="15" t="s">
        <v>10</v>
      </c>
      <c r="H2603" s="15" t="s">
        <v>10</v>
      </c>
      <c r="I2603" s="15" t="s">
        <v>10</v>
      </c>
      <c r="J2603" s="15" t="s">
        <v>10</v>
      </c>
      <c r="K2603" s="15">
        <v>1.1524158350116442</v>
      </c>
      <c r="L2603" s="15">
        <v>1.1524158350116442</v>
      </c>
      <c r="M2603" s="15">
        <v>1.1524158350116442</v>
      </c>
      <c r="N2603" s="15">
        <v>1.1524158350116442</v>
      </c>
      <c r="O2603" s="15">
        <v>1.0415797966666878</v>
      </c>
      <c r="P2603" s="15">
        <v>1.0415797966666878</v>
      </c>
      <c r="Q2603" s="8"/>
      <c r="R2603" s="9" t="s">
        <v>2576</v>
      </c>
    </row>
    <row r="2604" spans="1:18" x14ac:dyDescent="0.25">
      <c r="A2604" s="6" t="str">
        <f>HYPERLINK("proteomic_fractions_linear_files/Yang_linear_img/407728605.jpg", "407728605")</f>
        <v>407728605</v>
      </c>
      <c r="B2604" s="7"/>
      <c r="C2604" s="6" t="str">
        <f>HYPERLINK("http://www.ncbi.nlm.nih.gov/protein/407728605","Gabpb1")</f>
        <v>Gabpb1</v>
      </c>
      <c r="D2604" s="8"/>
      <c r="E2604" s="8">
        <v>41227</v>
      </c>
      <c r="F2604" s="8"/>
      <c r="G2604" s="15" t="s">
        <v>10</v>
      </c>
      <c r="H2604" s="15" t="s">
        <v>10</v>
      </c>
      <c r="I2604" s="15" t="s">
        <v>10</v>
      </c>
      <c r="J2604" s="15" t="s">
        <v>10</v>
      </c>
      <c r="K2604" s="15" t="s">
        <v>10</v>
      </c>
      <c r="L2604" s="15" t="s">
        <v>10</v>
      </c>
      <c r="M2604" s="15" t="s">
        <v>10</v>
      </c>
      <c r="N2604" s="15" t="s">
        <v>10</v>
      </c>
      <c r="O2604" s="15">
        <v>0.98798337081031085</v>
      </c>
      <c r="P2604" s="15">
        <v>0.98798337081031085</v>
      </c>
      <c r="Q2604" s="8"/>
      <c r="R2604" s="9" t="s">
        <v>2577</v>
      </c>
    </row>
    <row r="2605" spans="1:18" x14ac:dyDescent="0.25">
      <c r="A2605" s="6" t="str">
        <f>HYPERLINK("proteomic_fractions_linear_files/Yang_linear_img/46575942.jpg", "46575942")</f>
        <v>46575942</v>
      </c>
      <c r="B2605" s="7"/>
      <c r="C2605" s="6" t="str">
        <f>HYPERLINK("http://www.ncbi.nlm.nih.gov/protein/46575942","Gabpb1")</f>
        <v>Gabpb1</v>
      </c>
      <c r="D2605" s="8"/>
      <c r="E2605" s="8">
        <v>41127</v>
      </c>
      <c r="F2605" s="8"/>
      <c r="G2605" s="15" t="s">
        <v>10</v>
      </c>
      <c r="H2605" s="15" t="s">
        <v>10</v>
      </c>
      <c r="I2605" s="15" t="s">
        <v>10</v>
      </c>
      <c r="J2605" s="15" t="s">
        <v>10</v>
      </c>
      <c r="K2605" s="15" t="s">
        <v>10</v>
      </c>
      <c r="L2605" s="15" t="s">
        <v>10</v>
      </c>
      <c r="M2605" s="15" t="s">
        <v>10</v>
      </c>
      <c r="N2605" s="15" t="s">
        <v>10</v>
      </c>
      <c r="O2605" s="15">
        <v>0.98798337081031085</v>
      </c>
      <c r="P2605" s="15">
        <v>0.98798337081031085</v>
      </c>
      <c r="Q2605" s="8"/>
      <c r="R2605" s="9" t="s">
        <v>2578</v>
      </c>
    </row>
    <row r="2606" spans="1:18" x14ac:dyDescent="0.25">
      <c r="A2606" s="6" t="str">
        <f>HYPERLINK("proteomic_fractions_linear_files/Yang_linear_img/6678980.jpg", "6678980")</f>
        <v>6678980</v>
      </c>
      <c r="B2606" s="7"/>
      <c r="C2606" s="6" t="str">
        <f>HYPERLINK("http://www.ncbi.nlm.nih.gov/protein/6678980","Gadd45b")</f>
        <v>Gadd45b</v>
      </c>
      <c r="D2606" s="8"/>
      <c r="E2606" s="8">
        <v>17652</v>
      </c>
      <c r="F2606" s="8"/>
      <c r="G2606" s="15" t="s">
        <v>10</v>
      </c>
      <c r="H2606" s="15" t="s">
        <v>10</v>
      </c>
      <c r="I2606" s="15" t="s">
        <v>10</v>
      </c>
      <c r="J2606" s="15" t="s">
        <v>10</v>
      </c>
      <c r="K2606" s="15">
        <v>1.4527921175236111</v>
      </c>
      <c r="L2606" s="15">
        <v>1.4527921175236111</v>
      </c>
      <c r="M2606" s="15" t="s">
        <v>10</v>
      </c>
      <c r="N2606" s="15" t="s">
        <v>10</v>
      </c>
      <c r="O2606" s="15" t="s">
        <v>10</v>
      </c>
      <c r="P2606" s="15" t="s">
        <v>10</v>
      </c>
      <c r="Q2606" s="8"/>
      <c r="R2606" s="9" t="s">
        <v>2579</v>
      </c>
    </row>
    <row r="2607" spans="1:18" x14ac:dyDescent="0.25">
      <c r="A2607" s="6" t="str">
        <f>HYPERLINK("proteomic_fractions_linear_files/Yang_linear_img/269315840.jpg", "269315840")</f>
        <v>269315840</v>
      </c>
      <c r="B2607" s="7"/>
      <c r="C2607" s="6" t="str">
        <f>HYPERLINK("http://www.ncbi.nlm.nih.gov/protein/269315840","Gadd45gip1")</f>
        <v>Gadd45gip1</v>
      </c>
      <c r="D2607" s="8"/>
      <c r="E2607" s="8">
        <v>25689</v>
      </c>
      <c r="F2607" s="8"/>
      <c r="G2607" s="15">
        <v>0.79220927640985661</v>
      </c>
      <c r="H2607" s="15">
        <v>0.79220927640985661</v>
      </c>
      <c r="I2607" s="15">
        <v>0.83829777964149044</v>
      </c>
      <c r="J2607" s="15">
        <v>0.83829777964149044</v>
      </c>
      <c r="K2607" s="15" t="s">
        <v>10</v>
      </c>
      <c r="L2607" s="15" t="s">
        <v>10</v>
      </c>
      <c r="M2607" s="15" t="s">
        <v>10</v>
      </c>
      <c r="N2607" s="15" t="s">
        <v>10</v>
      </c>
      <c r="O2607" s="15" t="s">
        <v>10</v>
      </c>
      <c r="P2607" s="15" t="s">
        <v>10</v>
      </c>
      <c r="Q2607" s="8"/>
      <c r="R2607" s="9" t="s">
        <v>2580</v>
      </c>
    </row>
    <row r="2608" spans="1:18" x14ac:dyDescent="0.25">
      <c r="A2608" s="6" t="str">
        <f>HYPERLINK("proteomic_fractions_linear_files/Yang_linear_img/51317387.jpg", "51317387")</f>
        <v>51317387</v>
      </c>
      <c r="B2608" s="7"/>
      <c r="C2608" s="6" t="str">
        <f>HYPERLINK("http://www.ncbi.nlm.nih.gov/protein/51317387","Gak")</f>
        <v>Gak</v>
      </c>
      <c r="D2608" s="8"/>
      <c r="E2608" s="8">
        <v>143540</v>
      </c>
      <c r="F2608" s="8"/>
      <c r="G2608" s="15" t="s">
        <v>10</v>
      </c>
      <c r="H2608" s="15" t="s">
        <v>10</v>
      </c>
      <c r="I2608" s="15" t="s">
        <v>10</v>
      </c>
      <c r="J2608" s="15" t="s">
        <v>10</v>
      </c>
      <c r="K2608" s="15">
        <v>1.2969849419440302</v>
      </c>
      <c r="L2608" s="15">
        <v>1.2969849419440302</v>
      </c>
      <c r="M2608" s="15" t="s">
        <v>10</v>
      </c>
      <c r="N2608" s="15" t="s">
        <v>10</v>
      </c>
      <c r="O2608" s="15">
        <v>1.2969849419440302</v>
      </c>
      <c r="P2608" s="15">
        <v>1.2969849419440302</v>
      </c>
      <c r="Q2608" s="8"/>
      <c r="R2608" s="9" t="s">
        <v>2581</v>
      </c>
    </row>
    <row r="2609" spans="1:18" x14ac:dyDescent="0.25">
      <c r="A2609" s="6" t="str">
        <f>HYPERLINK("proteomic_fractions_linear_files/Yang_linear_img/93102411.jpg", "93102411")</f>
        <v>93102411</v>
      </c>
      <c r="B2609" s="7"/>
      <c r="C2609" s="6" t="str">
        <f>HYPERLINK("http://www.ncbi.nlm.nih.gov/protein/93102411","Galc")</f>
        <v>Galc</v>
      </c>
      <c r="D2609" s="8"/>
      <c r="E2609" s="8">
        <v>73111</v>
      </c>
      <c r="F2609" s="8"/>
      <c r="G2609" s="15" t="s">
        <v>10</v>
      </c>
      <c r="H2609" s="15" t="s">
        <v>10</v>
      </c>
      <c r="I2609" s="15">
        <v>0.60446012667075988</v>
      </c>
      <c r="J2609" s="15">
        <v>0.60446012667075988</v>
      </c>
      <c r="K2609" s="15">
        <v>0.80511243267936783</v>
      </c>
      <c r="L2609" s="15">
        <v>0.80511243267936783</v>
      </c>
      <c r="M2609" s="15">
        <v>0.25336026252827515</v>
      </c>
      <c r="N2609" s="15">
        <v>0.25336026252827515</v>
      </c>
      <c r="O2609" s="15">
        <v>0.72767903602741202</v>
      </c>
      <c r="P2609" s="15">
        <v>0.72767903602741202</v>
      </c>
      <c r="Q2609" s="8"/>
      <c r="R2609" s="9" t="s">
        <v>2582</v>
      </c>
    </row>
    <row r="2610" spans="1:18" x14ac:dyDescent="0.25">
      <c r="A2610" s="6" t="str">
        <f>HYPERLINK("proteomic_fractions_linear_files/Yang_linear_img/30409988.jpg", "30409988")</f>
        <v>30409988</v>
      </c>
      <c r="B2610" s="7"/>
      <c r="C2610" s="6" t="str">
        <f>HYPERLINK("http://www.ncbi.nlm.nih.gov/protein/30409988","Gale")</f>
        <v>Gale</v>
      </c>
      <c r="D2610" s="8"/>
      <c r="E2610" s="8">
        <v>38094</v>
      </c>
      <c r="F2610" s="8"/>
      <c r="G2610" s="15" t="s">
        <v>10</v>
      </c>
      <c r="H2610" s="15" t="s">
        <v>10</v>
      </c>
      <c r="I2610" s="15" t="s">
        <v>10</v>
      </c>
      <c r="J2610" s="15" t="s">
        <v>10</v>
      </c>
      <c r="K2610" s="15" t="s">
        <v>10</v>
      </c>
      <c r="L2610" s="15" t="s">
        <v>10</v>
      </c>
      <c r="M2610" s="15" t="s">
        <v>10</v>
      </c>
      <c r="N2610" s="15" t="s">
        <v>10</v>
      </c>
      <c r="O2610" s="15">
        <v>0.90929938238092589</v>
      </c>
      <c r="P2610" s="15">
        <v>0.90929938238092589</v>
      </c>
      <c r="Q2610" s="8"/>
      <c r="R2610" s="9" t="s">
        <v>2583</v>
      </c>
    </row>
    <row r="2611" spans="1:18" x14ac:dyDescent="0.25">
      <c r="A2611" s="6" t="str">
        <f>HYPERLINK("proteomic_fractions_linear_files/Yang_linear_img/93102413.jpg", "93102413")</f>
        <v>93102413</v>
      </c>
      <c r="B2611" s="7"/>
      <c r="C2611" s="6" t="str">
        <f>HYPERLINK("http://www.ncbi.nlm.nih.gov/protein/93102413","Galk1")</f>
        <v>Galk1</v>
      </c>
      <c r="D2611" s="8"/>
      <c r="E2611" s="8">
        <v>42164</v>
      </c>
      <c r="F2611" s="8"/>
      <c r="G2611" s="15" t="s">
        <v>10</v>
      </c>
      <c r="H2611" s="15" t="s">
        <v>10</v>
      </c>
      <c r="I2611" s="15">
        <v>0.88907920055058554</v>
      </c>
      <c r="J2611" s="15">
        <v>0.88907920055058554</v>
      </c>
      <c r="K2611" s="15">
        <v>0.96445995721958921</v>
      </c>
      <c r="L2611" s="15">
        <v>0.96445995721958921</v>
      </c>
      <c r="M2611" s="15">
        <v>0.88907920055058554</v>
      </c>
      <c r="N2611" s="15">
        <v>0.88907920055058554</v>
      </c>
      <c r="O2611" s="15">
        <v>0.82269944120179006</v>
      </c>
      <c r="P2611" s="15">
        <v>0.82269944120179006</v>
      </c>
      <c r="Q2611" s="8"/>
      <c r="R2611" s="9" t="s">
        <v>2584</v>
      </c>
    </row>
    <row r="2612" spans="1:18" x14ac:dyDescent="0.25">
      <c r="A2612" s="6" t="str">
        <f>HYPERLINK("proteomic_fractions_linear_files/Yang_linear_img/30424748.jpg", "30424748")</f>
        <v>30424748</v>
      </c>
      <c r="B2612" s="7"/>
      <c r="C2612" s="6" t="str">
        <f>HYPERLINK("http://www.ncbi.nlm.nih.gov/protein/30424748","Galk2")</f>
        <v>Galk2</v>
      </c>
      <c r="D2612" s="8"/>
      <c r="E2612" s="8">
        <v>49185</v>
      </c>
      <c r="F2612" s="8"/>
      <c r="G2612" s="15" t="s">
        <v>10</v>
      </c>
      <c r="H2612" s="15" t="s">
        <v>10</v>
      </c>
      <c r="I2612" s="15">
        <v>0.9855097058043929</v>
      </c>
      <c r="J2612" s="15">
        <v>0.9855097058043929</v>
      </c>
      <c r="K2612" s="15">
        <v>1.0840932577551241</v>
      </c>
      <c r="L2612" s="15">
        <v>1.0840932577551241</v>
      </c>
      <c r="M2612" s="15" t="s">
        <v>10</v>
      </c>
      <c r="N2612" s="15" t="s">
        <v>10</v>
      </c>
      <c r="O2612" s="15">
        <v>0.90052222952990757</v>
      </c>
      <c r="P2612" s="15">
        <v>0.90052222952990757</v>
      </c>
      <c r="Q2612" s="8"/>
      <c r="R2612" s="9" t="s">
        <v>2585</v>
      </c>
    </row>
    <row r="2613" spans="1:18" x14ac:dyDescent="0.25">
      <c r="A2613" s="6" t="str">
        <f>HYPERLINK("proteomic_fractions_linear_files/Yang_linear_img/28892785.jpg", "28892785")</f>
        <v>28892785</v>
      </c>
      <c r="B2613" s="7"/>
      <c r="C2613" s="6" t="str">
        <f>HYPERLINK("http://www.ncbi.nlm.nih.gov/protein/28892785","Galm")</f>
        <v>Galm</v>
      </c>
      <c r="D2613" s="8"/>
      <c r="E2613" s="8">
        <v>37668</v>
      </c>
      <c r="F2613" s="8"/>
      <c r="G2613" s="15" t="s">
        <v>10</v>
      </c>
      <c r="H2613" s="15" t="s">
        <v>10</v>
      </c>
      <c r="I2613" s="15" t="s">
        <v>10</v>
      </c>
      <c r="J2613" s="15" t="s">
        <v>10</v>
      </c>
      <c r="K2613" s="15">
        <v>0.98266648481906815</v>
      </c>
      <c r="L2613" s="15">
        <v>0.98266648481906815</v>
      </c>
      <c r="M2613" s="15" t="s">
        <v>10</v>
      </c>
      <c r="N2613" s="15" t="s">
        <v>10</v>
      </c>
      <c r="O2613" s="15">
        <v>0.84431770672983131</v>
      </c>
      <c r="P2613" s="15">
        <v>0.84431770672983131</v>
      </c>
      <c r="Q2613" s="8"/>
      <c r="R2613" s="9" t="s">
        <v>2586</v>
      </c>
    </row>
    <row r="2614" spans="1:18" x14ac:dyDescent="0.25">
      <c r="A2614" s="6" t="str">
        <f>HYPERLINK("proteomic_fractions_linear_files/Yang_linear_img/302370951.jpg", "302370951")</f>
        <v>302370951</v>
      </c>
      <c r="B2614" s="7"/>
      <c r="C2614" s="6" t="str">
        <f>HYPERLINK("http://www.ncbi.nlm.nih.gov/protein/302370951","Galns")</f>
        <v>Galns</v>
      </c>
      <c r="D2614" s="8"/>
      <c r="E2614" s="8">
        <v>46375</v>
      </c>
      <c r="F2614" s="8"/>
      <c r="G2614" s="15" t="s">
        <v>10</v>
      </c>
      <c r="H2614" s="15" t="s">
        <v>10</v>
      </c>
      <c r="I2614" s="15">
        <v>1.2776784257737794</v>
      </c>
      <c r="J2614" s="15">
        <v>1.2776784257737794</v>
      </c>
      <c r="K2614" s="15">
        <v>0.42393803973989724</v>
      </c>
      <c r="L2614" s="15">
        <v>0.42393803973989724</v>
      </c>
      <c r="M2614" s="15" t="s">
        <v>10</v>
      </c>
      <c r="N2614" s="15" t="s">
        <v>10</v>
      </c>
      <c r="O2614" s="15" t="s">
        <v>10</v>
      </c>
      <c r="P2614" s="15" t="s">
        <v>10</v>
      </c>
      <c r="Q2614" s="8"/>
      <c r="R2614" s="9" t="s">
        <v>2587</v>
      </c>
    </row>
    <row r="2615" spans="1:18" x14ac:dyDescent="0.25">
      <c r="A2615" s="6" t="str">
        <f>HYPERLINK("proteomic_fractions_linear_files/Yang_linear_img/171184398.jpg", "171184398")</f>
        <v>171184398</v>
      </c>
      <c r="B2615" s="7"/>
      <c r="C2615" s="6" t="str">
        <f>HYPERLINK("http://www.ncbi.nlm.nih.gov/protein/171184398","Galns")</f>
        <v>Galns</v>
      </c>
      <c r="D2615" s="8"/>
      <c r="E2615" s="8">
        <v>55492</v>
      </c>
      <c r="F2615" s="8"/>
      <c r="G2615" s="15">
        <v>5.4869695388454325</v>
      </c>
      <c r="H2615" s="15">
        <v>0.96582853872729235</v>
      </c>
      <c r="I2615" s="15">
        <v>1.0686037742835246</v>
      </c>
      <c r="J2615" s="15">
        <v>1.0686037742835246</v>
      </c>
      <c r="K2615" s="15">
        <v>0.35456636050973228</v>
      </c>
      <c r="L2615" s="15">
        <v>0.35456636050973228</v>
      </c>
      <c r="M2615" s="15" t="s">
        <v>10</v>
      </c>
      <c r="N2615" s="15" t="s">
        <v>10</v>
      </c>
      <c r="O2615" s="15">
        <v>0.3362781666284379</v>
      </c>
      <c r="P2615" s="15">
        <v>0.3362781666284379</v>
      </c>
      <c r="Q2615" s="8"/>
      <c r="R2615" s="9" t="s">
        <v>2588</v>
      </c>
    </row>
    <row r="2616" spans="1:18" x14ac:dyDescent="0.25">
      <c r="A2616" s="6" t="str">
        <f>HYPERLINK("proteomic_fractions_linear_files/Yang_linear_img/237874259.jpg", "237874259")</f>
        <v>237874259</v>
      </c>
      <c r="B2616" s="7"/>
      <c r="C2616" s="6" t="str">
        <f>HYPERLINK("http://www.ncbi.nlm.nih.gov/protein/237874259","Galnt1")</f>
        <v>Galnt1</v>
      </c>
      <c r="D2616" s="8"/>
      <c r="E2616" s="8">
        <v>64124</v>
      </c>
      <c r="F2616" s="8"/>
      <c r="G2616" s="15" t="s">
        <v>10</v>
      </c>
      <c r="H2616" s="15" t="s">
        <v>10</v>
      </c>
      <c r="I2616" s="15">
        <v>1.2984165386428728</v>
      </c>
      <c r="J2616" s="15">
        <v>1.2984165386428728</v>
      </c>
      <c r="K2616" s="15">
        <v>1.1474400037762851</v>
      </c>
      <c r="L2616" s="15">
        <v>1.1474400037762851</v>
      </c>
      <c r="M2616" s="15" t="s">
        <v>10</v>
      </c>
      <c r="N2616" s="15" t="s">
        <v>10</v>
      </c>
      <c r="O2616" s="15" t="s">
        <v>10</v>
      </c>
      <c r="P2616" s="15" t="s">
        <v>10</v>
      </c>
      <c r="Q2616" s="8"/>
      <c r="R2616" s="9" t="s">
        <v>2589</v>
      </c>
    </row>
    <row r="2617" spans="1:18" x14ac:dyDescent="0.25">
      <c r="A2617" s="6" t="str">
        <f>HYPERLINK("proteomic_fractions_linear_files/Yang_linear_img/76677928.jpg", "76677928")</f>
        <v>76677928</v>
      </c>
      <c r="B2617" s="7"/>
      <c r="C2617" s="6" t="str">
        <f>HYPERLINK("http://www.ncbi.nlm.nih.gov/protein/76677928","Galnt13")</f>
        <v>Galnt13</v>
      </c>
      <c r="D2617" s="8"/>
      <c r="E2617" s="8">
        <v>63852</v>
      </c>
      <c r="F2617" s="8"/>
      <c r="G2617" s="15" t="s">
        <v>10</v>
      </c>
      <c r="H2617" s="15" t="s">
        <v>10</v>
      </c>
      <c r="I2617" s="15">
        <v>1.2984165386428728</v>
      </c>
      <c r="J2617" s="15">
        <v>1.2984165386428728</v>
      </c>
      <c r="K2617" s="15" t="s">
        <v>10</v>
      </c>
      <c r="L2617" s="15" t="s">
        <v>10</v>
      </c>
      <c r="M2617" s="15" t="s">
        <v>10</v>
      </c>
      <c r="N2617" s="15" t="s">
        <v>10</v>
      </c>
      <c r="O2617" s="15" t="s">
        <v>10</v>
      </c>
      <c r="P2617" s="15" t="s">
        <v>10</v>
      </c>
      <c r="Q2617" s="8"/>
      <c r="R2617" s="9" t="s">
        <v>2590</v>
      </c>
    </row>
    <row r="2618" spans="1:18" x14ac:dyDescent="0.25">
      <c r="A2618" s="6" t="str">
        <f>HYPERLINK("proteomic_fractions_linear_files/Yang_linear_img/46877109.jpg", "46877109")</f>
        <v>46877109</v>
      </c>
      <c r="B2618" s="7"/>
      <c r="C2618" s="6" t="str">
        <f>HYPERLINK("http://www.ncbi.nlm.nih.gov/protein/46877109","Galnt2")</f>
        <v>Galnt2</v>
      </c>
      <c r="D2618" s="8"/>
      <c r="E2618" s="8">
        <v>62127</v>
      </c>
      <c r="F2618" s="8"/>
      <c r="G2618" s="15" t="s">
        <v>10</v>
      </c>
      <c r="H2618" s="15" t="s">
        <v>10</v>
      </c>
      <c r="I2618" s="15">
        <v>1.0556977956539408</v>
      </c>
      <c r="J2618" s="15">
        <v>1.0556977956539408</v>
      </c>
      <c r="K2618" s="15">
        <v>1.0556977956539408</v>
      </c>
      <c r="L2618" s="15">
        <v>1.0556977956539408</v>
      </c>
      <c r="M2618" s="15" t="s">
        <v>10</v>
      </c>
      <c r="N2618" s="15" t="s">
        <v>10</v>
      </c>
      <c r="O2618" s="15" t="s">
        <v>10</v>
      </c>
      <c r="P2618" s="15" t="s">
        <v>10</v>
      </c>
      <c r="Q2618" s="8"/>
      <c r="R2618" s="9" t="s">
        <v>2591</v>
      </c>
    </row>
    <row r="2619" spans="1:18" x14ac:dyDescent="0.25">
      <c r="A2619" s="6" t="str">
        <f>HYPERLINK("proteomic_fractions_linear_files/Yang_linear_img/162951828.jpg", "162951828")</f>
        <v>162951828</v>
      </c>
      <c r="B2619" s="7"/>
      <c r="C2619" s="6" t="str">
        <f>HYPERLINK("http://www.ncbi.nlm.nih.gov/protein/162951828","Galnt3")</f>
        <v>Galnt3</v>
      </c>
      <c r="D2619" s="8"/>
      <c r="E2619" s="8">
        <v>72801</v>
      </c>
      <c r="F2619" s="8"/>
      <c r="G2619" s="15">
        <v>1.3009312490765002</v>
      </c>
      <c r="H2619" s="15">
        <v>1.3009312490765002</v>
      </c>
      <c r="I2619" s="15">
        <v>1.1383377873033405</v>
      </c>
      <c r="J2619" s="15">
        <v>1.1383377873033405</v>
      </c>
      <c r="K2619" s="15">
        <v>1.1383377873033405</v>
      </c>
      <c r="L2619" s="15">
        <v>1.1383377873033405</v>
      </c>
      <c r="M2619" s="15">
        <v>1.1383377873033405</v>
      </c>
      <c r="N2619" s="15">
        <v>1.1383377873033405</v>
      </c>
      <c r="O2619" s="15" t="s">
        <v>10</v>
      </c>
      <c r="P2619" s="15" t="s">
        <v>10</v>
      </c>
      <c r="Q2619" s="8"/>
      <c r="R2619" s="9" t="s">
        <v>2592</v>
      </c>
    </row>
    <row r="2620" spans="1:18" x14ac:dyDescent="0.25">
      <c r="A2620" s="6" t="str">
        <f>HYPERLINK("proteomic_fractions_linear_files/Yang_linear_img/7657112.jpg", "7657112")</f>
        <v>7657112</v>
      </c>
      <c r="B2620" s="7"/>
      <c r="C2620" s="6" t="str">
        <f>HYPERLINK("http://www.ncbi.nlm.nih.gov/protein/7657112","Galnt4")</f>
        <v>Galnt4</v>
      </c>
      <c r="D2620" s="8"/>
      <c r="E2620" s="8">
        <v>66424</v>
      </c>
      <c r="F2620" s="8"/>
      <c r="G2620" s="15" t="s">
        <v>10</v>
      </c>
      <c r="H2620" s="15" t="s">
        <v>10</v>
      </c>
      <c r="I2620" s="15" t="s">
        <v>10</v>
      </c>
      <c r="J2620" s="15" t="s">
        <v>10</v>
      </c>
      <c r="K2620" s="15">
        <v>0.99171611106885349</v>
      </c>
      <c r="L2620" s="15">
        <v>0.99171611106885349</v>
      </c>
      <c r="M2620" s="15" t="s">
        <v>10</v>
      </c>
      <c r="N2620" s="15" t="s">
        <v>10</v>
      </c>
      <c r="O2620" s="15" t="s">
        <v>10</v>
      </c>
      <c r="P2620" s="15" t="s">
        <v>10</v>
      </c>
      <c r="Q2620" s="8"/>
      <c r="R2620" s="9" t="s">
        <v>2593</v>
      </c>
    </row>
    <row r="2621" spans="1:18" x14ac:dyDescent="0.25">
      <c r="A2621" s="6" t="str">
        <f>HYPERLINK("proteomic_fractions_linear_files/Yang_linear_img/269784707.jpg", "269784707")</f>
        <v>269784707</v>
      </c>
      <c r="B2621" s="7"/>
      <c r="C2621" s="6" t="str">
        <f>HYPERLINK("http://www.ncbi.nlm.nih.gov/protein/269784707","Galnt7")</f>
        <v>Galnt7</v>
      </c>
      <c r="D2621" s="8"/>
      <c r="E2621" s="8">
        <v>75288</v>
      </c>
      <c r="F2621" s="8"/>
      <c r="G2621" s="15" t="s">
        <v>10</v>
      </c>
      <c r="H2621" s="15" t="s">
        <v>10</v>
      </c>
      <c r="I2621" s="15">
        <v>0.97914880322242992</v>
      </c>
      <c r="J2621" s="15">
        <v>0.97914880322242992</v>
      </c>
      <c r="K2621" s="15" t="s">
        <v>10</v>
      </c>
      <c r="L2621" s="15" t="s">
        <v>10</v>
      </c>
      <c r="M2621" s="15" t="s">
        <v>10</v>
      </c>
      <c r="N2621" s="15" t="s">
        <v>10</v>
      </c>
      <c r="O2621" s="15" t="s">
        <v>10</v>
      </c>
      <c r="P2621" s="15" t="s">
        <v>10</v>
      </c>
      <c r="Q2621" s="8"/>
      <c r="R2621" s="9" t="s">
        <v>2594</v>
      </c>
    </row>
    <row r="2622" spans="1:18" x14ac:dyDescent="0.25">
      <c r="A2622" s="6" t="str">
        <f>HYPERLINK("proteomic_fractions_linear_files/Yang_linear_img/269784709.jpg", "269784709")</f>
        <v>269784709</v>
      </c>
      <c r="B2622" s="7"/>
      <c r="C2622" s="6" t="str">
        <f>HYPERLINK("http://www.ncbi.nlm.nih.gov/protein/269784709","Galnt7")</f>
        <v>Galnt7</v>
      </c>
      <c r="D2622" s="8"/>
      <c r="E2622" s="8">
        <v>75369</v>
      </c>
      <c r="F2622" s="8"/>
      <c r="G2622" s="15" t="s">
        <v>10</v>
      </c>
      <c r="H2622" s="15" t="s">
        <v>10</v>
      </c>
      <c r="I2622" s="15">
        <v>0.97914880322242992</v>
      </c>
      <c r="J2622" s="15">
        <v>0.97914880322242992</v>
      </c>
      <c r="K2622" s="15" t="s">
        <v>10</v>
      </c>
      <c r="L2622" s="15" t="s">
        <v>10</v>
      </c>
      <c r="M2622" s="15" t="s">
        <v>10</v>
      </c>
      <c r="N2622" s="15" t="s">
        <v>10</v>
      </c>
      <c r="O2622" s="15" t="s">
        <v>10</v>
      </c>
      <c r="P2622" s="15" t="s">
        <v>10</v>
      </c>
      <c r="Q2622" s="8"/>
      <c r="R2622" s="9" t="s">
        <v>2595</v>
      </c>
    </row>
    <row r="2623" spans="1:18" x14ac:dyDescent="0.25">
      <c r="A2623" s="6" t="str">
        <f>HYPERLINK("proteomic_fractions_linear_files/Yang_linear_img/6753944.jpg", "6753944")</f>
        <v>6753944</v>
      </c>
      <c r="B2623" s="7"/>
      <c r="C2623" s="6" t="str">
        <f>HYPERLINK("http://www.ncbi.nlm.nih.gov/protein/6753944","Gamt")</f>
        <v>Gamt</v>
      </c>
      <c r="D2623" s="8"/>
      <c r="E2623" s="8">
        <v>26205</v>
      </c>
      <c r="F2623" s="8"/>
      <c r="G2623" s="15" t="s">
        <v>10</v>
      </c>
      <c r="H2623" s="15" t="s">
        <v>10</v>
      </c>
      <c r="I2623" s="15" t="s">
        <v>10</v>
      </c>
      <c r="J2623" s="15" t="s">
        <v>10</v>
      </c>
      <c r="K2623" s="15">
        <v>0.94441617743372752</v>
      </c>
      <c r="L2623" s="15">
        <v>0.94441617743372752</v>
      </c>
      <c r="M2623" s="15" t="s">
        <v>10</v>
      </c>
      <c r="N2623" s="15" t="s">
        <v>10</v>
      </c>
      <c r="O2623" s="15">
        <v>0.83829777964149044</v>
      </c>
      <c r="P2623" s="15">
        <v>0.83829777964149044</v>
      </c>
      <c r="Q2623" s="8"/>
      <c r="R2623" s="9" t="s">
        <v>2596</v>
      </c>
    </row>
    <row r="2624" spans="1:18" x14ac:dyDescent="0.25">
      <c r="A2624" s="6" t="str">
        <f>HYPERLINK("proteomic_fractions_linear_files/Yang_linear_img/6679891.jpg", "6679891")</f>
        <v>6679891</v>
      </c>
      <c r="B2624" s="7"/>
      <c r="C2624" s="6" t="str">
        <f>HYPERLINK("http://www.ncbi.nlm.nih.gov/protein/6679891","Ganab")</f>
        <v>Ganab</v>
      </c>
      <c r="D2624" s="8"/>
      <c r="E2624" s="8">
        <v>109273</v>
      </c>
      <c r="F2624" s="8"/>
      <c r="G2624" s="15">
        <v>1.1809323683038253</v>
      </c>
      <c r="H2624" s="15">
        <v>1.1809323683038253</v>
      </c>
      <c r="I2624" s="15">
        <v>1.0073537965241419</v>
      </c>
      <c r="J2624" s="15">
        <v>1.0073537965241419</v>
      </c>
      <c r="K2624" s="15">
        <v>1.1809323683038253</v>
      </c>
      <c r="L2624" s="15">
        <v>1.1809323683038253</v>
      </c>
      <c r="M2624" s="15">
        <v>1.1809323683038253</v>
      </c>
      <c r="N2624" s="15">
        <v>1.1809323683038253</v>
      </c>
      <c r="O2624" s="15">
        <v>1.0073537965241419</v>
      </c>
      <c r="P2624" s="15">
        <v>1.0073537965241419</v>
      </c>
      <c r="Q2624" s="8"/>
      <c r="R2624" s="9" t="s">
        <v>2597</v>
      </c>
    </row>
    <row r="2625" spans="1:18" x14ac:dyDescent="0.25">
      <c r="A2625" s="6" t="str">
        <f>HYPERLINK("proteomic_fractions_linear_files/Yang_linear_img/6679939.jpg", "6679939")</f>
        <v>6679939</v>
      </c>
      <c r="B2625" s="7"/>
      <c r="C2625" s="6" t="str">
        <f>HYPERLINK("http://www.ncbi.nlm.nih.gov/protein/6679939","Gapdhs")</f>
        <v>Gapdhs</v>
      </c>
      <c r="D2625" s="8"/>
      <c r="E2625" s="8">
        <v>47312</v>
      </c>
      <c r="F2625" s="8"/>
      <c r="G2625" s="15">
        <v>2.7387580456407865</v>
      </c>
      <c r="H2625" s="15">
        <v>2.7387580456407865</v>
      </c>
      <c r="I2625" s="15">
        <v>0.73517822405266353</v>
      </c>
      <c r="J2625" s="15">
        <v>0.73517822405266353</v>
      </c>
      <c r="K2625" s="15">
        <v>0.73517822405266353</v>
      </c>
      <c r="L2625" s="15">
        <v>0.73517822405266353</v>
      </c>
      <c r="M2625" s="15">
        <v>0.73517822405266353</v>
      </c>
      <c r="N2625" s="15">
        <v>0.73517822405266353</v>
      </c>
      <c r="O2625" s="15">
        <v>0.63585972110027944</v>
      </c>
      <c r="P2625" s="15">
        <v>0.63585972110027944</v>
      </c>
      <c r="Q2625" s="8"/>
      <c r="R2625" s="9" t="s">
        <v>2598</v>
      </c>
    </row>
    <row r="2626" spans="1:18" x14ac:dyDescent="0.25">
      <c r="A2626" s="6" t="str">
        <f>HYPERLINK("proteomic_fractions_linear_files/Yang_linear_img/40254514.jpg", "40254514")</f>
        <v>40254514</v>
      </c>
      <c r="B2626" s="7"/>
      <c r="C2626" s="6" t="str">
        <f>HYPERLINK("http://www.ncbi.nlm.nih.gov/protein/40254514","Gapvd1")</f>
        <v>Gapvd1</v>
      </c>
      <c r="D2626" s="8"/>
      <c r="E2626" s="8">
        <v>159980</v>
      </c>
      <c r="F2626" s="8"/>
      <c r="G2626" s="15" t="s">
        <v>10</v>
      </c>
      <c r="H2626" s="15" t="s">
        <v>10</v>
      </c>
      <c r="I2626" s="15" t="s">
        <v>10</v>
      </c>
      <c r="J2626" s="15" t="s">
        <v>10</v>
      </c>
      <c r="K2626" s="15" t="s">
        <v>10</v>
      </c>
      <c r="L2626" s="15" t="s">
        <v>10</v>
      </c>
      <c r="M2626" s="15">
        <v>1.4585052976740567</v>
      </c>
      <c r="N2626" s="15">
        <v>1.4585052976740567</v>
      </c>
      <c r="O2626" s="15">
        <v>1.4585052976740567</v>
      </c>
      <c r="P2626" s="15">
        <v>1.4585052976740567</v>
      </c>
      <c r="Q2626" s="8"/>
      <c r="R2626" s="9" t="s">
        <v>2599</v>
      </c>
    </row>
    <row r="2627" spans="1:18" x14ac:dyDescent="0.25">
      <c r="A2627" s="6" t="str">
        <f>HYPERLINK("proteomic_fractions_linear_files/Yang_linear_img/13384710.jpg", "13384710")</f>
        <v>13384710</v>
      </c>
      <c r="B2627" s="7"/>
      <c r="C2627" s="6" t="str">
        <f>HYPERLINK("http://www.ncbi.nlm.nih.gov/protein/13384710","Gar1")</f>
        <v>Gar1</v>
      </c>
      <c r="D2627" s="8"/>
      <c r="E2627" s="8">
        <v>23343</v>
      </c>
      <c r="F2627" s="8"/>
      <c r="G2627" s="15" t="s">
        <v>10</v>
      </c>
      <c r="H2627" s="15" t="s">
        <v>10</v>
      </c>
      <c r="I2627" s="15" t="s">
        <v>10</v>
      </c>
      <c r="J2627" s="15" t="s">
        <v>10</v>
      </c>
      <c r="K2627" s="15" t="s">
        <v>10</v>
      </c>
      <c r="L2627" s="15" t="s">
        <v>10</v>
      </c>
      <c r="M2627" s="15">
        <v>1.0676008962294312</v>
      </c>
      <c r="N2627" s="15">
        <v>1.0676008962294312</v>
      </c>
      <c r="O2627" s="15" t="s">
        <v>10</v>
      </c>
      <c r="P2627" s="15" t="s">
        <v>10</v>
      </c>
      <c r="Q2627" s="8"/>
      <c r="R2627" s="9" t="s">
        <v>2600</v>
      </c>
    </row>
    <row r="2628" spans="1:18" x14ac:dyDescent="0.25">
      <c r="A2628" s="6" t="str">
        <f>HYPERLINK("proteomic_fractions_linear_files/Yang_linear_img/93102417.jpg", "93102417")</f>
        <v>93102417</v>
      </c>
      <c r="B2628" s="7"/>
      <c r="C2628" s="6" t="str">
        <f>HYPERLINK("http://www.ncbi.nlm.nih.gov/protein/93102417","Gars")</f>
        <v>Gars</v>
      </c>
      <c r="D2628" s="8"/>
      <c r="E2628" s="8">
        <v>81747</v>
      </c>
      <c r="F2628" s="8"/>
      <c r="G2628" s="15">
        <v>3.6802844467865703</v>
      </c>
      <c r="H2628" s="15">
        <v>3.6802844467865703</v>
      </c>
      <c r="I2628" s="15">
        <v>1.0133982740627299</v>
      </c>
      <c r="J2628" s="15">
        <v>1.0133982740627299</v>
      </c>
      <c r="K2628" s="15">
        <v>1.0133982740627299</v>
      </c>
      <c r="L2628" s="15">
        <v>1.0133982740627299</v>
      </c>
      <c r="M2628" s="15">
        <v>1.0133982740627299</v>
      </c>
      <c r="N2628" s="15">
        <v>1.0133982740627299</v>
      </c>
      <c r="O2628" s="15">
        <v>1.0133982740627299</v>
      </c>
      <c r="P2628" s="15">
        <v>1.0133982740627299</v>
      </c>
      <c r="Q2628" s="8"/>
      <c r="R2628" s="9" t="s">
        <v>2601</v>
      </c>
    </row>
    <row r="2629" spans="1:18" x14ac:dyDescent="0.25">
      <c r="A2629" s="6" t="str">
        <f>HYPERLINK("proteomic_fractions_linear_files/Yang_linear_img/93102415.jpg", "93102415")</f>
        <v>93102415</v>
      </c>
      <c r="B2629" s="7"/>
      <c r="C2629" s="6" t="str">
        <f>HYPERLINK("http://www.ncbi.nlm.nih.gov/protein/93102415","Gart")</f>
        <v>Gart</v>
      </c>
      <c r="D2629" s="8"/>
      <c r="E2629" s="8">
        <v>107373</v>
      </c>
      <c r="F2629" s="8"/>
      <c r="G2629" s="15">
        <v>1.4341389825816995</v>
      </c>
      <c r="H2629" s="15">
        <v>1.4341389825816995</v>
      </c>
      <c r="I2629" s="15">
        <v>0.49645392177571102</v>
      </c>
      <c r="J2629" s="15">
        <v>0.49645392177571102</v>
      </c>
      <c r="K2629" s="15">
        <v>1.2030058705151119</v>
      </c>
      <c r="L2629" s="15">
        <v>1.2030058705151119</v>
      </c>
      <c r="M2629" s="15">
        <v>1.2030058705151119</v>
      </c>
      <c r="N2629" s="15">
        <v>1.2030058705151119</v>
      </c>
      <c r="O2629" s="15">
        <v>0.45130818303191822</v>
      </c>
      <c r="P2629" s="15">
        <v>0.45130818303191822</v>
      </c>
      <c r="Q2629" s="8"/>
      <c r="R2629" s="9" t="s">
        <v>2602</v>
      </c>
    </row>
    <row r="2630" spans="1:18" x14ac:dyDescent="0.25">
      <c r="A2630" s="6" t="str">
        <f>HYPERLINK("proteomic_fractions_linear_files/Yang_linear_img/6679943.jpg", "6679943")</f>
        <v>6679943</v>
      </c>
      <c r="B2630" s="7"/>
      <c r="C2630" s="6" t="str">
        <f>HYPERLINK("http://www.ncbi.nlm.nih.gov/protein/6679943","Gas2")</f>
        <v>Gas2</v>
      </c>
      <c r="D2630" s="8"/>
      <c r="E2630" s="8">
        <v>34770</v>
      </c>
      <c r="F2630" s="8"/>
      <c r="G2630" s="15" t="s">
        <v>10</v>
      </c>
      <c r="H2630" s="15" t="s">
        <v>10</v>
      </c>
      <c r="I2630" s="15" t="s">
        <v>10</v>
      </c>
      <c r="J2630" s="15" t="s">
        <v>10</v>
      </c>
      <c r="K2630" s="15" t="s">
        <v>10</v>
      </c>
      <c r="L2630" s="15" t="s">
        <v>10</v>
      </c>
      <c r="M2630" s="15">
        <v>0.74715023186928575</v>
      </c>
      <c r="N2630" s="15">
        <v>0.74715023186928575</v>
      </c>
      <c r="O2630" s="15" t="s">
        <v>10</v>
      </c>
      <c r="P2630" s="15" t="s">
        <v>10</v>
      </c>
      <c r="Q2630" s="8"/>
      <c r="R2630" s="9" t="s">
        <v>2603</v>
      </c>
    </row>
    <row r="2631" spans="1:18" x14ac:dyDescent="0.25">
      <c r="A2631" s="6" t="str">
        <f>HYPERLINK("proteomic_fractions_linear_files/Yang_linear_img/120407058.jpg", "120407058")</f>
        <v>120407058</v>
      </c>
      <c r="B2631" s="7"/>
      <c r="C2631" s="6" t="str">
        <f>HYPERLINK("http://www.ncbi.nlm.nih.gov/protein/120407058","Gas2l3")</f>
        <v>Gas2l3</v>
      </c>
      <c r="D2631" s="8"/>
      <c r="E2631" s="8">
        <v>74104</v>
      </c>
      <c r="F2631" s="8"/>
      <c r="G2631" s="15" t="s">
        <v>10</v>
      </c>
      <c r="H2631" s="15" t="s">
        <v>10</v>
      </c>
      <c r="I2631" s="15" t="s">
        <v>10</v>
      </c>
      <c r="J2631" s="15" t="s">
        <v>10</v>
      </c>
      <c r="K2631" s="15" t="s">
        <v>10</v>
      </c>
      <c r="L2631" s="15" t="s">
        <v>10</v>
      </c>
      <c r="M2631" s="15">
        <v>0.35338186642466218</v>
      </c>
      <c r="N2631" s="15">
        <v>0.35338186642466218</v>
      </c>
      <c r="O2631" s="15" t="s">
        <v>10</v>
      </c>
      <c r="P2631" s="15" t="s">
        <v>10</v>
      </c>
      <c r="Q2631" s="8"/>
      <c r="R2631" s="9" t="s">
        <v>2604</v>
      </c>
    </row>
    <row r="2632" spans="1:18" x14ac:dyDescent="0.25">
      <c r="A2632" s="6" t="str">
        <f>HYPERLINK("proteomic_fractions_linear_files/Yang_linear_img/21314854.jpg", "21314854")</f>
        <v>21314854</v>
      </c>
      <c r="B2632" s="7"/>
      <c r="C2632" s="6" t="str">
        <f>HYPERLINK("http://www.ncbi.nlm.nih.gov/protein/21314854","Gatad2b")</f>
        <v>Gatad2b</v>
      </c>
      <c r="D2632" s="8"/>
      <c r="E2632" s="8">
        <v>65280</v>
      </c>
      <c r="F2632" s="8"/>
      <c r="G2632" s="15">
        <v>0.90420319362452084</v>
      </c>
      <c r="H2632" s="15">
        <v>0.90420319362452084</v>
      </c>
      <c r="I2632" s="15">
        <v>0.7429227012986962</v>
      </c>
      <c r="J2632" s="15">
        <v>0.7429227012986962</v>
      </c>
      <c r="K2632" s="15">
        <v>0.7429227012986962</v>
      </c>
      <c r="L2632" s="15">
        <v>0.7429227012986962</v>
      </c>
      <c r="M2632" s="15">
        <v>1.1297870806412653</v>
      </c>
      <c r="N2632" s="15">
        <v>1.1297870806412653</v>
      </c>
      <c r="O2632" s="15">
        <v>0.18819786603586702</v>
      </c>
      <c r="P2632" s="15">
        <v>0.18819786603586702</v>
      </c>
      <c r="Q2632" s="8"/>
      <c r="R2632" s="9" t="s">
        <v>2605</v>
      </c>
    </row>
    <row r="2633" spans="1:18" x14ac:dyDescent="0.25">
      <c r="A2633" s="6" t="str">
        <f>HYPERLINK("proteomic_fractions_linear_files/Yang_linear_img/116734815.jpg", "116734815")</f>
        <v>116734815</v>
      </c>
      <c r="B2633" s="7"/>
      <c r="C2633" s="6" t="str">
        <f>HYPERLINK("http://www.ncbi.nlm.nih.gov/protein/116734815","Gba")</f>
        <v>Gba</v>
      </c>
      <c r="D2633" s="8"/>
      <c r="E2633" s="8">
        <v>55492</v>
      </c>
      <c r="F2633" s="8"/>
      <c r="G2633" s="15">
        <v>1.3352029134851318</v>
      </c>
      <c r="H2633" s="15">
        <v>1.3352029134851318</v>
      </c>
      <c r="I2633" s="15" t="s">
        <v>10</v>
      </c>
      <c r="J2633" s="15" t="s">
        <v>10</v>
      </c>
      <c r="K2633" s="15" t="s">
        <v>10</v>
      </c>
      <c r="L2633" s="15" t="s">
        <v>10</v>
      </c>
      <c r="M2633" s="15" t="s">
        <v>10</v>
      </c>
      <c r="N2633" s="15" t="s">
        <v>10</v>
      </c>
      <c r="O2633" s="15" t="s">
        <v>10</v>
      </c>
      <c r="P2633" s="15" t="s">
        <v>10</v>
      </c>
      <c r="Q2633" s="8"/>
      <c r="R2633" s="9" t="s">
        <v>2606</v>
      </c>
    </row>
    <row r="2634" spans="1:18" x14ac:dyDescent="0.25">
      <c r="A2634" s="6" t="str">
        <f>HYPERLINK("proteomic_fractions_linear_files/Yang_linear_img/116734815;6679955.jpg", "116734815;6679955")</f>
        <v>116734815;6679955</v>
      </c>
      <c r="B2634" s="8"/>
      <c r="C2634" s="6" t="str">
        <f>HYPERLINK("http://www.ncbi.nlm.nih.gov/protein/116734815;6679955","Gba")</f>
        <v>Gba</v>
      </c>
      <c r="D2634" s="8"/>
      <c r="E2634" s="8">
        <v>55492</v>
      </c>
      <c r="F2634" s="8"/>
      <c r="G2634" s="15" t="s">
        <v>10</v>
      </c>
      <c r="H2634" s="15" t="s">
        <v>10</v>
      </c>
      <c r="I2634" s="15" t="s">
        <v>10</v>
      </c>
      <c r="J2634" s="15" t="s">
        <v>10</v>
      </c>
      <c r="K2634" s="15">
        <v>1.1900593332826241</v>
      </c>
      <c r="L2634" s="15">
        <v>1.1900593332826241</v>
      </c>
      <c r="M2634" s="15" t="s">
        <v>10</v>
      </c>
      <c r="N2634" s="15" t="s">
        <v>10</v>
      </c>
      <c r="O2634" s="15" t="s">
        <v>10</v>
      </c>
      <c r="P2634" s="15" t="s">
        <v>10</v>
      </c>
      <c r="Q2634" s="8"/>
      <c r="R2634" s="9" t="s">
        <v>2606</v>
      </c>
    </row>
    <row r="2635" spans="1:18" x14ac:dyDescent="0.25">
      <c r="A2635" s="6" t="str">
        <f>HYPERLINK("proteomic_fractions_linear_files/Yang_linear_img/6679955;116734815.jpg", "6679955;116734815")</f>
        <v>6679955;116734815</v>
      </c>
      <c r="B2635" s="8"/>
      <c r="C2635" s="6" t="str">
        <f>HYPERLINK("http://www.ncbi.nlm.nih.gov/protein/6679955;116734815","Gba")</f>
        <v>Gba</v>
      </c>
      <c r="D2635" s="8"/>
      <c r="E2635" s="8">
        <v>55492</v>
      </c>
      <c r="F2635" s="8"/>
      <c r="G2635" s="15" t="s">
        <v>10</v>
      </c>
      <c r="H2635" s="15" t="s">
        <v>10</v>
      </c>
      <c r="I2635" s="15">
        <v>1.3352029134851318</v>
      </c>
      <c r="J2635" s="15">
        <v>1.3352029134851318</v>
      </c>
      <c r="K2635" s="15" t="s">
        <v>10</v>
      </c>
      <c r="L2635" s="15" t="s">
        <v>10</v>
      </c>
      <c r="M2635" s="15">
        <v>1.3352029134851318</v>
      </c>
      <c r="N2635" s="15">
        <v>1.3352029134851318</v>
      </c>
      <c r="O2635" s="15" t="s">
        <v>10</v>
      </c>
      <c r="P2635" s="15" t="s">
        <v>10</v>
      </c>
      <c r="Q2635" s="8"/>
      <c r="R2635" s="9" t="s">
        <v>2607</v>
      </c>
    </row>
    <row r="2636" spans="1:18" x14ac:dyDescent="0.25">
      <c r="A2636" s="6" t="str">
        <f>HYPERLINK("proteomic_fractions_linear_files/Yang_linear_img/160298168.jpg", "160298168")</f>
        <v>160298168</v>
      </c>
      <c r="B2636" s="7"/>
      <c r="C2636" s="6" t="str">
        <f>HYPERLINK("http://www.ncbi.nlm.nih.gov/protein/160298168","Gbas")</f>
        <v>Gbas</v>
      </c>
      <c r="D2636" s="8"/>
      <c r="E2636" s="8">
        <v>32768</v>
      </c>
      <c r="F2636" s="8"/>
      <c r="G2636" s="15">
        <v>0.70029010226416499</v>
      </c>
      <c r="H2636" s="15">
        <v>1.0470720160750056</v>
      </c>
      <c r="I2636" s="15">
        <v>0.74408547312960349</v>
      </c>
      <c r="J2636" s="15">
        <v>0.74408547312960349</v>
      </c>
      <c r="K2636" s="15" t="s">
        <v>10</v>
      </c>
      <c r="L2636" s="15" t="s">
        <v>10</v>
      </c>
      <c r="M2636" s="15" t="s">
        <v>10</v>
      </c>
      <c r="N2636" s="15" t="s">
        <v>10</v>
      </c>
      <c r="O2636" s="15" t="s">
        <v>10</v>
      </c>
      <c r="P2636" s="15" t="s">
        <v>10</v>
      </c>
      <c r="Q2636" s="8"/>
      <c r="R2636" s="9" t="s">
        <v>2608</v>
      </c>
    </row>
    <row r="2637" spans="1:18" x14ac:dyDescent="0.25">
      <c r="A2637" s="6" t="str">
        <f>HYPERLINK("proteomic_fractions_linear_files/Yang_linear_img/17975508.jpg", "17975508")</f>
        <v>17975508</v>
      </c>
      <c r="B2637" s="7"/>
      <c r="C2637" s="6" t="str">
        <f>HYPERLINK("http://www.ncbi.nlm.nih.gov/protein/17975508","Gbe1")</f>
        <v>Gbe1</v>
      </c>
      <c r="D2637" s="8"/>
      <c r="E2637" s="8">
        <v>80233</v>
      </c>
      <c r="F2637" s="8"/>
      <c r="G2637" s="15" t="s">
        <v>10</v>
      </c>
      <c r="H2637" s="15" t="s">
        <v>10</v>
      </c>
      <c r="I2637" s="15">
        <v>0.91795200302102808</v>
      </c>
      <c r="J2637" s="15">
        <v>0.91795200302102808</v>
      </c>
      <c r="K2637" s="15">
        <v>1.0387332309142983</v>
      </c>
      <c r="L2637" s="15">
        <v>1.0387332309142983</v>
      </c>
      <c r="M2637" s="15">
        <v>1.0387332309142983</v>
      </c>
      <c r="N2637" s="15">
        <v>1.0387332309142983</v>
      </c>
      <c r="O2637" s="15">
        <v>0.91795200302102808</v>
      </c>
      <c r="P2637" s="15">
        <v>0.91795200302102808</v>
      </c>
      <c r="Q2637" s="8"/>
      <c r="R2637" s="9" t="s">
        <v>2609</v>
      </c>
    </row>
    <row r="2638" spans="1:18" x14ac:dyDescent="0.25">
      <c r="A2638" s="6" t="str">
        <f>HYPERLINK("proteomic_fractions_linear_files/Yang_linear_img/52138536.jpg", "52138536")</f>
        <v>52138536</v>
      </c>
      <c r="B2638" s="7"/>
      <c r="C2638" s="6" t="str">
        <f>HYPERLINK("http://www.ncbi.nlm.nih.gov/protein/52138536","Gbf1")</f>
        <v>Gbf1</v>
      </c>
      <c r="D2638" s="8"/>
      <c r="E2638" s="8">
        <v>206652</v>
      </c>
      <c r="F2638" s="8"/>
      <c r="G2638" s="15" t="s">
        <v>10</v>
      </c>
      <c r="H2638" s="15" t="s">
        <v>10</v>
      </c>
      <c r="I2638" s="15">
        <v>1.127347089989609</v>
      </c>
      <c r="J2638" s="15">
        <v>1.127347089989609</v>
      </c>
      <c r="K2638" s="15">
        <v>1.4578904571811535</v>
      </c>
      <c r="L2638" s="15">
        <v>1.127347089989609</v>
      </c>
      <c r="M2638" s="15">
        <v>0.45878251779026336</v>
      </c>
      <c r="N2638" s="15">
        <v>0.45878251779026336</v>
      </c>
      <c r="O2638" s="15">
        <v>1.127347089989609</v>
      </c>
      <c r="P2638" s="15">
        <v>1.127347089989609</v>
      </c>
      <c r="Q2638" s="8"/>
      <c r="R2638" s="9" t="s">
        <v>2610</v>
      </c>
    </row>
    <row r="2639" spans="1:18" x14ac:dyDescent="0.25">
      <c r="A2639" s="6" t="str">
        <f>HYPERLINK("proteomic_fractions_linear_files/Yang_linear_img/116812914.jpg", "116812914")</f>
        <v>116812914</v>
      </c>
      <c r="B2639" s="7"/>
      <c r="C2639" s="6" t="str">
        <f>HYPERLINK("http://www.ncbi.nlm.nih.gov/protein/116812914","Gbp10")</f>
        <v>Gbp10</v>
      </c>
      <c r="D2639" s="8"/>
      <c r="E2639" s="8">
        <v>70270</v>
      </c>
      <c r="F2639" s="8"/>
      <c r="G2639" s="15" t="s">
        <v>10</v>
      </c>
      <c r="H2639" s="15" t="s">
        <v>10</v>
      </c>
      <c r="I2639" s="15" t="s">
        <v>10</v>
      </c>
      <c r="J2639" s="15" t="s">
        <v>10</v>
      </c>
      <c r="K2639" s="15" t="s">
        <v>10</v>
      </c>
      <c r="L2639" s="15" t="s">
        <v>10</v>
      </c>
      <c r="M2639" s="15" t="s">
        <v>10</v>
      </c>
      <c r="N2639" s="15" t="s">
        <v>10</v>
      </c>
      <c r="O2639" s="15">
        <v>1.0490880034526036</v>
      </c>
      <c r="P2639" s="15">
        <v>1.0490880034526036</v>
      </c>
      <c r="Q2639" s="8"/>
      <c r="R2639" s="9" t="s">
        <v>2611</v>
      </c>
    </row>
    <row r="2640" spans="1:18" x14ac:dyDescent="0.25">
      <c r="A2640" s="6" t="str">
        <f>HYPERLINK("proteomic_fractions_linear_files/Yang_linear_img/225007564.jpg", "225007564")</f>
        <v>225007564</v>
      </c>
      <c r="B2640" s="7"/>
      <c r="C2640" s="6" t="str">
        <f>HYPERLINK("http://www.ncbi.nlm.nih.gov/protein/225007564","Gbp11")</f>
        <v>Gbp11</v>
      </c>
      <c r="D2640" s="8"/>
      <c r="E2640" s="8">
        <v>71140</v>
      </c>
      <c r="F2640" s="8"/>
      <c r="G2640" s="15" t="s">
        <v>10</v>
      </c>
      <c r="H2640" s="15" t="s">
        <v>10</v>
      </c>
      <c r="I2640" s="15" t="s">
        <v>10</v>
      </c>
      <c r="J2640" s="15" t="s">
        <v>10</v>
      </c>
      <c r="K2640" s="15" t="s">
        <v>10</v>
      </c>
      <c r="L2640" s="15" t="s">
        <v>10</v>
      </c>
      <c r="M2640" s="15" t="s">
        <v>10</v>
      </c>
      <c r="N2640" s="15" t="s">
        <v>10</v>
      </c>
      <c r="O2640" s="15">
        <v>1.0343121160800317</v>
      </c>
      <c r="P2640" s="15">
        <v>1.0343121160800317</v>
      </c>
      <c r="Q2640" s="8"/>
      <c r="R2640" s="9" t="s">
        <v>2612</v>
      </c>
    </row>
    <row r="2641" spans="1:18" x14ac:dyDescent="0.25">
      <c r="A2641" s="6" t="str">
        <f>HYPERLINK("proteomic_fractions_linear_files/Yang_linear_img/134053871.jpg", "134053871")</f>
        <v>134053871</v>
      </c>
      <c r="B2641" s="7"/>
      <c r="C2641" s="6" t="str">
        <f>HYPERLINK("http://www.ncbi.nlm.nih.gov/protein/134053871","Gbp3")</f>
        <v>Gbp3</v>
      </c>
      <c r="D2641" s="8"/>
      <c r="E2641" s="8">
        <v>70670</v>
      </c>
      <c r="F2641" s="8"/>
      <c r="G2641" s="15" t="s">
        <v>10</v>
      </c>
      <c r="H2641" s="15" t="s">
        <v>10</v>
      </c>
      <c r="I2641" s="15" t="s">
        <v>10</v>
      </c>
      <c r="J2641" s="15" t="s">
        <v>10</v>
      </c>
      <c r="K2641" s="15" t="s">
        <v>10</v>
      </c>
      <c r="L2641" s="15" t="s">
        <v>10</v>
      </c>
      <c r="M2641" s="15" t="s">
        <v>10</v>
      </c>
      <c r="N2641" s="15" t="s">
        <v>10</v>
      </c>
      <c r="O2641" s="15">
        <v>1.0343121160800317</v>
      </c>
      <c r="P2641" s="15">
        <v>1.0343121160800317</v>
      </c>
      <c r="Q2641" s="8"/>
      <c r="R2641" s="9" t="s">
        <v>2613</v>
      </c>
    </row>
    <row r="2642" spans="1:18" x14ac:dyDescent="0.25">
      <c r="A2642" s="6" t="str">
        <f>HYPERLINK("proteomic_fractions_linear_files/Yang_linear_img/126157521.jpg", "126157521")</f>
        <v>126157521</v>
      </c>
      <c r="B2642" s="7"/>
      <c r="C2642" s="6" t="str">
        <f>HYPERLINK("http://www.ncbi.nlm.nih.gov/protein/126157521","Gbp4")</f>
        <v>Gbp4</v>
      </c>
      <c r="D2642" s="8"/>
      <c r="E2642" s="8">
        <v>57139</v>
      </c>
      <c r="F2642" s="8"/>
      <c r="G2642" s="15" t="s">
        <v>10</v>
      </c>
      <c r="H2642" s="15" t="s">
        <v>10</v>
      </c>
      <c r="I2642" s="15">
        <v>1.9263432249321311</v>
      </c>
      <c r="J2642" s="15">
        <v>1.9263432249321311</v>
      </c>
      <c r="K2642" s="15" t="s">
        <v>10</v>
      </c>
      <c r="L2642" s="15" t="s">
        <v>10</v>
      </c>
      <c r="M2642" s="15" t="s">
        <v>10</v>
      </c>
      <c r="N2642" s="15" t="s">
        <v>10</v>
      </c>
      <c r="O2642" s="15">
        <v>1.2883536884505657</v>
      </c>
      <c r="P2642" s="15">
        <v>1.2883536884505657</v>
      </c>
      <c r="Q2642" s="8"/>
      <c r="R2642" s="9" t="s">
        <v>2614</v>
      </c>
    </row>
    <row r="2643" spans="1:18" x14ac:dyDescent="0.25">
      <c r="A2643" s="6" t="str">
        <f>HYPERLINK("proteomic_fractions_linear_files/Yang_linear_img/365192570.jpg", "365192570")</f>
        <v>365192570</v>
      </c>
      <c r="B2643" s="7"/>
      <c r="C2643" s="6" t="str">
        <f>HYPERLINK("http://www.ncbi.nlm.nih.gov/protein/365192570","Gbp4")</f>
        <v>Gbp4</v>
      </c>
      <c r="D2643" s="8"/>
      <c r="E2643" s="8">
        <v>71911</v>
      </c>
      <c r="F2643" s="8"/>
      <c r="G2643" s="15" t="s">
        <v>10</v>
      </c>
      <c r="H2643" s="15" t="s">
        <v>10</v>
      </c>
      <c r="I2643" s="15">
        <v>1.525021719737937</v>
      </c>
      <c r="J2643" s="15">
        <v>1.525021719737937</v>
      </c>
      <c r="K2643" s="15" t="s">
        <v>10</v>
      </c>
      <c r="L2643" s="15" t="s">
        <v>10</v>
      </c>
      <c r="M2643" s="15" t="s">
        <v>10</v>
      </c>
      <c r="N2643" s="15" t="s">
        <v>10</v>
      </c>
      <c r="O2643" s="15">
        <v>1.0199466700233646</v>
      </c>
      <c r="P2643" s="15">
        <v>1.0199466700233646</v>
      </c>
      <c r="Q2643" s="8"/>
      <c r="R2643" s="9" t="s">
        <v>2615</v>
      </c>
    </row>
    <row r="2644" spans="1:18" x14ac:dyDescent="0.25">
      <c r="A2644" s="6" t="str">
        <f>HYPERLINK("proteomic_fractions_linear_files/Yang_linear_img/170650637.jpg", "170650637")</f>
        <v>170650637</v>
      </c>
      <c r="B2644" s="7"/>
      <c r="C2644" s="6" t="str">
        <f>HYPERLINK("http://www.ncbi.nlm.nih.gov/protein/170650637","Gbp6")</f>
        <v>Gbp6</v>
      </c>
      <c r="D2644" s="8"/>
      <c r="E2644" s="8">
        <v>70321</v>
      </c>
      <c r="F2644" s="8"/>
      <c r="G2644" s="15" t="s">
        <v>10</v>
      </c>
      <c r="H2644" s="15" t="s">
        <v>10</v>
      </c>
      <c r="I2644" s="15" t="s">
        <v>10</v>
      </c>
      <c r="J2644" s="15" t="s">
        <v>10</v>
      </c>
      <c r="K2644" s="15" t="s">
        <v>10</v>
      </c>
      <c r="L2644" s="15" t="s">
        <v>10</v>
      </c>
      <c r="M2644" s="15" t="s">
        <v>10</v>
      </c>
      <c r="N2644" s="15" t="s">
        <v>10</v>
      </c>
      <c r="O2644" s="15">
        <v>1.0490880034526036</v>
      </c>
      <c r="P2644" s="15">
        <v>1.0490880034526036</v>
      </c>
      <c r="Q2644" s="8"/>
      <c r="R2644" s="9" t="s">
        <v>2616</v>
      </c>
    </row>
    <row r="2645" spans="1:18" x14ac:dyDescent="0.25">
      <c r="A2645" s="6" t="str">
        <f>HYPERLINK("proteomic_fractions_linear_files/Yang_linear_img/134031974.jpg", "134031974")</f>
        <v>134031974</v>
      </c>
      <c r="B2645" s="7"/>
      <c r="C2645" s="6" t="str">
        <f>HYPERLINK("http://www.ncbi.nlm.nih.gov/protein/134031974","Gbp7")</f>
        <v>Gbp7</v>
      </c>
      <c r="D2645" s="8"/>
      <c r="E2645" s="8">
        <v>72590</v>
      </c>
      <c r="F2645" s="8"/>
      <c r="G2645" s="15" t="s">
        <v>10</v>
      </c>
      <c r="H2645" s="15" t="s">
        <v>10</v>
      </c>
      <c r="I2645" s="15" t="s">
        <v>10</v>
      </c>
      <c r="J2645" s="15" t="s">
        <v>10</v>
      </c>
      <c r="K2645" s="15" t="s">
        <v>10</v>
      </c>
      <c r="L2645" s="15" t="s">
        <v>10</v>
      </c>
      <c r="M2645" s="15" t="s">
        <v>10</v>
      </c>
      <c r="N2645" s="15" t="s">
        <v>10</v>
      </c>
      <c r="O2645" s="15">
        <v>1.0059747978312636</v>
      </c>
      <c r="P2645" s="15">
        <v>1.0059747978312636</v>
      </c>
      <c r="Q2645" s="8"/>
      <c r="R2645" s="9" t="s">
        <v>2617</v>
      </c>
    </row>
    <row r="2646" spans="1:18" x14ac:dyDescent="0.25">
      <c r="A2646" s="6" t="str">
        <f>HYPERLINK("proteomic_fractions_linear_files/Yang_linear_img/83776551.jpg", "83776551")</f>
        <v>83776551</v>
      </c>
      <c r="B2646" s="7"/>
      <c r="C2646" s="6" t="str">
        <f>HYPERLINK("http://www.ncbi.nlm.nih.gov/protein/83776551","Gbp8")</f>
        <v>Gbp8</v>
      </c>
      <c r="D2646" s="8"/>
      <c r="E2646" s="8">
        <v>60546</v>
      </c>
      <c r="F2646" s="8"/>
      <c r="G2646" s="15" t="s">
        <v>10</v>
      </c>
      <c r="H2646" s="15" t="s">
        <v>10</v>
      </c>
      <c r="I2646" s="15" t="s">
        <v>10</v>
      </c>
      <c r="J2646" s="15" t="s">
        <v>10</v>
      </c>
      <c r="K2646" s="15" t="s">
        <v>10</v>
      </c>
      <c r="L2646" s="15" t="s">
        <v>10</v>
      </c>
      <c r="M2646" s="15" t="s">
        <v>10</v>
      </c>
      <c r="N2646" s="15" t="s">
        <v>10</v>
      </c>
      <c r="O2646" s="15">
        <v>1.2038714793718401</v>
      </c>
      <c r="P2646" s="15">
        <v>1.2038714793718401</v>
      </c>
      <c r="Q2646" s="8"/>
      <c r="R2646" s="9" t="s">
        <v>2618</v>
      </c>
    </row>
    <row r="2647" spans="1:18" x14ac:dyDescent="0.25">
      <c r="A2647" s="6" t="str">
        <f>HYPERLINK("proteomic_fractions_linear_files/Yang_linear_img/27370144.jpg", "27370144")</f>
        <v>27370144</v>
      </c>
      <c r="B2647" s="7"/>
      <c r="C2647" s="6" t="str">
        <f>HYPERLINK("http://www.ncbi.nlm.nih.gov/protein/27370144","Gbp9")</f>
        <v>Gbp9</v>
      </c>
      <c r="D2647" s="8"/>
      <c r="E2647" s="8">
        <v>71211</v>
      </c>
      <c r="F2647" s="8"/>
      <c r="G2647" s="15" t="s">
        <v>10</v>
      </c>
      <c r="H2647" s="15" t="s">
        <v>10</v>
      </c>
      <c r="I2647" s="15" t="s">
        <v>10</v>
      </c>
      <c r="J2647" s="15" t="s">
        <v>10</v>
      </c>
      <c r="K2647" s="15" t="s">
        <v>10</v>
      </c>
      <c r="L2647" s="15" t="s">
        <v>10</v>
      </c>
      <c r="M2647" s="15" t="s">
        <v>10</v>
      </c>
      <c r="N2647" s="15" t="s">
        <v>10</v>
      </c>
      <c r="O2647" s="15">
        <v>1.0343121160800317</v>
      </c>
      <c r="P2647" s="15">
        <v>1.0343121160800317</v>
      </c>
      <c r="Q2647" s="8"/>
      <c r="R2647" s="9" t="s">
        <v>2619</v>
      </c>
    </row>
    <row r="2648" spans="1:18" x14ac:dyDescent="0.25">
      <c r="A2648" s="6" t="str">
        <f>HYPERLINK("proteomic_fractions_linear_files/Yang_linear_img/21704030.jpg", "21704030")</f>
        <v>21704030</v>
      </c>
      <c r="B2648" s="7"/>
      <c r="C2648" s="6" t="str">
        <f>HYPERLINK("http://www.ncbi.nlm.nih.gov/protein/21704030","Gca")</f>
        <v>Gca</v>
      </c>
      <c r="D2648" s="8"/>
      <c r="E2648" s="8">
        <v>24532</v>
      </c>
      <c r="F2648" s="8"/>
      <c r="G2648" s="15" t="s">
        <v>10</v>
      </c>
      <c r="H2648" s="15" t="s">
        <v>10</v>
      </c>
      <c r="I2648" s="15">
        <v>0.92438293498869784</v>
      </c>
      <c r="J2648" s="15">
        <v>0.92438293498869784</v>
      </c>
      <c r="K2648" s="15">
        <v>0.92438293498869784</v>
      </c>
      <c r="L2648" s="15">
        <v>0.92438293498869784</v>
      </c>
      <c r="M2648" s="15">
        <v>0.92438293498869784</v>
      </c>
      <c r="N2648" s="15">
        <v>0.92438293498869784</v>
      </c>
      <c r="O2648" s="15">
        <v>0.82389764746625094</v>
      </c>
      <c r="P2648" s="15">
        <v>0.82389764746625094</v>
      </c>
      <c r="Q2648" s="8"/>
      <c r="R2648" s="9" t="s">
        <v>2620</v>
      </c>
    </row>
    <row r="2649" spans="1:18" x14ac:dyDescent="0.25">
      <c r="A2649" s="6" t="str">
        <f>HYPERLINK("proteomic_fractions_linear_files/Yang_linear_img/240120117.jpg", "240120117")</f>
        <v>240120117</v>
      </c>
      <c r="B2649" s="7"/>
      <c r="C2649" s="6" t="str">
        <f>HYPERLINK("http://www.ncbi.nlm.nih.gov/protein/240120117","Gcat")</f>
        <v>Gcat</v>
      </c>
      <c r="D2649" s="8"/>
      <c r="E2649" s="8">
        <v>42850</v>
      </c>
      <c r="F2649" s="8"/>
      <c r="G2649" s="15">
        <v>1.2353620844186297</v>
      </c>
      <c r="H2649" s="15">
        <v>1.2353620844186297</v>
      </c>
      <c r="I2649" s="15">
        <v>0.942030655888901</v>
      </c>
      <c r="J2649" s="15">
        <v>0.942030655888901</v>
      </c>
      <c r="K2649" s="15">
        <v>0.942030655888901</v>
      </c>
      <c r="L2649" s="15">
        <v>0.942030655888901</v>
      </c>
      <c r="M2649" s="15" t="s">
        <v>10</v>
      </c>
      <c r="N2649" s="15" t="s">
        <v>10</v>
      </c>
      <c r="O2649" s="15">
        <v>0.86840294007266494</v>
      </c>
      <c r="P2649" s="15">
        <v>0.86840294007266494</v>
      </c>
      <c r="Q2649" s="8"/>
      <c r="R2649" s="9" t="s">
        <v>2621</v>
      </c>
    </row>
    <row r="2650" spans="1:18" x14ac:dyDescent="0.25">
      <c r="A2650" s="6" t="str">
        <f>HYPERLINK("proteomic_fractions_linear_files/Yang_linear_img/240120119.jpg", "240120119")</f>
        <v>240120119</v>
      </c>
      <c r="B2650" s="7"/>
      <c r="C2650" s="6" t="str">
        <f>HYPERLINK("http://www.ncbi.nlm.nih.gov/protein/240120119","Gcat")</f>
        <v>Gcat</v>
      </c>
      <c r="D2650" s="8"/>
      <c r="E2650" s="8">
        <v>41202</v>
      </c>
      <c r="F2650" s="8"/>
      <c r="G2650" s="15">
        <v>1.2956236495122215</v>
      </c>
      <c r="H2650" s="15">
        <v>1.2956236495122215</v>
      </c>
      <c r="I2650" s="15">
        <v>0.98798337081031085</v>
      </c>
      <c r="J2650" s="15">
        <v>0.98798337081031085</v>
      </c>
      <c r="K2650" s="15">
        <v>0.98798337081031085</v>
      </c>
      <c r="L2650" s="15">
        <v>0.98798337081031085</v>
      </c>
      <c r="M2650" s="15" t="s">
        <v>10</v>
      </c>
      <c r="N2650" s="15" t="s">
        <v>10</v>
      </c>
      <c r="O2650" s="15">
        <v>0.91076405910059977</v>
      </c>
      <c r="P2650" s="15">
        <v>0.91076405910059977</v>
      </c>
      <c r="Q2650" s="8"/>
      <c r="R2650" s="9" t="s">
        <v>2622</v>
      </c>
    </row>
    <row r="2651" spans="1:18" x14ac:dyDescent="0.25">
      <c r="A2651" s="6" t="str">
        <f>HYPERLINK("proteomic_fractions_linear_files/Yang_linear_img/268370067.jpg", "268370067")</f>
        <v>268370067</v>
      </c>
      <c r="B2651" s="7"/>
      <c r="C2651" s="6" t="str">
        <f>HYPERLINK("http://www.ncbi.nlm.nih.gov/protein/268370067","Gcc1")</f>
        <v>Gcc1</v>
      </c>
      <c r="D2651" s="8"/>
      <c r="E2651" s="8">
        <v>87547</v>
      </c>
      <c r="F2651" s="8"/>
      <c r="G2651" s="15" t="s">
        <v>10</v>
      </c>
      <c r="H2651" s="15" t="s">
        <v>10</v>
      </c>
      <c r="I2651" s="15">
        <v>1.2477450434219486</v>
      </c>
      <c r="J2651" s="15">
        <v>1.2477450434219486</v>
      </c>
      <c r="K2651" s="15" t="s">
        <v>10</v>
      </c>
      <c r="L2651" s="15" t="s">
        <v>10</v>
      </c>
      <c r="M2651" s="15">
        <v>1.2477450434219486</v>
      </c>
      <c r="N2651" s="15">
        <v>1.2477450434219486</v>
      </c>
      <c r="O2651" s="15">
        <v>1.2477450434219486</v>
      </c>
      <c r="P2651" s="15">
        <v>1.2477450434219486</v>
      </c>
      <c r="Q2651" s="8"/>
      <c r="R2651" s="9" t="s">
        <v>2623</v>
      </c>
    </row>
    <row r="2652" spans="1:18" x14ac:dyDescent="0.25">
      <c r="A2652" s="6" t="str">
        <f>HYPERLINK("proteomic_fractions_linear_files/Yang_linear_img/61742806.jpg", "61742806")</f>
        <v>61742806</v>
      </c>
      <c r="B2652" s="7"/>
      <c r="C2652" s="6" t="str">
        <f>HYPERLINK("http://www.ncbi.nlm.nih.gov/protein/61742806","Gcc2")</f>
        <v>Gcc2</v>
      </c>
      <c r="D2652" s="8"/>
      <c r="E2652" s="8">
        <v>194428</v>
      </c>
      <c r="F2652" s="8"/>
      <c r="G2652" s="15">
        <v>1.2028909671538612</v>
      </c>
      <c r="H2652" s="15">
        <v>1.2028909671538612</v>
      </c>
      <c r="I2652" s="15">
        <v>1.2028909671538612</v>
      </c>
      <c r="J2652" s="15">
        <v>1.2028909671538612</v>
      </c>
      <c r="K2652" s="15">
        <v>1.2028909671538612</v>
      </c>
      <c r="L2652" s="15">
        <v>1.2028909671538612</v>
      </c>
      <c r="M2652" s="15">
        <v>0.66351354713977817</v>
      </c>
      <c r="N2652" s="15">
        <v>0.66351354713977817</v>
      </c>
      <c r="O2652" s="15">
        <v>1.2028909671538612</v>
      </c>
      <c r="P2652" s="15">
        <v>1.2028909671538612</v>
      </c>
      <c r="Q2652" s="8"/>
      <c r="R2652" s="9" t="s">
        <v>2624</v>
      </c>
    </row>
    <row r="2653" spans="1:18" x14ac:dyDescent="0.25">
      <c r="A2653" s="6" t="str">
        <f>HYPERLINK("proteomic_fractions_linear_files/Yang_linear_img/390190196.jpg", "390190196")</f>
        <v>390190196</v>
      </c>
      <c r="B2653" s="7"/>
      <c r="C2653" s="6" t="str">
        <f>HYPERLINK("http://www.ncbi.nlm.nih.gov/protein/390190196","Gcdh")</f>
        <v>Gcdh</v>
      </c>
      <c r="D2653" s="8"/>
      <c r="E2653" s="8">
        <v>49439</v>
      </c>
      <c r="F2653" s="8"/>
      <c r="G2653" s="15" t="s">
        <v>10</v>
      </c>
      <c r="H2653" s="15" t="s">
        <v>10</v>
      </c>
      <c r="I2653" s="15">
        <v>0.82667996333107641</v>
      </c>
      <c r="J2653" s="15">
        <v>0.82667996333107641</v>
      </c>
      <c r="K2653" s="15">
        <v>0.90052222952990757</v>
      </c>
      <c r="L2653" s="15">
        <v>0.90052222952990757</v>
      </c>
      <c r="M2653" s="15" t="s">
        <v>10</v>
      </c>
      <c r="N2653" s="15" t="s">
        <v>10</v>
      </c>
      <c r="O2653" s="15" t="s">
        <v>10</v>
      </c>
      <c r="P2653" s="15" t="s">
        <v>10</v>
      </c>
      <c r="Q2653" s="8"/>
      <c r="R2653" s="9" t="s">
        <v>2625</v>
      </c>
    </row>
    <row r="2654" spans="1:18" x14ac:dyDescent="0.25">
      <c r="A2654" s="6" t="str">
        <f>HYPERLINK("proteomic_fractions_linear_files/Yang_linear_img/33468897.jpg", "33468897")</f>
        <v>33468897</v>
      </c>
      <c r="B2654" s="7"/>
      <c r="C2654" s="6" t="str">
        <f>HYPERLINK("http://www.ncbi.nlm.nih.gov/protein/33468897","Gclc")</f>
        <v>Gclc</v>
      </c>
      <c r="D2654" s="8"/>
      <c r="E2654" s="8">
        <v>72441</v>
      </c>
      <c r="F2654" s="8"/>
      <c r="G2654" s="15" t="s">
        <v>10</v>
      </c>
      <c r="H2654" s="15" t="s">
        <v>10</v>
      </c>
      <c r="I2654" s="15">
        <v>1.1541480343492203</v>
      </c>
      <c r="J2654" s="15">
        <v>1.1541480343492203</v>
      </c>
      <c r="K2654" s="15">
        <v>1.1541480343492203</v>
      </c>
      <c r="L2654" s="15">
        <v>1.1541480343492203</v>
      </c>
      <c r="M2654" s="15" t="s">
        <v>10</v>
      </c>
      <c r="N2654" s="15" t="s">
        <v>10</v>
      </c>
      <c r="O2654" s="15">
        <v>1.0199466700233646</v>
      </c>
      <c r="P2654" s="15">
        <v>1.0199466700233646</v>
      </c>
      <c r="Q2654" s="8"/>
      <c r="R2654" s="9" t="s">
        <v>2626</v>
      </c>
    </row>
    <row r="2655" spans="1:18" x14ac:dyDescent="0.25">
      <c r="A2655" s="6" t="str">
        <f>HYPERLINK("proteomic_fractions_linear_files/Yang_linear_img/6680019.jpg", "6680019")</f>
        <v>6680019</v>
      </c>
      <c r="B2655" s="7"/>
      <c r="C2655" s="6" t="str">
        <f>HYPERLINK("http://www.ncbi.nlm.nih.gov/protein/6680019","Gclm")</f>
        <v>Gclm</v>
      </c>
      <c r="D2655" s="8"/>
      <c r="E2655" s="8">
        <v>30404</v>
      </c>
      <c r="F2655" s="8"/>
      <c r="G2655" s="15" t="s">
        <v>10</v>
      </c>
      <c r="H2655" s="15" t="s">
        <v>10</v>
      </c>
      <c r="I2655" s="15">
        <v>0.87167527051416671</v>
      </c>
      <c r="J2655" s="15">
        <v>0.87167527051416671</v>
      </c>
      <c r="K2655" s="15">
        <v>0.87167527051416671</v>
      </c>
      <c r="L2655" s="15">
        <v>0.87167527051416671</v>
      </c>
      <c r="M2655" s="15">
        <v>0.87167527051416671</v>
      </c>
      <c r="N2655" s="15">
        <v>0.87167527051416671</v>
      </c>
      <c r="O2655" s="15">
        <v>0.77031911249058149</v>
      </c>
      <c r="P2655" s="15">
        <v>0.77031911249058149</v>
      </c>
      <c r="Q2655" s="8"/>
      <c r="R2655" s="9" t="s">
        <v>2627</v>
      </c>
    </row>
    <row r="2656" spans="1:18" x14ac:dyDescent="0.25">
      <c r="A2656" s="6" t="str">
        <f>HYPERLINK("proteomic_fractions_linear_files/Yang_linear_img/112807186.jpg", "112807186")</f>
        <v>112807186</v>
      </c>
      <c r="B2656" s="7"/>
      <c r="C2656" s="6" t="str">
        <f>HYPERLINK("http://www.ncbi.nlm.nih.gov/protein/112807186","Gcn1l1")</f>
        <v>Gcn1l1</v>
      </c>
      <c r="D2656" s="8"/>
      <c r="E2656" s="8">
        <v>292891</v>
      </c>
      <c r="F2656" s="8"/>
      <c r="G2656" s="15">
        <v>0.79645340487320504</v>
      </c>
      <c r="H2656" s="15">
        <v>0.79645340487320504</v>
      </c>
      <c r="I2656" s="15">
        <v>0.79645340487320504</v>
      </c>
      <c r="J2656" s="15">
        <v>0.79645340487320504</v>
      </c>
      <c r="K2656" s="15">
        <v>1.0299772171894157</v>
      </c>
      <c r="L2656" s="15">
        <v>1.0299772171894157</v>
      </c>
      <c r="M2656" s="15">
        <v>1.0299772171894157</v>
      </c>
      <c r="N2656" s="15">
        <v>1.0299772171894157</v>
      </c>
      <c r="O2656" s="15">
        <v>1.0299772171894157</v>
      </c>
      <c r="P2656" s="15">
        <v>1.0299772171894157</v>
      </c>
      <c r="Q2656" s="8"/>
      <c r="R2656" s="9" t="s">
        <v>2628</v>
      </c>
    </row>
    <row r="2657" spans="1:18" x14ac:dyDescent="0.25">
      <c r="A2657" s="6" t="str">
        <f>HYPERLINK("proteomic_fractions_linear_files/Yang_linear_img/210147589.jpg", "210147589")</f>
        <v>210147589</v>
      </c>
      <c r="B2657" s="7"/>
      <c r="C2657" s="6" t="str">
        <f>HYPERLINK("http://www.ncbi.nlm.nih.gov/protein/210147589","Gcnt1")</f>
        <v>Gcnt1</v>
      </c>
      <c r="D2657" s="8"/>
      <c r="E2657" s="8">
        <v>49708</v>
      </c>
      <c r="F2657" s="8"/>
      <c r="G2657" s="15" t="s">
        <v>10</v>
      </c>
      <c r="H2657" s="15" t="s">
        <v>10</v>
      </c>
      <c r="I2657" s="15">
        <v>1.0624113926000216</v>
      </c>
      <c r="J2657" s="15">
        <v>1.0624113926000216</v>
      </c>
      <c r="K2657" s="15" t="s">
        <v>10</v>
      </c>
      <c r="L2657" s="15" t="s">
        <v>10</v>
      </c>
      <c r="M2657" s="15" t="s">
        <v>10</v>
      </c>
      <c r="N2657" s="15" t="s">
        <v>10</v>
      </c>
      <c r="O2657" s="15" t="s">
        <v>10</v>
      </c>
      <c r="P2657" s="15" t="s">
        <v>10</v>
      </c>
      <c r="Q2657" s="8"/>
      <c r="R2657" s="9" t="s">
        <v>2629</v>
      </c>
    </row>
    <row r="2658" spans="1:18" x14ac:dyDescent="0.25">
      <c r="A2658" s="6" t="str">
        <f>HYPERLINK("proteomic_fractions_linear_files/Yang_linear_img/459352743.jpg", "459352743")</f>
        <v>459352743</v>
      </c>
      <c r="B2658" s="7"/>
      <c r="C2658" s="6" t="str">
        <f>HYPERLINK("http://www.ncbi.nlm.nih.gov/protein/459352743","Gcnt1")</f>
        <v>Gcnt1</v>
      </c>
      <c r="D2658" s="8"/>
      <c r="E2658" s="8">
        <v>50262</v>
      </c>
      <c r="F2658" s="8"/>
      <c r="G2658" s="15" t="s">
        <v>10</v>
      </c>
      <c r="H2658" s="15" t="s">
        <v>10</v>
      </c>
      <c r="I2658" s="15">
        <v>1.0624113926000216</v>
      </c>
      <c r="J2658" s="15">
        <v>1.0624113926000216</v>
      </c>
      <c r="K2658" s="15" t="s">
        <v>10</v>
      </c>
      <c r="L2658" s="15" t="s">
        <v>10</v>
      </c>
      <c r="M2658" s="15" t="s">
        <v>10</v>
      </c>
      <c r="N2658" s="15" t="s">
        <v>10</v>
      </c>
      <c r="O2658" s="15" t="s">
        <v>10</v>
      </c>
      <c r="P2658" s="15" t="s">
        <v>10</v>
      </c>
      <c r="Q2658" s="8"/>
      <c r="R2658" s="9" t="s">
        <v>2629</v>
      </c>
    </row>
    <row r="2659" spans="1:18" x14ac:dyDescent="0.25">
      <c r="A2659" s="6" t="str">
        <f>HYPERLINK("proteomic_fractions_linear_files/Yang_linear_img/13386066.jpg", "13386066")</f>
        <v>13386066</v>
      </c>
      <c r="B2659" s="7"/>
      <c r="C2659" s="6" t="str">
        <f>HYPERLINK("http://www.ncbi.nlm.nih.gov/protein/13386066","Gcsh")</f>
        <v>Gcsh</v>
      </c>
      <c r="D2659" s="8"/>
      <c r="E2659" s="8">
        <v>13862</v>
      </c>
      <c r="F2659" s="8"/>
      <c r="G2659" s="15">
        <v>1.6506838124798175</v>
      </c>
      <c r="H2659" s="15">
        <v>1.6506838124798175</v>
      </c>
      <c r="I2659" s="15">
        <v>1.1376744130844125</v>
      </c>
      <c r="J2659" s="15">
        <v>1.1376744130844125</v>
      </c>
      <c r="K2659" s="15" t="s">
        <v>10</v>
      </c>
      <c r="L2659" s="15" t="s">
        <v>10</v>
      </c>
      <c r="M2659" s="15" t="s">
        <v>10</v>
      </c>
      <c r="N2659" s="15" t="s">
        <v>10</v>
      </c>
      <c r="O2659" s="15" t="s">
        <v>10</v>
      </c>
      <c r="P2659" s="15" t="s">
        <v>10</v>
      </c>
      <c r="Q2659" s="8"/>
      <c r="R2659" s="9" t="s">
        <v>2630</v>
      </c>
    </row>
    <row r="2660" spans="1:18" x14ac:dyDescent="0.25">
      <c r="A2660" s="6" t="str">
        <f>HYPERLINK("proteomic_fractions_linear_files/Yang_linear_img/22094097.jpg", "22094097")</f>
        <v>22094097</v>
      </c>
      <c r="B2660" s="7"/>
      <c r="C2660" s="6" t="str">
        <f>HYPERLINK("http://www.ncbi.nlm.nih.gov/protein/22094097","Gdap2")</f>
        <v>Gdap2</v>
      </c>
      <c r="D2660" s="8"/>
      <c r="E2660" s="8">
        <v>56138</v>
      </c>
      <c r="F2660" s="8"/>
      <c r="G2660" s="15" t="s">
        <v>10</v>
      </c>
      <c r="H2660" s="15" t="s">
        <v>10</v>
      </c>
      <c r="I2660" s="15" t="s">
        <v>10</v>
      </c>
      <c r="J2660" s="15" t="s">
        <v>10</v>
      </c>
      <c r="K2660" s="15">
        <v>1.0495215640284616</v>
      </c>
      <c r="L2660" s="15">
        <v>1.0495215640284616</v>
      </c>
      <c r="M2660" s="15">
        <v>1.0495215640284616</v>
      </c>
      <c r="N2660" s="15">
        <v>1.0495215640284616</v>
      </c>
      <c r="O2660" s="15" t="s">
        <v>10</v>
      </c>
      <c r="P2660" s="15" t="s">
        <v>10</v>
      </c>
      <c r="Q2660" s="8"/>
      <c r="R2660" s="9" t="s">
        <v>2631</v>
      </c>
    </row>
    <row r="2661" spans="1:18" x14ac:dyDescent="0.25">
      <c r="A2661" s="6" t="str">
        <f>HYPERLINK("proteomic_fractions_linear_files/Yang_linear_img/9625018.jpg", "9625018")</f>
        <v>9625018</v>
      </c>
      <c r="B2661" s="7"/>
      <c r="C2661" s="6" t="str">
        <f>HYPERLINK("http://www.ncbi.nlm.nih.gov/protein/9625018","Gde1")</f>
        <v>Gde1</v>
      </c>
      <c r="D2661" s="8"/>
      <c r="E2661" s="8">
        <v>37498</v>
      </c>
      <c r="F2661" s="8"/>
      <c r="G2661" s="15" t="s">
        <v>10</v>
      </c>
      <c r="H2661" s="15" t="s">
        <v>10</v>
      </c>
      <c r="I2661" s="15">
        <v>0.93387504136419419</v>
      </c>
      <c r="J2661" s="15">
        <v>0.93387504136419419</v>
      </c>
      <c r="K2661" s="15" t="s">
        <v>10</v>
      </c>
      <c r="L2661" s="15" t="s">
        <v>10</v>
      </c>
      <c r="M2661" s="15" t="s">
        <v>10</v>
      </c>
      <c r="N2661" s="15" t="s">
        <v>10</v>
      </c>
      <c r="O2661" s="15" t="s">
        <v>10</v>
      </c>
      <c r="P2661" s="15" t="s">
        <v>10</v>
      </c>
      <c r="Q2661" s="8"/>
      <c r="R2661" s="9" t="s">
        <v>2632</v>
      </c>
    </row>
    <row r="2662" spans="1:18" x14ac:dyDescent="0.25">
      <c r="A2662" s="6" t="str">
        <f>HYPERLINK("proteomic_fractions_linear_files/Yang_linear_img/75677587.jpg", "75677587")</f>
        <v>75677587</v>
      </c>
      <c r="B2662" s="7"/>
      <c r="C2662" s="6" t="str">
        <f>HYPERLINK("http://www.ncbi.nlm.nih.gov/protein/75677587","Gdf3")</f>
        <v>Gdf3</v>
      </c>
      <c r="D2662" s="8"/>
      <c r="E2662" s="8">
        <v>12995</v>
      </c>
      <c r="F2662" s="8"/>
      <c r="G2662" s="15" t="s">
        <v>10</v>
      </c>
      <c r="H2662" s="15" t="s">
        <v>10</v>
      </c>
      <c r="I2662" s="15" t="s">
        <v>10</v>
      </c>
      <c r="J2662" s="15" t="s">
        <v>10</v>
      </c>
      <c r="K2662" s="15" t="s">
        <v>10</v>
      </c>
      <c r="L2662" s="15" t="s">
        <v>10</v>
      </c>
      <c r="M2662" s="15">
        <v>2.0115583165711537</v>
      </c>
      <c r="N2662" s="15">
        <v>2.0115583165711537</v>
      </c>
      <c r="O2662" s="15" t="s">
        <v>10</v>
      </c>
      <c r="P2662" s="15" t="s">
        <v>10</v>
      </c>
      <c r="Q2662" s="8"/>
      <c r="R2662" s="9" t="s">
        <v>2633</v>
      </c>
    </row>
    <row r="2663" spans="1:18" x14ac:dyDescent="0.25">
      <c r="A2663" s="6" t="str">
        <f>HYPERLINK("proteomic_fractions_linear_files/Yang_linear_img/33859560.jpg", "33859560")</f>
        <v>33859560</v>
      </c>
      <c r="B2663" s="7"/>
      <c r="C2663" s="6" t="str">
        <f>HYPERLINK("http://www.ncbi.nlm.nih.gov/protein/33859560","Gdi1")</f>
        <v>Gdi1</v>
      </c>
      <c r="D2663" s="8"/>
      <c r="E2663" s="8">
        <v>50391</v>
      </c>
      <c r="F2663" s="8"/>
      <c r="G2663" s="15">
        <v>1.1754641517118771</v>
      </c>
      <c r="H2663" s="15">
        <v>1.1754641517118771</v>
      </c>
      <c r="I2663" s="15">
        <v>0.96579951168830502</v>
      </c>
      <c r="J2663" s="15">
        <v>0.96579951168830502</v>
      </c>
      <c r="K2663" s="15">
        <v>0.96579951168830502</v>
      </c>
      <c r="L2663" s="15">
        <v>0.96579951168830502</v>
      </c>
      <c r="M2663" s="15">
        <v>0.96579951168830502</v>
      </c>
      <c r="N2663" s="15">
        <v>0.96579951168830502</v>
      </c>
      <c r="O2663" s="15">
        <v>0.88251178493930937</v>
      </c>
      <c r="P2663" s="15">
        <v>0.88251178493930937</v>
      </c>
      <c r="Q2663" s="8"/>
      <c r="R2663" s="9" t="s">
        <v>2634</v>
      </c>
    </row>
    <row r="2664" spans="1:18" x14ac:dyDescent="0.25">
      <c r="A2664" s="6" t="str">
        <f>HYPERLINK("proteomic_fractions_linear_files/Yang_linear_img/116089273.jpg", "116089273")</f>
        <v>116089273</v>
      </c>
      <c r="B2664" s="7"/>
      <c r="C2664" s="6" t="str">
        <f>HYPERLINK("http://www.ncbi.nlm.nih.gov/protein/116089273","Gdi2")</f>
        <v>Gdi2</v>
      </c>
      <c r="D2664" s="8"/>
      <c r="E2664" s="8">
        <v>50406</v>
      </c>
      <c r="F2664" s="8"/>
      <c r="G2664" s="15">
        <v>1.1754641517118771</v>
      </c>
      <c r="H2664" s="15">
        <v>1.1754641517118771</v>
      </c>
      <c r="I2664" s="15">
        <v>0.96579951168830502</v>
      </c>
      <c r="J2664" s="15">
        <v>0.96579951168830502</v>
      </c>
      <c r="K2664" s="15">
        <v>0.96579951168830502</v>
      </c>
      <c r="L2664" s="15">
        <v>0.96579951168830502</v>
      </c>
      <c r="M2664" s="15">
        <v>0.96579951168830502</v>
      </c>
      <c r="N2664" s="15">
        <v>0.96579951168830502</v>
      </c>
      <c r="O2664" s="15">
        <v>0.88251178493930937</v>
      </c>
      <c r="P2664" s="15">
        <v>0.88251178493930937</v>
      </c>
      <c r="Q2664" s="8"/>
      <c r="R2664" s="9" t="s">
        <v>2635</v>
      </c>
    </row>
    <row r="2665" spans="1:18" x14ac:dyDescent="0.25">
      <c r="A2665" s="6" t="str">
        <f>HYPERLINK("proteomic_fractions_linear_files/Yang_linear_img/23956140.jpg", "23956140")</f>
        <v>23956140</v>
      </c>
      <c r="B2665" s="7"/>
      <c r="C2665" s="6" t="str">
        <f>HYPERLINK("http://www.ncbi.nlm.nih.gov/protein/23956140","Gdpd1")</f>
        <v>Gdpd1</v>
      </c>
      <c r="D2665" s="8"/>
      <c r="E2665" s="8">
        <v>35736</v>
      </c>
      <c r="F2665" s="8"/>
      <c r="G2665" s="15">
        <v>1.2257108124157075</v>
      </c>
      <c r="H2665" s="15">
        <v>1.2257108124157075</v>
      </c>
      <c r="I2665" s="15">
        <v>0.95981601473542177</v>
      </c>
      <c r="J2665" s="15">
        <v>0.95981601473542177</v>
      </c>
      <c r="K2665" s="15">
        <v>0.95981601473542177</v>
      </c>
      <c r="L2665" s="15">
        <v>0.95981601473542177</v>
      </c>
      <c r="M2665" s="15" t="s">
        <v>10</v>
      </c>
      <c r="N2665" s="15" t="s">
        <v>10</v>
      </c>
      <c r="O2665" s="15" t="s">
        <v>10</v>
      </c>
      <c r="P2665" s="15" t="s">
        <v>10</v>
      </c>
      <c r="Q2665" s="8"/>
      <c r="R2665" s="9" t="s">
        <v>2636</v>
      </c>
    </row>
    <row r="2666" spans="1:18" x14ac:dyDescent="0.25">
      <c r="A2666" s="6" t="str">
        <f>HYPERLINK("proteomic_fractions_linear_files/Yang_linear_img/110431346.jpg", "110431346")</f>
        <v>110431346</v>
      </c>
      <c r="B2666" s="7"/>
      <c r="C2666" s="6" t="str">
        <f>HYPERLINK("http://www.ncbi.nlm.nih.gov/protein/110431346","Gdpd3")</f>
        <v>Gdpd3</v>
      </c>
      <c r="D2666" s="8"/>
      <c r="E2666" s="8">
        <v>38357</v>
      </c>
      <c r="F2666" s="8"/>
      <c r="G2666" s="15">
        <v>0.68816468724802637</v>
      </c>
      <c r="H2666" s="15">
        <v>0.68816468724802637</v>
      </c>
      <c r="I2666" s="15">
        <v>0.73468977099163313</v>
      </c>
      <c r="J2666" s="15">
        <v>0.73468977099163313</v>
      </c>
      <c r="K2666" s="15">
        <v>0.73468977099163313</v>
      </c>
      <c r="L2666" s="15">
        <v>0.73468977099163313</v>
      </c>
      <c r="M2666" s="15">
        <v>0.73468977099163313</v>
      </c>
      <c r="N2666" s="15">
        <v>0.73468977099163313</v>
      </c>
      <c r="O2666" s="15" t="s">
        <v>10</v>
      </c>
      <c r="P2666" s="15" t="s">
        <v>10</v>
      </c>
      <c r="Q2666" s="8"/>
      <c r="R2666" s="9" t="s">
        <v>2637</v>
      </c>
    </row>
    <row r="2667" spans="1:18" x14ac:dyDescent="0.25">
      <c r="A2667" s="6" t="str">
        <f>HYPERLINK("proteomic_fractions_linear_files/Yang_linear_img/153792166.jpg", "153792166")</f>
        <v>153792166</v>
      </c>
      <c r="B2667" s="7"/>
      <c r="C2667" s="6" t="str">
        <f>HYPERLINK("http://www.ncbi.nlm.nih.gov/protein/153792166","Gemin2")</f>
        <v>Gemin2</v>
      </c>
      <c r="D2667" s="8"/>
      <c r="E2667" s="8">
        <v>30310</v>
      </c>
      <c r="F2667" s="8"/>
      <c r="G2667" s="15" t="s">
        <v>10</v>
      </c>
      <c r="H2667" s="15" t="s">
        <v>10</v>
      </c>
      <c r="I2667" s="15" t="s">
        <v>10</v>
      </c>
      <c r="J2667" s="15" t="s">
        <v>10</v>
      </c>
      <c r="K2667" s="15">
        <v>0.99618022972377107</v>
      </c>
      <c r="L2667" s="15">
        <v>0.99618022972377107</v>
      </c>
      <c r="M2667" s="15">
        <v>0.93060704325606869</v>
      </c>
      <c r="N2667" s="15">
        <v>0.93060704325606869</v>
      </c>
      <c r="O2667" s="15" t="s">
        <v>10</v>
      </c>
      <c r="P2667" s="15" t="s">
        <v>10</v>
      </c>
      <c r="Q2667" s="8"/>
      <c r="R2667" s="9" t="s">
        <v>2638</v>
      </c>
    </row>
    <row r="2668" spans="1:18" x14ac:dyDescent="0.25">
      <c r="A2668" s="6" t="str">
        <f>HYPERLINK("proteomic_fractions_linear_files/Yang_linear_img/262331526.jpg", "262331526")</f>
        <v>262331526</v>
      </c>
      <c r="B2668" s="7"/>
      <c r="C2668" s="6" t="str">
        <f>HYPERLINK("http://www.ncbi.nlm.nih.gov/protein/262331526","Gemin4")</f>
        <v>Gemin4</v>
      </c>
      <c r="D2668" s="8"/>
      <c r="E2668" s="8">
        <v>120049</v>
      </c>
      <c r="F2668" s="8"/>
      <c r="G2668" s="15" t="s">
        <v>10</v>
      </c>
      <c r="H2668" s="15" t="s">
        <v>10</v>
      </c>
      <c r="I2668" s="15" t="s">
        <v>10</v>
      </c>
      <c r="J2668" s="15" t="s">
        <v>10</v>
      </c>
      <c r="K2668" s="15">
        <v>1.0726802345426414</v>
      </c>
      <c r="L2668" s="15">
        <v>1.0726802345426414</v>
      </c>
      <c r="M2668" s="15">
        <v>1.0726802345426414</v>
      </c>
      <c r="N2668" s="15">
        <v>1.0726802345426414</v>
      </c>
      <c r="O2668" s="15" t="s">
        <v>10</v>
      </c>
      <c r="P2668" s="15" t="s">
        <v>10</v>
      </c>
      <c r="Q2668" s="8"/>
      <c r="R2668" s="9" t="s">
        <v>2639</v>
      </c>
    </row>
    <row r="2669" spans="1:18" x14ac:dyDescent="0.25">
      <c r="A2669" s="6" t="str">
        <f>HYPERLINK("proteomic_fractions_linear_files/Yang_linear_img/262263297.jpg", "262263297")</f>
        <v>262263297</v>
      </c>
      <c r="B2669" s="7"/>
      <c r="C2669" s="6" t="str">
        <f>HYPERLINK("http://www.ncbi.nlm.nih.gov/protein/262263297","Gemin5")</f>
        <v>Gemin5</v>
      </c>
      <c r="D2669" s="8"/>
      <c r="E2669" s="8">
        <v>166462</v>
      </c>
      <c r="F2669" s="8"/>
      <c r="G2669" s="15" t="s">
        <v>10</v>
      </c>
      <c r="H2669" s="15" t="s">
        <v>10</v>
      </c>
      <c r="I2669" s="15" t="s">
        <v>10</v>
      </c>
      <c r="J2669" s="15" t="s">
        <v>10</v>
      </c>
      <c r="K2669" s="15">
        <v>1.4057882387219824</v>
      </c>
      <c r="L2669" s="15">
        <v>1.4057882387219824</v>
      </c>
      <c r="M2669" s="15">
        <v>1.4057882387219824</v>
      </c>
      <c r="N2669" s="15">
        <v>1.4057882387219824</v>
      </c>
      <c r="O2669" s="15" t="s">
        <v>10</v>
      </c>
      <c r="P2669" s="15" t="s">
        <v>10</v>
      </c>
      <c r="Q2669" s="8"/>
      <c r="R2669" s="9" t="s">
        <v>2640</v>
      </c>
    </row>
    <row r="2670" spans="1:18" x14ac:dyDescent="0.25">
      <c r="A2670" s="6" t="str">
        <f>HYPERLINK("proteomic_fractions_linear_files/Yang_linear_img/262263299.jpg", "262263299")</f>
        <v>262263299</v>
      </c>
      <c r="B2670" s="7"/>
      <c r="C2670" s="6" t="str">
        <f>HYPERLINK("http://www.ncbi.nlm.nih.gov/protein/262263299","Gemin5")</f>
        <v>Gemin5</v>
      </c>
      <c r="D2670" s="8"/>
      <c r="E2670" s="8">
        <v>166618</v>
      </c>
      <c r="F2670" s="8"/>
      <c r="G2670" s="15" t="s">
        <v>10</v>
      </c>
      <c r="H2670" s="15" t="s">
        <v>10</v>
      </c>
      <c r="I2670" s="15" t="s">
        <v>10</v>
      </c>
      <c r="J2670" s="15" t="s">
        <v>10</v>
      </c>
      <c r="K2670" s="15">
        <v>1.3973703450769406</v>
      </c>
      <c r="L2670" s="15">
        <v>1.3973703450769406</v>
      </c>
      <c r="M2670" s="15">
        <v>1.3973703450769406</v>
      </c>
      <c r="N2670" s="15">
        <v>1.3973703450769406</v>
      </c>
      <c r="O2670" s="15" t="s">
        <v>10</v>
      </c>
      <c r="P2670" s="15" t="s">
        <v>10</v>
      </c>
      <c r="Q2670" s="8"/>
      <c r="R2670" s="9" t="s">
        <v>2641</v>
      </c>
    </row>
    <row r="2671" spans="1:18" x14ac:dyDescent="0.25">
      <c r="A2671" s="6" t="str">
        <f>HYPERLINK("proteomic_fractions_linear_files/Yang_linear_img/262263301.jpg", "262263301")</f>
        <v>262263301</v>
      </c>
      <c r="B2671" s="7"/>
      <c r="C2671" s="6" t="str">
        <f>HYPERLINK("http://www.ncbi.nlm.nih.gov/protein/262263301","Gemin5")</f>
        <v>Gemin5</v>
      </c>
      <c r="D2671" s="8"/>
      <c r="E2671" s="8">
        <v>166333</v>
      </c>
      <c r="F2671" s="8"/>
      <c r="G2671" s="15" t="s">
        <v>10</v>
      </c>
      <c r="H2671" s="15" t="s">
        <v>10</v>
      </c>
      <c r="I2671" s="15" t="s">
        <v>10</v>
      </c>
      <c r="J2671" s="15" t="s">
        <v>10</v>
      </c>
      <c r="K2671" s="15">
        <v>1.4057882387219824</v>
      </c>
      <c r="L2671" s="15">
        <v>1.4057882387219824</v>
      </c>
      <c r="M2671" s="15">
        <v>1.4057882387219824</v>
      </c>
      <c r="N2671" s="15">
        <v>1.4057882387219824</v>
      </c>
      <c r="O2671" s="15" t="s">
        <v>10</v>
      </c>
      <c r="P2671" s="15" t="s">
        <v>10</v>
      </c>
      <c r="Q2671" s="8"/>
      <c r="R2671" s="9" t="s">
        <v>2642</v>
      </c>
    </row>
    <row r="2672" spans="1:18" x14ac:dyDescent="0.25">
      <c r="A2672" s="6" t="str">
        <f>HYPERLINK("proteomic_fractions_linear_files/Yang_linear_img/262263303.jpg", "262263303")</f>
        <v>262263303</v>
      </c>
      <c r="B2672" s="7"/>
      <c r="C2672" s="6" t="str">
        <f>HYPERLINK("http://www.ncbi.nlm.nih.gov/protein/262263303","Gemin5")</f>
        <v>Gemin5</v>
      </c>
      <c r="D2672" s="8"/>
      <c r="E2672" s="8">
        <v>137808</v>
      </c>
      <c r="F2672" s="8"/>
      <c r="G2672" s="15" t="s">
        <v>10</v>
      </c>
      <c r="H2672" s="15" t="s">
        <v>10</v>
      </c>
      <c r="I2672" s="15" t="s">
        <v>10</v>
      </c>
      <c r="J2672" s="15" t="s">
        <v>10</v>
      </c>
      <c r="K2672" s="15">
        <v>1.6910206349844135</v>
      </c>
      <c r="L2672" s="15">
        <v>1.6910206349844135</v>
      </c>
      <c r="M2672" s="15">
        <v>1.6910206349844135</v>
      </c>
      <c r="N2672" s="15">
        <v>1.6910206349844135</v>
      </c>
      <c r="O2672" s="15" t="s">
        <v>10</v>
      </c>
      <c r="P2672" s="15" t="s">
        <v>10</v>
      </c>
      <c r="Q2672" s="8"/>
      <c r="R2672" s="9" t="s">
        <v>2643</v>
      </c>
    </row>
    <row r="2673" spans="1:18" x14ac:dyDescent="0.25">
      <c r="A2673" s="6" t="str">
        <f>HYPERLINK("proteomic_fractions_linear_files/Yang_linear_img/21313050.jpg", "21313050")</f>
        <v>21313050</v>
      </c>
      <c r="B2673" s="7"/>
      <c r="C2673" s="6" t="str">
        <f>HYPERLINK("http://www.ncbi.nlm.nih.gov/protein/21313050","Gemin6")</f>
        <v>Gemin6</v>
      </c>
      <c r="D2673" s="8"/>
      <c r="E2673" s="8">
        <v>18619</v>
      </c>
      <c r="F2673" s="8"/>
      <c r="G2673" s="15" t="s">
        <v>10</v>
      </c>
      <c r="H2673" s="15" t="s">
        <v>10</v>
      </c>
      <c r="I2673" s="15">
        <v>0.92473367186099831</v>
      </c>
      <c r="J2673" s="15">
        <v>0.92473367186099831</v>
      </c>
      <c r="K2673" s="15">
        <v>0.87981444845300116</v>
      </c>
      <c r="L2673" s="15">
        <v>0.87981444845300116</v>
      </c>
      <c r="M2673" s="15">
        <v>0.97343679813495176</v>
      </c>
      <c r="N2673" s="15">
        <v>0.97343679813495176</v>
      </c>
      <c r="O2673" s="15">
        <v>0.92473367186099831</v>
      </c>
      <c r="P2673" s="15">
        <v>0.92473367186099831</v>
      </c>
      <c r="Q2673" s="8"/>
      <c r="R2673" s="9" t="s">
        <v>2644</v>
      </c>
    </row>
    <row r="2674" spans="1:18" x14ac:dyDescent="0.25">
      <c r="A2674" s="6" t="str">
        <f>HYPERLINK("proteomic_fractions_linear_files/Yang_linear_img/21312380.jpg", "21312380")</f>
        <v>21312380</v>
      </c>
      <c r="B2674" s="7"/>
      <c r="C2674" s="6" t="str">
        <f>HYPERLINK("http://www.ncbi.nlm.nih.gov/protein/21312380","Gemin7")</f>
        <v>Gemin7</v>
      </c>
      <c r="D2674" s="8"/>
      <c r="E2674" s="8">
        <v>14120</v>
      </c>
      <c r="F2674" s="8"/>
      <c r="G2674" s="15" t="s">
        <v>10</v>
      </c>
      <c r="H2674" s="15" t="s">
        <v>10</v>
      </c>
      <c r="I2674" s="15" t="s">
        <v>10</v>
      </c>
      <c r="J2674" s="15" t="s">
        <v>10</v>
      </c>
      <c r="K2674" s="15" t="s">
        <v>10</v>
      </c>
      <c r="L2674" s="15" t="s">
        <v>10</v>
      </c>
      <c r="M2674" s="15">
        <v>1.085452735272449</v>
      </c>
      <c r="N2674" s="15">
        <v>1.085452735272449</v>
      </c>
      <c r="O2674" s="15" t="s">
        <v>10</v>
      </c>
      <c r="P2674" s="15" t="s">
        <v>10</v>
      </c>
      <c r="Q2674" s="8"/>
      <c r="R2674" s="9" t="s">
        <v>2645</v>
      </c>
    </row>
    <row r="2675" spans="1:18" x14ac:dyDescent="0.25">
      <c r="A2675" s="6" t="str">
        <f>HYPERLINK("proteomic_fractions_linear_files/Yang_linear_img/254281178.jpg", "254281178")</f>
        <v>254281178</v>
      </c>
      <c r="B2675" s="7"/>
      <c r="C2675" s="6" t="str">
        <f>HYPERLINK("http://www.ncbi.nlm.nih.gov/protein/254281178","Get4")</f>
        <v>Get4</v>
      </c>
      <c r="D2675" s="8"/>
      <c r="E2675" s="8">
        <v>30429</v>
      </c>
      <c r="F2675" s="8"/>
      <c r="G2675" s="15">
        <v>1.3502439401074249</v>
      </c>
      <c r="H2675" s="15">
        <v>1.3502439401074249</v>
      </c>
      <c r="I2675" s="15">
        <v>0.93060704325606869</v>
      </c>
      <c r="J2675" s="15">
        <v>0.99618022972377107</v>
      </c>
      <c r="K2675" s="15">
        <v>1.0694690951911197</v>
      </c>
      <c r="L2675" s="15">
        <v>1.0694690951911197</v>
      </c>
      <c r="M2675" s="15">
        <v>0.99618022972377107</v>
      </c>
      <c r="N2675" s="15">
        <v>0.99618022972377107</v>
      </c>
      <c r="O2675" s="15">
        <v>0.93060704325606869</v>
      </c>
      <c r="P2675" s="15">
        <v>0.93060704325606869</v>
      </c>
      <c r="Q2675" s="8"/>
      <c r="R2675" s="9" t="s">
        <v>2646</v>
      </c>
    </row>
    <row r="2676" spans="1:18" x14ac:dyDescent="0.25">
      <c r="A2676" s="6" t="str">
        <f>HYPERLINK("proteomic_fractions_linear_files/Yang_linear_img/27229052.jpg", "27229052")</f>
        <v>27229052</v>
      </c>
      <c r="B2676" s="7"/>
      <c r="C2676" s="6" t="str">
        <f>HYPERLINK("http://www.ncbi.nlm.nih.gov/protein/27229052","Get4")</f>
        <v>Get4</v>
      </c>
      <c r="D2676" s="8"/>
      <c r="E2676" s="8">
        <v>36394</v>
      </c>
      <c r="F2676" s="8"/>
      <c r="G2676" s="15">
        <v>1.125203283422854</v>
      </c>
      <c r="H2676" s="15">
        <v>1.125203283422854</v>
      </c>
      <c r="I2676" s="15">
        <v>0.77550586938005717</v>
      </c>
      <c r="J2676" s="15">
        <v>0.83015019143647584</v>
      </c>
      <c r="K2676" s="15">
        <v>0.89122424599259964</v>
      </c>
      <c r="L2676" s="15">
        <v>0.89122424599259964</v>
      </c>
      <c r="M2676" s="15">
        <v>0.83015019143647584</v>
      </c>
      <c r="N2676" s="15">
        <v>0.83015019143647584</v>
      </c>
      <c r="O2676" s="15">
        <v>0.77550586938005717</v>
      </c>
      <c r="P2676" s="15">
        <v>0.77550586938005717</v>
      </c>
      <c r="Q2676" s="8"/>
      <c r="R2676" s="9" t="s">
        <v>2647</v>
      </c>
    </row>
    <row r="2677" spans="1:18" x14ac:dyDescent="0.25">
      <c r="A2677" s="6" t="str">
        <f>HYPERLINK("proteomic_fractions_linear_files/Yang_linear_img/196115327.jpg", "196115327")</f>
        <v>196115327</v>
      </c>
      <c r="B2677" s="7"/>
      <c r="C2677" s="6" t="str">
        <f>HYPERLINK("http://www.ncbi.nlm.nih.gov/protein/196115327","Gfap")</f>
        <v>Gfap</v>
      </c>
      <c r="D2677" s="8"/>
      <c r="E2677" s="8">
        <v>49234</v>
      </c>
      <c r="F2677" s="8"/>
      <c r="G2677" s="15">
        <v>1.4986971477894335</v>
      </c>
      <c r="H2677" s="15">
        <v>1.4986971477894335</v>
      </c>
      <c r="I2677" s="15" t="s">
        <v>10</v>
      </c>
      <c r="J2677" s="15" t="s">
        <v>10</v>
      </c>
      <c r="K2677" s="15" t="s">
        <v>10</v>
      </c>
      <c r="L2677" s="15" t="s">
        <v>10</v>
      </c>
      <c r="M2677" s="15" t="s">
        <v>10</v>
      </c>
      <c r="N2677" s="15" t="s">
        <v>10</v>
      </c>
      <c r="O2677" s="15" t="s">
        <v>10</v>
      </c>
      <c r="P2677" s="15" t="s">
        <v>10</v>
      </c>
      <c r="Q2677" s="8"/>
      <c r="R2677" s="9" t="s">
        <v>2648</v>
      </c>
    </row>
    <row r="2678" spans="1:18" x14ac:dyDescent="0.25">
      <c r="A2678" s="6" t="str">
        <f>HYPERLINK("proteomic_fractions_linear_files/Yang_linear_img/84000448.jpg", "84000448")</f>
        <v>84000448</v>
      </c>
      <c r="B2678" s="7"/>
      <c r="C2678" s="6" t="str">
        <f>HYPERLINK("http://www.ncbi.nlm.nih.gov/protein/84000448","Gfap")</f>
        <v>Gfap</v>
      </c>
      <c r="D2678" s="8"/>
      <c r="E2678" s="8">
        <v>49769</v>
      </c>
      <c r="F2678" s="8"/>
      <c r="G2678" s="15">
        <v>1.4687232048336449</v>
      </c>
      <c r="H2678" s="15">
        <v>1.4687232048336449</v>
      </c>
      <c r="I2678" s="15" t="s">
        <v>10</v>
      </c>
      <c r="J2678" s="15" t="s">
        <v>10</v>
      </c>
      <c r="K2678" s="15" t="s">
        <v>10</v>
      </c>
      <c r="L2678" s="15" t="s">
        <v>10</v>
      </c>
      <c r="M2678" s="15" t="s">
        <v>10</v>
      </c>
      <c r="N2678" s="15" t="s">
        <v>10</v>
      </c>
      <c r="O2678" s="15" t="s">
        <v>10</v>
      </c>
      <c r="P2678" s="15" t="s">
        <v>10</v>
      </c>
      <c r="Q2678" s="8"/>
      <c r="R2678" s="9" t="s">
        <v>2649</v>
      </c>
    </row>
    <row r="2679" spans="1:18" x14ac:dyDescent="0.25">
      <c r="A2679" s="6" t="str">
        <f>HYPERLINK("proteomic_fractions_linear_files/Yang_linear_img/46909575.jpg", "46909575")</f>
        <v>46909575</v>
      </c>
      <c r="B2679" s="7"/>
      <c r="C2679" s="6" t="str">
        <f>HYPERLINK("http://www.ncbi.nlm.nih.gov/protein/46909575","Gfer")</f>
        <v>Gfer</v>
      </c>
      <c r="D2679" s="8"/>
      <c r="E2679" s="8">
        <v>22745</v>
      </c>
      <c r="F2679" s="8"/>
      <c r="G2679" s="15" t="s">
        <v>10</v>
      </c>
      <c r="H2679" s="15" t="s">
        <v>10</v>
      </c>
      <c r="I2679" s="15">
        <v>0.94764096829038047</v>
      </c>
      <c r="J2679" s="15">
        <v>0.94764096829038047</v>
      </c>
      <c r="K2679" s="15" t="s">
        <v>10</v>
      </c>
      <c r="L2679" s="15" t="s">
        <v>10</v>
      </c>
      <c r="M2679" s="15" t="s">
        <v>10</v>
      </c>
      <c r="N2679" s="15" t="s">
        <v>10</v>
      </c>
      <c r="O2679" s="15" t="s">
        <v>10</v>
      </c>
      <c r="P2679" s="15" t="s">
        <v>10</v>
      </c>
      <c r="Q2679" s="8"/>
      <c r="R2679" s="9" t="s">
        <v>2650</v>
      </c>
    </row>
    <row r="2680" spans="1:18" x14ac:dyDescent="0.25">
      <c r="A2680" s="6" t="str">
        <f>HYPERLINK("proteomic_fractions_linear_files/Yang_linear_img/170650599.jpg", "170650599")</f>
        <v>170650599</v>
      </c>
      <c r="B2680" s="7"/>
      <c r="C2680" s="6" t="str">
        <f>HYPERLINK("http://www.ncbi.nlm.nih.gov/protein/170650599","Gfm1")</f>
        <v>Gfm1</v>
      </c>
      <c r="D2680" s="8"/>
      <c r="E2680" s="8">
        <v>79319</v>
      </c>
      <c r="F2680" s="8"/>
      <c r="G2680" s="15">
        <v>1.3898932129257147</v>
      </c>
      <c r="H2680" s="15">
        <v>1.3898932129257147</v>
      </c>
      <c r="I2680" s="15">
        <v>1.0518817528246058</v>
      </c>
      <c r="J2680" s="15">
        <v>1.0518817528246058</v>
      </c>
      <c r="K2680" s="15" t="s">
        <v>10</v>
      </c>
      <c r="L2680" s="15" t="s">
        <v>10</v>
      </c>
      <c r="M2680" s="15" t="s">
        <v>10</v>
      </c>
      <c r="N2680" s="15" t="s">
        <v>10</v>
      </c>
      <c r="O2680" s="15" t="s">
        <v>10</v>
      </c>
      <c r="P2680" s="15" t="s">
        <v>10</v>
      </c>
      <c r="Q2680" s="8"/>
      <c r="R2680" s="9" t="s">
        <v>2651</v>
      </c>
    </row>
    <row r="2681" spans="1:18" x14ac:dyDescent="0.25">
      <c r="A2681" s="6" t="str">
        <f>HYPERLINK("proteomic_fractions_linear_files/Yang_linear_img/225690549.jpg", "225690549")</f>
        <v>225690549</v>
      </c>
      <c r="B2681" s="7"/>
      <c r="C2681" s="6" t="str">
        <f>HYPERLINK("http://www.ncbi.nlm.nih.gov/protein/225690549","Gfm2")</f>
        <v>Gfm2</v>
      </c>
      <c r="D2681" s="8"/>
      <c r="E2681" s="8">
        <v>85978</v>
      </c>
      <c r="F2681" s="8"/>
      <c r="G2681" s="15" t="s">
        <v>10</v>
      </c>
      <c r="H2681" s="15" t="s">
        <v>10</v>
      </c>
      <c r="I2681" s="15">
        <v>0.96626347061795181</v>
      </c>
      <c r="J2681" s="15">
        <v>0.96626347061795181</v>
      </c>
      <c r="K2681" s="15" t="s">
        <v>10</v>
      </c>
      <c r="L2681" s="15" t="s">
        <v>10</v>
      </c>
      <c r="M2681" s="15" t="s">
        <v>10</v>
      </c>
      <c r="N2681" s="15" t="s">
        <v>10</v>
      </c>
      <c r="O2681" s="15" t="s">
        <v>10</v>
      </c>
      <c r="P2681" s="15" t="s">
        <v>10</v>
      </c>
      <c r="Q2681" s="8"/>
      <c r="R2681" s="9" t="s">
        <v>2652</v>
      </c>
    </row>
    <row r="2682" spans="1:18" x14ac:dyDescent="0.25">
      <c r="A2682" s="6" t="str">
        <f>HYPERLINK("proteomic_fractions_linear_files/Yang_linear_img/225690556.jpg", "225690556")</f>
        <v>225690556</v>
      </c>
      <c r="B2682" s="7"/>
      <c r="C2682" s="6" t="str">
        <f>HYPERLINK("http://www.ncbi.nlm.nih.gov/protein/225690556","Gfm2")</f>
        <v>Gfm2</v>
      </c>
      <c r="D2682" s="8"/>
      <c r="E2682" s="8">
        <v>81895</v>
      </c>
      <c r="F2682" s="8"/>
      <c r="G2682" s="15" t="s">
        <v>10</v>
      </c>
      <c r="H2682" s="15" t="s">
        <v>10</v>
      </c>
      <c r="I2682" s="15">
        <v>1.0133982740627299</v>
      </c>
      <c r="J2682" s="15">
        <v>1.0133982740627299</v>
      </c>
      <c r="K2682" s="15" t="s">
        <v>10</v>
      </c>
      <c r="L2682" s="15" t="s">
        <v>10</v>
      </c>
      <c r="M2682" s="15" t="s">
        <v>10</v>
      </c>
      <c r="N2682" s="15" t="s">
        <v>10</v>
      </c>
      <c r="O2682" s="15" t="s">
        <v>10</v>
      </c>
      <c r="P2682" s="15" t="s">
        <v>10</v>
      </c>
      <c r="Q2682" s="8"/>
      <c r="R2682" s="9" t="s">
        <v>2653</v>
      </c>
    </row>
    <row r="2683" spans="1:18" x14ac:dyDescent="0.25">
      <c r="A2683" s="6" t="str">
        <f>HYPERLINK("proteomic_fractions_linear_files/Yang_linear_img/407228375.jpg", "407228375")</f>
        <v>407228375</v>
      </c>
      <c r="B2683" s="7"/>
      <c r="C2683" s="6" t="str">
        <f>HYPERLINK("http://www.ncbi.nlm.nih.gov/protein/407228375","Gfm2")</f>
        <v>Gfm2</v>
      </c>
      <c r="D2683" s="8"/>
      <c r="E2683" s="8">
        <v>82998</v>
      </c>
      <c r="F2683" s="8"/>
      <c r="G2683" s="15" t="s">
        <v>10</v>
      </c>
      <c r="H2683" s="15" t="s">
        <v>10</v>
      </c>
      <c r="I2683" s="15">
        <v>1.001188656302938</v>
      </c>
      <c r="J2683" s="15">
        <v>1.001188656302938</v>
      </c>
      <c r="K2683" s="15" t="s">
        <v>10</v>
      </c>
      <c r="L2683" s="15" t="s">
        <v>10</v>
      </c>
      <c r="M2683" s="15" t="s">
        <v>10</v>
      </c>
      <c r="N2683" s="15" t="s">
        <v>10</v>
      </c>
      <c r="O2683" s="15" t="s">
        <v>10</v>
      </c>
      <c r="P2683" s="15" t="s">
        <v>10</v>
      </c>
      <c r="Q2683" s="8"/>
      <c r="R2683" s="9" t="s">
        <v>2654</v>
      </c>
    </row>
    <row r="2684" spans="1:18" x14ac:dyDescent="0.25">
      <c r="A2684" s="6" t="str">
        <f>HYPERLINK("proteomic_fractions_linear_files/Yang_linear_img/407228398.jpg", "407228398")</f>
        <v>407228398</v>
      </c>
      <c r="B2684" s="7"/>
      <c r="C2684" s="6" t="str">
        <f>HYPERLINK("http://www.ncbi.nlm.nih.gov/protein/407228398","Gfm2")</f>
        <v>Gfm2</v>
      </c>
      <c r="D2684" s="8"/>
      <c r="E2684" s="8">
        <v>85808</v>
      </c>
      <c r="F2684" s="8"/>
      <c r="G2684" s="15" t="s">
        <v>10</v>
      </c>
      <c r="H2684" s="15" t="s">
        <v>10</v>
      </c>
      <c r="I2684" s="15">
        <v>0.96626347061795181</v>
      </c>
      <c r="J2684" s="15">
        <v>0.96626347061795181</v>
      </c>
      <c r="K2684" s="15" t="s">
        <v>10</v>
      </c>
      <c r="L2684" s="15" t="s">
        <v>10</v>
      </c>
      <c r="M2684" s="15" t="s">
        <v>10</v>
      </c>
      <c r="N2684" s="15" t="s">
        <v>10</v>
      </c>
      <c r="O2684" s="15" t="s">
        <v>10</v>
      </c>
      <c r="P2684" s="15" t="s">
        <v>10</v>
      </c>
      <c r="Q2684" s="8"/>
      <c r="R2684" s="9" t="s">
        <v>2655</v>
      </c>
    </row>
    <row r="2685" spans="1:18" x14ac:dyDescent="0.25">
      <c r="A2685" s="6" t="str">
        <f>HYPERLINK("proteomic_fractions_linear_files/Yang_linear_img/21312610.jpg", "21312610")</f>
        <v>21312610</v>
      </c>
      <c r="B2685" s="7"/>
      <c r="C2685" s="6" t="str">
        <f>HYPERLINK("http://www.ncbi.nlm.nih.gov/protein/21312610","Gfod2")</f>
        <v>Gfod2</v>
      </c>
      <c r="D2685" s="8"/>
      <c r="E2685" s="8">
        <v>39721</v>
      </c>
      <c r="F2685" s="8"/>
      <c r="G2685" s="15" t="s">
        <v>10</v>
      </c>
      <c r="H2685" s="15" t="s">
        <v>10</v>
      </c>
      <c r="I2685" s="15" t="s">
        <v>10</v>
      </c>
      <c r="J2685" s="15" t="s">
        <v>10</v>
      </c>
      <c r="K2685" s="15">
        <v>1.0126829550805687</v>
      </c>
      <c r="L2685" s="15">
        <v>1.0126829550805687</v>
      </c>
      <c r="M2685" s="15">
        <v>1.0126829550805687</v>
      </c>
      <c r="N2685" s="15">
        <v>1.0126829550805687</v>
      </c>
      <c r="O2685" s="15" t="s">
        <v>10</v>
      </c>
      <c r="P2685" s="15" t="s">
        <v>10</v>
      </c>
      <c r="Q2685" s="8"/>
      <c r="R2685" s="9" t="s">
        <v>2656</v>
      </c>
    </row>
    <row r="2686" spans="1:18" x14ac:dyDescent="0.25">
      <c r="A2686" s="6" t="str">
        <f>HYPERLINK("proteomic_fractions_linear_files/Yang_linear_img/7305085.jpg", "7305085")</f>
        <v>7305085</v>
      </c>
      <c r="B2686" s="7"/>
      <c r="C2686" s="6" t="str">
        <f>HYPERLINK("http://www.ncbi.nlm.nih.gov/protein/7305085","Gfpt1")</f>
        <v>Gfpt1</v>
      </c>
      <c r="D2686" s="8"/>
      <c r="E2686" s="8">
        <v>76592</v>
      </c>
      <c r="F2686" s="8"/>
      <c r="G2686" s="15">
        <v>0.4849522912094103</v>
      </c>
      <c r="H2686" s="15">
        <v>0.4849522912094103</v>
      </c>
      <c r="I2686" s="15">
        <v>0.33961374175876624</v>
      </c>
      <c r="J2686" s="15">
        <v>0.33961374175876624</v>
      </c>
      <c r="K2686" s="15">
        <v>0.33961374175876624</v>
      </c>
      <c r="L2686" s="15">
        <v>0.33961374175876624</v>
      </c>
      <c r="M2686" s="15">
        <v>1.079203356794076</v>
      </c>
      <c r="N2686" s="15">
        <v>1.079203356794076</v>
      </c>
      <c r="O2686" s="15">
        <v>0.28306158793089287</v>
      </c>
      <c r="P2686" s="15">
        <v>0.28306158793089287</v>
      </c>
      <c r="Q2686" s="8"/>
      <c r="R2686" s="9" t="s">
        <v>2657</v>
      </c>
    </row>
    <row r="2687" spans="1:18" x14ac:dyDescent="0.25">
      <c r="A2687" s="6" t="str">
        <f>HYPERLINK("proteomic_fractions_linear_files/Yang_linear_img/7305087.jpg", "7305087")</f>
        <v>7305087</v>
      </c>
      <c r="B2687" s="7"/>
      <c r="C2687" s="6" t="str">
        <f>HYPERLINK("http://www.ncbi.nlm.nih.gov/protein/7305087","Gfpt2")</f>
        <v>Gfpt2</v>
      </c>
      <c r="D2687" s="8"/>
      <c r="E2687" s="8">
        <v>76878</v>
      </c>
      <c r="F2687" s="8"/>
      <c r="G2687" s="15" t="s">
        <v>10</v>
      </c>
      <c r="H2687" s="15" t="s">
        <v>10</v>
      </c>
      <c r="I2687" s="15" t="s">
        <v>10</v>
      </c>
      <c r="J2687" s="15" t="s">
        <v>10</v>
      </c>
      <c r="K2687" s="15" t="s">
        <v>10</v>
      </c>
      <c r="L2687" s="15" t="s">
        <v>10</v>
      </c>
      <c r="M2687" s="15">
        <v>1.079203356794076</v>
      </c>
      <c r="N2687" s="15">
        <v>1.079203356794076</v>
      </c>
      <c r="O2687" s="15">
        <v>1.079203356794076</v>
      </c>
      <c r="P2687" s="15">
        <v>1.079203356794076</v>
      </c>
      <c r="Q2687" s="8"/>
      <c r="R2687" s="9" t="s">
        <v>2658</v>
      </c>
    </row>
    <row r="2688" spans="1:18" x14ac:dyDescent="0.25">
      <c r="A2688" s="6" t="str">
        <f>HYPERLINK("proteomic_fractions_linear_files/Yang_linear_img/22122347.jpg", "22122347")</f>
        <v>22122347</v>
      </c>
      <c r="B2688" s="7"/>
      <c r="C2688" s="6" t="str">
        <f>HYPERLINK("http://www.ncbi.nlm.nih.gov/protein/22122347","Gga1")</f>
        <v>Gga1</v>
      </c>
      <c r="D2688" s="8"/>
      <c r="E2688" s="8">
        <v>69841</v>
      </c>
      <c r="F2688" s="8"/>
      <c r="G2688" s="15" t="s">
        <v>10</v>
      </c>
      <c r="H2688" s="15" t="s">
        <v>10</v>
      </c>
      <c r="I2688" s="15">
        <v>1.1871236924734836</v>
      </c>
      <c r="J2688" s="15">
        <v>1.1871236924734836</v>
      </c>
      <c r="K2688" s="15">
        <v>1.3566854454654931</v>
      </c>
      <c r="L2688" s="15">
        <v>1.3566854454654931</v>
      </c>
      <c r="M2688" s="15" t="s">
        <v>10</v>
      </c>
      <c r="N2688" s="15" t="s">
        <v>10</v>
      </c>
      <c r="O2688" s="15">
        <v>1.1871236924734836</v>
      </c>
      <c r="P2688" s="15">
        <v>1.1871236924734836</v>
      </c>
      <c r="Q2688" s="8"/>
      <c r="R2688" s="9" t="s">
        <v>2659</v>
      </c>
    </row>
    <row r="2689" spans="1:18" x14ac:dyDescent="0.25">
      <c r="A2689" s="6" t="str">
        <f>HYPERLINK("proteomic_fractions_linear_files/Yang_linear_img/21703924.jpg", "21703924")</f>
        <v>21703924</v>
      </c>
      <c r="B2689" s="7"/>
      <c r="C2689" s="6" t="str">
        <f>HYPERLINK("http://www.ncbi.nlm.nih.gov/protein/21703924","Ggact")</f>
        <v>Ggact</v>
      </c>
      <c r="D2689" s="8"/>
      <c r="E2689" s="8">
        <v>16949</v>
      </c>
      <c r="F2689" s="8"/>
      <c r="G2689" s="15" t="s">
        <v>10</v>
      </c>
      <c r="H2689" s="15" t="s">
        <v>10</v>
      </c>
      <c r="I2689" s="15" t="s">
        <v>10</v>
      </c>
      <c r="J2689" s="15" t="s">
        <v>10</v>
      </c>
      <c r="K2689" s="15">
        <v>0.93690834018716329</v>
      </c>
      <c r="L2689" s="15">
        <v>0.93690834018716329</v>
      </c>
      <c r="M2689" s="15" t="s">
        <v>10</v>
      </c>
      <c r="N2689" s="15" t="s">
        <v>10</v>
      </c>
      <c r="O2689" s="15">
        <v>0.89390225257731093</v>
      </c>
      <c r="P2689" s="15">
        <v>0.89390225257731093</v>
      </c>
      <c r="Q2689" s="8"/>
      <c r="R2689" s="9" t="s">
        <v>2660</v>
      </c>
    </row>
    <row r="2690" spans="1:18" x14ac:dyDescent="0.25">
      <c r="A2690" s="6" t="str">
        <f>HYPERLINK("proteomic_fractions_linear_files/Yang_linear_img/21311849.jpg", "21311849")</f>
        <v>21311849</v>
      </c>
      <c r="B2690" s="7"/>
      <c r="C2690" s="6" t="str">
        <f>HYPERLINK("http://www.ncbi.nlm.nih.gov/protein/21311849","Ggct")</f>
        <v>Ggct</v>
      </c>
      <c r="D2690" s="8"/>
      <c r="E2690" s="8">
        <v>21035</v>
      </c>
      <c r="F2690" s="8"/>
      <c r="G2690" s="15" t="s">
        <v>10</v>
      </c>
      <c r="H2690" s="15" t="s">
        <v>10</v>
      </c>
      <c r="I2690" s="15" t="s">
        <v>10</v>
      </c>
      <c r="J2690" s="15" t="s">
        <v>10</v>
      </c>
      <c r="K2690" s="15">
        <v>0.98083053269791776</v>
      </c>
      <c r="L2690" s="15">
        <v>0.98083053269791776</v>
      </c>
      <c r="M2690" s="15" t="s">
        <v>10</v>
      </c>
      <c r="N2690" s="15" t="s">
        <v>10</v>
      </c>
      <c r="O2690" s="15">
        <v>0.98083053269791776</v>
      </c>
      <c r="P2690" s="15">
        <v>0.98083053269791776</v>
      </c>
      <c r="Q2690" s="8"/>
      <c r="R2690" s="9" t="s">
        <v>2661</v>
      </c>
    </row>
    <row r="2691" spans="1:18" x14ac:dyDescent="0.25">
      <c r="A2691" s="6" t="str">
        <f>HYPERLINK("proteomic_fractions_linear_files/Yang_linear_img/9790009.jpg", "9790009")</f>
        <v>9790009</v>
      </c>
      <c r="B2691" s="7"/>
      <c r="C2691" s="6" t="str">
        <f>HYPERLINK("http://www.ncbi.nlm.nih.gov/protein/9790009","Ggcx")</f>
        <v>Ggcx</v>
      </c>
      <c r="D2691" s="8"/>
      <c r="E2691" s="8">
        <v>87064</v>
      </c>
      <c r="F2691" s="8"/>
      <c r="G2691" s="15" t="s">
        <v>10</v>
      </c>
      <c r="H2691" s="15" t="s">
        <v>10</v>
      </c>
      <c r="I2691" s="15">
        <v>1.0915859906044196</v>
      </c>
      <c r="J2691" s="15">
        <v>1.0915859906044196</v>
      </c>
      <c r="K2691" s="15" t="s">
        <v>10</v>
      </c>
      <c r="L2691" s="15" t="s">
        <v>10</v>
      </c>
      <c r="M2691" s="15" t="s">
        <v>10</v>
      </c>
      <c r="N2691" s="15" t="s">
        <v>10</v>
      </c>
      <c r="O2691" s="15" t="s">
        <v>10</v>
      </c>
      <c r="P2691" s="15" t="s">
        <v>10</v>
      </c>
      <c r="Q2691" s="8"/>
      <c r="R2691" s="9" t="s">
        <v>2662</v>
      </c>
    </row>
    <row r="2692" spans="1:18" x14ac:dyDescent="0.25">
      <c r="A2692" s="6" t="str">
        <f>HYPERLINK("proteomic_fractions_linear_files/Yang_linear_img/6806915.jpg", "6806915")</f>
        <v>6806915</v>
      </c>
      <c r="B2692" s="7"/>
      <c r="C2692" s="6" t="str">
        <f>HYPERLINK("http://www.ncbi.nlm.nih.gov/protein/6806915","Ggps1")</f>
        <v>Ggps1</v>
      </c>
      <c r="D2692" s="8"/>
      <c r="E2692" s="8">
        <v>34576</v>
      </c>
      <c r="F2692" s="8"/>
      <c r="G2692" s="15" t="s">
        <v>10</v>
      </c>
      <c r="H2692" s="15" t="s">
        <v>10</v>
      </c>
      <c r="I2692" s="15" t="s">
        <v>10</v>
      </c>
      <c r="J2692" s="15" t="s">
        <v>10</v>
      </c>
      <c r="K2692" s="15" t="s">
        <v>10</v>
      </c>
      <c r="L2692" s="15" t="s">
        <v>10</v>
      </c>
      <c r="M2692" s="15">
        <v>0.91668779587810256</v>
      </c>
      <c r="N2692" s="15">
        <v>0.91668779587810256</v>
      </c>
      <c r="O2692" s="15">
        <v>0.79766317993377311</v>
      </c>
      <c r="P2692" s="15">
        <v>0.79766317993377311</v>
      </c>
      <c r="Q2692" s="8"/>
      <c r="R2692" s="9" t="s">
        <v>2663</v>
      </c>
    </row>
    <row r="2693" spans="1:18" x14ac:dyDescent="0.25">
      <c r="A2693" s="6" t="str">
        <f>HYPERLINK("proteomic_fractions_linear_files/Yang_linear_img/6679995.jpg", "6679995")</f>
        <v>6679995</v>
      </c>
      <c r="B2693" s="7"/>
      <c r="C2693" s="6" t="str">
        <f>HYPERLINK("http://www.ncbi.nlm.nih.gov/protein/6679995","Ggt1")</f>
        <v>Ggt1</v>
      </c>
      <c r="D2693" s="8"/>
      <c r="E2693" s="8">
        <v>61432</v>
      </c>
      <c r="F2693" s="8"/>
      <c r="G2693" s="15" t="s">
        <v>10</v>
      </c>
      <c r="H2693" s="15" t="s">
        <v>10</v>
      </c>
      <c r="I2693" s="15" t="s">
        <v>10</v>
      </c>
      <c r="J2693" s="15" t="s">
        <v>10</v>
      </c>
      <c r="K2693" s="15">
        <v>0.35730725033899591</v>
      </c>
      <c r="L2693" s="15">
        <v>0.35730725033899591</v>
      </c>
      <c r="M2693" s="15" t="s">
        <v>10</v>
      </c>
      <c r="N2693" s="15" t="s">
        <v>10</v>
      </c>
      <c r="O2693" s="15" t="s">
        <v>10</v>
      </c>
      <c r="P2693" s="15" t="s">
        <v>10</v>
      </c>
      <c r="Q2693" s="8"/>
      <c r="R2693" s="9" t="s">
        <v>2664</v>
      </c>
    </row>
    <row r="2694" spans="1:18" x14ac:dyDescent="0.25">
      <c r="A2694" s="6" t="str">
        <f>HYPERLINK("proteomic_fractions_linear_files/Yang_linear_img/6679997.jpg", "6679997")</f>
        <v>6679997</v>
      </c>
      <c r="B2694" s="7"/>
      <c r="C2694" s="6" t="str">
        <f>HYPERLINK("http://www.ncbi.nlm.nih.gov/protein/6679997","Gh")</f>
        <v>Gh</v>
      </c>
      <c r="D2694" s="8"/>
      <c r="E2694" s="8">
        <v>21841</v>
      </c>
      <c r="F2694" s="8"/>
      <c r="G2694" s="15">
        <v>0.93624732666619426</v>
      </c>
      <c r="H2694" s="15">
        <v>0.93624732666619426</v>
      </c>
      <c r="I2694" s="15" t="s">
        <v>10</v>
      </c>
      <c r="J2694" s="15" t="s">
        <v>10</v>
      </c>
      <c r="K2694" s="15" t="s">
        <v>10</v>
      </c>
      <c r="L2694" s="15" t="s">
        <v>10</v>
      </c>
      <c r="M2694" s="15" t="s">
        <v>10</v>
      </c>
      <c r="N2694" s="15" t="s">
        <v>10</v>
      </c>
      <c r="O2694" s="15" t="s">
        <v>10</v>
      </c>
      <c r="P2694" s="15" t="s">
        <v>10</v>
      </c>
      <c r="Q2694" s="8"/>
      <c r="R2694" s="9" t="s">
        <v>2665</v>
      </c>
    </row>
    <row r="2695" spans="1:18" x14ac:dyDescent="0.25">
      <c r="A2695" s="6" t="str">
        <f>HYPERLINK("proteomic_fractions_linear_files/Yang_linear_img/17505218.jpg", "17505218")</f>
        <v>17505218</v>
      </c>
      <c r="B2695" s="7"/>
      <c r="C2695" s="6" t="str">
        <f>HYPERLINK("http://www.ncbi.nlm.nih.gov/protein/17505218","Ghitm")</f>
        <v>Ghitm</v>
      </c>
      <c r="D2695" s="8"/>
      <c r="E2695" s="8">
        <v>32180</v>
      </c>
      <c r="F2695" s="8"/>
      <c r="G2695" s="15" t="s">
        <v>10</v>
      </c>
      <c r="H2695" s="15" t="s">
        <v>10</v>
      </c>
      <c r="I2695" s="15">
        <v>0.76733814416490365</v>
      </c>
      <c r="J2695" s="15">
        <v>0.76733814416490365</v>
      </c>
      <c r="K2695" s="15">
        <v>0.76733814416490365</v>
      </c>
      <c r="L2695" s="15">
        <v>0.76733814416490365</v>
      </c>
      <c r="M2695" s="15" t="s">
        <v>10</v>
      </c>
      <c r="N2695" s="15" t="s">
        <v>10</v>
      </c>
      <c r="O2695" s="15" t="s">
        <v>10</v>
      </c>
      <c r="P2695" s="15" t="s">
        <v>10</v>
      </c>
      <c r="Q2695" s="8"/>
      <c r="R2695" s="9" t="s">
        <v>2666</v>
      </c>
    </row>
    <row r="2696" spans="1:18" x14ac:dyDescent="0.25">
      <c r="A2696" s="6" t="str">
        <f>HYPERLINK("proteomic_fractions_linear_files/Yang_linear_img/254939696.jpg", "254939696")</f>
        <v>254939696</v>
      </c>
      <c r="B2696" s="7"/>
      <c r="C2696" s="6" t="str">
        <f>HYPERLINK("http://www.ncbi.nlm.nih.gov/protein/254939696","Gid4")</f>
        <v>Gid4</v>
      </c>
      <c r="D2696" s="8"/>
      <c r="E2696" s="8">
        <v>24732</v>
      </c>
      <c r="F2696" s="8"/>
      <c r="G2696" s="15" t="s">
        <v>10</v>
      </c>
      <c r="H2696" s="15" t="s">
        <v>10</v>
      </c>
      <c r="I2696" s="15" t="s">
        <v>10</v>
      </c>
      <c r="J2696" s="15" t="s">
        <v>10</v>
      </c>
      <c r="K2696" s="15" t="s">
        <v>10</v>
      </c>
      <c r="L2696" s="15" t="s">
        <v>10</v>
      </c>
      <c r="M2696" s="15">
        <v>0.92438293498869784</v>
      </c>
      <c r="N2696" s="15">
        <v>0.92438293498869784</v>
      </c>
      <c r="O2696" s="15" t="s">
        <v>10</v>
      </c>
      <c r="P2696" s="15" t="s">
        <v>10</v>
      </c>
      <c r="Q2696" s="8"/>
      <c r="R2696" s="9" t="s">
        <v>2667</v>
      </c>
    </row>
    <row r="2697" spans="1:18" x14ac:dyDescent="0.25">
      <c r="A2697" s="6" t="str">
        <f>HYPERLINK("proteomic_fractions_linear_files/Yang_linear_img/58037443.jpg", "58037443")</f>
        <v>58037443</v>
      </c>
      <c r="B2697" s="7"/>
      <c r="C2697" s="6" t="str">
        <f>HYPERLINK("http://www.ncbi.nlm.nih.gov/protein/58037443","Gid8")</f>
        <v>Gid8</v>
      </c>
      <c r="D2697" s="8"/>
      <c r="E2697" s="8">
        <v>26648</v>
      </c>
      <c r="F2697" s="8"/>
      <c r="G2697" s="15" t="s">
        <v>10</v>
      </c>
      <c r="H2697" s="15" t="s">
        <v>10</v>
      </c>
      <c r="I2697" s="15" t="s">
        <v>10</v>
      </c>
      <c r="J2697" s="15" t="s">
        <v>10</v>
      </c>
      <c r="K2697" s="15">
        <v>0.96852807834907406</v>
      </c>
      <c r="L2697" s="15">
        <v>0.96852807834907406</v>
      </c>
      <c r="M2697" s="15">
        <v>0.96852807834907406</v>
      </c>
      <c r="N2697" s="15">
        <v>0.96852807834907406</v>
      </c>
      <c r="O2697" s="15">
        <v>0.855910124989535</v>
      </c>
      <c r="P2697" s="15">
        <v>0.855910124989535</v>
      </c>
      <c r="Q2697" s="8"/>
      <c r="R2697" s="9" t="s">
        <v>2668</v>
      </c>
    </row>
    <row r="2698" spans="1:18" x14ac:dyDescent="0.25">
      <c r="A2698" s="6" t="str">
        <f>HYPERLINK("proteomic_fractions_linear_files/Yang_linear_img/159032014.jpg", "159032014")</f>
        <v>159032014</v>
      </c>
      <c r="B2698" s="7"/>
      <c r="C2698" s="6" t="str">
        <f>HYPERLINK("http://www.ncbi.nlm.nih.gov/protein/159032014","Gigyf2")</f>
        <v>Gigyf2</v>
      </c>
      <c r="D2698" s="8"/>
      <c r="E2698" s="8">
        <v>149062</v>
      </c>
      <c r="F2698" s="8"/>
      <c r="G2698" s="15" t="s">
        <v>10</v>
      </c>
      <c r="H2698" s="15" t="s">
        <v>10</v>
      </c>
      <c r="I2698" s="15">
        <v>1.0298850411828311</v>
      </c>
      <c r="J2698" s="15">
        <v>1.0298850411828311</v>
      </c>
      <c r="K2698" s="15">
        <v>1.5661801854218058</v>
      </c>
      <c r="L2698" s="15">
        <v>1.5661801854218058</v>
      </c>
      <c r="M2698" s="15" t="s">
        <v>10</v>
      </c>
      <c r="N2698" s="15" t="s">
        <v>10</v>
      </c>
      <c r="O2698" s="15" t="s">
        <v>10</v>
      </c>
      <c r="P2698" s="15" t="s">
        <v>10</v>
      </c>
      <c r="Q2698" s="8"/>
      <c r="R2698" s="9" t="s">
        <v>2669</v>
      </c>
    </row>
    <row r="2699" spans="1:18" x14ac:dyDescent="0.25">
      <c r="A2699" s="6" t="str">
        <f>HYPERLINK("proteomic_fractions_linear_files/Yang_linear_img/159032016.jpg", "159032016")</f>
        <v>159032016</v>
      </c>
      <c r="B2699" s="7"/>
      <c r="C2699" s="6" t="str">
        <f>HYPERLINK("http://www.ncbi.nlm.nih.gov/protein/159032016","Gigyf2")</f>
        <v>Gigyf2</v>
      </c>
      <c r="D2699" s="8"/>
      <c r="E2699" s="8">
        <v>148449</v>
      </c>
      <c r="F2699" s="8"/>
      <c r="G2699" s="15" t="s">
        <v>10</v>
      </c>
      <c r="H2699" s="15" t="s">
        <v>10</v>
      </c>
      <c r="I2699" s="15">
        <v>1.036843723893526</v>
      </c>
      <c r="J2699" s="15">
        <v>1.036843723893526</v>
      </c>
      <c r="K2699" s="15">
        <v>1.5767624839719532</v>
      </c>
      <c r="L2699" s="15">
        <v>1.5767624839719532</v>
      </c>
      <c r="M2699" s="15" t="s">
        <v>10</v>
      </c>
      <c r="N2699" s="15" t="s">
        <v>10</v>
      </c>
      <c r="O2699" s="15" t="s">
        <v>10</v>
      </c>
      <c r="P2699" s="15" t="s">
        <v>10</v>
      </c>
      <c r="Q2699" s="8"/>
      <c r="R2699" s="9" t="s">
        <v>2670</v>
      </c>
    </row>
    <row r="2700" spans="1:18" x14ac:dyDescent="0.25">
      <c r="A2700" s="6" t="str">
        <f>HYPERLINK("proteomic_fractions_linear_files/Yang_linear_img/254553278.jpg", "254553278")</f>
        <v>254553278</v>
      </c>
      <c r="B2700" s="7"/>
      <c r="C2700" s="6" t="str">
        <f>HYPERLINK("http://www.ncbi.nlm.nih.gov/protein/254553278","Gins1")</f>
        <v>Gins1</v>
      </c>
      <c r="D2700" s="8"/>
      <c r="E2700" s="8">
        <v>22762</v>
      </c>
      <c r="F2700" s="8"/>
      <c r="G2700" s="15" t="s">
        <v>10</v>
      </c>
      <c r="H2700" s="15" t="s">
        <v>10</v>
      </c>
      <c r="I2700" s="15">
        <v>0.94764096829038047</v>
      </c>
      <c r="J2700" s="15">
        <v>0.94764096829038047</v>
      </c>
      <c r="K2700" s="15">
        <v>0.89554092115896833</v>
      </c>
      <c r="L2700" s="15">
        <v>0.89554092115896833</v>
      </c>
      <c r="M2700" s="15">
        <v>0.94764096829038047</v>
      </c>
      <c r="N2700" s="15">
        <v>0.94764096829038047</v>
      </c>
      <c r="O2700" s="15">
        <v>0.94764096829038047</v>
      </c>
      <c r="P2700" s="15">
        <v>0.94764096829038047</v>
      </c>
      <c r="Q2700" s="8"/>
      <c r="R2700" s="9" t="s">
        <v>2671</v>
      </c>
    </row>
    <row r="2701" spans="1:18" x14ac:dyDescent="0.25">
      <c r="A2701" s="6" t="str">
        <f>HYPERLINK("proteomic_fractions_linear_files/Yang_linear_img/254553280.jpg", "254553280")</f>
        <v>254553280</v>
      </c>
      <c r="B2701" s="7"/>
      <c r="C2701" s="6" t="str">
        <f>HYPERLINK("http://www.ncbi.nlm.nih.gov/protein/254553280","Gins1")</f>
        <v>Gins1</v>
      </c>
      <c r="D2701" s="8"/>
      <c r="E2701" s="8">
        <v>18849</v>
      </c>
      <c r="F2701" s="8"/>
      <c r="G2701" s="15" t="s">
        <v>10</v>
      </c>
      <c r="H2701" s="15" t="s">
        <v>10</v>
      </c>
      <c r="I2701" s="15">
        <v>1.1471443300357238</v>
      </c>
      <c r="J2701" s="15">
        <v>1.1471443300357238</v>
      </c>
      <c r="K2701" s="15">
        <v>1.0840758519292775</v>
      </c>
      <c r="L2701" s="15">
        <v>1.0840758519292775</v>
      </c>
      <c r="M2701" s="15">
        <v>1.1471443300357238</v>
      </c>
      <c r="N2701" s="15">
        <v>1.1471443300357238</v>
      </c>
      <c r="O2701" s="15">
        <v>1.1471443300357238</v>
      </c>
      <c r="P2701" s="15">
        <v>1.1471443300357238</v>
      </c>
      <c r="Q2701" s="8"/>
      <c r="R2701" s="9" t="s">
        <v>2672</v>
      </c>
    </row>
    <row r="2702" spans="1:18" x14ac:dyDescent="0.25">
      <c r="A2702" s="6" t="str">
        <f>HYPERLINK("proteomic_fractions_linear_files/Yang_linear_img/124249060.jpg", "124249060")</f>
        <v>124249060</v>
      </c>
      <c r="B2702" s="7"/>
      <c r="C2702" s="6" t="str">
        <f>HYPERLINK("http://www.ncbi.nlm.nih.gov/protein/124249060","Gins2")</f>
        <v>Gins2</v>
      </c>
      <c r="D2702" s="8"/>
      <c r="E2702" s="8">
        <v>21105</v>
      </c>
      <c r="F2702" s="8"/>
      <c r="G2702" s="15" t="s">
        <v>10</v>
      </c>
      <c r="H2702" s="15" t="s">
        <v>10</v>
      </c>
      <c r="I2702" s="15" t="s">
        <v>10</v>
      </c>
      <c r="J2702" s="15" t="s">
        <v>10</v>
      </c>
      <c r="K2702" s="15">
        <v>1.100455874986545</v>
      </c>
      <c r="L2702" s="15">
        <v>1.100455874986545</v>
      </c>
      <c r="M2702" s="15" t="s">
        <v>10</v>
      </c>
      <c r="N2702" s="15" t="s">
        <v>10</v>
      </c>
      <c r="O2702" s="15">
        <v>0.98083053269791776</v>
      </c>
      <c r="P2702" s="15">
        <v>0.98083053269791776</v>
      </c>
      <c r="Q2702" s="8"/>
      <c r="R2702" s="9" t="s">
        <v>2673</v>
      </c>
    </row>
    <row r="2703" spans="1:18" x14ac:dyDescent="0.25">
      <c r="A2703" s="6" t="str">
        <f>HYPERLINK("proteomic_fractions_linear_files/Yang_linear_img/21313504.jpg", "21313504")</f>
        <v>21313504</v>
      </c>
      <c r="B2703" s="7"/>
      <c r="C2703" s="6" t="str">
        <f>HYPERLINK("http://www.ncbi.nlm.nih.gov/protein/21313504","Gins3")</f>
        <v>Gins3</v>
      </c>
      <c r="D2703" s="8"/>
      <c r="E2703" s="8">
        <v>24446</v>
      </c>
      <c r="F2703" s="8"/>
      <c r="G2703" s="15" t="s">
        <v>10</v>
      </c>
      <c r="H2703" s="15" t="s">
        <v>10</v>
      </c>
      <c r="I2703" s="15" t="s">
        <v>10</v>
      </c>
      <c r="J2703" s="15" t="s">
        <v>10</v>
      </c>
      <c r="K2703" s="15">
        <v>1.0231175255532048</v>
      </c>
      <c r="L2703" s="15">
        <v>1.0231175255532048</v>
      </c>
      <c r="M2703" s="15" t="s">
        <v>10</v>
      </c>
      <c r="N2703" s="15" t="s">
        <v>10</v>
      </c>
      <c r="O2703" s="15">
        <v>0.90815592794494793</v>
      </c>
      <c r="P2703" s="15">
        <v>0.90815592794494793</v>
      </c>
      <c r="Q2703" s="8"/>
      <c r="R2703" s="9" t="s">
        <v>2674</v>
      </c>
    </row>
    <row r="2704" spans="1:18" x14ac:dyDescent="0.25">
      <c r="A2704" s="6" t="str">
        <f>HYPERLINK("proteomic_fractions_linear_files/Yang_linear_img/13195660.jpg", "13195660")</f>
        <v>13195660</v>
      </c>
      <c r="B2704" s="7"/>
      <c r="C2704" s="6" t="str">
        <f>HYPERLINK("http://www.ncbi.nlm.nih.gov/protein/13195660","Gins4")</f>
        <v>Gins4</v>
      </c>
      <c r="D2704" s="8"/>
      <c r="E2704" s="8">
        <v>25830</v>
      </c>
      <c r="F2704" s="8"/>
      <c r="G2704" s="15" t="s">
        <v>10</v>
      </c>
      <c r="H2704" s="15" t="s">
        <v>10</v>
      </c>
      <c r="I2704" s="15">
        <v>1.0057791582855768</v>
      </c>
      <c r="J2704" s="15">
        <v>1.0057791582855768</v>
      </c>
      <c r="K2704" s="15">
        <v>1.0737773576031562</v>
      </c>
      <c r="L2704" s="15">
        <v>1.0737773576031562</v>
      </c>
      <c r="M2704" s="15" t="s">
        <v>10</v>
      </c>
      <c r="N2704" s="15" t="s">
        <v>10</v>
      </c>
      <c r="O2704" s="15">
        <v>0.94441617743372752</v>
      </c>
      <c r="P2704" s="15">
        <v>0.94441617743372752</v>
      </c>
      <c r="Q2704" s="8"/>
      <c r="R2704" s="9" t="s">
        <v>2675</v>
      </c>
    </row>
    <row r="2705" spans="1:18" x14ac:dyDescent="0.25">
      <c r="A2705" s="6" t="str">
        <f>HYPERLINK("proteomic_fractions_linear_files/Yang_linear_img/9055336.jpg", "9055336")</f>
        <v>9055336</v>
      </c>
      <c r="B2705" s="7"/>
      <c r="C2705" s="6" t="str">
        <f>HYPERLINK("http://www.ncbi.nlm.nih.gov/protein/9055336","Gipc1")</f>
        <v>Gipc1</v>
      </c>
      <c r="D2705" s="8"/>
      <c r="E2705" s="8">
        <v>35998</v>
      </c>
      <c r="F2705" s="8"/>
      <c r="G2705" s="15" t="s">
        <v>10</v>
      </c>
      <c r="H2705" s="15" t="s">
        <v>10</v>
      </c>
      <c r="I2705" s="15">
        <v>1.0372590673090165</v>
      </c>
      <c r="J2705" s="15">
        <v>1.0372590673090165</v>
      </c>
      <c r="K2705" s="15">
        <v>1.125203283422854</v>
      </c>
      <c r="L2705" s="15">
        <v>1.125203283422854</v>
      </c>
      <c r="M2705" s="15">
        <v>1.0372590673090165</v>
      </c>
      <c r="N2705" s="15">
        <v>1.0372590673090165</v>
      </c>
      <c r="O2705" s="15">
        <v>0.95981601473542177</v>
      </c>
      <c r="P2705" s="15">
        <v>0.95981601473542177</v>
      </c>
      <c r="Q2705" s="8"/>
      <c r="R2705" s="9" t="s">
        <v>2676</v>
      </c>
    </row>
    <row r="2706" spans="1:18" x14ac:dyDescent="0.25">
      <c r="A2706" s="6" t="str">
        <f>HYPERLINK("proteomic_fractions_linear_files/Yang_linear_img/8394258.jpg", "8394258")</f>
        <v>8394258</v>
      </c>
      <c r="B2706" s="7"/>
      <c r="C2706" s="6" t="str">
        <f>HYPERLINK("http://www.ncbi.nlm.nih.gov/protein/8394258","Gipc2")</f>
        <v>Gipc2</v>
      </c>
      <c r="D2706" s="8"/>
      <c r="E2706" s="8">
        <v>33987</v>
      </c>
      <c r="F2706" s="8"/>
      <c r="G2706" s="15">
        <v>1.4202933995416251</v>
      </c>
      <c r="H2706" s="15">
        <v>1.4202933995416251</v>
      </c>
      <c r="I2706" s="15">
        <v>1.0162757803080937</v>
      </c>
      <c r="J2706" s="15">
        <v>1.0162757803080937</v>
      </c>
      <c r="K2706" s="15">
        <v>1.098274306562488</v>
      </c>
      <c r="L2706" s="15">
        <v>1.098274306562488</v>
      </c>
      <c r="M2706" s="15">
        <v>1.0162757803080937</v>
      </c>
      <c r="N2706" s="15">
        <v>1.0162757803080937</v>
      </c>
      <c r="O2706" s="15">
        <v>0.94364920163922317</v>
      </c>
      <c r="P2706" s="15">
        <v>0.94364920163922317</v>
      </c>
      <c r="Q2706" s="8"/>
      <c r="R2706" s="9" t="s">
        <v>2677</v>
      </c>
    </row>
    <row r="2707" spans="1:18" x14ac:dyDescent="0.25">
      <c r="A2707" s="6" t="str">
        <f>HYPERLINK("proteomic_fractions_linear_files/Yang_linear_img/22507363.jpg", "22507363")</f>
        <v>22507363</v>
      </c>
      <c r="B2707" s="7"/>
      <c r="C2707" s="6" t="str">
        <f>HYPERLINK("http://www.ncbi.nlm.nih.gov/protein/22507363","Gipc3")</f>
        <v>Gipc3</v>
      </c>
      <c r="D2707" s="8"/>
      <c r="E2707" s="8">
        <v>31977</v>
      </c>
      <c r="F2707" s="8"/>
      <c r="G2707" s="15" t="s">
        <v>10</v>
      </c>
      <c r="H2707" s="15" t="s">
        <v>10</v>
      </c>
      <c r="I2707" s="15" t="s">
        <v>10</v>
      </c>
      <c r="J2707" s="15" t="s">
        <v>10</v>
      </c>
      <c r="K2707" s="15" t="s">
        <v>10</v>
      </c>
      <c r="L2707" s="15" t="s">
        <v>10</v>
      </c>
      <c r="M2707" s="15" t="s">
        <v>10</v>
      </c>
      <c r="N2707" s="15" t="s">
        <v>10</v>
      </c>
      <c r="O2707" s="15">
        <v>1.0797930165773495</v>
      </c>
      <c r="P2707" s="15">
        <v>1.0797930165773495</v>
      </c>
      <c r="Q2707" s="8"/>
      <c r="R2707" s="9" t="s">
        <v>2678</v>
      </c>
    </row>
    <row r="2708" spans="1:18" x14ac:dyDescent="0.25">
      <c r="A2708" s="6" t="str">
        <f>HYPERLINK("proteomic_fractions_linear_files/Yang_linear_img/51921285.jpg", "51921285")</f>
        <v>51921285</v>
      </c>
      <c r="B2708" s="7"/>
      <c r="C2708" s="6" t="str">
        <f>HYPERLINK("http://www.ncbi.nlm.nih.gov/protein/51921285","Git1")</f>
        <v>Git1</v>
      </c>
      <c r="D2708" s="8"/>
      <c r="E2708" s="8">
        <v>85169</v>
      </c>
      <c r="F2708" s="8"/>
      <c r="G2708" s="15" t="s">
        <v>10</v>
      </c>
      <c r="H2708" s="15" t="s">
        <v>10</v>
      </c>
      <c r="I2708" s="15" t="s">
        <v>10</v>
      </c>
      <c r="J2708" s="15" t="s">
        <v>10</v>
      </c>
      <c r="K2708" s="15">
        <v>1.2917831037780172</v>
      </c>
      <c r="L2708" s="15">
        <v>1.2917831037780172</v>
      </c>
      <c r="M2708" s="15">
        <v>1.2917831037780172</v>
      </c>
      <c r="N2708" s="15">
        <v>1.2917831037780172</v>
      </c>
      <c r="O2708" s="15">
        <v>1.1172703668539354</v>
      </c>
      <c r="P2708" s="15">
        <v>1.1172703668539354</v>
      </c>
      <c r="Q2708" s="8"/>
      <c r="R2708" s="9" t="s">
        <v>2679</v>
      </c>
    </row>
    <row r="2709" spans="1:18" x14ac:dyDescent="0.25">
      <c r="A2709" s="6" t="str">
        <f>HYPERLINK("proteomic_fractions_linear_files/Yang_linear_img/116517290.jpg", "116517290")</f>
        <v>116517290</v>
      </c>
      <c r="B2709" s="7"/>
      <c r="C2709" s="6" t="str">
        <f>HYPERLINK("http://www.ncbi.nlm.nih.gov/protein/116517290","Git2")</f>
        <v>Git2</v>
      </c>
      <c r="D2709" s="8"/>
      <c r="E2709" s="8">
        <v>75753</v>
      </c>
      <c r="F2709" s="8"/>
      <c r="G2709" s="15" t="s">
        <v>10</v>
      </c>
      <c r="H2709" s="15" t="s">
        <v>10</v>
      </c>
      <c r="I2709" s="15" t="s">
        <v>10</v>
      </c>
      <c r="J2709" s="15" t="s">
        <v>10</v>
      </c>
      <c r="K2709" s="15">
        <v>1.2495786997708489</v>
      </c>
      <c r="L2709" s="15">
        <v>1.2495786997708489</v>
      </c>
      <c r="M2709" s="15">
        <v>1.2495786997708489</v>
      </c>
      <c r="N2709" s="15">
        <v>1.2495786997708489</v>
      </c>
      <c r="O2709" s="15" t="s">
        <v>10</v>
      </c>
      <c r="P2709" s="15" t="s">
        <v>10</v>
      </c>
      <c r="Q2709" s="8"/>
      <c r="R2709" s="9" t="s">
        <v>2680</v>
      </c>
    </row>
    <row r="2710" spans="1:18" x14ac:dyDescent="0.25">
      <c r="A2710" s="6" t="str">
        <f>HYPERLINK("proteomic_fractions_linear_files/Yang_linear_img/116517295.jpg", "116517295")</f>
        <v>116517295</v>
      </c>
      <c r="B2710" s="7"/>
      <c r="C2710" s="6" t="str">
        <f>HYPERLINK("http://www.ncbi.nlm.nih.gov/protein/116517295","Git2")</f>
        <v>Git2</v>
      </c>
      <c r="D2710" s="8"/>
      <c r="E2710" s="8">
        <v>75502</v>
      </c>
      <c r="F2710" s="8"/>
      <c r="G2710" s="15" t="s">
        <v>10</v>
      </c>
      <c r="H2710" s="15" t="s">
        <v>10</v>
      </c>
      <c r="I2710" s="15" t="s">
        <v>10</v>
      </c>
      <c r="J2710" s="15" t="s">
        <v>10</v>
      </c>
      <c r="K2710" s="15">
        <v>1.2495786997708489</v>
      </c>
      <c r="L2710" s="15">
        <v>1.2495786997708489</v>
      </c>
      <c r="M2710" s="15">
        <v>1.2495786997708489</v>
      </c>
      <c r="N2710" s="15">
        <v>1.2495786997708489</v>
      </c>
      <c r="O2710" s="15" t="s">
        <v>10</v>
      </c>
      <c r="P2710" s="15" t="s">
        <v>10</v>
      </c>
      <c r="Q2710" s="8"/>
      <c r="R2710" s="9" t="s">
        <v>2681</v>
      </c>
    </row>
    <row r="2711" spans="1:18" x14ac:dyDescent="0.25">
      <c r="A2711" s="6" t="str">
        <f>HYPERLINK("proteomic_fractions_linear_files/Yang_linear_img/116517297.jpg", "116517297")</f>
        <v>116517297</v>
      </c>
      <c r="B2711" s="7"/>
      <c r="C2711" s="6" t="str">
        <f>HYPERLINK("http://www.ncbi.nlm.nih.gov/protein/116517297","Git2")</f>
        <v>Git2</v>
      </c>
      <c r="D2711" s="8"/>
      <c r="E2711" s="8">
        <v>78635</v>
      </c>
      <c r="F2711" s="8"/>
      <c r="G2711" s="15" t="s">
        <v>10</v>
      </c>
      <c r="H2711" s="15" t="s">
        <v>10</v>
      </c>
      <c r="I2711" s="15" t="s">
        <v>10</v>
      </c>
      <c r="J2711" s="15" t="s">
        <v>10</v>
      </c>
      <c r="K2711" s="15">
        <v>1.2021263440833483</v>
      </c>
      <c r="L2711" s="15">
        <v>1.2021263440833483</v>
      </c>
      <c r="M2711" s="15">
        <v>1.2021263440833483</v>
      </c>
      <c r="N2711" s="15">
        <v>1.2021263440833483</v>
      </c>
      <c r="O2711" s="15" t="s">
        <v>10</v>
      </c>
      <c r="P2711" s="15" t="s">
        <v>10</v>
      </c>
      <c r="Q2711" s="8"/>
      <c r="R2711" s="9" t="s">
        <v>2682</v>
      </c>
    </row>
    <row r="2712" spans="1:18" x14ac:dyDescent="0.25">
      <c r="A2712" s="6" t="str">
        <f>HYPERLINK("proteomic_fractions_linear_files/Yang_linear_img/6754000.jpg", "6754000")</f>
        <v>6754000</v>
      </c>
      <c r="B2712" s="7"/>
      <c r="C2712" s="6" t="str">
        <f>HYPERLINK("http://www.ncbi.nlm.nih.gov/protein/6754000","Gk2")</f>
        <v>Gk2</v>
      </c>
      <c r="D2712" s="8"/>
      <c r="E2712" s="8">
        <v>60499</v>
      </c>
      <c r="F2712" s="8"/>
      <c r="G2712" s="15" t="s">
        <v>10</v>
      </c>
      <c r="H2712" s="15" t="s">
        <v>10</v>
      </c>
      <c r="I2712" s="15" t="s">
        <v>10</v>
      </c>
      <c r="J2712" s="15" t="s">
        <v>10</v>
      </c>
      <c r="K2712" s="15" t="s">
        <v>10</v>
      </c>
      <c r="L2712" s="15" t="s">
        <v>10</v>
      </c>
      <c r="M2712" s="15" t="s">
        <v>10</v>
      </c>
      <c r="N2712" s="15" t="s">
        <v>10</v>
      </c>
      <c r="O2712" s="15">
        <v>0.80483292640692083</v>
      </c>
      <c r="P2712" s="15">
        <v>0.80483292640692083</v>
      </c>
      <c r="Q2712" s="8"/>
      <c r="R2712" s="9" t="s">
        <v>2683</v>
      </c>
    </row>
    <row r="2713" spans="1:18" x14ac:dyDescent="0.25">
      <c r="A2713" s="6" t="str">
        <f>HYPERLINK("proteomic_fractions_linear_files/Yang_linear_img/9789999.jpg", "9789999")</f>
        <v>9789999</v>
      </c>
      <c r="B2713" s="7"/>
      <c r="C2713" s="6" t="str">
        <f>HYPERLINK("http://www.ncbi.nlm.nih.gov/protein/9789999","Gkap1")</f>
        <v>Gkap1</v>
      </c>
      <c r="D2713" s="8"/>
      <c r="E2713" s="8">
        <v>41632</v>
      </c>
      <c r="F2713" s="8"/>
      <c r="G2713" s="15" t="s">
        <v>10</v>
      </c>
      <c r="H2713" s="15" t="s">
        <v>10</v>
      </c>
      <c r="I2713" s="15" t="s">
        <v>10</v>
      </c>
      <c r="J2713" s="15" t="s">
        <v>10</v>
      </c>
      <c r="K2713" s="15">
        <v>9.7391323271295196</v>
      </c>
      <c r="L2713" s="15">
        <v>9.7391323271295196</v>
      </c>
      <c r="M2713" s="15" t="s">
        <v>10</v>
      </c>
      <c r="N2713" s="15" t="s">
        <v>10</v>
      </c>
      <c r="O2713" s="15">
        <v>9.7391323271295196</v>
      </c>
      <c r="P2713" s="15">
        <v>9.7391323271295196</v>
      </c>
      <c r="Q2713" s="8"/>
      <c r="R2713" s="9" t="s">
        <v>2684</v>
      </c>
    </row>
    <row r="2714" spans="1:18" x14ac:dyDescent="0.25">
      <c r="A2714" s="6" t="str">
        <f>HYPERLINK("proteomic_fractions_linear_files/Yang_linear_img/133778924.jpg", "133778924")</f>
        <v>133778924</v>
      </c>
      <c r="B2714" s="7"/>
      <c r="C2714" s="6" t="str">
        <f>HYPERLINK("http://www.ncbi.nlm.nih.gov/protein/133778924","Gla")</f>
        <v>Gla</v>
      </c>
      <c r="D2714" s="8"/>
      <c r="E2714" s="8">
        <v>47714</v>
      </c>
      <c r="F2714" s="8"/>
      <c r="G2714" s="15" t="s">
        <v>10</v>
      </c>
      <c r="H2714" s="15" t="s">
        <v>10</v>
      </c>
      <c r="I2714" s="15">
        <v>0.91928310931178059</v>
      </c>
      <c r="J2714" s="15">
        <v>0.91928310931178059</v>
      </c>
      <c r="K2714" s="15">
        <v>0.91928310931178059</v>
      </c>
      <c r="L2714" s="15">
        <v>0.91928310931178059</v>
      </c>
      <c r="M2714" s="15" t="s">
        <v>10</v>
      </c>
      <c r="N2714" s="15" t="s">
        <v>10</v>
      </c>
      <c r="O2714" s="15">
        <v>0.84390246256714052</v>
      </c>
      <c r="P2714" s="15">
        <v>0.84390246256714052</v>
      </c>
      <c r="Q2714" s="8"/>
      <c r="R2714" s="9" t="s">
        <v>2685</v>
      </c>
    </row>
    <row r="2715" spans="1:18" x14ac:dyDescent="0.25">
      <c r="A2715" s="6" t="str">
        <f>HYPERLINK("proteomic_fractions_linear_files/Yang_linear_img/6753190.jpg", "6753190")</f>
        <v>6753190</v>
      </c>
      <c r="B2715" s="7"/>
      <c r="C2715" s="6" t="str">
        <f>HYPERLINK("http://www.ncbi.nlm.nih.gov/protein/6753190","Glb1")</f>
        <v>Glb1</v>
      </c>
      <c r="D2715" s="8"/>
      <c r="E2715" s="8">
        <v>70038</v>
      </c>
      <c r="F2715" s="8"/>
      <c r="G2715" s="15">
        <v>1.1871236924734836</v>
      </c>
      <c r="H2715" s="15">
        <v>1.1871236924734836</v>
      </c>
      <c r="I2715" s="15">
        <v>0.93504661900777619</v>
      </c>
      <c r="J2715" s="15">
        <v>0.93504661900777619</v>
      </c>
      <c r="K2715" s="15">
        <v>0.93504661900777619</v>
      </c>
      <c r="L2715" s="15">
        <v>0.93504661900777619</v>
      </c>
      <c r="M2715" s="15">
        <v>0.93504661900777619</v>
      </c>
      <c r="N2715" s="15">
        <v>0.93504661900777619</v>
      </c>
      <c r="O2715" s="15" t="s">
        <v>10</v>
      </c>
      <c r="P2715" s="15" t="s">
        <v>10</v>
      </c>
      <c r="Q2715" s="8"/>
      <c r="R2715" s="9" t="s">
        <v>2686</v>
      </c>
    </row>
    <row r="2716" spans="1:18" x14ac:dyDescent="0.25">
      <c r="A2716" s="6" t="str">
        <f>HYPERLINK("proteomic_fractions_linear_files/Yang_linear_img/65301488.jpg", "65301488")</f>
        <v>65301488</v>
      </c>
      <c r="B2716" s="7"/>
      <c r="C2716" s="6" t="str">
        <f>HYPERLINK("http://www.ncbi.nlm.nih.gov/protein/65301488","Glce")</f>
        <v>Glce</v>
      </c>
      <c r="D2716" s="8"/>
      <c r="E2716" s="8">
        <v>69958</v>
      </c>
      <c r="F2716" s="8"/>
      <c r="G2716" s="15" t="s">
        <v>10</v>
      </c>
      <c r="H2716" s="15" t="s">
        <v>10</v>
      </c>
      <c r="I2716" s="15">
        <v>1.1871236924734836</v>
      </c>
      <c r="J2716" s="15">
        <v>1.1871236924734836</v>
      </c>
      <c r="K2716" s="15" t="s">
        <v>10</v>
      </c>
      <c r="L2716" s="15" t="s">
        <v>10</v>
      </c>
      <c r="M2716" s="15" t="s">
        <v>10</v>
      </c>
      <c r="N2716" s="15" t="s">
        <v>10</v>
      </c>
      <c r="O2716" s="15" t="s">
        <v>10</v>
      </c>
      <c r="P2716" s="15" t="s">
        <v>10</v>
      </c>
      <c r="Q2716" s="8"/>
      <c r="R2716" s="9" t="s">
        <v>2687</v>
      </c>
    </row>
    <row r="2717" spans="1:18" x14ac:dyDescent="0.25">
      <c r="A2717" s="6" t="str">
        <f>HYPERLINK("proteomic_fractions_linear_files/Yang_linear_img/58037369.jpg", "58037369")</f>
        <v>58037369</v>
      </c>
      <c r="B2717" s="7"/>
      <c r="C2717" s="6" t="str">
        <f>HYPERLINK("http://www.ncbi.nlm.nih.gov/protein/58037369","Gle1")</f>
        <v>Gle1</v>
      </c>
      <c r="D2717" s="8"/>
      <c r="E2717" s="8">
        <v>79444</v>
      </c>
      <c r="F2717" s="8"/>
      <c r="G2717" s="15" t="s">
        <v>10</v>
      </c>
      <c r="H2717" s="15" t="s">
        <v>10</v>
      </c>
      <c r="I2717" s="15" t="s">
        <v>10</v>
      </c>
      <c r="J2717" s="15" t="s">
        <v>10</v>
      </c>
      <c r="K2717" s="15">
        <v>0.40612750450295682</v>
      </c>
      <c r="L2717" s="15">
        <v>0.40612750450295682</v>
      </c>
      <c r="M2717" s="15">
        <v>0.82852232063980169</v>
      </c>
      <c r="N2717" s="15">
        <v>0.82852232063980169</v>
      </c>
      <c r="O2717" s="15" t="s">
        <v>10</v>
      </c>
      <c r="P2717" s="15" t="s">
        <v>10</v>
      </c>
      <c r="Q2717" s="8"/>
      <c r="R2717" s="9" t="s">
        <v>2688</v>
      </c>
    </row>
    <row r="2718" spans="1:18" x14ac:dyDescent="0.25">
      <c r="A2718" s="6" t="str">
        <f>HYPERLINK("proteomic_fractions_linear_files/Yang_linear_img/6677905.jpg", "6677905")</f>
        <v>6677905</v>
      </c>
      <c r="B2718" s="7"/>
      <c r="C2718" s="6" t="str">
        <f>HYPERLINK("http://www.ncbi.nlm.nih.gov/protein/6677905","Glg1")</f>
        <v>Glg1</v>
      </c>
      <c r="D2718" s="8"/>
      <c r="E2718" s="8">
        <v>131023</v>
      </c>
      <c r="F2718" s="8"/>
      <c r="G2718" s="15">
        <v>1.4256933712972546</v>
      </c>
      <c r="H2718" s="15">
        <v>1.4256933712972546</v>
      </c>
      <c r="I2718" s="15">
        <v>1.7813805162431227</v>
      </c>
      <c r="J2718" s="15">
        <v>1.7813805162431227</v>
      </c>
      <c r="K2718" s="15">
        <v>1.7813805162431227</v>
      </c>
      <c r="L2718" s="15">
        <v>1.7813805162431227</v>
      </c>
      <c r="M2718" s="15" t="s">
        <v>10</v>
      </c>
      <c r="N2718" s="15" t="s">
        <v>10</v>
      </c>
      <c r="O2718" s="15" t="s">
        <v>10</v>
      </c>
      <c r="P2718" s="15" t="s">
        <v>10</v>
      </c>
      <c r="Q2718" s="8"/>
      <c r="R2718" s="9" t="s">
        <v>2689</v>
      </c>
    </row>
    <row r="2719" spans="1:18" x14ac:dyDescent="0.25">
      <c r="A2719" s="6" t="str">
        <f>HYPERLINK("proteomic_fractions_linear_files/Yang_linear_img/47059151.jpg", "47059151")</f>
        <v>47059151</v>
      </c>
      <c r="B2719" s="7"/>
      <c r="C2719" s="6" t="str">
        <f>HYPERLINK("http://www.ncbi.nlm.nih.gov/protein/47059151","Glipr2")</f>
        <v>Glipr2</v>
      </c>
      <c r="D2719" s="8"/>
      <c r="E2719" s="8">
        <v>16959</v>
      </c>
      <c r="F2719" s="8"/>
      <c r="G2719" s="15" t="s">
        <v>10</v>
      </c>
      <c r="H2719" s="15" t="s">
        <v>10</v>
      </c>
      <c r="I2719" s="15">
        <v>0.93690834018716329</v>
      </c>
      <c r="J2719" s="15">
        <v>0.93690834018716329</v>
      </c>
      <c r="K2719" s="15">
        <v>0.98332203062394252</v>
      </c>
      <c r="L2719" s="15">
        <v>0.98332203062394252</v>
      </c>
      <c r="M2719" s="15" t="s">
        <v>10</v>
      </c>
      <c r="N2719" s="15" t="s">
        <v>10</v>
      </c>
      <c r="O2719" s="15" t="s">
        <v>10</v>
      </c>
      <c r="P2719" s="15" t="s">
        <v>10</v>
      </c>
      <c r="Q2719" s="8"/>
      <c r="R2719" s="9" t="s">
        <v>2690</v>
      </c>
    </row>
    <row r="2720" spans="1:18" x14ac:dyDescent="0.25">
      <c r="A2720" s="6" t="str">
        <f>HYPERLINK("proteomic_fractions_linear_files/Yang_linear_img/239985596.jpg", "239985596")</f>
        <v>239985596</v>
      </c>
      <c r="B2720" s="7"/>
      <c r="C2720" s="6" t="str">
        <f>HYPERLINK("http://www.ncbi.nlm.nih.gov/protein/239985596","Glmn")</f>
        <v>Glmn</v>
      </c>
      <c r="D2720" s="8"/>
      <c r="E2720" s="8">
        <v>67625</v>
      </c>
      <c r="F2720" s="8"/>
      <c r="G2720" s="15" t="s">
        <v>10</v>
      </c>
      <c r="H2720" s="15" t="s">
        <v>10</v>
      </c>
      <c r="I2720" s="15" t="s">
        <v>10</v>
      </c>
      <c r="J2720" s="15" t="s">
        <v>10</v>
      </c>
      <c r="K2720" s="15">
        <v>1.0799435329659153</v>
      </c>
      <c r="L2720" s="15">
        <v>1.0799435329659153</v>
      </c>
      <c r="M2720" s="15" t="s">
        <v>10</v>
      </c>
      <c r="N2720" s="15" t="s">
        <v>10</v>
      </c>
      <c r="O2720" s="15">
        <v>0.96254799015506365</v>
      </c>
      <c r="P2720" s="15">
        <v>0.96254799015506365</v>
      </c>
      <c r="Q2720" s="8"/>
      <c r="R2720" s="9" t="s">
        <v>2691</v>
      </c>
    </row>
    <row r="2721" spans="1:18" x14ac:dyDescent="0.25">
      <c r="A2721" s="6" t="str">
        <f>HYPERLINK("proteomic_fractions_linear_files/Yang_linear_img/239985605.jpg", "239985605")</f>
        <v>239985605</v>
      </c>
      <c r="B2721" s="7"/>
      <c r="C2721" s="6" t="str">
        <f>HYPERLINK("http://www.ncbi.nlm.nih.gov/protein/239985605","Glmn")</f>
        <v>Glmn</v>
      </c>
      <c r="D2721" s="8"/>
      <c r="E2721" s="8">
        <v>60507</v>
      </c>
      <c r="F2721" s="8"/>
      <c r="G2721" s="15" t="s">
        <v>10</v>
      </c>
      <c r="H2721" s="15" t="s">
        <v>10</v>
      </c>
      <c r="I2721" s="15" t="s">
        <v>10</v>
      </c>
      <c r="J2721" s="15" t="s">
        <v>10</v>
      </c>
      <c r="K2721" s="15">
        <v>1.2038714793718401</v>
      </c>
      <c r="L2721" s="15">
        <v>1.2038714793718401</v>
      </c>
      <c r="M2721" s="15" t="s">
        <v>10</v>
      </c>
      <c r="N2721" s="15" t="s">
        <v>10</v>
      </c>
      <c r="O2721" s="15">
        <v>1.0730043168941694</v>
      </c>
      <c r="P2721" s="15">
        <v>1.0730043168941694</v>
      </c>
      <c r="Q2721" s="8"/>
      <c r="R2721" s="9" t="s">
        <v>2692</v>
      </c>
    </row>
    <row r="2722" spans="1:18" x14ac:dyDescent="0.25">
      <c r="A2722" s="6" t="str">
        <f>HYPERLINK("proteomic_fractions_linear_files/Yang_linear_img/165932331.jpg", "165932331")</f>
        <v>165932331</v>
      </c>
      <c r="B2722" s="7"/>
      <c r="C2722" s="6" t="str">
        <f>HYPERLINK("http://www.ncbi.nlm.nih.gov/protein/165932331","Glo1")</f>
        <v>Glo1</v>
      </c>
      <c r="D2722" s="8"/>
      <c r="E2722" s="8">
        <v>20679</v>
      </c>
      <c r="F2722" s="8"/>
      <c r="G2722" s="15" t="s">
        <v>10</v>
      </c>
      <c r="H2722" s="15" t="s">
        <v>10</v>
      </c>
      <c r="I2722" s="15">
        <v>1.100455874986545</v>
      </c>
      <c r="J2722" s="15">
        <v>1.100455874986545</v>
      </c>
      <c r="K2722" s="15">
        <v>1.100455874986545</v>
      </c>
      <c r="L2722" s="15">
        <v>1.100455874986545</v>
      </c>
      <c r="M2722" s="15">
        <v>1.100455874986545</v>
      </c>
      <c r="N2722" s="15">
        <v>1.100455874986545</v>
      </c>
      <c r="O2722" s="15">
        <v>2.299522646876917</v>
      </c>
      <c r="P2722" s="15">
        <v>2.299522646876917</v>
      </c>
      <c r="Q2722" s="8"/>
      <c r="R2722" s="9" t="s">
        <v>2693</v>
      </c>
    </row>
    <row r="2723" spans="1:18" x14ac:dyDescent="0.25">
      <c r="A2723" s="6" t="str">
        <f>HYPERLINK("proteomic_fractions_linear_files/Yang_linear_img/255003777.jpg", "255003777")</f>
        <v>255003777</v>
      </c>
      <c r="B2723" s="7"/>
      <c r="C2723" s="6" t="str">
        <f>HYPERLINK("http://www.ncbi.nlm.nih.gov/protein/255003777","Glod4")</f>
        <v>Glod4</v>
      </c>
      <c r="D2723" s="8"/>
      <c r="E2723" s="8">
        <v>33186</v>
      </c>
      <c r="F2723" s="8"/>
      <c r="G2723" s="15">
        <v>0.79243206410378786</v>
      </c>
      <c r="H2723" s="15">
        <v>0.79243206410378786</v>
      </c>
      <c r="I2723" s="15">
        <v>0.84600640296006246</v>
      </c>
      <c r="J2723" s="15">
        <v>0.84600640296006246</v>
      </c>
      <c r="K2723" s="15">
        <v>0.84600640296006246</v>
      </c>
      <c r="L2723" s="15">
        <v>0.84600640296006246</v>
      </c>
      <c r="M2723" s="15">
        <v>0.84600640296006246</v>
      </c>
      <c r="N2723" s="15">
        <v>0.84600640296006246</v>
      </c>
      <c r="O2723" s="15">
        <v>0.74408547312960349</v>
      </c>
      <c r="P2723" s="15">
        <v>0.74408547312960349</v>
      </c>
      <c r="Q2723" s="8"/>
      <c r="R2723" s="9" t="s">
        <v>2694</v>
      </c>
    </row>
    <row r="2724" spans="1:18" x14ac:dyDescent="0.25">
      <c r="A2724" s="6" t="str">
        <f>HYPERLINK("proteomic_fractions_linear_files/Yang_linear_img/31981458.jpg", "31981458")</f>
        <v>31981458</v>
      </c>
      <c r="B2724" s="7"/>
      <c r="C2724" s="6" t="str">
        <f>HYPERLINK("http://www.ncbi.nlm.nih.gov/protein/31981458","Glrx")</f>
        <v>Glrx</v>
      </c>
      <c r="D2724" s="8"/>
      <c r="E2724" s="8">
        <v>11740</v>
      </c>
      <c r="F2724" s="8"/>
      <c r="G2724" s="15">
        <v>1.0622682784948021</v>
      </c>
      <c r="H2724" s="15">
        <v>1.0622682784948021</v>
      </c>
      <c r="I2724" s="15">
        <v>1.0194051076942798</v>
      </c>
      <c r="J2724" s="15">
        <v>1.0194051076942798</v>
      </c>
      <c r="K2724" s="15">
        <v>1.0194051076942798</v>
      </c>
      <c r="L2724" s="15">
        <v>1.0194051076942798</v>
      </c>
      <c r="M2724" s="15" t="s">
        <v>10</v>
      </c>
      <c r="N2724" s="15" t="s">
        <v>10</v>
      </c>
      <c r="O2724" s="15">
        <v>1.0194051076942798</v>
      </c>
      <c r="P2724" s="15">
        <v>1.0194051076942798</v>
      </c>
      <c r="Q2724" s="8"/>
      <c r="R2724" s="9" t="s">
        <v>2695</v>
      </c>
    </row>
    <row r="2725" spans="1:18" x14ac:dyDescent="0.25">
      <c r="A2725" s="6" t="str">
        <f>HYPERLINK("proteomic_fractions_linear_files/Yang_linear_img/31981269.jpg", "31981269")</f>
        <v>31981269</v>
      </c>
      <c r="B2725" s="7"/>
      <c r="C2725" s="6" t="str">
        <f>HYPERLINK("http://www.ncbi.nlm.nih.gov/protein/31981269","Glrx3")</f>
        <v>Glrx3</v>
      </c>
      <c r="D2725" s="8"/>
      <c r="E2725" s="8">
        <v>37647</v>
      </c>
      <c r="F2725" s="8"/>
      <c r="G2725" s="15" t="s">
        <v>10</v>
      </c>
      <c r="H2725" s="15" t="s">
        <v>10</v>
      </c>
      <c r="I2725" s="15">
        <v>1.0659820579795458</v>
      </c>
      <c r="J2725" s="15">
        <v>1.0659820579795458</v>
      </c>
      <c r="K2725" s="15">
        <v>1.0659820579795458</v>
      </c>
      <c r="L2725" s="15">
        <v>1.0659820579795458</v>
      </c>
      <c r="M2725" s="15">
        <v>0.98266648481906815</v>
      </c>
      <c r="N2725" s="15">
        <v>0.98266648481906815</v>
      </c>
      <c r="O2725" s="15">
        <v>0.90929938238092589</v>
      </c>
      <c r="P2725" s="15">
        <v>0.90929938238092589</v>
      </c>
      <c r="Q2725" s="8"/>
      <c r="R2725" s="9" t="s">
        <v>2696</v>
      </c>
    </row>
    <row r="2726" spans="1:18" x14ac:dyDescent="0.25">
      <c r="A2726" s="6" t="str">
        <f>HYPERLINK("proteomic_fractions_linear_files/Yang_linear_img/21312153.jpg", "21312153")</f>
        <v>21312153</v>
      </c>
      <c r="B2726" s="7"/>
      <c r="C2726" s="6" t="str">
        <f>HYPERLINK("http://www.ncbi.nlm.nih.gov/protein/21312153","Glrx5")</f>
        <v>Glrx5</v>
      </c>
      <c r="D2726" s="8"/>
      <c r="E2726" s="8">
        <v>13385</v>
      </c>
      <c r="F2726" s="8"/>
      <c r="G2726" s="15">
        <v>1.5000884483104058</v>
      </c>
      <c r="H2726" s="15">
        <v>1.5000884483104058</v>
      </c>
      <c r="I2726" s="15">
        <v>1.068142346148973</v>
      </c>
      <c r="J2726" s="15">
        <v>1.068142346148973</v>
      </c>
      <c r="K2726" s="15" t="s">
        <v>10</v>
      </c>
      <c r="L2726" s="15" t="s">
        <v>10</v>
      </c>
      <c r="M2726" s="15" t="s">
        <v>10</v>
      </c>
      <c r="N2726" s="15" t="s">
        <v>10</v>
      </c>
      <c r="O2726" s="15">
        <v>1.0228510786924256</v>
      </c>
      <c r="P2726" s="15">
        <v>1.0228510786924256</v>
      </c>
      <c r="Q2726" s="8"/>
      <c r="R2726" s="9" t="s">
        <v>2697</v>
      </c>
    </row>
    <row r="2727" spans="1:18" x14ac:dyDescent="0.25">
      <c r="A2727" s="6" t="str">
        <f>HYPERLINK("proteomic_fractions_linear_files/Yang_linear_img/124487313.jpg", "124487313")</f>
        <v>124487313</v>
      </c>
      <c r="B2727" s="7"/>
      <c r="C2727" s="6" t="str">
        <f>HYPERLINK("http://www.ncbi.nlm.nih.gov/protein/124487313","Gls")</f>
        <v>Gls</v>
      </c>
      <c r="D2727" s="8"/>
      <c r="E2727" s="8">
        <v>72036</v>
      </c>
      <c r="F2727" s="8"/>
      <c r="G2727" s="15">
        <v>1.1541480343492203</v>
      </c>
      <c r="H2727" s="15">
        <v>1.1541480343492203</v>
      </c>
      <c r="I2727" s="15">
        <v>0.81629454979991456</v>
      </c>
      <c r="J2727" s="15">
        <v>0.81629454979991456</v>
      </c>
      <c r="K2727" s="15">
        <v>1.0199466700233646</v>
      </c>
      <c r="L2727" s="15">
        <v>1.0199466700233646</v>
      </c>
      <c r="M2727" s="15">
        <v>0.90907310181311574</v>
      </c>
      <c r="N2727" s="15">
        <v>0.90907310181311574</v>
      </c>
      <c r="O2727" s="15">
        <v>0.90907310181311574</v>
      </c>
      <c r="P2727" s="15">
        <v>0.90907310181311574</v>
      </c>
      <c r="Q2727" s="8"/>
      <c r="R2727" s="9" t="s">
        <v>2698</v>
      </c>
    </row>
    <row r="2728" spans="1:18" x14ac:dyDescent="0.25">
      <c r="A2728" s="6" t="str">
        <f>HYPERLINK("proteomic_fractions_linear_files/Yang_linear_img/164607135.jpg", "164607135")</f>
        <v>164607135</v>
      </c>
      <c r="B2728" s="7"/>
      <c r="C2728" s="6" t="str">
        <f>HYPERLINK("http://www.ncbi.nlm.nih.gov/protein/164607135","Gls")</f>
        <v>Gls</v>
      </c>
      <c r="D2728" s="8"/>
      <c r="E2728" s="8">
        <v>64066</v>
      </c>
      <c r="F2728" s="8"/>
      <c r="G2728" s="15">
        <v>1.1474400037762851</v>
      </c>
      <c r="H2728" s="15">
        <v>1.2984165386428728</v>
      </c>
      <c r="I2728" s="15">
        <v>0.91833136852490393</v>
      </c>
      <c r="J2728" s="15">
        <v>0.91833136852490393</v>
      </c>
      <c r="K2728" s="15">
        <v>1.1474400037762851</v>
      </c>
      <c r="L2728" s="15">
        <v>1.1474400037762851</v>
      </c>
      <c r="M2728" s="15">
        <v>1.0227072395397552</v>
      </c>
      <c r="N2728" s="15">
        <v>1.0227072395397552</v>
      </c>
      <c r="O2728" s="15">
        <v>1.0227072395397552</v>
      </c>
      <c r="P2728" s="15">
        <v>1.0227072395397552</v>
      </c>
      <c r="Q2728" s="8"/>
      <c r="R2728" s="9" t="s">
        <v>2699</v>
      </c>
    </row>
    <row r="2729" spans="1:18" x14ac:dyDescent="0.25">
      <c r="A2729" s="6" t="str">
        <f>HYPERLINK("proteomic_fractions_linear_files/Yang_linear_img/170784829.jpg", "170784829")</f>
        <v>170784829</v>
      </c>
      <c r="B2729" s="7"/>
      <c r="C2729" s="6" t="str">
        <f>HYPERLINK("http://www.ncbi.nlm.nih.gov/protein/170784829","Glt25d1")</f>
        <v>Glt25d1</v>
      </c>
      <c r="D2729" s="8"/>
      <c r="E2729" s="8">
        <v>67989</v>
      </c>
      <c r="F2729" s="8"/>
      <c r="G2729" s="15" t="s">
        <v>10</v>
      </c>
      <c r="H2729" s="15" t="s">
        <v>10</v>
      </c>
      <c r="I2729" s="15">
        <v>1.222039095193292</v>
      </c>
      <c r="J2729" s="15">
        <v>1.222039095193292</v>
      </c>
      <c r="K2729" s="15">
        <v>1.222039095193292</v>
      </c>
      <c r="L2729" s="15">
        <v>1.222039095193292</v>
      </c>
      <c r="M2729" s="15" t="s">
        <v>10</v>
      </c>
      <c r="N2729" s="15" t="s">
        <v>10</v>
      </c>
      <c r="O2729" s="15" t="s">
        <v>10</v>
      </c>
      <c r="P2729" s="15" t="s">
        <v>10</v>
      </c>
      <c r="Q2729" s="8"/>
      <c r="R2729" s="9" t="s">
        <v>2700</v>
      </c>
    </row>
    <row r="2730" spans="1:18" x14ac:dyDescent="0.25">
      <c r="A2730" s="6" t="str">
        <f>HYPERLINK("proteomic_fractions_linear_files/Yang_linear_img/31560404.jpg", "31560404")</f>
        <v>31560404</v>
      </c>
      <c r="B2730" s="7"/>
      <c r="C2730" s="6" t="str">
        <f>HYPERLINK("http://www.ncbi.nlm.nih.gov/protein/31560404","Gltp")</f>
        <v>Gltp</v>
      </c>
      <c r="D2730" s="8"/>
      <c r="E2730" s="8">
        <v>23559</v>
      </c>
      <c r="F2730" s="8"/>
      <c r="G2730" s="15" t="s">
        <v>10</v>
      </c>
      <c r="H2730" s="15" t="s">
        <v>10</v>
      </c>
      <c r="I2730" s="15">
        <v>0.81254790950146971</v>
      </c>
      <c r="J2730" s="15">
        <v>0.81254790950146971</v>
      </c>
      <c r="K2730" s="15">
        <v>0.81254790950146971</v>
      </c>
      <c r="L2730" s="15">
        <v>0.81254790950146971</v>
      </c>
      <c r="M2730" s="15">
        <v>0.81254790950146971</v>
      </c>
      <c r="N2730" s="15">
        <v>0.81254790950146971</v>
      </c>
      <c r="O2730" s="15">
        <v>0.81254790950146971</v>
      </c>
      <c r="P2730" s="15">
        <v>0.81254790950146971</v>
      </c>
      <c r="Q2730" s="8"/>
      <c r="R2730" s="9" t="s">
        <v>2701</v>
      </c>
    </row>
    <row r="2731" spans="1:18" x14ac:dyDescent="0.25">
      <c r="A2731" s="6" t="str">
        <f>HYPERLINK("proteomic_fractions_linear_files/Yang_linear_img/228480230.jpg", "228480230")</f>
        <v>228480230</v>
      </c>
      <c r="B2731" s="7"/>
      <c r="C2731" s="6" t="str">
        <f>HYPERLINK("http://www.ncbi.nlm.nih.gov/protein/228480230","Gltscr2")</f>
        <v>Gltscr2</v>
      </c>
      <c r="D2731" s="8"/>
      <c r="E2731" s="8">
        <v>55662</v>
      </c>
      <c r="F2731" s="8"/>
      <c r="G2731" s="15" t="s">
        <v>10</v>
      </c>
      <c r="H2731" s="15" t="s">
        <v>10</v>
      </c>
      <c r="I2731" s="15" t="s">
        <v>10</v>
      </c>
      <c r="J2731" s="15" t="s">
        <v>10</v>
      </c>
      <c r="K2731" s="15" t="s">
        <v>10</v>
      </c>
      <c r="L2731" s="15" t="s">
        <v>10</v>
      </c>
      <c r="M2731" s="15">
        <v>1.1688082737597203</v>
      </c>
      <c r="N2731" s="15">
        <v>1.1688082737597203</v>
      </c>
      <c r="O2731" s="15" t="s">
        <v>10</v>
      </c>
      <c r="P2731" s="15" t="s">
        <v>10</v>
      </c>
      <c r="Q2731" s="8"/>
      <c r="R2731" s="9" t="s">
        <v>2702</v>
      </c>
    </row>
    <row r="2732" spans="1:18" x14ac:dyDescent="0.25">
      <c r="A2732" s="6" t="str">
        <f>HYPERLINK("proteomic_fractions_linear_files/Yang_linear_img/6680027.jpg", "6680027")</f>
        <v>6680027</v>
      </c>
      <c r="B2732" s="7"/>
      <c r="C2732" s="6" t="str">
        <f>HYPERLINK("http://www.ncbi.nlm.nih.gov/protein/6680027","Glud1")</f>
        <v>Glud1</v>
      </c>
      <c r="D2732" s="8"/>
      <c r="E2732" s="8">
        <v>55913</v>
      </c>
      <c r="F2732" s="8"/>
      <c r="G2732" s="15">
        <v>1.1688082737597203</v>
      </c>
      <c r="H2732" s="15">
        <v>1.1688082737597203</v>
      </c>
      <c r="I2732" s="15">
        <v>0.94858160053573359</v>
      </c>
      <c r="J2732" s="15">
        <v>0.94858160053573359</v>
      </c>
      <c r="K2732" s="15">
        <v>0.94858160053573359</v>
      </c>
      <c r="L2732" s="15">
        <v>0.94858160053573359</v>
      </c>
      <c r="M2732" s="15">
        <v>0.94858160053573359</v>
      </c>
      <c r="N2732" s="15">
        <v>0.94858160053573359</v>
      </c>
      <c r="O2732" s="15">
        <v>0.86232099257884376</v>
      </c>
      <c r="P2732" s="15">
        <v>0.86232099257884376</v>
      </c>
      <c r="Q2732" s="8"/>
      <c r="R2732" s="9" t="s">
        <v>2703</v>
      </c>
    </row>
    <row r="2733" spans="1:18" x14ac:dyDescent="0.25">
      <c r="A2733" s="6" t="str">
        <f>HYPERLINK("proteomic_fractions_linear_files/Yang_linear_img/119392066.jpg", "119392066")</f>
        <v>119392066</v>
      </c>
      <c r="B2733" s="7"/>
      <c r="C2733" s="6" t="str">
        <f>HYPERLINK("http://www.ncbi.nlm.nih.gov/protein/119392066","Glyr1")</f>
        <v>Glyr1</v>
      </c>
      <c r="D2733" s="8"/>
      <c r="E2733" s="8">
        <v>59585</v>
      </c>
      <c r="F2733" s="8"/>
      <c r="G2733" s="15">
        <v>0.97955345975989749</v>
      </c>
      <c r="H2733" s="15">
        <v>1.2239360040280374</v>
      </c>
      <c r="I2733" s="15" t="s">
        <v>10</v>
      </c>
      <c r="J2733" s="15" t="s">
        <v>10</v>
      </c>
      <c r="K2733" s="15" t="s">
        <v>10</v>
      </c>
      <c r="L2733" s="15" t="s">
        <v>10</v>
      </c>
      <c r="M2733" s="15" t="s">
        <v>10</v>
      </c>
      <c r="N2733" s="15" t="s">
        <v>10</v>
      </c>
      <c r="O2733" s="15" t="s">
        <v>10</v>
      </c>
      <c r="P2733" s="15" t="s">
        <v>10</v>
      </c>
      <c r="Q2733" s="8"/>
      <c r="R2733" s="9" t="s">
        <v>2704</v>
      </c>
    </row>
    <row r="2734" spans="1:18" x14ac:dyDescent="0.25">
      <c r="A2734" s="6" t="str">
        <f>HYPERLINK("proteomic_fractions_linear_files/Yang_linear_img/119392074.jpg", "119392074")</f>
        <v>119392074</v>
      </c>
      <c r="B2734" s="7"/>
      <c r="C2734" s="6" t="str">
        <f>HYPERLINK("http://www.ncbi.nlm.nih.gov/protein/119392074","Glyr1")</f>
        <v>Glyr1</v>
      </c>
      <c r="D2734" s="8"/>
      <c r="E2734" s="8">
        <v>60305</v>
      </c>
      <c r="F2734" s="8"/>
      <c r="G2734" s="15">
        <v>0.97955345975989749</v>
      </c>
      <c r="H2734" s="15">
        <v>1.2239360040280374</v>
      </c>
      <c r="I2734" s="15" t="s">
        <v>10</v>
      </c>
      <c r="J2734" s="15" t="s">
        <v>10</v>
      </c>
      <c r="K2734" s="15" t="s">
        <v>10</v>
      </c>
      <c r="L2734" s="15" t="s">
        <v>10</v>
      </c>
      <c r="M2734" s="15" t="s">
        <v>10</v>
      </c>
      <c r="N2734" s="15" t="s">
        <v>10</v>
      </c>
      <c r="O2734" s="15" t="s">
        <v>10</v>
      </c>
      <c r="P2734" s="15" t="s">
        <v>10</v>
      </c>
      <c r="Q2734" s="8"/>
      <c r="R2734" s="9" t="s">
        <v>2705</v>
      </c>
    </row>
    <row r="2735" spans="1:18" x14ac:dyDescent="0.25">
      <c r="A2735" s="6" t="str">
        <f>HYPERLINK("proteomic_fractions_linear_files/Yang_linear_img/309269122.jpg", "309269122")</f>
        <v>309269122</v>
      </c>
      <c r="B2735" s="7"/>
      <c r="C2735" s="6" t="str">
        <f>HYPERLINK("http://www.ncbi.nlm.nih.gov/protein/309269122","Gm10015")</f>
        <v>Gm10015</v>
      </c>
      <c r="D2735" s="8"/>
      <c r="E2735" s="8">
        <v>17670</v>
      </c>
      <c r="F2735" s="8"/>
      <c r="G2735" s="15">
        <v>1.3641567007376065</v>
      </c>
      <c r="H2735" s="15">
        <v>1.3641567007376065</v>
      </c>
      <c r="I2735" s="15">
        <v>0.9286930289226123</v>
      </c>
      <c r="J2735" s="15">
        <v>0.9286930289226123</v>
      </c>
      <c r="K2735" s="15">
        <v>0.9286930289226123</v>
      </c>
      <c r="L2735" s="15">
        <v>0.9286930289226123</v>
      </c>
      <c r="M2735" s="15">
        <v>0.97610776474216487</v>
      </c>
      <c r="N2735" s="15">
        <v>0.97610776474216487</v>
      </c>
      <c r="O2735" s="15">
        <v>0.88485787684343198</v>
      </c>
      <c r="P2735" s="15">
        <v>0.88485787684343198</v>
      </c>
      <c r="Q2735" s="8"/>
      <c r="R2735" s="9" t="s">
        <v>8051</v>
      </c>
    </row>
    <row r="2736" spans="1:18" x14ac:dyDescent="0.25">
      <c r="A2736" s="6" t="str">
        <f>HYPERLINK("proteomic_fractions_linear_files/Yang_linear_img/407261621.jpg", "407261621")</f>
        <v>407261621</v>
      </c>
      <c r="B2736" s="7"/>
      <c r="C2736" s="6" t="str">
        <f>HYPERLINK("http://www.ncbi.nlm.nih.gov/protein/407261621","Gm10015")</f>
        <v>Gm10015</v>
      </c>
      <c r="D2736" s="8"/>
      <c r="E2736" s="8">
        <v>17626</v>
      </c>
      <c r="F2736" s="8"/>
      <c r="G2736" s="15">
        <v>1.3641567007376065</v>
      </c>
      <c r="H2736" s="15">
        <v>1.3641567007376065</v>
      </c>
      <c r="I2736" s="15">
        <v>0.9286930289226123</v>
      </c>
      <c r="J2736" s="15">
        <v>0.9286930289226123</v>
      </c>
      <c r="K2736" s="15">
        <v>0.9286930289226123</v>
      </c>
      <c r="L2736" s="15">
        <v>0.9286930289226123</v>
      </c>
      <c r="M2736" s="15">
        <v>0.97610776474216487</v>
      </c>
      <c r="N2736" s="15">
        <v>0.97610776474216487</v>
      </c>
      <c r="O2736" s="15">
        <v>0.88485787684343198</v>
      </c>
      <c r="P2736" s="15">
        <v>0.88485787684343198</v>
      </c>
      <c r="Q2736" s="8"/>
      <c r="R2736" s="9" t="s">
        <v>8051</v>
      </c>
    </row>
    <row r="2737" spans="1:18" x14ac:dyDescent="0.25">
      <c r="A2737" s="6" t="str">
        <f>HYPERLINK("proteomic_fractions_linear_files/Yang_linear_img/309262801.jpg", "309262801")</f>
        <v>309262801</v>
      </c>
      <c r="B2737" s="7"/>
      <c r="C2737" s="6" t="str">
        <f>HYPERLINK("http://www.ncbi.nlm.nih.gov/protein/309262801","Gm10029")</f>
        <v>Gm10029</v>
      </c>
      <c r="D2737" s="8"/>
      <c r="E2737" s="8">
        <v>12352</v>
      </c>
      <c r="F2737" s="8"/>
      <c r="G2737" s="15">
        <v>1.6250958190029394</v>
      </c>
      <c r="H2737" s="15">
        <v>1.6250958190029394</v>
      </c>
      <c r="I2737" s="15">
        <v>1.209789476822529</v>
      </c>
      <c r="J2737" s="15">
        <v>1.209789476822529</v>
      </c>
      <c r="K2737" s="15">
        <v>1.2663615244845239</v>
      </c>
      <c r="L2737" s="15">
        <v>1.2663615244845239</v>
      </c>
      <c r="M2737" s="15">
        <v>1.2663615244845239</v>
      </c>
      <c r="N2737" s="15">
        <v>1.2663615244845239</v>
      </c>
      <c r="O2737" s="15">
        <v>1.1571542083280542</v>
      </c>
      <c r="P2737" s="15">
        <v>1.1571542083280542</v>
      </c>
      <c r="Q2737" s="8"/>
      <c r="R2737" s="9" t="s">
        <v>8052</v>
      </c>
    </row>
    <row r="2738" spans="1:18" x14ac:dyDescent="0.25">
      <c r="A2738" s="6" t="str">
        <f>HYPERLINK("proteomic_fractions_linear_files/Yang_linear_img/309266791.jpg", "309266791")</f>
        <v>309266791</v>
      </c>
      <c r="B2738" s="7"/>
      <c r="C2738" s="6" t="str">
        <f>HYPERLINK("http://www.ncbi.nlm.nih.gov/protein/309266791","Gm10045")</f>
        <v>Gm10045</v>
      </c>
      <c r="D2738" s="8"/>
      <c r="E2738" s="8">
        <v>18413</v>
      </c>
      <c r="F2738" s="8"/>
      <c r="G2738" s="15">
        <v>1.6603003828729517</v>
      </c>
      <c r="H2738" s="15">
        <v>1.6603003828729517</v>
      </c>
      <c r="I2738" s="15">
        <v>1.1443022881475706</v>
      </c>
      <c r="J2738" s="15">
        <v>1.1443022881475706</v>
      </c>
      <c r="K2738" s="15">
        <v>1.1443022881475706</v>
      </c>
      <c r="L2738" s="15">
        <v>1.1443022881475706</v>
      </c>
      <c r="M2738" s="15">
        <v>1.1443022881475706</v>
      </c>
      <c r="N2738" s="15">
        <v>1.1443022881475706</v>
      </c>
      <c r="O2738" s="15" t="s">
        <v>10</v>
      </c>
      <c r="P2738" s="15" t="s">
        <v>10</v>
      </c>
      <c r="Q2738" s="8"/>
      <c r="R2738" s="9" t="s">
        <v>8053</v>
      </c>
    </row>
    <row r="2739" spans="1:18" x14ac:dyDescent="0.25">
      <c r="A2739" s="6" t="str">
        <f>HYPERLINK("proteomic_fractions_linear_files/Yang_linear_img/309270949.jpg", "309270949")</f>
        <v>309270949</v>
      </c>
      <c r="B2739" s="7"/>
      <c r="C2739" s="6" t="str">
        <f>HYPERLINK("http://www.ncbi.nlm.nih.gov/protein/309270949","Gm10045")</f>
        <v>Gm10045</v>
      </c>
      <c r="D2739" s="8"/>
      <c r="E2739" s="8">
        <v>18563</v>
      </c>
      <c r="F2739" s="8"/>
      <c r="G2739" s="15">
        <v>1.572916152195428</v>
      </c>
      <c r="H2739" s="15">
        <v>1.572916152195428</v>
      </c>
      <c r="I2739" s="15">
        <v>1.0840758519292775</v>
      </c>
      <c r="J2739" s="15">
        <v>1.0840758519292775</v>
      </c>
      <c r="K2739" s="15">
        <v>1.0840758519292775</v>
      </c>
      <c r="L2739" s="15">
        <v>1.0840758519292775</v>
      </c>
      <c r="M2739" s="15">
        <v>1.0840758519292775</v>
      </c>
      <c r="N2739" s="15">
        <v>1.0840758519292775</v>
      </c>
      <c r="O2739" s="15" t="s">
        <v>10</v>
      </c>
      <c r="P2739" s="15" t="s">
        <v>10</v>
      </c>
      <c r="Q2739" s="8"/>
      <c r="R2739" s="9" t="s">
        <v>8053</v>
      </c>
    </row>
    <row r="2740" spans="1:18" x14ac:dyDescent="0.25">
      <c r="A2740" s="6" t="str">
        <f>HYPERLINK("proteomic_fractions_linear_files/Yang_linear_img/309265470.jpg", "309265470")</f>
        <v>309265470</v>
      </c>
      <c r="B2740" s="7"/>
      <c r="C2740" s="6" t="str">
        <f>HYPERLINK("http://www.ncbi.nlm.nih.gov/protein/309265470","Gm10051")</f>
        <v>Gm10051</v>
      </c>
      <c r="D2740" s="8"/>
      <c r="E2740" s="8">
        <v>15618</v>
      </c>
      <c r="F2740" s="8"/>
      <c r="G2740" s="15">
        <v>1.5346762883298073</v>
      </c>
      <c r="H2740" s="15">
        <v>1.5346762883298073</v>
      </c>
      <c r="I2740" s="15">
        <v>1.0981212353349354</v>
      </c>
      <c r="J2740" s="15">
        <v>1.0981212353349354</v>
      </c>
      <c r="K2740" s="15">
        <v>1.1559561977852553</v>
      </c>
      <c r="L2740" s="15">
        <v>1.1559561977852553</v>
      </c>
      <c r="M2740" s="15">
        <v>1.1559561977852553</v>
      </c>
      <c r="N2740" s="15">
        <v>1.1559561977852553</v>
      </c>
      <c r="O2740" s="15" t="s">
        <v>10</v>
      </c>
      <c r="P2740" s="15" t="s">
        <v>10</v>
      </c>
      <c r="Q2740" s="8"/>
      <c r="R2740" s="9" t="s">
        <v>8054</v>
      </c>
    </row>
    <row r="2741" spans="1:18" x14ac:dyDescent="0.25">
      <c r="A2741" s="6" t="str">
        <f>HYPERLINK("proteomic_fractions_linear_files/Yang_linear_img/149258678.jpg", "149258678")</f>
        <v>149258678</v>
      </c>
      <c r="B2741" s="7"/>
      <c r="C2741" s="6" t="str">
        <f>HYPERLINK("http://www.ncbi.nlm.nih.gov/protein/149258678","Gm10063")</f>
        <v>Gm10063</v>
      </c>
      <c r="D2741" s="8"/>
      <c r="E2741" s="8">
        <v>13938</v>
      </c>
      <c r="F2741" s="8"/>
      <c r="G2741" s="15">
        <v>1.5568387336199108</v>
      </c>
      <c r="H2741" s="15">
        <v>1.5568387336199108</v>
      </c>
      <c r="I2741" s="15">
        <v>0.99184646428118928</v>
      </c>
      <c r="J2741" s="15">
        <v>0.99184646428118928</v>
      </c>
      <c r="K2741" s="15">
        <v>1.085452735272449</v>
      </c>
      <c r="L2741" s="15">
        <v>1.085452735272449</v>
      </c>
      <c r="M2741" s="15">
        <v>1.085452735272449</v>
      </c>
      <c r="N2741" s="15">
        <v>1.085452735272449</v>
      </c>
      <c r="O2741" s="15">
        <v>0.99184646428118928</v>
      </c>
      <c r="P2741" s="15">
        <v>0.99184646428118928</v>
      </c>
      <c r="Q2741" s="8"/>
      <c r="R2741" s="9" t="s">
        <v>8055</v>
      </c>
    </row>
    <row r="2742" spans="1:18" x14ac:dyDescent="0.25">
      <c r="A2742" s="6" t="str">
        <f>HYPERLINK("proteomic_fractions_linear_files/Yang_linear_img/149251177.jpg", "149251177")</f>
        <v>149251177</v>
      </c>
      <c r="B2742" s="7"/>
      <c r="C2742" s="6" t="str">
        <f>HYPERLINK("http://www.ncbi.nlm.nih.gov/protein/149251177","Gm10071")</f>
        <v>Gm10071</v>
      </c>
      <c r="D2742" s="8"/>
      <c r="E2742" s="8">
        <v>24121</v>
      </c>
      <c r="F2742" s="8"/>
      <c r="G2742" s="15">
        <v>1.5558886009635247</v>
      </c>
      <c r="H2742" s="15">
        <v>1.5558886009635247</v>
      </c>
      <c r="I2742" s="15">
        <v>1.0895940881427084</v>
      </c>
      <c r="J2742" s="15">
        <v>1.0895940881427084</v>
      </c>
      <c r="K2742" s="15">
        <v>1.0895940881427084</v>
      </c>
      <c r="L2742" s="15">
        <v>1.0895940881427084</v>
      </c>
      <c r="M2742" s="15">
        <v>1.0895940881427084</v>
      </c>
      <c r="N2742" s="15">
        <v>1.0895940881427084</v>
      </c>
      <c r="O2742" s="15" t="s">
        <v>10</v>
      </c>
      <c r="P2742" s="15" t="s">
        <v>10</v>
      </c>
      <c r="Q2742" s="8"/>
      <c r="R2742" s="9" t="s">
        <v>8056</v>
      </c>
    </row>
    <row r="2743" spans="1:18" x14ac:dyDescent="0.25">
      <c r="A2743" s="6" t="str">
        <f>HYPERLINK("proteomic_fractions_linear_files/Yang_linear_img/215490077.jpg", "215490077")</f>
        <v>215490077</v>
      </c>
      <c r="B2743" s="7"/>
      <c r="C2743" s="6" t="str">
        <f>HYPERLINK("http://www.ncbi.nlm.nih.gov/protein/215490077","Gm10094")</f>
        <v>Gm10094</v>
      </c>
      <c r="D2743" s="8"/>
      <c r="E2743" s="8">
        <v>19455</v>
      </c>
      <c r="F2743" s="8"/>
      <c r="G2743" s="15">
        <v>1.3763293744960527</v>
      </c>
      <c r="H2743" s="15">
        <v>1.3763293744960527</v>
      </c>
      <c r="I2743" s="15" t="s">
        <v>10</v>
      </c>
      <c r="J2743" s="15" t="s">
        <v>10</v>
      </c>
      <c r="K2743" s="15">
        <v>0.97343679813495176</v>
      </c>
      <c r="L2743" s="15">
        <v>0.97343679813495176</v>
      </c>
      <c r="M2743" s="15">
        <v>0.97343679813495176</v>
      </c>
      <c r="N2743" s="15">
        <v>0.97343679813495176</v>
      </c>
      <c r="O2743" s="15" t="s">
        <v>10</v>
      </c>
      <c r="P2743" s="15" t="s">
        <v>10</v>
      </c>
      <c r="Q2743" s="8"/>
      <c r="R2743" s="9" t="s">
        <v>2706</v>
      </c>
    </row>
    <row r="2744" spans="1:18" x14ac:dyDescent="0.25">
      <c r="A2744" s="6" t="str">
        <f>HYPERLINK("proteomic_fractions_linear_files/Yang_linear_img/309262120.jpg", "309262120")</f>
        <v>309262120</v>
      </c>
      <c r="B2744" s="7"/>
      <c r="C2744" s="6" t="str">
        <f>HYPERLINK("http://www.ncbi.nlm.nih.gov/protein/309262120","Gm10145")</f>
        <v>Gm10145</v>
      </c>
      <c r="D2744" s="8"/>
      <c r="E2744" s="8">
        <v>17800</v>
      </c>
      <c r="F2744" s="8"/>
      <c r="G2744" s="15">
        <v>1.3641567007376065</v>
      </c>
      <c r="H2744" s="15">
        <v>1.3641567007376065</v>
      </c>
      <c r="I2744" s="15">
        <v>0.9286930289226123</v>
      </c>
      <c r="J2744" s="15">
        <v>0.9286930289226123</v>
      </c>
      <c r="K2744" s="15">
        <v>0.9286930289226123</v>
      </c>
      <c r="L2744" s="15">
        <v>0.9286930289226123</v>
      </c>
      <c r="M2744" s="15">
        <v>0.97610776474216487</v>
      </c>
      <c r="N2744" s="15">
        <v>0.97610776474216487</v>
      </c>
      <c r="O2744" s="15">
        <v>0.88485787684343198</v>
      </c>
      <c r="P2744" s="15">
        <v>0.88485787684343198</v>
      </c>
      <c r="Q2744" s="8"/>
      <c r="R2744" s="9" t="s">
        <v>8051</v>
      </c>
    </row>
    <row r="2745" spans="1:18" x14ac:dyDescent="0.25">
      <c r="A2745" s="6" t="str">
        <f>HYPERLINK("proteomic_fractions_linear_files/Yang_linear_img/309265879.jpg", "309265879")</f>
        <v>309265879</v>
      </c>
      <c r="B2745" s="7"/>
      <c r="C2745" s="6" t="str">
        <f>HYPERLINK("http://www.ncbi.nlm.nih.gov/protein/309265879","Gm10166")</f>
        <v>Gm10166</v>
      </c>
      <c r="D2745" s="8"/>
      <c r="E2745" s="8">
        <v>30413</v>
      </c>
      <c r="F2745" s="8"/>
      <c r="G2745" s="15">
        <v>0.99618022972377107</v>
      </c>
      <c r="H2745" s="15">
        <v>0.99618022972377107</v>
      </c>
      <c r="I2745" s="15">
        <v>0.68658137288854237</v>
      </c>
      <c r="J2745" s="15">
        <v>0.68658137288854237</v>
      </c>
      <c r="K2745" s="15">
        <v>0.68658137288854237</v>
      </c>
      <c r="L2745" s="15">
        <v>0.68658137288854237</v>
      </c>
      <c r="M2745" s="15">
        <v>0.68658137288854237</v>
      </c>
      <c r="N2745" s="15">
        <v>0.68658137288854237</v>
      </c>
      <c r="O2745" s="15" t="s">
        <v>10</v>
      </c>
      <c r="P2745" s="15" t="s">
        <v>10</v>
      </c>
      <c r="Q2745" s="8"/>
      <c r="R2745" s="9" t="s">
        <v>8057</v>
      </c>
    </row>
    <row r="2746" spans="1:18" x14ac:dyDescent="0.25">
      <c r="A2746" s="6" t="str">
        <f>HYPERLINK("proteomic_fractions_linear_files/Yang_linear_img/407263363.jpg", "407263363")</f>
        <v>407263363</v>
      </c>
      <c r="B2746" s="7"/>
      <c r="C2746" s="6" t="str">
        <f>HYPERLINK("http://www.ncbi.nlm.nih.gov/protein/407263363","Gm10166")</f>
        <v>Gm10166</v>
      </c>
      <c r="D2746" s="8"/>
      <c r="E2746" s="8">
        <v>21284</v>
      </c>
      <c r="F2746" s="8"/>
      <c r="G2746" s="15">
        <v>1.4231146138911015</v>
      </c>
      <c r="H2746" s="15">
        <v>1.4231146138911015</v>
      </c>
      <c r="I2746" s="15">
        <v>0.98083053269791776</v>
      </c>
      <c r="J2746" s="15">
        <v>0.98083053269791776</v>
      </c>
      <c r="K2746" s="15">
        <v>0.98083053269791776</v>
      </c>
      <c r="L2746" s="15">
        <v>0.98083053269791776</v>
      </c>
      <c r="M2746" s="15">
        <v>0.98083053269791776</v>
      </c>
      <c r="N2746" s="15">
        <v>0.98083053269791776</v>
      </c>
      <c r="O2746" s="15" t="s">
        <v>10</v>
      </c>
      <c r="P2746" s="15" t="s">
        <v>10</v>
      </c>
      <c r="Q2746" s="8"/>
      <c r="R2746" s="9" t="s">
        <v>8058</v>
      </c>
    </row>
    <row r="2747" spans="1:18" x14ac:dyDescent="0.25">
      <c r="A2747" s="6" t="str">
        <f>HYPERLINK("proteomic_fractions_linear_files/Yang_linear_img/309265700.jpg", "309265700")</f>
        <v>309265700</v>
      </c>
      <c r="B2747" s="7"/>
      <c r="C2747" s="6" t="str">
        <f>HYPERLINK("http://www.ncbi.nlm.nih.gov/protein/309265700","Gm10224")</f>
        <v>Gm10224</v>
      </c>
      <c r="D2747" s="8"/>
      <c r="E2747" s="8">
        <v>23861</v>
      </c>
      <c r="F2747" s="8"/>
      <c r="G2747" s="15">
        <v>1.3368363689888996</v>
      </c>
      <c r="H2747" s="15">
        <v>1.3368363689888996</v>
      </c>
      <c r="I2747" s="15">
        <v>0.90815592794494793</v>
      </c>
      <c r="J2747" s="15">
        <v>0.90815592794494793</v>
      </c>
      <c r="K2747" s="15">
        <v>0.96289889061322687</v>
      </c>
      <c r="L2747" s="15">
        <v>0.96289889061322687</v>
      </c>
      <c r="M2747" s="15">
        <v>0.96289889061322687</v>
      </c>
      <c r="N2747" s="15">
        <v>0.96289889061322687</v>
      </c>
      <c r="O2747" s="15" t="s">
        <v>10</v>
      </c>
      <c r="P2747" s="15" t="s">
        <v>10</v>
      </c>
      <c r="Q2747" s="8"/>
      <c r="R2747" s="9" t="s">
        <v>8059</v>
      </c>
    </row>
    <row r="2748" spans="1:18" x14ac:dyDescent="0.25">
      <c r="A2748" s="6" t="str">
        <f>HYPERLINK("proteomic_fractions_linear_files/Yang_linear_img/407262232.jpg", "407262232")</f>
        <v>407262232</v>
      </c>
      <c r="B2748" s="7"/>
      <c r="C2748" s="6" t="str">
        <f>HYPERLINK("http://www.ncbi.nlm.nih.gov/protein/407262232","Gm10237")</f>
        <v>Gm10237</v>
      </c>
      <c r="D2748" s="8"/>
      <c r="E2748" s="8">
        <v>14339</v>
      </c>
      <c r="F2748" s="8"/>
      <c r="G2748" s="15">
        <v>1.392939273431091</v>
      </c>
      <c r="H2748" s="15">
        <v>1.392939273431091</v>
      </c>
      <c r="I2748" s="15">
        <v>1.0369624087050249</v>
      </c>
      <c r="J2748" s="15">
        <v>1.0369624087050249</v>
      </c>
      <c r="K2748" s="15">
        <v>1.1376744130844125</v>
      </c>
      <c r="L2748" s="15">
        <v>1.1376744130844125</v>
      </c>
      <c r="M2748" s="15">
        <v>1.085452735272449</v>
      </c>
      <c r="N2748" s="15">
        <v>1.085452735272449</v>
      </c>
      <c r="O2748" s="15">
        <v>0.99184646428118928</v>
      </c>
      <c r="P2748" s="15">
        <v>0.99184646428118928</v>
      </c>
      <c r="Q2748" s="8"/>
      <c r="R2748" s="9" t="s">
        <v>8052</v>
      </c>
    </row>
    <row r="2749" spans="1:18" x14ac:dyDescent="0.25">
      <c r="A2749" s="6" t="str">
        <f>HYPERLINK("proteomic_fractions_linear_files/Yang_linear_img/407262068.jpg", "407262068")</f>
        <v>407262068</v>
      </c>
      <c r="B2749" s="7"/>
      <c r="C2749" s="6" t="str">
        <f>HYPERLINK("http://www.ncbi.nlm.nih.gov/protein/407262068","Gm10257")</f>
        <v>Gm10257</v>
      </c>
      <c r="D2749" s="8"/>
      <c r="E2749" s="8">
        <v>15073</v>
      </c>
      <c r="F2749" s="8"/>
      <c r="G2749" s="15">
        <v>399.54</v>
      </c>
      <c r="H2749" s="15">
        <v>399.54</v>
      </c>
      <c r="I2749" s="15">
        <v>1.0618294522121183</v>
      </c>
      <c r="J2749" s="15">
        <v>1.0618294522121183</v>
      </c>
      <c r="K2749" s="15">
        <v>1.1144316347071348</v>
      </c>
      <c r="L2749" s="15">
        <v>1.1144316347071348</v>
      </c>
      <c r="M2749" s="15">
        <v>1.1144316347071348</v>
      </c>
      <c r="N2749" s="15">
        <v>1.1144316347071348</v>
      </c>
      <c r="O2749" s="15">
        <v>1.0130892195876191</v>
      </c>
      <c r="P2749" s="15">
        <v>1.0130892195876191</v>
      </c>
      <c r="Q2749" s="8"/>
      <c r="R2749" s="9" t="s">
        <v>8060</v>
      </c>
    </row>
    <row r="2750" spans="1:18" x14ac:dyDescent="0.25">
      <c r="A2750" s="6" t="str">
        <f>HYPERLINK("proteomic_fractions_linear_files/Yang_linear_img/407263409.jpg", "407263409")</f>
        <v>407263409</v>
      </c>
      <c r="B2750" s="7"/>
      <c r="C2750" s="6" t="str">
        <f>HYPERLINK("http://www.ncbi.nlm.nih.gov/protein/407263409","Gm10294")</f>
        <v>Gm10294</v>
      </c>
      <c r="D2750" s="8"/>
      <c r="E2750" s="8">
        <v>23784</v>
      </c>
      <c r="F2750" s="8"/>
      <c r="G2750" s="15">
        <v>1.2452252871547138</v>
      </c>
      <c r="H2750" s="15">
        <v>1.2452252871547138</v>
      </c>
      <c r="I2750" s="15">
        <v>0.90815592794494793</v>
      </c>
      <c r="J2750" s="15">
        <v>0.90815592794494793</v>
      </c>
      <c r="K2750" s="15">
        <v>0.85822671611067802</v>
      </c>
      <c r="L2750" s="15">
        <v>0.85822671611067802</v>
      </c>
      <c r="M2750" s="15">
        <v>0.90815592794494793</v>
      </c>
      <c r="N2750" s="15">
        <v>0.90815592794494793</v>
      </c>
      <c r="O2750" s="15" t="s">
        <v>10</v>
      </c>
      <c r="P2750" s="15" t="s">
        <v>10</v>
      </c>
      <c r="Q2750" s="8"/>
      <c r="R2750" s="9" t="s">
        <v>8057</v>
      </c>
    </row>
    <row r="2751" spans="1:18" x14ac:dyDescent="0.25">
      <c r="A2751" s="6" t="str">
        <f>HYPERLINK("proteomic_fractions_linear_files/Yang_linear_img/82995559.jpg", "82995559")</f>
        <v>82995559</v>
      </c>
      <c r="B2751" s="7"/>
      <c r="C2751" s="6" t="str">
        <f>HYPERLINK("http://www.ncbi.nlm.nih.gov/protein/82995559","Gm10349")</f>
        <v>Gm10349</v>
      </c>
      <c r="D2751" s="8"/>
      <c r="E2751" s="8">
        <v>14347</v>
      </c>
      <c r="F2751" s="8"/>
      <c r="G2751" s="15">
        <v>1.392939273431091</v>
      </c>
      <c r="H2751" s="15">
        <v>1.392939273431091</v>
      </c>
      <c r="I2751" s="15">
        <v>0.91051566728125899</v>
      </c>
      <c r="J2751" s="15">
        <v>0.91051566728125899</v>
      </c>
      <c r="K2751" s="15">
        <v>0.91051566728125899</v>
      </c>
      <c r="L2751" s="15">
        <v>0.91051566728125899</v>
      </c>
      <c r="M2751" s="15" t="s">
        <v>10</v>
      </c>
      <c r="N2751" s="15" t="s">
        <v>10</v>
      </c>
      <c r="O2751" s="15">
        <v>0.91051566728125899</v>
      </c>
      <c r="P2751" s="15">
        <v>0.91051566728125899</v>
      </c>
      <c r="Q2751" s="8"/>
      <c r="R2751" s="9" t="s">
        <v>8061</v>
      </c>
    </row>
    <row r="2752" spans="1:18" x14ac:dyDescent="0.25">
      <c r="A2752" s="6" t="str">
        <f>HYPERLINK("proteomic_fractions_linear_files/Yang_linear_img/309263288.jpg", "309263288")</f>
        <v>309263288</v>
      </c>
      <c r="B2752" s="7"/>
      <c r="C2752" s="6" t="str">
        <f>HYPERLINK("http://www.ncbi.nlm.nih.gov/protein/309263288","Gm10362")</f>
        <v>Gm10362</v>
      </c>
      <c r="D2752" s="8"/>
      <c r="E2752" s="8">
        <v>29028</v>
      </c>
      <c r="F2752" s="8"/>
      <c r="G2752" s="15">
        <v>1.0305312721280391</v>
      </c>
      <c r="H2752" s="15">
        <v>1.0305312721280391</v>
      </c>
      <c r="I2752" s="15">
        <v>0.71025659264331975</v>
      </c>
      <c r="J2752" s="15">
        <v>0.71025659264331975</v>
      </c>
      <c r="K2752" s="15">
        <v>0.71025659264331975</v>
      </c>
      <c r="L2752" s="15">
        <v>0.71025659264331975</v>
      </c>
      <c r="M2752" s="15">
        <v>0.71025659264331975</v>
      </c>
      <c r="N2752" s="15">
        <v>0.71025659264331975</v>
      </c>
      <c r="O2752" s="15" t="s">
        <v>10</v>
      </c>
      <c r="P2752" s="15" t="s">
        <v>10</v>
      </c>
      <c r="Q2752" s="8"/>
      <c r="R2752" s="9" t="s">
        <v>8057</v>
      </c>
    </row>
    <row r="2753" spans="1:18" x14ac:dyDescent="0.25">
      <c r="A2753" s="6" t="str">
        <f>HYPERLINK("proteomic_fractions_linear_files/Yang_linear_img/309270584.jpg", "309270584")</f>
        <v>309270584</v>
      </c>
      <c r="B2753" s="7"/>
      <c r="C2753" s="6" t="str">
        <f>HYPERLINK("http://www.ncbi.nlm.nih.gov/protein/309270584","Gm10362")</f>
        <v>Gm10362</v>
      </c>
      <c r="D2753" s="8"/>
      <c r="E2753" s="8">
        <v>31058</v>
      </c>
      <c r="F2753" s="8"/>
      <c r="G2753" s="15">
        <v>0.96404538360364944</v>
      </c>
      <c r="H2753" s="15">
        <v>0.96404538360364944</v>
      </c>
      <c r="I2753" s="15">
        <v>0.66443358666633134</v>
      </c>
      <c r="J2753" s="15">
        <v>0.66443358666633134</v>
      </c>
      <c r="K2753" s="15">
        <v>0.66443358666633134</v>
      </c>
      <c r="L2753" s="15">
        <v>0.66443358666633134</v>
      </c>
      <c r="M2753" s="15">
        <v>0.66443358666633134</v>
      </c>
      <c r="N2753" s="15">
        <v>0.66443358666633134</v>
      </c>
      <c r="O2753" s="15" t="s">
        <v>10</v>
      </c>
      <c r="P2753" s="15" t="s">
        <v>10</v>
      </c>
      <c r="Q2753" s="8"/>
      <c r="R2753" s="9" t="s">
        <v>8057</v>
      </c>
    </row>
    <row r="2754" spans="1:18" x14ac:dyDescent="0.25">
      <c r="A2754" s="6" t="str">
        <f>HYPERLINK("proteomic_fractions_linear_files/Yang_linear_img/82902507.jpg", "82902507")</f>
        <v>82902507</v>
      </c>
      <c r="B2754" s="7"/>
      <c r="C2754" s="6" t="str">
        <f>HYPERLINK("http://www.ncbi.nlm.nih.gov/protein/82902507","Gm10420")</f>
        <v>Gm10420</v>
      </c>
      <c r="D2754" s="8"/>
      <c r="E2754" s="8">
        <v>31178</v>
      </c>
      <c r="F2754" s="8"/>
      <c r="G2754" s="15">
        <v>1.3066876839749273</v>
      </c>
      <c r="H2754" s="15">
        <v>1.3066876839749273</v>
      </c>
      <c r="I2754" s="15">
        <v>0.90058746121555033</v>
      </c>
      <c r="J2754" s="15">
        <v>0.90058746121555033</v>
      </c>
      <c r="K2754" s="15">
        <v>0.96404538360364944</v>
      </c>
      <c r="L2754" s="15">
        <v>0.96404538360364944</v>
      </c>
      <c r="M2754" s="15">
        <v>0.90058746121555033</v>
      </c>
      <c r="N2754" s="15">
        <v>0.90058746121555033</v>
      </c>
      <c r="O2754" s="15" t="s">
        <v>10</v>
      </c>
      <c r="P2754" s="15" t="s">
        <v>10</v>
      </c>
      <c r="Q2754" s="8"/>
      <c r="R2754" s="9" t="s">
        <v>8062</v>
      </c>
    </row>
    <row r="2755" spans="1:18" x14ac:dyDescent="0.25">
      <c r="A2755" s="6" t="str">
        <f>HYPERLINK("proteomic_fractions_linear_files/Yang_linear_img/169808401.jpg", "169808401")</f>
        <v>169808401</v>
      </c>
      <c r="B2755" s="7"/>
      <c r="C2755" s="6" t="str">
        <f>HYPERLINK("http://www.ncbi.nlm.nih.gov/protein/169808401","Gm10639")</f>
        <v>Gm10639</v>
      </c>
      <c r="D2755" s="8"/>
      <c r="E2755" s="8">
        <v>25375</v>
      </c>
      <c r="F2755" s="8"/>
      <c r="G2755" s="15" t="s">
        <v>10</v>
      </c>
      <c r="H2755" s="15" t="s">
        <v>10</v>
      </c>
      <c r="I2755" s="15" t="s">
        <v>10</v>
      </c>
      <c r="J2755" s="15" t="s">
        <v>10</v>
      </c>
      <c r="K2755" s="15" t="s">
        <v>10</v>
      </c>
      <c r="L2755" s="15" t="s">
        <v>10</v>
      </c>
      <c r="M2755" s="15" t="s">
        <v>10</v>
      </c>
      <c r="N2755" s="15" t="s">
        <v>10</v>
      </c>
      <c r="O2755" s="15">
        <v>0.82389764746625094</v>
      </c>
      <c r="P2755" s="15">
        <v>0.82389764746625094</v>
      </c>
      <c r="Q2755" s="8"/>
      <c r="R2755" s="9" t="s">
        <v>2707</v>
      </c>
    </row>
    <row r="2756" spans="1:18" x14ac:dyDescent="0.25">
      <c r="A2756" s="6" t="str">
        <f>HYPERLINK("proteomic_fractions_linear_files/Yang_linear_img/149251263.jpg", "149251263")</f>
        <v>149251263</v>
      </c>
      <c r="B2756" s="7"/>
      <c r="C2756" s="6" t="str">
        <f>HYPERLINK("http://www.ncbi.nlm.nih.gov/protein/149251263","Gm10705")</f>
        <v>Gm10705</v>
      </c>
      <c r="D2756" s="8"/>
      <c r="E2756" s="8">
        <v>17824</v>
      </c>
      <c r="F2756" s="8"/>
      <c r="G2756" s="15">
        <v>1.3641567007376065</v>
      </c>
      <c r="H2756" s="15">
        <v>1.3641567007376065</v>
      </c>
      <c r="I2756" s="15">
        <v>0.9286930289226123</v>
      </c>
      <c r="J2756" s="15">
        <v>0.9286930289226123</v>
      </c>
      <c r="K2756" s="15">
        <v>0.9286930289226123</v>
      </c>
      <c r="L2756" s="15">
        <v>0.9286930289226123</v>
      </c>
      <c r="M2756" s="15">
        <v>0.97610776474216487</v>
      </c>
      <c r="N2756" s="15">
        <v>0.97610776474216487</v>
      </c>
      <c r="O2756" s="15">
        <v>0.88485787684343198</v>
      </c>
      <c r="P2756" s="15">
        <v>0.88485787684343198</v>
      </c>
      <c r="Q2756" s="8"/>
      <c r="R2756" s="9" t="s">
        <v>8063</v>
      </c>
    </row>
    <row r="2757" spans="1:18" x14ac:dyDescent="0.25">
      <c r="A2757" s="6" t="str">
        <f>HYPERLINK("proteomic_fractions_linear_files/Yang_linear_img/377833873.jpg", "377833873")</f>
        <v>377833873</v>
      </c>
      <c r="B2757" s="7"/>
      <c r="C2757" s="6" t="str">
        <f>HYPERLINK("http://www.ncbi.nlm.nih.gov/protein/377833873","Gm10705")</f>
        <v>Gm10705</v>
      </c>
      <c r="D2757" s="8"/>
      <c r="E2757" s="8">
        <v>17730</v>
      </c>
      <c r="F2757" s="8"/>
      <c r="G2757" s="15">
        <v>1.3641567007376065</v>
      </c>
      <c r="H2757" s="15">
        <v>1.3641567007376065</v>
      </c>
      <c r="I2757" s="15">
        <v>0.9286930289226123</v>
      </c>
      <c r="J2757" s="15">
        <v>0.9286930289226123</v>
      </c>
      <c r="K2757" s="15">
        <v>0.9286930289226123</v>
      </c>
      <c r="L2757" s="15">
        <v>0.9286930289226123</v>
      </c>
      <c r="M2757" s="15">
        <v>0.97610776474216487</v>
      </c>
      <c r="N2757" s="15">
        <v>0.97610776474216487</v>
      </c>
      <c r="O2757" s="15">
        <v>0.88485787684343198</v>
      </c>
      <c r="P2757" s="15">
        <v>0.88485787684343198</v>
      </c>
      <c r="Q2757" s="8"/>
      <c r="R2757" s="9" t="s">
        <v>8051</v>
      </c>
    </row>
    <row r="2758" spans="1:18" x14ac:dyDescent="0.25">
      <c r="A2758" s="6" t="str">
        <f>HYPERLINK("proteomic_fractions_linear_files/Yang_linear_img/309263481.jpg", "309263481")</f>
        <v>309263481</v>
      </c>
      <c r="B2758" s="7"/>
      <c r="C2758" s="6" t="str">
        <f>HYPERLINK("http://www.ncbi.nlm.nih.gov/protein/309263481","Gm10913")</f>
        <v>Gm10913</v>
      </c>
      <c r="D2758" s="8"/>
      <c r="E2758" s="8">
        <v>16949</v>
      </c>
      <c r="F2758" s="8"/>
      <c r="G2758" s="15">
        <v>1.757965111277243</v>
      </c>
      <c r="H2758" s="15">
        <v>1.757965111277243</v>
      </c>
      <c r="I2758" s="15">
        <v>1.2821024865105148</v>
      </c>
      <c r="J2758" s="15">
        <v>1.2821024865105148</v>
      </c>
      <c r="K2758" s="15">
        <v>1.2821024865105148</v>
      </c>
      <c r="L2758" s="15">
        <v>1.2821024865105148</v>
      </c>
      <c r="M2758" s="15">
        <v>1.2821024865105148</v>
      </c>
      <c r="N2758" s="15">
        <v>1.2821024865105148</v>
      </c>
      <c r="O2758" s="15" t="s">
        <v>10</v>
      </c>
      <c r="P2758" s="15" t="s">
        <v>10</v>
      </c>
      <c r="Q2758" s="8"/>
      <c r="R2758" s="9" t="s">
        <v>8064</v>
      </c>
    </row>
    <row r="2759" spans="1:18" x14ac:dyDescent="0.25">
      <c r="A2759" s="6" t="str">
        <f>HYPERLINK("proteomic_fractions_linear_files/Yang_linear_img/407263845.jpg", "407263845")</f>
        <v>407263845</v>
      </c>
      <c r="B2759" s="7"/>
      <c r="C2759" s="6" t="str">
        <f>HYPERLINK("http://www.ncbi.nlm.nih.gov/protein/407263845","Gm11397")</f>
        <v>Gm11397</v>
      </c>
      <c r="D2759" s="8"/>
      <c r="E2759" s="8">
        <v>42872</v>
      </c>
      <c r="F2759" s="8"/>
      <c r="G2759" s="15" t="s">
        <v>10</v>
      </c>
      <c r="H2759" s="15" t="s">
        <v>10</v>
      </c>
      <c r="I2759" s="15" t="s">
        <v>10</v>
      </c>
      <c r="J2759" s="15" t="s">
        <v>10</v>
      </c>
      <c r="K2759" s="15" t="s">
        <v>10</v>
      </c>
      <c r="L2759" s="15" t="s">
        <v>10</v>
      </c>
      <c r="M2759" s="15" t="s">
        <v>10</v>
      </c>
      <c r="N2759" s="15" t="s">
        <v>10</v>
      </c>
      <c r="O2759" s="15">
        <v>0.80356689605756237</v>
      </c>
      <c r="P2759" s="15">
        <v>0.80356689605756237</v>
      </c>
      <c r="Q2759" s="8"/>
      <c r="R2759" s="9" t="s">
        <v>8065</v>
      </c>
    </row>
    <row r="2760" spans="1:18" x14ac:dyDescent="0.25">
      <c r="A2760" s="6" t="str">
        <f>HYPERLINK("proteomic_fractions_linear_files/Yang_linear_img/149250406.jpg", "149250406")</f>
        <v>149250406</v>
      </c>
      <c r="B2760" s="7"/>
      <c r="C2760" s="6" t="str">
        <f>HYPERLINK("http://www.ncbi.nlm.nih.gov/protein/149250406","Gm11449")</f>
        <v>Gm11449</v>
      </c>
      <c r="D2760" s="8"/>
      <c r="E2760" s="8">
        <v>16983</v>
      </c>
      <c r="F2760" s="8"/>
      <c r="G2760" s="15">
        <v>1.211614187450369</v>
      </c>
      <c r="H2760" s="15">
        <v>1.211614187450369</v>
      </c>
      <c r="I2760" s="15">
        <v>1.2821024865105148</v>
      </c>
      <c r="J2760" s="15">
        <v>1.2821024865105148</v>
      </c>
      <c r="K2760" s="15">
        <v>1.211614187450369</v>
      </c>
      <c r="L2760" s="15">
        <v>1.211614187450369</v>
      </c>
      <c r="M2760" s="15">
        <v>1.211614187450369</v>
      </c>
      <c r="N2760" s="15">
        <v>1.211614187450369</v>
      </c>
      <c r="O2760" s="15" t="s">
        <v>10</v>
      </c>
      <c r="P2760" s="15" t="s">
        <v>10</v>
      </c>
      <c r="Q2760" s="8"/>
      <c r="R2760" s="9" t="s">
        <v>8064</v>
      </c>
    </row>
    <row r="2761" spans="1:18" x14ac:dyDescent="0.25">
      <c r="A2761" s="6" t="str">
        <f>HYPERLINK("proteomic_fractions_linear_files/Yang_linear_img/309267799.jpg", "309267799")</f>
        <v>309267799</v>
      </c>
      <c r="B2761" s="7"/>
      <c r="C2761" s="6" t="str">
        <f>HYPERLINK("http://www.ncbi.nlm.nih.gov/protein/309267799","Gm11686")</f>
        <v>Gm11686</v>
      </c>
      <c r="D2761" s="8"/>
      <c r="E2761" s="8">
        <v>18671</v>
      </c>
      <c r="F2761" s="8"/>
      <c r="G2761" s="15" t="s">
        <v>10</v>
      </c>
      <c r="H2761" s="15" t="s">
        <v>10</v>
      </c>
      <c r="I2761" s="15">
        <v>0.76407756430896567</v>
      </c>
      <c r="J2761" s="15">
        <v>0.76407756430896567</v>
      </c>
      <c r="K2761" s="15">
        <v>0.83828640964114609</v>
      </c>
      <c r="L2761" s="15">
        <v>0.83828640964114609</v>
      </c>
      <c r="M2761" s="15">
        <v>0.79980727862180456</v>
      </c>
      <c r="N2761" s="15">
        <v>0.79980727862180456</v>
      </c>
      <c r="O2761" s="15" t="s">
        <v>10</v>
      </c>
      <c r="P2761" s="15" t="s">
        <v>10</v>
      </c>
      <c r="Q2761" s="8"/>
      <c r="R2761" s="9" t="s">
        <v>8052</v>
      </c>
    </row>
    <row r="2762" spans="1:18" x14ac:dyDescent="0.25">
      <c r="A2762" s="6" t="str">
        <f>HYPERLINK("proteomic_fractions_linear_files/Yang_linear_img/309264602.jpg", "309264602")</f>
        <v>309264602</v>
      </c>
      <c r="B2762" s="7"/>
      <c r="C2762" s="6" t="str">
        <f>HYPERLINK("http://www.ncbi.nlm.nih.gov/protein/309264602","Gm11686")</f>
        <v>Gm11686</v>
      </c>
      <c r="D2762" s="8"/>
      <c r="E2762" s="8">
        <v>13708</v>
      </c>
      <c r="F2762" s="8"/>
      <c r="G2762" s="15">
        <v>1.392939273431091</v>
      </c>
      <c r="H2762" s="15">
        <v>1.392939273431091</v>
      </c>
      <c r="I2762" s="15">
        <v>1.0369624087050249</v>
      </c>
      <c r="J2762" s="15">
        <v>1.0369624087050249</v>
      </c>
      <c r="K2762" s="15">
        <v>1.085452735272449</v>
      </c>
      <c r="L2762" s="15">
        <v>1.085452735272449</v>
      </c>
      <c r="M2762" s="15">
        <v>1.085452735272449</v>
      </c>
      <c r="N2762" s="15">
        <v>1.085452735272449</v>
      </c>
      <c r="O2762" s="15">
        <v>0.99184646428118928</v>
      </c>
      <c r="P2762" s="15">
        <v>0.99184646428118928</v>
      </c>
      <c r="Q2762" s="8"/>
      <c r="R2762" s="9" t="s">
        <v>8052</v>
      </c>
    </row>
    <row r="2763" spans="1:18" x14ac:dyDescent="0.25">
      <c r="A2763" s="6" t="str">
        <f>HYPERLINK("proteomic_fractions_linear_files/Yang_linear_img/309262452.jpg", "309262452")</f>
        <v>309262452</v>
      </c>
      <c r="B2763" s="7"/>
      <c r="C2763" s="6" t="str">
        <f>HYPERLINK("http://www.ncbi.nlm.nih.gov/protein/309262452","Gm11703")</f>
        <v>Gm11703</v>
      </c>
      <c r="D2763" s="8"/>
      <c r="E2763" s="8">
        <v>18475</v>
      </c>
      <c r="F2763" s="8"/>
      <c r="G2763" s="15">
        <v>1.6603003828729517</v>
      </c>
      <c r="H2763" s="15">
        <v>1.6603003828729517</v>
      </c>
      <c r="I2763" s="15">
        <v>1.1443022881475706</v>
      </c>
      <c r="J2763" s="15">
        <v>1.1443022881475706</v>
      </c>
      <c r="K2763" s="15">
        <v>1.1443022881475706</v>
      </c>
      <c r="L2763" s="15">
        <v>1.1443022881475706</v>
      </c>
      <c r="M2763" s="15">
        <v>1.1443022881475706</v>
      </c>
      <c r="N2763" s="15">
        <v>1.1443022881475706</v>
      </c>
      <c r="O2763" s="15" t="s">
        <v>10</v>
      </c>
      <c r="P2763" s="15" t="s">
        <v>10</v>
      </c>
      <c r="Q2763" s="8"/>
      <c r="R2763" s="9" t="s">
        <v>8053</v>
      </c>
    </row>
    <row r="2764" spans="1:18" x14ac:dyDescent="0.25">
      <c r="A2764" s="6" t="str">
        <f>HYPERLINK("proteomic_fractions_linear_files/Yang_linear_img/309268070.jpg", "309268070")</f>
        <v>309268070</v>
      </c>
      <c r="B2764" s="7"/>
      <c r="C2764" s="6" t="str">
        <f>HYPERLINK("http://www.ncbi.nlm.nih.gov/protein/309268070","Gm11787")</f>
        <v>Gm11787</v>
      </c>
      <c r="D2764" s="8"/>
      <c r="E2764" s="8">
        <v>40221</v>
      </c>
      <c r="F2764" s="8"/>
      <c r="G2764" s="15">
        <v>1.8359040060420562</v>
      </c>
      <c r="H2764" s="15">
        <v>1.8359040060420562</v>
      </c>
      <c r="I2764" s="15">
        <v>1.4693301896398463</v>
      </c>
      <c r="J2764" s="15">
        <v>1.4693301896398463</v>
      </c>
      <c r="K2764" s="15">
        <v>1.4693301896398463</v>
      </c>
      <c r="L2764" s="15">
        <v>1.4693301896398463</v>
      </c>
      <c r="M2764" s="15">
        <v>1.4693301896398463</v>
      </c>
      <c r="N2764" s="15">
        <v>1.4693301896398463</v>
      </c>
      <c r="O2764" s="15" t="s">
        <v>10</v>
      </c>
      <c r="P2764" s="15" t="s">
        <v>10</v>
      </c>
      <c r="Q2764" s="8"/>
      <c r="R2764" s="9" t="s">
        <v>8066</v>
      </c>
    </row>
    <row r="2765" spans="1:18" x14ac:dyDescent="0.25">
      <c r="A2765" s="6" t="str">
        <f>HYPERLINK("proteomic_fractions_linear_files/Yang_linear_img/149252067.jpg", "149252067")</f>
        <v>149252067</v>
      </c>
      <c r="B2765" s="7"/>
      <c r="C2765" s="6" t="str">
        <f>HYPERLINK("http://www.ncbi.nlm.nih.gov/protein/149252067","Gm11810")</f>
        <v>Gm11810</v>
      </c>
      <c r="D2765" s="8"/>
      <c r="E2765" s="8">
        <v>12346</v>
      </c>
      <c r="F2765" s="8"/>
      <c r="G2765" s="15">
        <v>1.6250958190029394</v>
      </c>
      <c r="H2765" s="15">
        <v>1.6250958190029394</v>
      </c>
      <c r="I2765" s="15">
        <v>1.209789476822529</v>
      </c>
      <c r="J2765" s="15">
        <v>1.209789476822529</v>
      </c>
      <c r="K2765" s="15">
        <v>1.2663615244845239</v>
      </c>
      <c r="L2765" s="15">
        <v>1.2663615244845239</v>
      </c>
      <c r="M2765" s="15">
        <v>1.209789476822529</v>
      </c>
      <c r="N2765" s="15">
        <v>1.209789476822529</v>
      </c>
      <c r="O2765" s="15">
        <v>1.1571542083280542</v>
      </c>
      <c r="P2765" s="15">
        <v>1.1571542083280542</v>
      </c>
      <c r="Q2765" s="8"/>
      <c r="R2765" s="9" t="s">
        <v>8052</v>
      </c>
    </row>
    <row r="2766" spans="1:18" x14ac:dyDescent="0.25">
      <c r="A2766" s="6" t="str">
        <f>HYPERLINK("proteomic_fractions_linear_files/Yang_linear_img/309262489.jpg", "309262489")</f>
        <v>309262489</v>
      </c>
      <c r="B2766" s="7"/>
      <c r="C2766" s="6" t="str">
        <f>HYPERLINK("http://www.ncbi.nlm.nih.gov/protein/309262489","Gm11964")</f>
        <v>Gm11964</v>
      </c>
      <c r="D2766" s="8"/>
      <c r="E2766" s="8">
        <v>16102</v>
      </c>
      <c r="F2766" s="8"/>
      <c r="G2766" s="15">
        <v>1.5346762883298073</v>
      </c>
      <c r="H2766" s="15">
        <v>1.5346762883298073</v>
      </c>
      <c r="I2766" s="15">
        <v>1.0447796575379389</v>
      </c>
      <c r="J2766" s="15">
        <v>1.0447796575379389</v>
      </c>
      <c r="K2766" s="15">
        <v>1.0981212353349354</v>
      </c>
      <c r="L2766" s="15">
        <v>1.0981212353349354</v>
      </c>
      <c r="M2766" s="15">
        <v>1.0981212353349354</v>
      </c>
      <c r="N2766" s="15">
        <v>1.0981212353349354</v>
      </c>
      <c r="O2766" s="15">
        <v>1.0447796575379389</v>
      </c>
      <c r="P2766" s="15">
        <v>1.0447796575379389</v>
      </c>
      <c r="Q2766" s="8"/>
      <c r="R2766" s="9" t="s">
        <v>8067</v>
      </c>
    </row>
    <row r="2767" spans="1:18" x14ac:dyDescent="0.25">
      <c r="A2767" s="6" t="str">
        <f>HYPERLINK("proteomic_fractions_linear_files/Yang_linear_img/82934691.jpg", "82934691")</f>
        <v>82934691</v>
      </c>
      <c r="B2767" s="7"/>
      <c r="C2767" s="6" t="str">
        <f>HYPERLINK("http://www.ncbi.nlm.nih.gov/protein/82934691","Gm12271")</f>
        <v>Gm12271</v>
      </c>
      <c r="D2767" s="8"/>
      <c r="E2767" s="8">
        <v>15024</v>
      </c>
      <c r="F2767" s="8"/>
      <c r="G2767" s="15" t="s">
        <v>10</v>
      </c>
      <c r="H2767" s="15" t="s">
        <v>10</v>
      </c>
      <c r="I2767" s="15">
        <v>0.84981462279584175</v>
      </c>
      <c r="J2767" s="15">
        <v>0.84981462279584175</v>
      </c>
      <c r="K2767" s="15" t="s">
        <v>10</v>
      </c>
      <c r="L2767" s="15" t="s">
        <v>10</v>
      </c>
      <c r="M2767" s="15" t="s">
        <v>10</v>
      </c>
      <c r="N2767" s="15" t="s">
        <v>10</v>
      </c>
      <c r="O2767" s="15" t="s">
        <v>10</v>
      </c>
      <c r="P2767" s="15" t="s">
        <v>10</v>
      </c>
      <c r="Q2767" s="8"/>
      <c r="R2767" s="9" t="s">
        <v>8060</v>
      </c>
    </row>
    <row r="2768" spans="1:18" x14ac:dyDescent="0.25">
      <c r="A2768" s="6" t="str">
        <f>HYPERLINK("proteomic_fractions_linear_files/Yang_linear_img/407263120.jpg", "407263120")</f>
        <v>407263120</v>
      </c>
      <c r="B2768" s="7"/>
      <c r="C2768" s="6" t="str">
        <f>HYPERLINK("http://www.ncbi.nlm.nih.gov/protein/407263120","Gm12508")</f>
        <v>Gm12508</v>
      </c>
      <c r="D2768" s="8"/>
      <c r="E2768" s="8">
        <v>28388</v>
      </c>
      <c r="F2768" s="8"/>
      <c r="G2768" s="15">
        <v>1.0673359604183261</v>
      </c>
      <c r="H2768" s="15">
        <v>1.0673359604183261</v>
      </c>
      <c r="I2768" s="15">
        <v>0.77841936680995538</v>
      </c>
      <c r="J2768" s="15">
        <v>0.77841936680995538</v>
      </c>
      <c r="K2768" s="15">
        <v>0.77841936680995538</v>
      </c>
      <c r="L2768" s="15">
        <v>0.77841936680995538</v>
      </c>
      <c r="M2768" s="15">
        <v>0.73562289952343829</v>
      </c>
      <c r="N2768" s="15">
        <v>0.73562289952343829</v>
      </c>
      <c r="O2768" s="15" t="s">
        <v>10</v>
      </c>
      <c r="P2768" s="15" t="s">
        <v>10</v>
      </c>
      <c r="Q2768" s="8"/>
      <c r="R2768" s="9" t="s">
        <v>8064</v>
      </c>
    </row>
    <row r="2769" spans="1:18" x14ac:dyDescent="0.25">
      <c r="A2769" s="6" t="str">
        <f>HYPERLINK("proteomic_fractions_linear_files/Yang_linear_img/149252501.jpg", "149252501")</f>
        <v>149252501</v>
      </c>
      <c r="B2769" s="7"/>
      <c r="C2769" s="6" t="str">
        <f>HYPERLINK("http://www.ncbi.nlm.nih.gov/protein/149252501","Gm12538")</f>
        <v>Gm12538</v>
      </c>
      <c r="D2769" s="8"/>
      <c r="E2769" s="8">
        <v>25984</v>
      </c>
      <c r="F2769" s="8"/>
      <c r="G2769" s="15" t="s">
        <v>10</v>
      </c>
      <c r="H2769" s="15" t="s">
        <v>10</v>
      </c>
      <c r="I2769" s="15" t="s">
        <v>10</v>
      </c>
      <c r="J2769" s="15" t="s">
        <v>10</v>
      </c>
      <c r="K2769" s="15">
        <v>0.61259391473776059</v>
      </c>
      <c r="L2769" s="15">
        <v>0.61259391473776059</v>
      </c>
      <c r="M2769" s="15" t="s">
        <v>10</v>
      </c>
      <c r="N2769" s="15" t="s">
        <v>10</v>
      </c>
      <c r="O2769" s="15" t="s">
        <v>10</v>
      </c>
      <c r="P2769" s="15" t="s">
        <v>10</v>
      </c>
      <c r="Q2769" s="8"/>
      <c r="R2769" s="9" t="s">
        <v>8068</v>
      </c>
    </row>
    <row r="2770" spans="1:18" x14ac:dyDescent="0.25">
      <c r="A2770" s="6" t="str">
        <f>HYPERLINK("proteomic_fractions_linear_files/Yang_linear_img/124486606.jpg", "124486606")</f>
        <v>124486606</v>
      </c>
      <c r="B2770" s="7"/>
      <c r="C2770" s="6" t="str">
        <f>HYPERLINK("http://www.ncbi.nlm.nih.gov/protein/124486606","Gm12657")</f>
        <v>Gm12657</v>
      </c>
      <c r="D2770" s="8"/>
      <c r="E2770" s="8">
        <v>15111</v>
      </c>
      <c r="F2770" s="8"/>
      <c r="G2770" s="15">
        <v>399.54</v>
      </c>
      <c r="H2770" s="15">
        <v>399.54</v>
      </c>
      <c r="I2770" s="15">
        <v>1.0618294522121183</v>
      </c>
      <c r="J2770" s="15">
        <v>1.0618294522121183</v>
      </c>
      <c r="K2770" s="15">
        <v>1.1144316347071348</v>
      </c>
      <c r="L2770" s="15">
        <v>1.1144316347071348</v>
      </c>
      <c r="M2770" s="15">
        <v>1.1144316347071348</v>
      </c>
      <c r="N2770" s="15">
        <v>1.1144316347071348</v>
      </c>
      <c r="O2770" s="15">
        <v>1.0130892195876191</v>
      </c>
      <c r="P2770" s="15">
        <v>1.0130892195876191</v>
      </c>
      <c r="Q2770" s="8"/>
      <c r="R2770" s="9" t="s">
        <v>2708</v>
      </c>
    </row>
    <row r="2771" spans="1:18" x14ac:dyDescent="0.25">
      <c r="A2771" s="6" t="str">
        <f>HYPERLINK("proteomic_fractions_linear_files/Yang_linear_img/407261198.jpg", "407261198")</f>
        <v>407261198</v>
      </c>
      <c r="B2771" s="7"/>
      <c r="C2771" s="6" t="str">
        <f>HYPERLINK("http://www.ncbi.nlm.nih.gov/protein/407261198","Gm12666")</f>
        <v>Gm12666</v>
      </c>
      <c r="D2771" s="8"/>
      <c r="E2771" s="8">
        <v>35662</v>
      </c>
      <c r="F2771" s="8"/>
      <c r="G2771" s="15">
        <v>2.6379994772940143</v>
      </c>
      <c r="H2771" s="15">
        <v>2.6379994772940143</v>
      </c>
      <c r="I2771" s="15" t="s">
        <v>10</v>
      </c>
      <c r="J2771" s="15" t="s">
        <v>10</v>
      </c>
      <c r="K2771" s="15">
        <v>2.3082960686984406</v>
      </c>
      <c r="L2771" s="15">
        <v>2.3082960686984406</v>
      </c>
      <c r="M2771" s="15">
        <v>2.3082960686984406</v>
      </c>
      <c r="N2771" s="15">
        <v>2.3082960686984406</v>
      </c>
      <c r="O2771" s="15">
        <v>2.3082960686984406</v>
      </c>
      <c r="P2771" s="15">
        <v>2.3082960686984406</v>
      </c>
      <c r="Q2771" s="8"/>
      <c r="R2771" s="9" t="s">
        <v>8069</v>
      </c>
    </row>
    <row r="2772" spans="1:18" x14ac:dyDescent="0.25">
      <c r="A2772" s="6" t="str">
        <f>HYPERLINK("proteomic_fractions_linear_files/Yang_linear_img/149252780.jpg", "149252780")</f>
        <v>149252780</v>
      </c>
      <c r="B2772" s="7"/>
      <c r="C2772" s="6" t="str">
        <f>HYPERLINK("http://www.ncbi.nlm.nih.gov/protein/149252780","Gm12693")</f>
        <v>Gm12693</v>
      </c>
      <c r="D2772" s="8"/>
      <c r="E2772" s="8">
        <v>18536</v>
      </c>
      <c r="F2772" s="8"/>
      <c r="G2772" s="15" t="s">
        <v>10</v>
      </c>
      <c r="H2772" s="15" t="s">
        <v>10</v>
      </c>
      <c r="I2772" s="15">
        <v>1.6886354134596626</v>
      </c>
      <c r="J2772" s="15">
        <v>1.6886354134596626</v>
      </c>
      <c r="K2772" s="15">
        <v>1.8185987647618518</v>
      </c>
      <c r="L2772" s="15">
        <v>1.6886354134596626</v>
      </c>
      <c r="M2772" s="15">
        <v>1.6886354134596626</v>
      </c>
      <c r="N2772" s="15">
        <v>1.6886354134596626</v>
      </c>
      <c r="O2772" s="15">
        <v>1.572916152195428</v>
      </c>
      <c r="P2772" s="15">
        <v>1.572916152195428</v>
      </c>
      <c r="Q2772" s="8"/>
      <c r="R2772" s="9" t="s">
        <v>8070</v>
      </c>
    </row>
    <row r="2773" spans="1:18" x14ac:dyDescent="0.25">
      <c r="A2773" s="6" t="str">
        <f>HYPERLINK("proteomic_fractions_linear_files/Yang_linear_img/124486863.jpg", "124486863")</f>
        <v>124486863</v>
      </c>
      <c r="B2773" s="7"/>
      <c r="C2773" s="6" t="str">
        <f>HYPERLINK("http://www.ncbi.nlm.nih.gov/protein/124486863","Gm12695")</f>
        <v>Gm12695</v>
      </c>
      <c r="D2773" s="8"/>
      <c r="E2773" s="8">
        <v>62310</v>
      </c>
      <c r="F2773" s="8"/>
      <c r="G2773" s="15" t="s">
        <v>10</v>
      </c>
      <c r="H2773" s="15" t="s">
        <v>10</v>
      </c>
      <c r="I2773" s="15" t="s">
        <v>10</v>
      </c>
      <c r="J2773" s="15" t="s">
        <v>10</v>
      </c>
      <c r="K2773" s="15">
        <v>0.65334384198746365</v>
      </c>
      <c r="L2773" s="15">
        <v>0.65334384198746365</v>
      </c>
      <c r="M2773" s="15" t="s">
        <v>10</v>
      </c>
      <c r="N2773" s="15" t="s">
        <v>10</v>
      </c>
      <c r="O2773" s="15" t="s">
        <v>10</v>
      </c>
      <c r="P2773" s="15" t="s">
        <v>10</v>
      </c>
      <c r="Q2773" s="8"/>
      <c r="R2773" s="9" t="s">
        <v>2709</v>
      </c>
    </row>
    <row r="2774" spans="1:18" x14ac:dyDescent="0.25">
      <c r="A2774" s="6" t="str">
        <f>HYPERLINK("proteomic_fractions_linear_files/Yang_linear_img/309265873.jpg", "309265873")</f>
        <v>309265873</v>
      </c>
      <c r="B2774" s="7"/>
      <c r="C2774" s="6" t="str">
        <f>HYPERLINK("http://www.ncbi.nlm.nih.gov/protein/309265873","Gm12770")</f>
        <v>Gm12770</v>
      </c>
      <c r="D2774" s="8"/>
      <c r="E2774" s="8">
        <v>27855</v>
      </c>
      <c r="F2774" s="8"/>
      <c r="G2774" s="15">
        <v>0.62749784876282022</v>
      </c>
      <c r="H2774" s="15">
        <v>0.62749784876282022</v>
      </c>
      <c r="I2774" s="15">
        <v>0.69646963671554551</v>
      </c>
      <c r="J2774" s="15">
        <v>0.69646963671554551</v>
      </c>
      <c r="K2774" s="15">
        <v>0.69646963671554551</v>
      </c>
      <c r="L2774" s="15">
        <v>0.69646963671554551</v>
      </c>
      <c r="M2774" s="15">
        <v>0.69646963671554551</v>
      </c>
      <c r="N2774" s="15">
        <v>0.69646963671554551</v>
      </c>
      <c r="O2774" s="15" t="s">
        <v>10</v>
      </c>
      <c r="P2774" s="15" t="s">
        <v>10</v>
      </c>
      <c r="Q2774" s="8"/>
      <c r="R2774" s="9" t="s">
        <v>8071</v>
      </c>
    </row>
    <row r="2775" spans="1:18" x14ac:dyDescent="0.25">
      <c r="A2775" s="6" t="str">
        <f>HYPERLINK("proteomic_fractions_linear_files/Yang_linear_img/309268181.jpg", "309268181")</f>
        <v>309268181</v>
      </c>
      <c r="B2775" s="7"/>
      <c r="C2775" s="6" t="str">
        <f>HYPERLINK("http://www.ncbi.nlm.nih.gov/protein/309268181","Gm12816")</f>
        <v>Gm12816</v>
      </c>
      <c r="D2775" s="8"/>
      <c r="E2775" s="8">
        <v>45731</v>
      </c>
      <c r="F2775" s="8"/>
      <c r="G2775" s="15">
        <v>1.2776784257737794</v>
      </c>
      <c r="H2775" s="15">
        <v>1.2776784257737794</v>
      </c>
      <c r="I2775" s="15">
        <v>0.95925194015142323</v>
      </c>
      <c r="J2775" s="15">
        <v>0.95925194015142323</v>
      </c>
      <c r="K2775" s="15">
        <v>1.0497820779220708</v>
      </c>
      <c r="L2775" s="15">
        <v>1.0497820779220708</v>
      </c>
      <c r="M2775" s="15">
        <v>0.95925194015142323</v>
      </c>
      <c r="N2775" s="15">
        <v>0.95925194015142323</v>
      </c>
      <c r="O2775" s="15" t="s">
        <v>10</v>
      </c>
      <c r="P2775" s="15" t="s">
        <v>10</v>
      </c>
      <c r="Q2775" s="8"/>
      <c r="R2775" s="9" t="s">
        <v>8072</v>
      </c>
    </row>
    <row r="2776" spans="1:18" x14ac:dyDescent="0.25">
      <c r="A2776" s="6" t="str">
        <f>HYPERLINK("proteomic_fractions_linear_files/Yang_linear_img/309265057.jpg", "309265057")</f>
        <v>309265057</v>
      </c>
      <c r="B2776" s="7"/>
      <c r="C2776" s="6" t="str">
        <f>HYPERLINK("http://www.ncbi.nlm.nih.gov/protein/309265057","Gm12854")</f>
        <v>Gm12854</v>
      </c>
      <c r="D2776" s="8"/>
      <c r="E2776" s="8">
        <v>10712</v>
      </c>
      <c r="F2776" s="8"/>
      <c r="G2776" s="15">
        <v>1.1588381219943296</v>
      </c>
      <c r="H2776" s="15">
        <v>1.1588381219943296</v>
      </c>
      <c r="I2776" s="15">
        <v>1.1588381219943296</v>
      </c>
      <c r="J2776" s="15">
        <v>27.434847694227162</v>
      </c>
      <c r="K2776" s="15">
        <v>1.1120782993028506</v>
      </c>
      <c r="L2776" s="15">
        <v>1.1120782993028506</v>
      </c>
      <c r="M2776" s="15">
        <v>1.1588381219943296</v>
      </c>
      <c r="N2776" s="15">
        <v>1.1588381219943296</v>
      </c>
      <c r="O2776" s="15">
        <v>1.1120782993028506</v>
      </c>
      <c r="P2776" s="15">
        <v>1.1120782993028506</v>
      </c>
      <c r="Q2776" s="8"/>
      <c r="R2776" s="9" t="s">
        <v>8073</v>
      </c>
    </row>
    <row r="2777" spans="1:18" x14ac:dyDescent="0.25">
      <c r="A2777" s="6" t="str">
        <f>HYPERLINK("proteomic_fractions_linear_files/Yang_linear_img/150010657.jpg", "150010657")</f>
        <v>150010657</v>
      </c>
      <c r="B2777" s="7"/>
      <c r="C2777" s="6" t="str">
        <f>HYPERLINK("http://www.ncbi.nlm.nih.gov/protein/150010657","Gm12942")</f>
        <v>Gm12942</v>
      </c>
      <c r="D2777" s="8"/>
      <c r="E2777" s="8">
        <v>13987</v>
      </c>
      <c r="F2777" s="8"/>
      <c r="G2777" s="15">
        <v>1.5568387336199108</v>
      </c>
      <c r="H2777" s="15">
        <v>1.5568387336199108</v>
      </c>
      <c r="I2777" s="15">
        <v>1.085452735272449</v>
      </c>
      <c r="J2777" s="15">
        <v>1.0369624087050249</v>
      </c>
      <c r="K2777" s="15" t="s">
        <v>10</v>
      </c>
      <c r="L2777" s="15" t="s">
        <v>10</v>
      </c>
      <c r="M2777" s="15" t="s">
        <v>10</v>
      </c>
      <c r="N2777" s="15" t="s">
        <v>10</v>
      </c>
      <c r="O2777" s="15" t="s">
        <v>10</v>
      </c>
      <c r="P2777" s="15" t="s">
        <v>10</v>
      </c>
      <c r="Q2777" s="8"/>
      <c r="R2777" s="9" t="s">
        <v>2710</v>
      </c>
    </row>
    <row r="2778" spans="1:18" x14ac:dyDescent="0.25">
      <c r="A2778" s="6" t="str">
        <f>HYPERLINK("proteomic_fractions_linear_files/Yang_linear_img/377837161.jpg", "377837161")</f>
        <v>377837161</v>
      </c>
      <c r="B2778" s="7"/>
      <c r="C2778" s="6" t="str">
        <f>HYPERLINK("http://www.ncbi.nlm.nih.gov/protein/377837161","Gm13035")</f>
        <v>Gm13035</v>
      </c>
      <c r="D2778" s="8"/>
      <c r="E2778" s="8">
        <v>11542</v>
      </c>
      <c r="F2778" s="8"/>
      <c r="G2778" s="15">
        <v>1.4641616471132473</v>
      </c>
      <c r="H2778" s="15">
        <v>1.4641616471132473</v>
      </c>
      <c r="I2778" s="15">
        <v>1.327286815265148</v>
      </c>
      <c r="J2778" s="15">
        <v>1.327286815265148</v>
      </c>
      <c r="K2778" s="15">
        <v>1.3930395433839184</v>
      </c>
      <c r="L2778" s="15">
        <v>1.3930395433839184</v>
      </c>
      <c r="M2778" s="15">
        <v>1.4641616471132473</v>
      </c>
      <c r="N2778" s="15">
        <v>1.3930395433839184</v>
      </c>
      <c r="O2778" s="15">
        <v>1.327286815265148</v>
      </c>
      <c r="P2778" s="15">
        <v>1.327286815265148</v>
      </c>
      <c r="Q2778" s="8"/>
      <c r="R2778" s="9" t="s">
        <v>8074</v>
      </c>
    </row>
    <row r="2779" spans="1:18" x14ac:dyDescent="0.25">
      <c r="A2779" s="6" t="str">
        <f>HYPERLINK("proteomic_fractions_linear_files/Yang_linear_img/309267134.jpg", "309267134")</f>
        <v>309267134</v>
      </c>
      <c r="B2779" s="7"/>
      <c r="C2779" s="6" t="str">
        <f>HYPERLINK("http://www.ncbi.nlm.nih.gov/protein/309267134","Gm13149")</f>
        <v>Gm13149</v>
      </c>
      <c r="D2779" s="8"/>
      <c r="E2779" s="8">
        <v>12039</v>
      </c>
      <c r="F2779" s="8"/>
      <c r="G2779" s="15">
        <v>1.4641616471132473</v>
      </c>
      <c r="H2779" s="15">
        <v>1.4641616471132473</v>
      </c>
      <c r="I2779" s="15">
        <v>1.327286815265148</v>
      </c>
      <c r="J2779" s="15">
        <v>1.327286815265148</v>
      </c>
      <c r="K2779" s="15">
        <v>1.3930395433839184</v>
      </c>
      <c r="L2779" s="15">
        <v>1.3930395433839184</v>
      </c>
      <c r="M2779" s="15">
        <v>1.4641616471132473</v>
      </c>
      <c r="N2779" s="15">
        <v>1.3930395433839184</v>
      </c>
      <c r="O2779" s="15">
        <v>1.327286815265148</v>
      </c>
      <c r="P2779" s="15">
        <v>1.327286815265148</v>
      </c>
      <c r="Q2779" s="8"/>
      <c r="R2779" s="9" t="s">
        <v>8074</v>
      </c>
    </row>
    <row r="2780" spans="1:18" x14ac:dyDescent="0.25">
      <c r="A2780" s="6" t="str">
        <f>HYPERLINK("proteomic_fractions_linear_files/Yang_linear_img/82896218.jpg", "82896218")</f>
        <v>82896218</v>
      </c>
      <c r="B2780" s="7"/>
      <c r="C2780" s="6" t="str">
        <f>HYPERLINK("http://www.ncbi.nlm.nih.gov/protein/82896218","Gm13202")</f>
        <v>Gm13202</v>
      </c>
      <c r="D2780" s="8"/>
      <c r="E2780" s="8">
        <v>15571</v>
      </c>
      <c r="F2780" s="8"/>
      <c r="G2780" s="15" t="s">
        <v>10</v>
      </c>
      <c r="H2780" s="15" t="s">
        <v>10</v>
      </c>
      <c r="I2780" s="15">
        <v>1.1559561977852553</v>
      </c>
      <c r="J2780" s="15">
        <v>1.1559561977852553</v>
      </c>
      <c r="K2780" s="15" t="s">
        <v>10</v>
      </c>
      <c r="L2780" s="15" t="s">
        <v>10</v>
      </c>
      <c r="M2780" s="15" t="s">
        <v>10</v>
      </c>
      <c r="N2780" s="15" t="s">
        <v>10</v>
      </c>
      <c r="O2780" s="15">
        <v>1.0981212353349354</v>
      </c>
      <c r="P2780" s="15">
        <v>1.1559561977852553</v>
      </c>
      <c r="Q2780" s="8"/>
      <c r="R2780" s="9" t="s">
        <v>8075</v>
      </c>
    </row>
    <row r="2781" spans="1:18" x14ac:dyDescent="0.25">
      <c r="A2781" s="6" t="str">
        <f>HYPERLINK("proteomic_fractions_linear_files/Yang_linear_img/377837182.jpg", "377837182")</f>
        <v>377837182</v>
      </c>
      <c r="B2781" s="7"/>
      <c r="C2781" s="6" t="str">
        <f>HYPERLINK("http://www.ncbi.nlm.nih.gov/protein/377837182","Gm13202")</f>
        <v>Gm13202</v>
      </c>
      <c r="D2781" s="8"/>
      <c r="E2781" s="8">
        <v>15566</v>
      </c>
      <c r="F2781" s="8"/>
      <c r="G2781" s="15">
        <v>0.90734210761689671</v>
      </c>
      <c r="H2781" s="15">
        <v>0.90734210761689671</v>
      </c>
      <c r="I2781" s="15">
        <v>1.1559561977852553</v>
      </c>
      <c r="J2781" s="15">
        <v>1.1559561977852553</v>
      </c>
      <c r="K2781" s="15" t="s">
        <v>10</v>
      </c>
      <c r="L2781" s="15" t="s">
        <v>10</v>
      </c>
      <c r="M2781" s="15" t="s">
        <v>10</v>
      </c>
      <c r="N2781" s="15" t="s">
        <v>10</v>
      </c>
      <c r="O2781" s="15">
        <v>1.0981212353349354</v>
      </c>
      <c r="P2781" s="15">
        <v>1.1559561977852553</v>
      </c>
      <c r="Q2781" s="8"/>
      <c r="R2781" s="9" t="s">
        <v>8075</v>
      </c>
    </row>
    <row r="2782" spans="1:18" x14ac:dyDescent="0.25">
      <c r="A2782" s="6" t="str">
        <f>HYPERLINK("proteomic_fractions_linear_files/Yang_linear_img/63517178.jpg", "63517178")</f>
        <v>63517178</v>
      </c>
      <c r="B2782" s="7"/>
      <c r="C2782" s="6" t="str">
        <f>HYPERLINK("http://www.ncbi.nlm.nih.gov/protein/63517178","Gm13213")</f>
        <v>Gm13213</v>
      </c>
      <c r="D2782" s="8"/>
      <c r="E2782" s="8">
        <v>16869</v>
      </c>
      <c r="F2782" s="8"/>
      <c r="G2782" s="15" t="s">
        <v>10</v>
      </c>
      <c r="H2782" s="15" t="s">
        <v>10</v>
      </c>
      <c r="I2782" s="15">
        <v>1.2821024865105148</v>
      </c>
      <c r="J2782" s="15">
        <v>1.2821024865105148</v>
      </c>
      <c r="K2782" s="15">
        <v>1.2821024865105148</v>
      </c>
      <c r="L2782" s="15">
        <v>1.2821024865105148</v>
      </c>
      <c r="M2782" s="15">
        <v>1.2821024865105148</v>
      </c>
      <c r="N2782" s="15">
        <v>1.2821024865105148</v>
      </c>
      <c r="O2782" s="15" t="s">
        <v>10</v>
      </c>
      <c r="P2782" s="15" t="s">
        <v>10</v>
      </c>
      <c r="Q2782" s="8"/>
      <c r="R2782" s="9" t="s">
        <v>8064</v>
      </c>
    </row>
    <row r="2783" spans="1:18" x14ac:dyDescent="0.25">
      <c r="A2783" s="6" t="str">
        <f>HYPERLINK("proteomic_fractions_linear_files/Yang_linear_img/94372927.jpg", "94372927")</f>
        <v>94372927</v>
      </c>
      <c r="B2783" s="7"/>
      <c r="C2783" s="6" t="str">
        <f>HYPERLINK("http://www.ncbi.nlm.nih.gov/protein/94372927","Gm13229")</f>
        <v>Gm13229</v>
      </c>
      <c r="D2783" s="8"/>
      <c r="E2783" s="8">
        <v>12047</v>
      </c>
      <c r="F2783" s="8"/>
      <c r="G2783" s="15">
        <v>1.4641616471132473</v>
      </c>
      <c r="H2783" s="15">
        <v>1.4641616471132473</v>
      </c>
      <c r="I2783" s="15">
        <v>1.327286815265148</v>
      </c>
      <c r="J2783" s="15">
        <v>1.327286815265148</v>
      </c>
      <c r="K2783" s="15">
        <v>1.3930395433839184</v>
      </c>
      <c r="L2783" s="15">
        <v>1.3930395433839184</v>
      </c>
      <c r="M2783" s="15">
        <v>1.4641616471132473</v>
      </c>
      <c r="N2783" s="15">
        <v>1.3930395433839184</v>
      </c>
      <c r="O2783" s="15">
        <v>1.327286815265148</v>
      </c>
      <c r="P2783" s="15">
        <v>1.327286815265148</v>
      </c>
      <c r="Q2783" s="8"/>
      <c r="R2783" s="9" t="s">
        <v>8074</v>
      </c>
    </row>
    <row r="2784" spans="1:18" x14ac:dyDescent="0.25">
      <c r="A2784" s="6" t="str">
        <f>HYPERLINK("proteomic_fractions_linear_files/Yang_linear_img/309272470.jpg", "309272470")</f>
        <v>309272470</v>
      </c>
      <c r="B2784" s="7"/>
      <c r="C2784" s="6" t="str">
        <f>HYPERLINK("http://www.ncbi.nlm.nih.gov/protein/309272470","Gm13249")</f>
        <v>Gm13249</v>
      </c>
      <c r="D2784" s="8"/>
      <c r="E2784" s="8">
        <v>11616</v>
      </c>
      <c r="F2784" s="8"/>
      <c r="G2784" s="15">
        <v>1.4641616471132473</v>
      </c>
      <c r="H2784" s="15">
        <v>1.4641616471132473</v>
      </c>
      <c r="I2784" s="15">
        <v>1.327286815265148</v>
      </c>
      <c r="J2784" s="15">
        <v>1.327286815265148</v>
      </c>
      <c r="K2784" s="15">
        <v>1.3930395433839184</v>
      </c>
      <c r="L2784" s="15">
        <v>1.3930395433839184</v>
      </c>
      <c r="M2784" s="15">
        <v>1.4641616471132473</v>
      </c>
      <c r="N2784" s="15">
        <v>1.3930395433839184</v>
      </c>
      <c r="O2784" s="15">
        <v>1.327286815265148</v>
      </c>
      <c r="P2784" s="15">
        <v>1.327286815265148</v>
      </c>
      <c r="Q2784" s="8"/>
      <c r="R2784" s="9" t="s">
        <v>8074</v>
      </c>
    </row>
    <row r="2785" spans="1:18" x14ac:dyDescent="0.25">
      <c r="A2785" s="6" t="str">
        <f>HYPERLINK("proteomic_fractions_linear_files/Yang_linear_img/407262645.jpg", "407262645")</f>
        <v>407262645</v>
      </c>
      <c r="B2785" s="7"/>
      <c r="C2785" s="6" t="str">
        <f>HYPERLINK("http://www.ncbi.nlm.nih.gov/protein/407262645","Gm13249")</f>
        <v>Gm13249</v>
      </c>
      <c r="D2785" s="8"/>
      <c r="E2785" s="8">
        <v>11642</v>
      </c>
      <c r="F2785" s="8"/>
      <c r="G2785" s="15">
        <v>1.4641616471132473</v>
      </c>
      <c r="H2785" s="15">
        <v>1.4641616471132473</v>
      </c>
      <c r="I2785" s="15">
        <v>1.327286815265148</v>
      </c>
      <c r="J2785" s="15">
        <v>1.327286815265148</v>
      </c>
      <c r="K2785" s="15">
        <v>1.3930395433839184</v>
      </c>
      <c r="L2785" s="15">
        <v>1.3930395433839184</v>
      </c>
      <c r="M2785" s="15">
        <v>1.4641616471132473</v>
      </c>
      <c r="N2785" s="15">
        <v>1.3930395433839184</v>
      </c>
      <c r="O2785" s="15">
        <v>1.327286815265148</v>
      </c>
      <c r="P2785" s="15">
        <v>1.327286815265148</v>
      </c>
      <c r="Q2785" s="8"/>
      <c r="R2785" s="9" t="s">
        <v>8074</v>
      </c>
    </row>
    <row r="2786" spans="1:18" x14ac:dyDescent="0.25">
      <c r="A2786" s="6" t="str">
        <f>HYPERLINK("proteomic_fractions_linear_files/Yang_linear_img/407261047.jpg", "407261047")</f>
        <v>407261047</v>
      </c>
      <c r="B2786" s="7"/>
      <c r="C2786" s="6" t="str">
        <f>HYPERLINK("http://www.ncbi.nlm.nih.gov/protein/407261047","Gm13552")</f>
        <v>Gm13552</v>
      </c>
      <c r="D2786" s="8"/>
      <c r="E2786" s="8">
        <v>18227</v>
      </c>
      <c r="F2786" s="8"/>
      <c r="G2786" s="15" t="s">
        <v>10</v>
      </c>
      <c r="H2786" s="15" t="s">
        <v>10</v>
      </c>
      <c r="I2786" s="15">
        <v>1.5510117387601143</v>
      </c>
      <c r="J2786" s="15">
        <v>1.5510117387601143</v>
      </c>
      <c r="K2786" s="15" t="s">
        <v>10</v>
      </c>
      <c r="L2786" s="15" t="s">
        <v>10</v>
      </c>
      <c r="M2786" s="15" t="s">
        <v>10</v>
      </c>
      <c r="N2786" s="15" t="s">
        <v>10</v>
      </c>
      <c r="O2786" s="15" t="s">
        <v>10</v>
      </c>
      <c r="P2786" s="15" t="s">
        <v>10</v>
      </c>
      <c r="Q2786" s="8"/>
      <c r="R2786" s="9" t="s">
        <v>8076</v>
      </c>
    </row>
    <row r="2787" spans="1:18" x14ac:dyDescent="0.25">
      <c r="A2787" s="6" t="str">
        <f>HYPERLINK("proteomic_fractions_linear_files/Yang_linear_img/309264473.jpg", "309264473")</f>
        <v>309264473</v>
      </c>
      <c r="B2787" s="7"/>
      <c r="C2787" s="6" t="str">
        <f>HYPERLINK("http://www.ncbi.nlm.nih.gov/protein/309264473","Gm13653")</f>
        <v>Gm13653</v>
      </c>
      <c r="D2787" s="8"/>
      <c r="E2787" s="8">
        <v>18433</v>
      </c>
      <c r="F2787" s="8"/>
      <c r="G2787" s="15">
        <v>1.6603003828729517</v>
      </c>
      <c r="H2787" s="15">
        <v>1.6603003828729517</v>
      </c>
      <c r="I2787" s="15">
        <v>1.1443022881475706</v>
      </c>
      <c r="J2787" s="15">
        <v>1.1443022881475706</v>
      </c>
      <c r="K2787" s="15">
        <v>1.1443022881475706</v>
      </c>
      <c r="L2787" s="15">
        <v>1.1443022881475706</v>
      </c>
      <c r="M2787" s="15">
        <v>1.1443022881475706</v>
      </c>
      <c r="N2787" s="15">
        <v>1.1443022881475706</v>
      </c>
      <c r="O2787" s="15" t="s">
        <v>10</v>
      </c>
      <c r="P2787" s="15" t="s">
        <v>10</v>
      </c>
      <c r="Q2787" s="8"/>
      <c r="R2787" s="9" t="s">
        <v>8053</v>
      </c>
    </row>
    <row r="2788" spans="1:18" x14ac:dyDescent="0.25">
      <c r="A2788" s="6" t="str">
        <f>HYPERLINK("proteomic_fractions_linear_files/Yang_linear_img/82885184.jpg", "82885184")</f>
        <v>82885184</v>
      </c>
      <c r="B2788" s="7"/>
      <c r="C2788" s="6" t="str">
        <f>HYPERLINK("http://www.ncbi.nlm.nih.gov/protein/82885184","Gm13777")</f>
        <v>Gm13777</v>
      </c>
      <c r="D2788" s="8"/>
      <c r="E2788" s="8">
        <v>11626</v>
      </c>
      <c r="F2788" s="8"/>
      <c r="G2788" s="15">
        <v>1.4641616471132473</v>
      </c>
      <c r="H2788" s="15">
        <v>1.4641616471132473</v>
      </c>
      <c r="I2788" s="15">
        <v>1.327286815265148</v>
      </c>
      <c r="J2788" s="15">
        <v>1.327286815265148</v>
      </c>
      <c r="K2788" s="15">
        <v>1.3930395433839184</v>
      </c>
      <c r="L2788" s="15">
        <v>1.3930395433839184</v>
      </c>
      <c r="M2788" s="15">
        <v>1.4641616471132473</v>
      </c>
      <c r="N2788" s="15">
        <v>1.3930395433839184</v>
      </c>
      <c r="O2788" s="15">
        <v>1.327286815265148</v>
      </c>
      <c r="P2788" s="15">
        <v>1.327286815265148</v>
      </c>
      <c r="Q2788" s="8"/>
      <c r="R2788" s="9" t="s">
        <v>8077</v>
      </c>
    </row>
    <row r="2789" spans="1:18" x14ac:dyDescent="0.25">
      <c r="A2789" s="6" t="str">
        <f>HYPERLINK("proteomic_fractions_linear_files/Yang_linear_img/82885753.jpg", "82885753")</f>
        <v>82885753</v>
      </c>
      <c r="B2789" s="7"/>
      <c r="C2789" s="6" t="str">
        <f>HYPERLINK("http://www.ncbi.nlm.nih.gov/protein/82885753","Gm13981")</f>
        <v>Gm13981</v>
      </c>
      <c r="D2789" s="8"/>
      <c r="E2789" s="8">
        <v>16453</v>
      </c>
      <c r="F2789" s="8"/>
      <c r="G2789" s="15">
        <v>1.5346762883298073</v>
      </c>
      <c r="H2789" s="15">
        <v>1.5346762883298073</v>
      </c>
      <c r="I2789" s="15">
        <v>1.0981212353349354</v>
      </c>
      <c r="J2789" s="15">
        <v>1.0981212353349354</v>
      </c>
      <c r="K2789" s="15">
        <v>1.0981212353349354</v>
      </c>
      <c r="L2789" s="15">
        <v>1.0981212353349354</v>
      </c>
      <c r="M2789" s="15">
        <v>1.1559561977852553</v>
      </c>
      <c r="N2789" s="15">
        <v>1.1559561977852553</v>
      </c>
      <c r="O2789" s="15" t="s">
        <v>10</v>
      </c>
      <c r="P2789" s="15" t="s">
        <v>10</v>
      </c>
      <c r="Q2789" s="8"/>
      <c r="R2789" s="9" t="s">
        <v>8078</v>
      </c>
    </row>
    <row r="2790" spans="1:18" x14ac:dyDescent="0.25">
      <c r="A2790" s="6" t="str">
        <f>HYPERLINK("proteomic_fractions_linear_files/Yang_linear_img/309267832.jpg", "309267832")</f>
        <v>309267832</v>
      </c>
      <c r="B2790" s="7"/>
      <c r="C2790" s="6" t="str">
        <f>HYPERLINK("http://www.ncbi.nlm.nih.gov/protein/309267832","Gm14217")</f>
        <v>Gm14217</v>
      </c>
      <c r="D2790" s="8"/>
      <c r="E2790" s="8">
        <v>39960</v>
      </c>
      <c r="F2790" s="8"/>
      <c r="G2790" s="15">
        <v>0.74713517229282833</v>
      </c>
      <c r="H2790" s="15">
        <v>0.74713517229282833</v>
      </c>
      <c r="I2790" s="15">
        <v>0.80210182139333974</v>
      </c>
      <c r="J2790" s="15">
        <v>0.80210182139333974</v>
      </c>
      <c r="K2790" s="15">
        <v>0.80210182139333974</v>
      </c>
      <c r="L2790" s="15">
        <v>0.80210182139333974</v>
      </c>
      <c r="M2790" s="15">
        <v>0.80210182139333974</v>
      </c>
      <c r="N2790" s="15">
        <v>0.80210182139333974</v>
      </c>
      <c r="O2790" s="15">
        <v>0.69795528244205152</v>
      </c>
      <c r="P2790" s="15">
        <v>0.69795528244205152</v>
      </c>
      <c r="Q2790" s="8"/>
      <c r="R2790" s="9" t="s">
        <v>8079</v>
      </c>
    </row>
    <row r="2791" spans="1:18" x14ac:dyDescent="0.25">
      <c r="A2791" s="6" t="str">
        <f>HYPERLINK("proteomic_fractions_linear_files/Yang_linear_img/309264642.jpg", "309264642")</f>
        <v>309264642</v>
      </c>
      <c r="B2791" s="7"/>
      <c r="C2791" s="6" t="str">
        <f>HYPERLINK("http://www.ncbi.nlm.nih.gov/protein/309264642","Gm14277")</f>
        <v>Gm14277</v>
      </c>
      <c r="D2791" s="8"/>
      <c r="E2791" s="8">
        <v>13132</v>
      </c>
      <c r="F2791" s="8"/>
      <c r="G2791" s="15">
        <v>1.6765955592829809</v>
      </c>
      <c r="H2791" s="15">
        <v>1.6765955592829809</v>
      </c>
      <c r="I2791" s="15">
        <v>0.94098933017933517</v>
      </c>
      <c r="J2791" s="15">
        <v>0.94098933017933517</v>
      </c>
      <c r="K2791" s="15">
        <v>1.0228510786924256</v>
      </c>
      <c r="L2791" s="15">
        <v>1.0228510786924256</v>
      </c>
      <c r="M2791" s="15">
        <v>1.1689490995241758</v>
      </c>
      <c r="N2791" s="15">
        <v>1.1689490995241758</v>
      </c>
      <c r="O2791" s="15" t="s">
        <v>10</v>
      </c>
      <c r="P2791" s="15" t="s">
        <v>10</v>
      </c>
      <c r="Q2791" s="8"/>
      <c r="R2791" s="9" t="s">
        <v>8080</v>
      </c>
    </row>
    <row r="2792" spans="1:18" x14ac:dyDescent="0.25">
      <c r="A2792" s="6" t="str">
        <f>HYPERLINK("proteomic_fractions_linear_files/Yang_linear_img/149250385.jpg", "149250385")</f>
        <v>149250385</v>
      </c>
      <c r="B2792" s="7"/>
      <c r="C2792" s="6" t="str">
        <f>HYPERLINK("http://www.ncbi.nlm.nih.gov/protein/149250385","Gm14279")</f>
        <v>Gm14279</v>
      </c>
      <c r="D2792" s="8"/>
      <c r="E2792" s="8">
        <v>12423</v>
      </c>
      <c r="F2792" s="8"/>
      <c r="G2792" s="15">
        <v>1.6250958190029394</v>
      </c>
      <c r="H2792" s="15">
        <v>1.6250958190029394</v>
      </c>
      <c r="I2792" s="15">
        <v>1.209789476822529</v>
      </c>
      <c r="J2792" s="15">
        <v>1.209789476822529</v>
      </c>
      <c r="K2792" s="15">
        <v>1.2663615244845239</v>
      </c>
      <c r="L2792" s="15">
        <v>1.2663615244845239</v>
      </c>
      <c r="M2792" s="15">
        <v>1.2663615244845239</v>
      </c>
      <c r="N2792" s="15">
        <v>1.2663615244845239</v>
      </c>
      <c r="O2792" s="15">
        <v>1.1571542083280542</v>
      </c>
      <c r="P2792" s="15">
        <v>1.1571542083280542</v>
      </c>
      <c r="Q2792" s="8"/>
      <c r="R2792" s="9" t="s">
        <v>8052</v>
      </c>
    </row>
    <row r="2793" spans="1:18" x14ac:dyDescent="0.25">
      <c r="A2793" s="6" t="str">
        <f>HYPERLINK("proteomic_fractions_linear_files/Yang_linear_img/309264679.jpg", "309264679")</f>
        <v>309264679</v>
      </c>
      <c r="B2793" s="7"/>
      <c r="C2793" s="6" t="str">
        <f>HYPERLINK("http://www.ncbi.nlm.nih.gov/protein/309264679","Gm14407")</f>
        <v>Gm14407</v>
      </c>
      <c r="D2793" s="8"/>
      <c r="E2793" s="8">
        <v>16309</v>
      </c>
      <c r="F2793" s="8"/>
      <c r="G2793" s="15" t="s">
        <v>10</v>
      </c>
      <c r="H2793" s="15" t="s">
        <v>10</v>
      </c>
      <c r="I2793" s="15" t="s">
        <v>10</v>
      </c>
      <c r="J2793" s="15" t="s">
        <v>10</v>
      </c>
      <c r="K2793" s="15">
        <v>1.0981212353349354</v>
      </c>
      <c r="L2793" s="15">
        <v>1.0981212353349354</v>
      </c>
      <c r="M2793" s="15" t="s">
        <v>10</v>
      </c>
      <c r="N2793" s="15" t="s">
        <v>10</v>
      </c>
      <c r="O2793" s="15" t="s">
        <v>10</v>
      </c>
      <c r="P2793" s="15" t="s">
        <v>10</v>
      </c>
      <c r="Q2793" s="8"/>
      <c r="R2793" s="9" t="s">
        <v>8078</v>
      </c>
    </row>
    <row r="2794" spans="1:18" x14ac:dyDescent="0.25">
      <c r="A2794" s="6" t="str">
        <f>HYPERLINK("proteomic_fractions_linear_files/Yang_linear_img/82887979.jpg", "82887979")</f>
        <v>82887979</v>
      </c>
      <c r="B2794" s="7"/>
      <c r="C2794" s="6" t="str">
        <f>HYPERLINK("http://www.ncbi.nlm.nih.gov/protein/82887979","Gm14439")</f>
        <v>Gm14439</v>
      </c>
      <c r="D2794" s="8"/>
      <c r="E2794" s="8">
        <v>16380</v>
      </c>
      <c r="F2794" s="8"/>
      <c r="G2794" s="15" t="s">
        <v>10</v>
      </c>
      <c r="H2794" s="15" t="s">
        <v>10</v>
      </c>
      <c r="I2794" s="15" t="s">
        <v>10</v>
      </c>
      <c r="J2794" s="15" t="s">
        <v>10</v>
      </c>
      <c r="K2794" s="15">
        <v>1.0981212353349354</v>
      </c>
      <c r="L2794" s="15">
        <v>1.0981212353349354</v>
      </c>
      <c r="M2794" s="15" t="s">
        <v>10</v>
      </c>
      <c r="N2794" s="15" t="s">
        <v>10</v>
      </c>
      <c r="O2794" s="15" t="s">
        <v>10</v>
      </c>
      <c r="P2794" s="15" t="s">
        <v>10</v>
      </c>
      <c r="Q2794" s="8"/>
      <c r="R2794" s="9" t="s">
        <v>8078</v>
      </c>
    </row>
    <row r="2795" spans="1:18" x14ac:dyDescent="0.25">
      <c r="A2795" s="6" t="str">
        <f>HYPERLINK("proteomic_fractions_linear_files/Yang_linear_img/160333495.jpg", "160333495")</f>
        <v>160333495</v>
      </c>
      <c r="B2795" s="7"/>
      <c r="C2795" s="6" t="str">
        <f>HYPERLINK("http://www.ncbi.nlm.nih.gov/protein/160333495","Gm14446")</f>
        <v>Gm14446</v>
      </c>
      <c r="D2795" s="8"/>
      <c r="E2795" s="8">
        <v>54347</v>
      </c>
      <c r="F2795" s="8"/>
      <c r="G2795" s="15" t="s">
        <v>10</v>
      </c>
      <c r="H2795" s="15" t="s">
        <v>10</v>
      </c>
      <c r="I2795" s="15">
        <v>0.98371425240742738</v>
      </c>
      <c r="J2795" s="15">
        <v>0.98371425240742738</v>
      </c>
      <c r="K2795" s="15">
        <v>1.0883927330665528</v>
      </c>
      <c r="L2795" s="15">
        <v>1.0883927330665528</v>
      </c>
      <c r="M2795" s="15">
        <v>0.98371425240742738</v>
      </c>
      <c r="N2795" s="15">
        <v>0.98371425240742738</v>
      </c>
      <c r="O2795" s="15" t="s">
        <v>10</v>
      </c>
      <c r="P2795" s="15" t="s">
        <v>10</v>
      </c>
      <c r="Q2795" s="8"/>
      <c r="R2795" s="9" t="s">
        <v>2711</v>
      </c>
    </row>
    <row r="2796" spans="1:18" x14ac:dyDescent="0.25">
      <c r="A2796" s="6" t="str">
        <f>HYPERLINK("proteomic_fractions_linear_files/Yang_linear_img/160333500.jpg", "160333500")</f>
        <v>160333500</v>
      </c>
      <c r="B2796" s="7"/>
      <c r="C2796" s="6" t="str">
        <f>HYPERLINK("http://www.ncbi.nlm.nih.gov/protein/160333500","Gm14446")</f>
        <v>Gm14446</v>
      </c>
      <c r="D2796" s="8"/>
      <c r="E2796" s="8">
        <v>54379</v>
      </c>
      <c r="F2796" s="8"/>
      <c r="G2796" s="15" t="s">
        <v>10</v>
      </c>
      <c r="H2796" s="15" t="s">
        <v>10</v>
      </c>
      <c r="I2796" s="15">
        <v>0.98371425240742738</v>
      </c>
      <c r="J2796" s="15">
        <v>0.98371425240742738</v>
      </c>
      <c r="K2796" s="15">
        <v>1.0883927330665528</v>
      </c>
      <c r="L2796" s="15">
        <v>1.0883927330665528</v>
      </c>
      <c r="M2796" s="15">
        <v>0.98371425240742738</v>
      </c>
      <c r="N2796" s="15">
        <v>0.98371425240742738</v>
      </c>
      <c r="O2796" s="15" t="s">
        <v>10</v>
      </c>
      <c r="P2796" s="15" t="s">
        <v>10</v>
      </c>
      <c r="Q2796" s="8"/>
      <c r="R2796" s="9" t="s">
        <v>2712</v>
      </c>
    </row>
    <row r="2797" spans="1:18" x14ac:dyDescent="0.25">
      <c r="A2797" s="6" t="str">
        <f>HYPERLINK("proteomic_fractions_linear_files/Yang_linear_img/407262426.jpg", "407262426")</f>
        <v>407262426</v>
      </c>
      <c r="B2797" s="7"/>
      <c r="C2797" s="6" t="str">
        <f>HYPERLINK("http://www.ncbi.nlm.nih.gov/protein/407262426","Gm14517")</f>
        <v>Gm14517</v>
      </c>
      <c r="D2797" s="8"/>
      <c r="E2797" s="8">
        <v>12289</v>
      </c>
      <c r="F2797" s="8"/>
      <c r="G2797" s="15" t="s">
        <v>10</v>
      </c>
      <c r="H2797" s="15" t="s">
        <v>10</v>
      </c>
      <c r="I2797" s="15" t="s">
        <v>10</v>
      </c>
      <c r="J2797" s="15" t="s">
        <v>10</v>
      </c>
      <c r="K2797" s="15">
        <v>1.209789476822529</v>
      </c>
      <c r="L2797" s="15">
        <v>1.209789476822529</v>
      </c>
      <c r="M2797" s="15">
        <v>1.209789476822529</v>
      </c>
      <c r="N2797" s="15">
        <v>1.209789476822529</v>
      </c>
      <c r="O2797" s="15">
        <v>1.1080886685834612</v>
      </c>
      <c r="P2797" s="15">
        <v>1.1080886685834612</v>
      </c>
      <c r="Q2797" s="8"/>
      <c r="R2797" s="9" t="s">
        <v>8081</v>
      </c>
    </row>
    <row r="2798" spans="1:18" x14ac:dyDescent="0.25">
      <c r="A2798" s="6" t="str">
        <f>HYPERLINK("proteomic_fractions_linear_files/Yang_linear_img/309266821.jpg", "309266821")</f>
        <v>309266821</v>
      </c>
      <c r="B2798" s="7"/>
      <c r="C2798" s="6" t="str">
        <f>HYPERLINK("http://www.ncbi.nlm.nih.gov/protein/309266821","Gm14535")</f>
        <v>Gm14535</v>
      </c>
      <c r="D2798" s="8"/>
      <c r="E2798" s="8">
        <v>15286</v>
      </c>
      <c r="F2798" s="8"/>
      <c r="G2798" s="15" t="s">
        <v>10</v>
      </c>
      <c r="H2798" s="15" t="s">
        <v>10</v>
      </c>
      <c r="I2798" s="15" t="s">
        <v>10</v>
      </c>
      <c r="J2798" s="15" t="s">
        <v>10</v>
      </c>
      <c r="K2798" s="15" t="s">
        <v>10</v>
      </c>
      <c r="L2798" s="15" t="s">
        <v>10</v>
      </c>
      <c r="M2798" s="15">
        <v>1.2330199443042722</v>
      </c>
      <c r="N2798" s="15">
        <v>1.2330199443042722</v>
      </c>
      <c r="O2798" s="15" t="s">
        <v>10</v>
      </c>
      <c r="P2798" s="15" t="s">
        <v>10</v>
      </c>
      <c r="Q2798" s="8"/>
      <c r="R2798" s="9" t="s">
        <v>8082</v>
      </c>
    </row>
    <row r="2799" spans="1:18" x14ac:dyDescent="0.25">
      <c r="A2799" s="6" t="str">
        <f>HYPERLINK("proteomic_fractions_linear_files/Yang_linear_img/149271597.jpg", "149271597")</f>
        <v>149271597</v>
      </c>
      <c r="B2799" s="7"/>
      <c r="C2799" s="6" t="str">
        <f>HYPERLINK("http://www.ncbi.nlm.nih.gov/protein/149271597","Gm14680")</f>
        <v>Gm14680</v>
      </c>
      <c r="D2799" s="8"/>
      <c r="E2799" s="8">
        <v>41182</v>
      </c>
      <c r="F2799" s="8"/>
      <c r="G2799" s="15" t="s">
        <v>10</v>
      </c>
      <c r="H2799" s="15" t="s">
        <v>10</v>
      </c>
      <c r="I2799" s="15" t="s">
        <v>10</v>
      </c>
      <c r="J2799" s="15" t="s">
        <v>10</v>
      </c>
      <c r="K2799" s="15" t="s">
        <v>10</v>
      </c>
      <c r="L2799" s="15" t="s">
        <v>10</v>
      </c>
      <c r="M2799" s="15" t="s">
        <v>10</v>
      </c>
      <c r="N2799" s="15" t="s">
        <v>10</v>
      </c>
      <c r="O2799" s="15">
        <v>0.84276528123110206</v>
      </c>
      <c r="P2799" s="15">
        <v>0.84276528123110206</v>
      </c>
      <c r="Q2799" s="8"/>
      <c r="R2799" s="9" t="s">
        <v>8083</v>
      </c>
    </row>
    <row r="2800" spans="1:18" x14ac:dyDescent="0.25">
      <c r="A2800" s="6" t="str">
        <f>HYPERLINK("proteomic_fractions_linear_files/Yang_linear_img/309266900.jpg", "309266900")</f>
        <v>309266900</v>
      </c>
      <c r="B2800" s="7"/>
      <c r="C2800" s="6" t="str">
        <f>HYPERLINK("http://www.ncbi.nlm.nih.gov/protein/309266900","Gm14925")</f>
        <v>Gm14925</v>
      </c>
      <c r="D2800" s="8"/>
      <c r="E2800" s="8">
        <v>12909</v>
      </c>
      <c r="F2800" s="8"/>
      <c r="G2800" s="15" t="s">
        <v>10</v>
      </c>
      <c r="H2800" s="15" t="s">
        <v>10</v>
      </c>
      <c r="I2800" s="15">
        <v>1.068142346148973</v>
      </c>
      <c r="J2800" s="15">
        <v>1.068142346148973</v>
      </c>
      <c r="K2800" s="15" t="s">
        <v>10</v>
      </c>
      <c r="L2800" s="15" t="s">
        <v>10</v>
      </c>
      <c r="M2800" s="15" t="s">
        <v>10</v>
      </c>
      <c r="N2800" s="15" t="s">
        <v>10</v>
      </c>
      <c r="O2800" s="15" t="s">
        <v>10</v>
      </c>
      <c r="P2800" s="15" t="s">
        <v>10</v>
      </c>
      <c r="Q2800" s="8"/>
      <c r="R2800" s="9" t="s">
        <v>8084</v>
      </c>
    </row>
    <row r="2801" spans="1:18" x14ac:dyDescent="0.25">
      <c r="A2801" s="6" t="str">
        <f>HYPERLINK("proteomic_fractions_linear_files/Yang_linear_img/149272225.jpg", "149272225")</f>
        <v>149272225</v>
      </c>
      <c r="B2801" s="7"/>
      <c r="C2801" s="6" t="str">
        <f>HYPERLINK("http://www.ncbi.nlm.nih.gov/protein/149272225","Gm14958")</f>
        <v>Gm14958</v>
      </c>
      <c r="D2801" s="8"/>
      <c r="E2801" s="8">
        <v>14358</v>
      </c>
      <c r="F2801" s="8"/>
      <c r="G2801" s="15">
        <v>1.5568387336199108</v>
      </c>
      <c r="H2801" s="15">
        <v>1.5568387336199108</v>
      </c>
      <c r="I2801" s="15">
        <v>1.0369624087050249</v>
      </c>
      <c r="J2801" s="15">
        <v>1.0369624087050249</v>
      </c>
      <c r="K2801" s="15">
        <v>1.085452735272449</v>
      </c>
      <c r="L2801" s="15">
        <v>1.085452735272449</v>
      </c>
      <c r="M2801" s="15">
        <v>1.085452735272449</v>
      </c>
      <c r="N2801" s="15">
        <v>1.085452735272449</v>
      </c>
      <c r="O2801" s="15">
        <v>0.99184646428118928</v>
      </c>
      <c r="P2801" s="15">
        <v>0.99184646428118928</v>
      </c>
      <c r="Q2801" s="8"/>
      <c r="R2801" s="9" t="s">
        <v>8085</v>
      </c>
    </row>
    <row r="2802" spans="1:18" x14ac:dyDescent="0.25">
      <c r="A2802" s="6" t="str">
        <f>HYPERLINK("proteomic_fractions_linear_files/Yang_linear_img/309266944.jpg", "309266944")</f>
        <v>309266944</v>
      </c>
      <c r="B2802" s="7"/>
      <c r="C2802" s="6" t="str">
        <f>HYPERLINK("http://www.ncbi.nlm.nih.gov/protein/309266944","Gm15032")</f>
        <v>Gm15032</v>
      </c>
      <c r="D2802" s="8"/>
      <c r="E2802" s="8">
        <v>16951</v>
      </c>
      <c r="F2802" s="8"/>
      <c r="G2802" s="15">
        <v>352.53529411764708</v>
      </c>
      <c r="H2802" s="15">
        <v>352.53529411764708</v>
      </c>
      <c r="I2802" s="15">
        <v>0.89390225257731093</v>
      </c>
      <c r="J2802" s="15">
        <v>0.89390225257731093</v>
      </c>
      <c r="K2802" s="15">
        <v>0.93690834018716329</v>
      </c>
      <c r="L2802" s="15">
        <v>0.93690834018716329</v>
      </c>
      <c r="M2802" s="15">
        <v>0.93690834018716329</v>
      </c>
      <c r="N2802" s="15">
        <v>0.93690834018716329</v>
      </c>
      <c r="O2802" s="15">
        <v>0.89390225257731093</v>
      </c>
      <c r="P2802" s="15">
        <v>0.89390225257731093</v>
      </c>
      <c r="Q2802" s="8"/>
      <c r="R2802" s="9" t="s">
        <v>8086</v>
      </c>
    </row>
    <row r="2803" spans="1:18" x14ac:dyDescent="0.25">
      <c r="A2803" s="6" t="str">
        <f>HYPERLINK("proteomic_fractions_linear_files/Yang_linear_img/377835587.jpg", "377835587")</f>
        <v>377835587</v>
      </c>
      <c r="B2803" s="7"/>
      <c r="C2803" s="6" t="str">
        <f>HYPERLINK("http://www.ncbi.nlm.nih.gov/protein/377835587","Gm15210")</f>
        <v>Gm15210</v>
      </c>
      <c r="D2803" s="8"/>
      <c r="E2803" s="8">
        <v>55718</v>
      </c>
      <c r="F2803" s="8"/>
      <c r="G2803" s="15" t="s">
        <v>10</v>
      </c>
      <c r="H2803" s="15" t="s">
        <v>10</v>
      </c>
      <c r="I2803" s="15">
        <v>0.94858160053573359</v>
      </c>
      <c r="J2803" s="15">
        <v>0.94858160053573359</v>
      </c>
      <c r="K2803" s="15">
        <v>1.0495215640284616</v>
      </c>
      <c r="L2803" s="15">
        <v>1.0495215640284616</v>
      </c>
      <c r="M2803" s="15">
        <v>0.94858160053573359</v>
      </c>
      <c r="N2803" s="15">
        <v>0.94858160053573359</v>
      </c>
      <c r="O2803" s="15">
        <v>0.86232099257884376</v>
      </c>
      <c r="P2803" s="15">
        <v>0.86232099257884376</v>
      </c>
      <c r="Q2803" s="8"/>
      <c r="R2803" s="9" t="s">
        <v>8087</v>
      </c>
    </row>
    <row r="2804" spans="1:18" x14ac:dyDescent="0.25">
      <c r="A2804" s="6" t="str">
        <f>HYPERLINK("proteomic_fractions_linear_files/Yang_linear_img/407262829.jpg", "407262829")</f>
        <v>407262829</v>
      </c>
      <c r="B2804" s="7"/>
      <c r="C2804" s="6" t="str">
        <f>HYPERLINK("http://www.ncbi.nlm.nih.gov/protein/407262829","Gm15453")</f>
        <v>Gm15453</v>
      </c>
      <c r="D2804" s="8"/>
      <c r="E2804" s="8">
        <v>16729</v>
      </c>
      <c r="F2804" s="8"/>
      <c r="G2804" s="15">
        <v>1.3593866691010261</v>
      </c>
      <c r="H2804" s="15">
        <v>1.3593866691010261</v>
      </c>
      <c r="I2804" s="15">
        <v>0.93690834018716329</v>
      </c>
      <c r="J2804" s="15">
        <v>0.93690834018716329</v>
      </c>
      <c r="K2804" s="15">
        <v>0.98332203062394252</v>
      </c>
      <c r="L2804" s="15">
        <v>0.98332203062394252</v>
      </c>
      <c r="M2804" s="15">
        <v>0.98332203062394252</v>
      </c>
      <c r="N2804" s="15">
        <v>0.98332203062394252</v>
      </c>
      <c r="O2804" s="15">
        <v>0.93690834018716329</v>
      </c>
      <c r="P2804" s="15">
        <v>0.93690834018716329</v>
      </c>
      <c r="Q2804" s="8"/>
      <c r="R2804" s="9" t="s">
        <v>8088</v>
      </c>
    </row>
    <row r="2805" spans="1:18" x14ac:dyDescent="0.25">
      <c r="A2805" s="6" t="str">
        <f>HYPERLINK("proteomic_fractions_linear_files/Yang_linear_img/309264693.jpg", "309264693")</f>
        <v>309264693</v>
      </c>
      <c r="B2805" s="7"/>
      <c r="C2805" s="6" t="str">
        <f>HYPERLINK("http://www.ncbi.nlm.nih.gov/protein/309264693","Gm15466")</f>
        <v>Gm15466</v>
      </c>
      <c r="D2805" s="8"/>
      <c r="E2805" s="8">
        <v>12176</v>
      </c>
      <c r="F2805" s="8"/>
      <c r="G2805" s="15">
        <v>2.1791881762854168</v>
      </c>
      <c r="H2805" s="15">
        <v>2.1791881762854168</v>
      </c>
      <c r="I2805" s="15">
        <v>1.4641616471132473</v>
      </c>
      <c r="J2805" s="15">
        <v>1.4641616471132473</v>
      </c>
      <c r="K2805" s="15">
        <v>1.4641616471132473</v>
      </c>
      <c r="L2805" s="15">
        <v>1.4641616471132473</v>
      </c>
      <c r="M2805" s="15">
        <v>1.6250958190029394</v>
      </c>
      <c r="N2805" s="15">
        <v>1.6250958190029394</v>
      </c>
      <c r="O2805" s="15">
        <v>1.1080886685834612</v>
      </c>
      <c r="P2805" s="15">
        <v>1.1080886685834612</v>
      </c>
      <c r="Q2805" s="8"/>
      <c r="R2805" s="9" t="s">
        <v>8089</v>
      </c>
    </row>
    <row r="2806" spans="1:18" x14ac:dyDescent="0.25">
      <c r="A2806" s="6" t="str">
        <f>HYPERLINK("proteomic_fractions_linear_files/Yang_linear_img/309266131.jpg", "309266131")</f>
        <v>309266131</v>
      </c>
      <c r="B2806" s="7"/>
      <c r="C2806" s="6" t="str">
        <f>HYPERLINK("http://www.ncbi.nlm.nih.gov/protein/309266131","Gm15483")</f>
        <v>Gm15483</v>
      </c>
      <c r="D2806" s="8"/>
      <c r="E2806" s="8">
        <v>17092</v>
      </c>
      <c r="F2806" s="8"/>
      <c r="G2806" s="15">
        <v>1.4444012125457011</v>
      </c>
      <c r="H2806" s="15">
        <v>1.4444012125457011</v>
      </c>
      <c r="I2806" s="15">
        <v>0.98332203062394252</v>
      </c>
      <c r="J2806" s="15">
        <v>0.98332203062394252</v>
      </c>
      <c r="K2806" s="15">
        <v>1.0335258685505275</v>
      </c>
      <c r="L2806" s="15">
        <v>1.0335258685505275</v>
      </c>
      <c r="M2806" s="15">
        <v>1.0335258685505275</v>
      </c>
      <c r="N2806" s="15">
        <v>1.0335258685505275</v>
      </c>
      <c r="O2806" s="15" t="s">
        <v>10</v>
      </c>
      <c r="P2806" s="15" t="s">
        <v>10</v>
      </c>
      <c r="Q2806" s="8"/>
      <c r="R2806" s="9" t="s">
        <v>8090</v>
      </c>
    </row>
    <row r="2807" spans="1:18" x14ac:dyDescent="0.25">
      <c r="A2807" s="6" t="str">
        <f>HYPERLINK("proteomic_fractions_linear_files/Yang_linear_img/149257598.jpg", "149257598")</f>
        <v>149257598</v>
      </c>
      <c r="B2807" s="7"/>
      <c r="C2807" s="6" t="str">
        <f>HYPERLINK("http://www.ncbi.nlm.nih.gov/protein/149257598","Gm15501")</f>
        <v>Gm15501</v>
      </c>
      <c r="D2807" s="8"/>
      <c r="E2807" s="8">
        <v>24074</v>
      </c>
      <c r="F2807" s="8"/>
      <c r="G2807" s="15">
        <v>1.4397240221031327</v>
      </c>
      <c r="H2807" s="15">
        <v>1.4397240221031327</v>
      </c>
      <c r="I2807" s="15">
        <v>1.0231175255532048</v>
      </c>
      <c r="J2807" s="15">
        <v>1.0231175255532048</v>
      </c>
      <c r="K2807" s="15">
        <v>1.0895940881427084</v>
      </c>
      <c r="L2807" s="15">
        <v>1.0895940881427084</v>
      </c>
      <c r="M2807" s="15">
        <v>1.0895940881427084</v>
      </c>
      <c r="N2807" s="15">
        <v>1.0895940881427084</v>
      </c>
      <c r="O2807" s="15" t="s">
        <v>10</v>
      </c>
      <c r="P2807" s="15" t="s">
        <v>10</v>
      </c>
      <c r="Q2807" s="8"/>
      <c r="R2807" s="9" t="s">
        <v>8091</v>
      </c>
    </row>
    <row r="2808" spans="1:18" x14ac:dyDescent="0.25">
      <c r="A2808" s="6" t="str">
        <f>HYPERLINK("proteomic_fractions_linear_files/Yang_linear_img/149234328.jpg", "149234328")</f>
        <v>149234328</v>
      </c>
      <c r="B2808" s="7"/>
      <c r="C2808" s="6" t="str">
        <f>HYPERLINK("http://www.ncbi.nlm.nih.gov/protein/149234328","Gm15583")</f>
        <v>Gm15583</v>
      </c>
      <c r="D2808" s="8"/>
      <c r="E2808" s="8">
        <v>130510</v>
      </c>
      <c r="F2808" s="8"/>
      <c r="G2808" s="15" t="s">
        <v>10</v>
      </c>
      <c r="H2808" s="15" t="s">
        <v>10</v>
      </c>
      <c r="I2808" s="15" t="s">
        <v>10</v>
      </c>
      <c r="J2808" s="15" t="s">
        <v>10</v>
      </c>
      <c r="K2808" s="15">
        <v>2.3036895010419753</v>
      </c>
      <c r="L2808" s="15">
        <v>2.3036895010419753</v>
      </c>
      <c r="M2808" s="15">
        <v>0.49964323153087276</v>
      </c>
      <c r="N2808" s="15">
        <v>0.49964323153087276</v>
      </c>
      <c r="O2808" s="15" t="s">
        <v>10</v>
      </c>
      <c r="P2808" s="15" t="s">
        <v>10</v>
      </c>
      <c r="Q2808" s="8"/>
      <c r="R2808" s="9" t="s">
        <v>8092</v>
      </c>
    </row>
    <row r="2809" spans="1:18" x14ac:dyDescent="0.25">
      <c r="A2809" s="6" t="str">
        <f>HYPERLINK("proteomic_fractions_linear_files/Yang_linear_img/309265319.jpg", "309265319")</f>
        <v>309265319</v>
      </c>
      <c r="B2809" s="7"/>
      <c r="C2809" s="6" t="str">
        <f>HYPERLINK("http://www.ncbi.nlm.nih.gov/protein/309265319","Gm15682")</f>
        <v>Gm15682</v>
      </c>
      <c r="D2809" s="8"/>
      <c r="E2809" s="8">
        <v>18373</v>
      </c>
      <c r="F2809" s="8"/>
      <c r="G2809" s="15">
        <v>1.6603003828729517</v>
      </c>
      <c r="H2809" s="15">
        <v>1.6603003828729517</v>
      </c>
      <c r="I2809" s="15">
        <v>1.1443022881475706</v>
      </c>
      <c r="J2809" s="15">
        <v>1.1443022881475706</v>
      </c>
      <c r="K2809" s="15">
        <v>1.1443022881475706</v>
      </c>
      <c r="L2809" s="15">
        <v>1.1443022881475706</v>
      </c>
      <c r="M2809" s="15">
        <v>1.1443022881475706</v>
      </c>
      <c r="N2809" s="15">
        <v>1.1443022881475706</v>
      </c>
      <c r="O2809" s="15" t="s">
        <v>10</v>
      </c>
      <c r="P2809" s="15" t="s">
        <v>10</v>
      </c>
      <c r="Q2809" s="8"/>
      <c r="R2809" s="9" t="s">
        <v>8053</v>
      </c>
    </row>
    <row r="2810" spans="1:18" x14ac:dyDescent="0.25">
      <c r="A2810" s="6" t="str">
        <f>HYPERLINK("proteomic_fractions_linear_files/Yang_linear_img/359718915.jpg", "359718915")</f>
        <v>359718915</v>
      </c>
      <c r="B2810" s="7"/>
      <c r="C2810" s="6" t="str">
        <f>HYPERLINK("http://www.ncbi.nlm.nih.gov/protein/359718915","Gm15800")</f>
        <v>Gm15800</v>
      </c>
      <c r="D2810" s="8"/>
      <c r="E2810" s="8">
        <v>484000</v>
      </c>
      <c r="F2810" s="8"/>
      <c r="G2810" s="15" t="s">
        <v>10</v>
      </c>
      <c r="H2810" s="15" t="s">
        <v>10</v>
      </c>
      <c r="I2810" s="15">
        <v>0.62351926577789007</v>
      </c>
      <c r="J2810" s="15">
        <v>0.62351926577789007</v>
      </c>
      <c r="K2810" s="15">
        <v>0.8451313176434706</v>
      </c>
      <c r="L2810" s="15">
        <v>0.8451313176434706</v>
      </c>
      <c r="M2810" s="15">
        <v>1.226224805101868</v>
      </c>
      <c r="N2810" s="15">
        <v>1.226224805101868</v>
      </c>
      <c r="O2810" s="15" t="s">
        <v>10</v>
      </c>
      <c r="P2810" s="15" t="s">
        <v>10</v>
      </c>
      <c r="Q2810" s="8"/>
      <c r="R2810" s="9" t="s">
        <v>2713</v>
      </c>
    </row>
    <row r="2811" spans="1:18" x14ac:dyDescent="0.25">
      <c r="A2811" s="6" t="str">
        <f>HYPERLINK("proteomic_fractions_linear_files/Yang_linear_img/309264895.jpg", "309264895")</f>
        <v>309264895</v>
      </c>
      <c r="B2811" s="7"/>
      <c r="C2811" s="6" t="str">
        <f>HYPERLINK("http://www.ncbi.nlm.nih.gov/protein/309264895","Gm16500")</f>
        <v>Gm16500</v>
      </c>
      <c r="D2811" s="8"/>
      <c r="E2811" s="8">
        <v>17882</v>
      </c>
      <c r="F2811" s="8"/>
      <c r="G2811" s="15" t="s">
        <v>10</v>
      </c>
      <c r="H2811" s="15" t="s">
        <v>10</v>
      </c>
      <c r="I2811" s="15" t="s">
        <v>10</v>
      </c>
      <c r="J2811" s="15" t="s">
        <v>10</v>
      </c>
      <c r="K2811" s="15">
        <v>0.80652631788168594</v>
      </c>
      <c r="L2811" s="15">
        <v>0.80652631788168594</v>
      </c>
      <c r="M2811" s="15" t="s">
        <v>10</v>
      </c>
      <c r="N2811" s="15" t="s">
        <v>10</v>
      </c>
      <c r="O2811" s="15">
        <v>0.73872577905564074</v>
      </c>
      <c r="P2811" s="15">
        <v>0.73872577905564074</v>
      </c>
      <c r="Q2811" s="8"/>
      <c r="R2811" s="9" t="s">
        <v>8093</v>
      </c>
    </row>
    <row r="2812" spans="1:18" x14ac:dyDescent="0.25">
      <c r="A2812" s="6" t="str">
        <f>HYPERLINK("proteomic_fractions_linear_files/Yang_linear_img/13384646.jpg", "13384646")</f>
        <v>13384646</v>
      </c>
      <c r="B2812" s="7"/>
      <c r="C2812" s="6" t="str">
        <f>HYPERLINK("http://www.ncbi.nlm.nih.gov/protein/13384646","Gm16515")</f>
        <v>Gm16515</v>
      </c>
      <c r="D2812" s="8"/>
      <c r="E2812" s="8">
        <v>12599</v>
      </c>
      <c r="F2812" s="8"/>
      <c r="G2812" s="15" t="s">
        <v>10</v>
      </c>
      <c r="H2812" s="15" t="s">
        <v>10</v>
      </c>
      <c r="I2812" s="15" t="s">
        <v>10</v>
      </c>
      <c r="J2812" s="15" t="s">
        <v>10</v>
      </c>
      <c r="K2812" s="15" t="s">
        <v>10</v>
      </c>
      <c r="L2812" s="15" t="s">
        <v>10</v>
      </c>
      <c r="M2812" s="15">
        <v>1.1167287478361805</v>
      </c>
      <c r="N2812" s="15">
        <v>1.1167287478361805</v>
      </c>
      <c r="O2812" s="15">
        <v>1.0228510786924256</v>
      </c>
      <c r="P2812" s="15">
        <v>1.0228510786924256</v>
      </c>
      <c r="Q2812" s="8"/>
      <c r="R2812" s="9" t="s">
        <v>2714</v>
      </c>
    </row>
    <row r="2813" spans="1:18" x14ac:dyDescent="0.25">
      <c r="A2813" s="6" t="str">
        <f>HYPERLINK("proteomic_fractions_linear_files/Yang_linear_img/309271517.jpg", "309271517")</f>
        <v>309271517</v>
      </c>
      <c r="B2813" s="7"/>
      <c r="C2813" s="6" t="str">
        <f>HYPERLINK("http://www.ncbi.nlm.nih.gov/protein/309271517","Gm17267")</f>
        <v>Gm17267</v>
      </c>
      <c r="D2813" s="8"/>
      <c r="E2813" s="8">
        <v>65484</v>
      </c>
      <c r="F2813" s="8"/>
      <c r="G2813" s="15" t="s">
        <v>10</v>
      </c>
      <c r="H2813" s="15" t="s">
        <v>10</v>
      </c>
      <c r="I2813" s="15" t="s">
        <v>10</v>
      </c>
      <c r="J2813" s="15" t="s">
        <v>10</v>
      </c>
      <c r="K2813" s="15" t="s">
        <v>10</v>
      </c>
      <c r="L2813" s="15" t="s">
        <v>10</v>
      </c>
      <c r="M2813" s="15" t="s">
        <v>10</v>
      </c>
      <c r="N2813" s="15" t="s">
        <v>10</v>
      </c>
      <c r="O2813" s="15">
        <v>1.6892548280174071</v>
      </c>
      <c r="P2813" s="15">
        <v>1.6892548280174071</v>
      </c>
      <c r="Q2813" s="8"/>
      <c r="R2813" s="9" t="s">
        <v>8094</v>
      </c>
    </row>
    <row r="2814" spans="1:18" x14ac:dyDescent="0.25">
      <c r="A2814" s="6" t="str">
        <f>HYPERLINK("proteomic_fractions_linear_files/Yang_linear_img/309270883.jpg", "309270883")</f>
        <v>309270883</v>
      </c>
      <c r="B2814" s="7"/>
      <c r="C2814" s="6" t="str">
        <f>HYPERLINK("http://www.ncbi.nlm.nih.gov/protein/309270883","Gm17748")</f>
        <v>Gm17748</v>
      </c>
      <c r="D2814" s="8"/>
      <c r="E2814" s="8">
        <v>21741</v>
      </c>
      <c r="F2814" s="8"/>
      <c r="G2814" s="15">
        <v>1.1161282096944054</v>
      </c>
      <c r="H2814" s="15">
        <v>1.1161282096944054</v>
      </c>
      <c r="I2814" s="15">
        <v>0.7986336256981349</v>
      </c>
      <c r="J2814" s="15">
        <v>0.7986336256981349</v>
      </c>
      <c r="K2814" s="15">
        <v>0.7986336256981349</v>
      </c>
      <c r="L2814" s="15">
        <v>0.7986336256981349</v>
      </c>
      <c r="M2814" s="15">
        <v>0.8406954165710947</v>
      </c>
      <c r="N2814" s="15">
        <v>0.8406954165710947</v>
      </c>
      <c r="O2814" s="15">
        <v>0.7986336256981349</v>
      </c>
      <c r="P2814" s="15">
        <v>0.7986336256981349</v>
      </c>
      <c r="Q2814" s="8"/>
      <c r="R2814" s="9" t="s">
        <v>8095</v>
      </c>
    </row>
    <row r="2815" spans="1:18" x14ac:dyDescent="0.25">
      <c r="A2815" s="6" t="str">
        <f>HYPERLINK("proteomic_fractions_linear_files/Yang_linear_img/407262256.jpg", "407262256")</f>
        <v>407262256</v>
      </c>
      <c r="B2815" s="7"/>
      <c r="C2815" s="6" t="str">
        <f>HYPERLINK("http://www.ncbi.nlm.nih.gov/protein/407262256","Gm17748")</f>
        <v>Gm17748</v>
      </c>
      <c r="D2815" s="8"/>
      <c r="E2815" s="8">
        <v>29013</v>
      </c>
      <c r="F2815" s="8"/>
      <c r="G2815" s="15">
        <v>0.84671795218196266</v>
      </c>
      <c r="H2815" s="15">
        <v>0.84671795218196266</v>
      </c>
      <c r="I2815" s="15">
        <v>0.60585999190892992</v>
      </c>
      <c r="J2815" s="15">
        <v>0.60585999190892992</v>
      </c>
      <c r="K2815" s="15">
        <v>0.60585999190892992</v>
      </c>
      <c r="L2815" s="15">
        <v>0.60585999190892992</v>
      </c>
      <c r="M2815" s="15">
        <v>0.63776893670910639</v>
      </c>
      <c r="N2815" s="15">
        <v>0.63776893670910639</v>
      </c>
      <c r="O2815" s="15">
        <v>0.60585999190892992</v>
      </c>
      <c r="P2815" s="15">
        <v>0.60585999190892992</v>
      </c>
      <c r="Q2815" s="8"/>
      <c r="R2815" s="9" t="s">
        <v>8095</v>
      </c>
    </row>
    <row r="2816" spans="1:18" x14ac:dyDescent="0.25">
      <c r="A2816" s="6" t="str">
        <f>HYPERLINK("proteomic_fractions_linear_files/Yang_linear_img/467087326.jpg", "467087326")</f>
        <v>467087326</v>
      </c>
      <c r="B2816" s="7"/>
      <c r="C2816" s="6" t="str">
        <f>HYPERLINK("http://www.ncbi.nlm.nih.gov/protein/467087326","Gm1966")</f>
        <v>Gm1966</v>
      </c>
      <c r="D2816" s="8"/>
      <c r="E2816" s="8">
        <v>281337</v>
      </c>
      <c r="F2816" s="8"/>
      <c r="G2816" s="15">
        <v>0.1328872826445715</v>
      </c>
      <c r="H2816" s="15">
        <v>0.1328872826445715</v>
      </c>
      <c r="I2816" s="15" t="s">
        <v>10</v>
      </c>
      <c r="J2816" s="15" t="s">
        <v>10</v>
      </c>
      <c r="K2816" s="15" t="s">
        <v>10</v>
      </c>
      <c r="L2816" s="15" t="s">
        <v>10</v>
      </c>
      <c r="M2816" s="15" t="s">
        <v>10</v>
      </c>
      <c r="N2816" s="15" t="s">
        <v>10</v>
      </c>
      <c r="O2816" s="15" t="s">
        <v>10</v>
      </c>
      <c r="P2816" s="15" t="s">
        <v>10</v>
      </c>
      <c r="Q2816" s="8"/>
      <c r="R2816" s="9" t="s">
        <v>2715</v>
      </c>
    </row>
    <row r="2817" spans="1:18" x14ac:dyDescent="0.25">
      <c r="A2817" s="6" t="str">
        <f>HYPERLINK("proteomic_fractions_linear_files/Yang_linear_img/467087326;309268933.jpg", "467087326;309268933")</f>
        <v>467087326;309268933</v>
      </c>
      <c r="B2817" s="8"/>
      <c r="C2817" s="6" t="str">
        <f>HYPERLINK("http://www.ncbi.nlm.nih.gov/protein/467087326;309268933","Gm1966")</f>
        <v>Gm1966</v>
      </c>
      <c r="D2817" s="8"/>
      <c r="E2817" s="8">
        <v>281337</v>
      </c>
      <c r="F2817" s="8"/>
      <c r="G2817" s="15" t="s">
        <v>10</v>
      </c>
      <c r="H2817" s="15" t="s">
        <v>10</v>
      </c>
      <c r="I2817" s="15" t="s">
        <v>10</v>
      </c>
      <c r="J2817" s="15" t="s">
        <v>10</v>
      </c>
      <c r="K2817" s="15">
        <v>9.3061416780871889E-2</v>
      </c>
      <c r="L2817" s="15">
        <v>9.3061416780871889E-2</v>
      </c>
      <c r="M2817" s="15" t="s">
        <v>10</v>
      </c>
      <c r="N2817" s="15" t="s">
        <v>10</v>
      </c>
      <c r="O2817" s="15" t="s">
        <v>10</v>
      </c>
      <c r="P2817" s="15" t="s">
        <v>10</v>
      </c>
      <c r="Q2817" s="8"/>
      <c r="R2817" s="9" t="s">
        <v>2715</v>
      </c>
    </row>
    <row r="2818" spans="1:18" x14ac:dyDescent="0.25">
      <c r="A2818" s="6" t="str">
        <f>HYPERLINK("proteomic_fractions_linear_files/Yang_linear_img/309268933.jpg", "309268933")</f>
        <v>309268933</v>
      </c>
      <c r="B2818" s="7"/>
      <c r="C2818" s="6" t="str">
        <f>HYPERLINK("http://www.ncbi.nlm.nih.gov/protein/309268933","Gm1966")</f>
        <v>Gm1966</v>
      </c>
      <c r="D2818" s="8"/>
      <c r="E2818" s="8">
        <v>281337</v>
      </c>
      <c r="F2818" s="8"/>
      <c r="G2818" s="15" t="s">
        <v>10</v>
      </c>
      <c r="H2818" s="15" t="s">
        <v>10</v>
      </c>
      <c r="I2818" s="15">
        <v>9.3061416780871889E-2</v>
      </c>
      <c r="J2818" s="15">
        <v>9.3061416780871889E-2</v>
      </c>
      <c r="K2818" s="15" t="s">
        <v>10</v>
      </c>
      <c r="L2818" s="15" t="s">
        <v>10</v>
      </c>
      <c r="M2818" s="15">
        <v>9.3061416780871889E-2</v>
      </c>
      <c r="N2818" s="15">
        <v>9.3061416780871889E-2</v>
      </c>
      <c r="O2818" s="15">
        <v>7.7564919112735775E-2</v>
      </c>
      <c r="P2818" s="15">
        <v>7.7564919112735775E-2</v>
      </c>
      <c r="Q2818" s="8"/>
      <c r="R2818" s="9" t="s">
        <v>8096</v>
      </c>
    </row>
    <row r="2819" spans="1:18" x14ac:dyDescent="0.25">
      <c r="A2819" s="6" t="str">
        <f>HYPERLINK("proteomic_fractions_linear_files/Yang_linear_img/407262653.jpg", "407262653")</f>
        <v>407262653</v>
      </c>
      <c r="B2819" s="7"/>
      <c r="C2819" s="6" t="str">
        <f>HYPERLINK("http://www.ncbi.nlm.nih.gov/protein/407262653","Gm19843")</f>
        <v>Gm19843</v>
      </c>
      <c r="D2819" s="8"/>
      <c r="E2819" s="8">
        <v>17826</v>
      </c>
      <c r="F2819" s="8"/>
      <c r="G2819" s="15">
        <v>2.074518134618033</v>
      </c>
      <c r="H2819" s="15">
        <v>2.074518134618033</v>
      </c>
      <c r="I2819" s="15">
        <v>1.5510117387601143</v>
      </c>
      <c r="J2819" s="15">
        <v>1.5510117387601143</v>
      </c>
      <c r="K2819" s="15">
        <v>1.6603003828729517</v>
      </c>
      <c r="L2819" s="15">
        <v>1.6603003828729517</v>
      </c>
      <c r="M2819" s="15">
        <v>1.5510117387601143</v>
      </c>
      <c r="N2819" s="15">
        <v>1.5510117387601143</v>
      </c>
      <c r="O2819" s="15" t="s">
        <v>10</v>
      </c>
      <c r="P2819" s="15" t="s">
        <v>10</v>
      </c>
      <c r="Q2819" s="8"/>
      <c r="R2819" s="9" t="s">
        <v>8097</v>
      </c>
    </row>
    <row r="2820" spans="1:18" x14ac:dyDescent="0.25">
      <c r="A2820" s="6" t="str">
        <f>HYPERLINK("proteomic_fractions_linear_files/Yang_linear_img/407263802.jpg", "407263802")</f>
        <v>407263802</v>
      </c>
      <c r="B2820" s="7"/>
      <c r="C2820" s="6" t="str">
        <f>HYPERLINK("http://www.ncbi.nlm.nih.gov/protein/407263802","Gm2001")</f>
        <v>Gm2001</v>
      </c>
      <c r="D2820" s="8"/>
      <c r="E2820" s="8">
        <v>8446</v>
      </c>
      <c r="F2820" s="8"/>
      <c r="G2820" s="15">
        <v>1.5934024177422033</v>
      </c>
      <c r="H2820" s="15">
        <v>1.5934024177422033</v>
      </c>
      <c r="I2820" s="15">
        <v>1.5934024177422033</v>
      </c>
      <c r="J2820" s="15">
        <v>1.5934024177422033</v>
      </c>
      <c r="K2820" s="15">
        <v>1.5934024177422033</v>
      </c>
      <c r="L2820" s="15">
        <v>1.5934024177422033</v>
      </c>
      <c r="M2820" s="15">
        <v>1.5934024177422033</v>
      </c>
      <c r="N2820" s="15">
        <v>1.5934024177422033</v>
      </c>
      <c r="O2820" s="15">
        <v>1.5291076615414196</v>
      </c>
      <c r="P2820" s="15">
        <v>1.5291076615414196</v>
      </c>
      <c r="Q2820" s="8"/>
      <c r="R2820" s="9" t="s">
        <v>8098</v>
      </c>
    </row>
    <row r="2821" spans="1:18" x14ac:dyDescent="0.25">
      <c r="A2821" s="6" t="str">
        <f>HYPERLINK("proteomic_fractions_linear_files/Yang_linear_img/169808420.jpg", "169808420")</f>
        <v>169808420</v>
      </c>
      <c r="B2821" s="7"/>
      <c r="C2821" s="6" t="str">
        <f>HYPERLINK("http://www.ncbi.nlm.nih.gov/protein/169808420","Gm2016")</f>
        <v>Gm2016</v>
      </c>
      <c r="D2821" s="8"/>
      <c r="E2821" s="8">
        <v>16511</v>
      </c>
      <c r="F2821" s="8"/>
      <c r="G2821" s="15">
        <v>0.98332203062394252</v>
      </c>
      <c r="H2821" s="15">
        <v>0.98332203062394252</v>
      </c>
      <c r="I2821" s="15">
        <v>1.0335258685505275</v>
      </c>
      <c r="J2821" s="15">
        <v>1.0335258685505275</v>
      </c>
      <c r="K2821" s="15">
        <v>1.0879587743861225</v>
      </c>
      <c r="L2821" s="15">
        <v>1.0879587743861225</v>
      </c>
      <c r="M2821" s="15">
        <v>1.0335258685505275</v>
      </c>
      <c r="N2821" s="15">
        <v>1.0335258685505275</v>
      </c>
      <c r="O2821" s="15">
        <v>1.0335258685505275</v>
      </c>
      <c r="P2821" s="15">
        <v>1.0335258685505275</v>
      </c>
      <c r="Q2821" s="8"/>
      <c r="R2821" s="9" t="s">
        <v>2716</v>
      </c>
    </row>
    <row r="2822" spans="1:18" x14ac:dyDescent="0.25">
      <c r="A2822" s="6" t="str">
        <f>HYPERLINK("proteomic_fractions_linear_files/Yang_linear_img/407262742.jpg", "407262742")</f>
        <v>407262742</v>
      </c>
      <c r="B2822" s="7"/>
      <c r="C2822" s="6" t="str">
        <f>HYPERLINK("http://www.ncbi.nlm.nih.gov/protein/407262742","Gm2016")</f>
        <v>Gm2016</v>
      </c>
      <c r="D2822" s="8"/>
      <c r="E2822" s="8">
        <v>16207</v>
      </c>
      <c r="F2822" s="8"/>
      <c r="G2822" s="15">
        <v>1.0447796575379389</v>
      </c>
      <c r="H2822" s="15">
        <v>1.0447796575379389</v>
      </c>
      <c r="I2822" s="15">
        <v>1.0981212353349354</v>
      </c>
      <c r="J2822" s="15">
        <v>1.0981212353349354</v>
      </c>
      <c r="K2822" s="15">
        <v>1.1559561977852553</v>
      </c>
      <c r="L2822" s="15">
        <v>1.1559561977852553</v>
      </c>
      <c r="M2822" s="15">
        <v>1.0981212353349354</v>
      </c>
      <c r="N2822" s="15">
        <v>1.0981212353349354</v>
      </c>
      <c r="O2822" s="15">
        <v>1.0447796575379389</v>
      </c>
      <c r="P2822" s="15">
        <v>1.0447796575379389</v>
      </c>
      <c r="Q2822" s="8"/>
      <c r="R2822" s="9" t="s">
        <v>8099</v>
      </c>
    </row>
    <row r="2823" spans="1:18" x14ac:dyDescent="0.25">
      <c r="A2823" s="6" t="str">
        <f>HYPERLINK("proteomic_fractions_linear_files/Yang_linear_img/294832030.jpg", "294832030")</f>
        <v>294832030</v>
      </c>
      <c r="B2823" s="7"/>
      <c r="C2823" s="6" t="str">
        <f>HYPERLINK("http://www.ncbi.nlm.nih.gov/protein/294832030","Gm2022")</f>
        <v>Gm2022</v>
      </c>
      <c r="D2823" s="8"/>
      <c r="E2823" s="8">
        <v>16499</v>
      </c>
      <c r="F2823" s="8"/>
      <c r="G2823" s="15">
        <v>1.0447796575379389</v>
      </c>
      <c r="H2823" s="15">
        <v>1.0447796575379389</v>
      </c>
      <c r="I2823" s="15">
        <v>1.0981212353349354</v>
      </c>
      <c r="J2823" s="15">
        <v>1.0981212353349354</v>
      </c>
      <c r="K2823" s="15">
        <v>1.1559561977852553</v>
      </c>
      <c r="L2823" s="15">
        <v>1.1559561977852553</v>
      </c>
      <c r="M2823" s="15">
        <v>1.0981212353349354</v>
      </c>
      <c r="N2823" s="15">
        <v>1.0981212353349354</v>
      </c>
      <c r="O2823" s="15">
        <v>1.0981212353349354</v>
      </c>
      <c r="P2823" s="15">
        <v>1.0981212353349354</v>
      </c>
      <c r="Q2823" s="8"/>
      <c r="R2823" s="9" t="s">
        <v>2717</v>
      </c>
    </row>
    <row r="2824" spans="1:18" x14ac:dyDescent="0.25">
      <c r="A2824" s="6" t="str">
        <f>HYPERLINK("proteomic_fractions_linear_files/Yang_linear_img/407262565.jpg", "407262565")</f>
        <v>407262565</v>
      </c>
      <c r="B2824" s="7"/>
      <c r="C2824" s="6" t="str">
        <f>HYPERLINK("http://www.ncbi.nlm.nih.gov/protein/407262565","Gm2022")</f>
        <v>Gm2022</v>
      </c>
      <c r="D2824" s="8"/>
      <c r="E2824" s="8">
        <v>16437</v>
      </c>
      <c r="F2824" s="8"/>
      <c r="G2824" s="15">
        <v>1.0447796575379389</v>
      </c>
      <c r="H2824" s="15">
        <v>1.0447796575379389</v>
      </c>
      <c r="I2824" s="15">
        <v>1.0981212353349354</v>
      </c>
      <c r="J2824" s="15">
        <v>1.0981212353349354</v>
      </c>
      <c r="K2824" s="15">
        <v>1.1559561977852553</v>
      </c>
      <c r="L2824" s="15">
        <v>1.1559561977852553</v>
      </c>
      <c r="M2824" s="15">
        <v>1.0981212353349354</v>
      </c>
      <c r="N2824" s="15">
        <v>1.0981212353349354</v>
      </c>
      <c r="O2824" s="15">
        <v>1.0447796575379389</v>
      </c>
      <c r="P2824" s="15">
        <v>1.0447796575379389</v>
      </c>
      <c r="Q2824" s="8"/>
      <c r="R2824" s="9" t="s">
        <v>8099</v>
      </c>
    </row>
    <row r="2825" spans="1:18" x14ac:dyDescent="0.25">
      <c r="A2825" s="6" t="str">
        <f>HYPERLINK("proteomic_fractions_linear_files/Yang_linear_img/309264649.jpg", "309264649")</f>
        <v>309264649</v>
      </c>
      <c r="B2825" s="7"/>
      <c r="C2825" s="6" t="str">
        <f>HYPERLINK("http://www.ncbi.nlm.nih.gov/protein/309264649","Gm20267")</f>
        <v>Gm20267</v>
      </c>
      <c r="D2825" s="8"/>
      <c r="E2825" s="8">
        <v>15698</v>
      </c>
      <c r="F2825" s="8"/>
      <c r="G2825" s="15">
        <v>0.90734210761689671</v>
      </c>
      <c r="H2825" s="15">
        <v>0.90734210761689671</v>
      </c>
      <c r="I2825" s="15">
        <v>0.94977114336339286</v>
      </c>
      <c r="J2825" s="15">
        <v>0.94977114336339286</v>
      </c>
      <c r="K2825" s="15" t="s">
        <v>10</v>
      </c>
      <c r="L2825" s="15" t="s">
        <v>10</v>
      </c>
      <c r="M2825" s="15" t="s">
        <v>10</v>
      </c>
      <c r="N2825" s="15" t="s">
        <v>10</v>
      </c>
      <c r="O2825" s="15" t="s">
        <v>10</v>
      </c>
      <c r="P2825" s="15" t="s">
        <v>10</v>
      </c>
      <c r="Q2825" s="8"/>
      <c r="R2825" s="9" t="s">
        <v>8100</v>
      </c>
    </row>
    <row r="2826" spans="1:18" x14ac:dyDescent="0.25">
      <c r="A2826" s="6" t="str">
        <f>HYPERLINK("proteomic_fractions_linear_files/Yang_linear_img/149263427.jpg", "149263427")</f>
        <v>149263427</v>
      </c>
      <c r="B2826" s="7"/>
      <c r="C2826" s="6" t="str">
        <f>HYPERLINK("http://www.ncbi.nlm.nih.gov/protein/149263427","Gm2046")</f>
        <v>Gm2046</v>
      </c>
      <c r="D2826" s="8"/>
      <c r="E2826" s="8">
        <v>16498</v>
      </c>
      <c r="F2826" s="8"/>
      <c r="G2826" s="15" t="s">
        <v>10</v>
      </c>
      <c r="H2826" s="15" t="s">
        <v>10</v>
      </c>
      <c r="I2826" s="15">
        <v>1.0981212353349354</v>
      </c>
      <c r="J2826" s="15">
        <v>1.0981212353349354</v>
      </c>
      <c r="K2826" s="15">
        <v>1.1559561977852553</v>
      </c>
      <c r="L2826" s="15">
        <v>1.1559561977852553</v>
      </c>
      <c r="M2826" s="15">
        <v>1.0981212353349354</v>
      </c>
      <c r="N2826" s="15">
        <v>1.0981212353349354</v>
      </c>
      <c r="O2826" s="15">
        <v>1.0981212353349354</v>
      </c>
      <c r="P2826" s="15">
        <v>1.0981212353349354</v>
      </c>
      <c r="Q2826" s="8"/>
      <c r="R2826" s="9" t="s">
        <v>8101</v>
      </c>
    </row>
    <row r="2827" spans="1:18" x14ac:dyDescent="0.25">
      <c r="A2827" s="6" t="str">
        <f>HYPERLINK("proteomic_fractions_linear_files/Yang_linear_img/219283246.jpg", "219283246")</f>
        <v>219283246</v>
      </c>
      <c r="B2827" s="7"/>
      <c r="C2827" s="6" t="str">
        <f>HYPERLINK("http://www.ncbi.nlm.nih.gov/protein/219283246","Gm20604")</f>
        <v>Gm20604</v>
      </c>
      <c r="D2827" s="8"/>
      <c r="E2827" s="8">
        <v>7764</v>
      </c>
      <c r="F2827" s="8"/>
      <c r="G2827" s="15" t="s">
        <v>10</v>
      </c>
      <c r="H2827" s="15" t="s">
        <v>10</v>
      </c>
      <c r="I2827" s="15" t="s">
        <v>10</v>
      </c>
      <c r="J2827" s="15" t="s">
        <v>10</v>
      </c>
      <c r="K2827" s="15" t="s">
        <v>10</v>
      </c>
      <c r="L2827" s="15" t="s">
        <v>10</v>
      </c>
      <c r="M2827" s="15">
        <v>1.8995422867267857</v>
      </c>
      <c r="N2827" s="15">
        <v>1.8995422867267857</v>
      </c>
      <c r="O2827" s="15">
        <v>1.9909302228977219</v>
      </c>
      <c r="P2827" s="15">
        <v>1.9909302228977219</v>
      </c>
      <c r="Q2827" s="8"/>
      <c r="R2827" s="9" t="s">
        <v>2718</v>
      </c>
    </row>
    <row r="2828" spans="1:18" x14ac:dyDescent="0.25">
      <c r="A2828" s="6" t="str">
        <f>HYPERLINK("proteomic_fractions_linear_files/Yang_linear_img/407263654.jpg", "407263654")</f>
        <v>407263654</v>
      </c>
      <c r="B2828" s="7"/>
      <c r="C2828" s="6" t="str">
        <f>HYPERLINK("http://www.ncbi.nlm.nih.gov/protein/407263654","Gm20746")</f>
        <v>Gm20746</v>
      </c>
      <c r="D2828" s="8"/>
      <c r="E2828" s="8">
        <v>20407</v>
      </c>
      <c r="F2828" s="8"/>
      <c r="G2828" s="15">
        <v>1.4942703445856567</v>
      </c>
      <c r="H2828" s="15">
        <v>1.4942703445856567</v>
      </c>
      <c r="I2828" s="15">
        <v>1.0897871135339376</v>
      </c>
      <c r="J2828" s="15">
        <v>1.0897871135339376</v>
      </c>
      <c r="K2828" s="15">
        <v>20.452177886971988</v>
      </c>
      <c r="L2828" s="15">
        <v>20.452177886971988</v>
      </c>
      <c r="M2828" s="15">
        <v>20.452177886971988</v>
      </c>
      <c r="N2828" s="15">
        <v>20.452177886971988</v>
      </c>
      <c r="O2828" s="15" t="s">
        <v>10</v>
      </c>
      <c r="P2828" s="15" t="s">
        <v>10</v>
      </c>
      <c r="Q2828" s="8"/>
      <c r="R2828" s="9" t="s">
        <v>8102</v>
      </c>
    </row>
    <row r="2829" spans="1:18" x14ac:dyDescent="0.25">
      <c r="A2829" s="6" t="str">
        <f>HYPERLINK("proteomic_fractions_linear_files/Yang_linear_img/149273202.jpg", "149273202")</f>
        <v>149273202</v>
      </c>
      <c r="B2829" s="7"/>
      <c r="C2829" s="6" t="str">
        <f>HYPERLINK("http://www.ncbi.nlm.nih.gov/protein/149273202","Gm20899")</f>
        <v>Gm20899</v>
      </c>
      <c r="D2829" s="8"/>
      <c r="E2829" s="8">
        <v>35679</v>
      </c>
      <c r="F2829" s="8"/>
      <c r="G2829" s="15">
        <v>1.125203283422854</v>
      </c>
      <c r="H2829" s="15">
        <v>1.125203283422854</v>
      </c>
      <c r="I2829" s="15">
        <v>0.95981601473542177</v>
      </c>
      <c r="J2829" s="15">
        <v>0.95981601473542177</v>
      </c>
      <c r="K2829" s="15">
        <v>0.95981601473542177</v>
      </c>
      <c r="L2829" s="15">
        <v>0.95981601473542177</v>
      </c>
      <c r="M2829" s="15">
        <v>0.95981601473542177</v>
      </c>
      <c r="N2829" s="15">
        <v>0.95981601473542177</v>
      </c>
      <c r="O2829" s="15">
        <v>0.83015019143647584</v>
      </c>
      <c r="P2829" s="15">
        <v>0.83015019143647584</v>
      </c>
      <c r="Q2829" s="8"/>
      <c r="R2829" s="9" t="s">
        <v>8103</v>
      </c>
    </row>
    <row r="2830" spans="1:18" x14ac:dyDescent="0.25">
      <c r="A2830" s="6" t="str">
        <f>HYPERLINK("proteomic_fractions_linear_files/Yang_linear_img/398303830.jpg", "398303830")</f>
        <v>398303830</v>
      </c>
      <c r="B2830" s="7"/>
      <c r="C2830" s="6" t="str">
        <f>HYPERLINK("http://www.ncbi.nlm.nih.gov/protein/398303830","Gm21319")</f>
        <v>Gm21319</v>
      </c>
      <c r="D2830" s="8"/>
      <c r="E2830" s="8">
        <v>16333</v>
      </c>
      <c r="F2830" s="8"/>
      <c r="G2830" s="15">
        <v>1.0447796575379389</v>
      </c>
      <c r="H2830" s="15">
        <v>1.0447796575379389</v>
      </c>
      <c r="I2830" s="15">
        <v>1.0981212353349354</v>
      </c>
      <c r="J2830" s="15">
        <v>1.0981212353349354</v>
      </c>
      <c r="K2830" s="15">
        <v>1.1559561977852553</v>
      </c>
      <c r="L2830" s="15">
        <v>1.1559561977852553</v>
      </c>
      <c r="M2830" s="15">
        <v>1.0981212353349354</v>
      </c>
      <c r="N2830" s="15">
        <v>1.0981212353349354</v>
      </c>
      <c r="O2830" s="15">
        <v>1.0447796575379389</v>
      </c>
      <c r="P2830" s="15">
        <v>1.0447796575379389</v>
      </c>
      <c r="Q2830" s="8"/>
      <c r="R2830" s="9" t="s">
        <v>2719</v>
      </c>
    </row>
    <row r="2831" spans="1:18" x14ac:dyDescent="0.25">
      <c r="A2831" s="6" t="str">
        <f>HYPERLINK("proteomic_fractions_linear_files/Yang_linear_img/407263560.jpg", "407263560")</f>
        <v>407263560</v>
      </c>
      <c r="B2831" s="7"/>
      <c r="C2831" s="6" t="str">
        <f>HYPERLINK("http://www.ncbi.nlm.nih.gov/protein/407263560","Gm21540")</f>
        <v>Gm21540</v>
      </c>
      <c r="D2831" s="8"/>
      <c r="E2831" s="8">
        <v>22574</v>
      </c>
      <c r="F2831" s="8"/>
      <c r="G2831" s="15">
        <v>1.2138352738122635</v>
      </c>
      <c r="H2831" s="15">
        <v>1.2138352738122635</v>
      </c>
      <c r="I2831" s="15">
        <v>0.84787607947979449</v>
      </c>
      <c r="J2831" s="15">
        <v>0.84787607947979449</v>
      </c>
      <c r="K2831" s="15">
        <v>0.84787607947979449</v>
      </c>
      <c r="L2831" s="15">
        <v>0.84787607947979449</v>
      </c>
      <c r="M2831" s="15">
        <v>0.89554092115896833</v>
      </c>
      <c r="N2831" s="15">
        <v>0.89554092115896833</v>
      </c>
      <c r="O2831" s="15" t="s">
        <v>10</v>
      </c>
      <c r="P2831" s="15" t="s">
        <v>10</v>
      </c>
      <c r="Q2831" s="8"/>
      <c r="R2831" s="9" t="s">
        <v>8104</v>
      </c>
    </row>
    <row r="2832" spans="1:18" x14ac:dyDescent="0.25">
      <c r="A2832" s="6" t="str">
        <f>HYPERLINK("proteomic_fractions_linear_files/Yang_linear_img/407262920.jpg", "407262920")</f>
        <v>407262920</v>
      </c>
      <c r="B2832" s="7"/>
      <c r="C2832" s="6" t="str">
        <f>HYPERLINK("http://www.ncbi.nlm.nih.gov/protein/407262920","Gm21596")</f>
        <v>Gm21596</v>
      </c>
      <c r="D2832" s="8"/>
      <c r="E2832" s="8">
        <v>24763</v>
      </c>
      <c r="F2832" s="8"/>
      <c r="G2832" s="15">
        <v>1.4936530569249837</v>
      </c>
      <c r="H2832" s="15">
        <v>1.4936530569249837</v>
      </c>
      <c r="I2832" s="15">
        <v>1.0460103246170001</v>
      </c>
      <c r="J2832" s="15">
        <v>1.0460103246170001</v>
      </c>
      <c r="K2832" s="15">
        <v>1.0460103246170001</v>
      </c>
      <c r="L2832" s="15">
        <v>1.0460103246170001</v>
      </c>
      <c r="M2832" s="15">
        <v>1.1167284519072824</v>
      </c>
      <c r="N2832" s="15">
        <v>1.1167284519072824</v>
      </c>
      <c r="O2832" s="15">
        <v>0.9821928245310767</v>
      </c>
      <c r="P2832" s="15">
        <v>0.9821928245310767</v>
      </c>
      <c r="Q2832" s="8"/>
      <c r="R2832" s="9" t="s">
        <v>8105</v>
      </c>
    </row>
    <row r="2833" spans="1:18" x14ac:dyDescent="0.25">
      <c r="A2833" s="6" t="str">
        <f>HYPERLINK("proteomic_fractions_linear_files/Yang_linear_img/309272927.jpg", "309272927")</f>
        <v>309272927</v>
      </c>
      <c r="B2833" s="7"/>
      <c r="C2833" s="6" t="str">
        <f>HYPERLINK("http://www.ncbi.nlm.nih.gov/protein/309272927","Gm2260")</f>
        <v>Gm2260</v>
      </c>
      <c r="D2833" s="8"/>
      <c r="E2833" s="8">
        <v>25892</v>
      </c>
      <c r="F2833" s="8"/>
      <c r="G2833" s="15">
        <v>2.5174332050209358</v>
      </c>
      <c r="H2833" s="15">
        <v>2.5174332050209358</v>
      </c>
      <c r="I2833" s="15">
        <v>2.0430988319231185</v>
      </c>
      <c r="J2833" s="15">
        <v>2.0430988319231185</v>
      </c>
      <c r="K2833" s="15">
        <v>2.0430988319231185</v>
      </c>
      <c r="L2833" s="15">
        <v>2.0430988319231185</v>
      </c>
      <c r="M2833" s="15">
        <v>2.0430988319231185</v>
      </c>
      <c r="N2833" s="15">
        <v>2.0430988319231185</v>
      </c>
      <c r="O2833" s="15">
        <v>1.8573067532467404</v>
      </c>
      <c r="P2833" s="15">
        <v>1.8573067532467404</v>
      </c>
      <c r="Q2833" s="8"/>
      <c r="R2833" s="9" t="s">
        <v>8106</v>
      </c>
    </row>
    <row r="2834" spans="1:18" x14ac:dyDescent="0.25">
      <c r="A2834" s="6" t="str">
        <f>HYPERLINK("proteomic_fractions_linear_files/Yang_linear_img/309269866.jpg", "309269866")</f>
        <v>309269866</v>
      </c>
      <c r="B2834" s="7"/>
      <c r="C2834" s="6" t="str">
        <f>HYPERLINK("http://www.ncbi.nlm.nih.gov/protein/309269866","Gm2423")</f>
        <v>Gm2423</v>
      </c>
      <c r="D2834" s="8"/>
      <c r="E2834" s="8">
        <v>35536</v>
      </c>
      <c r="F2834" s="8"/>
      <c r="G2834" s="15">
        <v>1.0372590673090165</v>
      </c>
      <c r="H2834" s="15">
        <v>1.0372590673090165</v>
      </c>
      <c r="I2834" s="15">
        <v>0.72639605876180557</v>
      </c>
      <c r="J2834" s="15">
        <v>0.72639605876180557</v>
      </c>
      <c r="K2834" s="15">
        <v>0.72639605876180557</v>
      </c>
      <c r="L2834" s="15">
        <v>0.72639605876180557</v>
      </c>
      <c r="M2834" s="15">
        <v>0.72639605876180557</v>
      </c>
      <c r="N2834" s="15">
        <v>0.72639605876180557</v>
      </c>
      <c r="O2834" s="15">
        <v>0.60543728529663199</v>
      </c>
      <c r="P2834" s="15">
        <v>0.60543728529663199</v>
      </c>
      <c r="Q2834" s="8"/>
      <c r="R2834" s="9" t="s">
        <v>8107</v>
      </c>
    </row>
    <row r="2835" spans="1:18" x14ac:dyDescent="0.25">
      <c r="A2835" s="6" t="str">
        <f>HYPERLINK("proteomic_fractions_linear_files/Yang_linear_img/149264832.jpg", "149264832")</f>
        <v>149264832</v>
      </c>
      <c r="B2835" s="7"/>
      <c r="C2835" s="6" t="str">
        <f>HYPERLINK("http://www.ncbi.nlm.nih.gov/protein/149264832","Gm2904")</f>
        <v>Gm2904</v>
      </c>
      <c r="D2835" s="8"/>
      <c r="E2835" s="8">
        <v>31065</v>
      </c>
      <c r="F2835" s="8"/>
      <c r="G2835" s="15" t="s">
        <v>10</v>
      </c>
      <c r="H2835" s="15" t="s">
        <v>10</v>
      </c>
      <c r="I2835" s="15" t="s">
        <v>10</v>
      </c>
      <c r="J2835" s="15" t="s">
        <v>10</v>
      </c>
      <c r="K2835" s="15">
        <v>0.96404538360364944</v>
      </c>
      <c r="L2835" s="15">
        <v>0.96404538360364944</v>
      </c>
      <c r="M2835" s="15" t="s">
        <v>10</v>
      </c>
      <c r="N2835" s="15" t="s">
        <v>10</v>
      </c>
      <c r="O2835" s="15">
        <v>0.84355671340080651</v>
      </c>
      <c r="P2835" s="15">
        <v>0.84355671340080651</v>
      </c>
      <c r="Q2835" s="8"/>
      <c r="R2835" s="9" t="s">
        <v>8108</v>
      </c>
    </row>
    <row r="2836" spans="1:18" x14ac:dyDescent="0.25">
      <c r="A2836" s="6" t="str">
        <f>HYPERLINK("proteomic_fractions_linear_files/Yang_linear_img/6806917.jpg", "6806917")</f>
        <v>6806917</v>
      </c>
      <c r="B2836" s="7"/>
      <c r="C2836" s="6" t="str">
        <f>HYPERLINK("http://www.ncbi.nlm.nih.gov/protein/6806917","Gm2a")</f>
        <v>Gm2a</v>
      </c>
      <c r="D2836" s="8"/>
      <c r="E2836" s="8">
        <v>18745</v>
      </c>
      <c r="F2836" s="8"/>
      <c r="G2836" s="15" t="s">
        <v>10</v>
      </c>
      <c r="H2836" s="15" t="s">
        <v>10</v>
      </c>
      <c r="I2836" s="15">
        <v>1.2162933355114445</v>
      </c>
      <c r="J2836" s="15">
        <v>1.2162933355114445</v>
      </c>
      <c r="K2836" s="15">
        <v>1.1471443300357238</v>
      </c>
      <c r="L2836" s="15">
        <v>1.1471443300357238</v>
      </c>
      <c r="M2836" s="15" t="s">
        <v>10</v>
      </c>
      <c r="N2836" s="15" t="s">
        <v>10</v>
      </c>
      <c r="O2836" s="15">
        <v>1.1471443300357238</v>
      </c>
      <c r="P2836" s="15">
        <v>1.1471443300357238</v>
      </c>
      <c r="Q2836" s="8"/>
      <c r="R2836" s="9" t="s">
        <v>2720</v>
      </c>
    </row>
    <row r="2837" spans="1:18" x14ac:dyDescent="0.25">
      <c r="A2837" s="6" t="str">
        <f>HYPERLINK("proteomic_fractions_linear_files/Yang_linear_img/309267022.jpg", "309267022")</f>
        <v>309267022</v>
      </c>
      <c r="B2837" s="7"/>
      <c r="C2837" s="6" t="str">
        <f>HYPERLINK("http://www.ncbi.nlm.nih.gov/protein/309267022","Gm3141")</f>
        <v>Gm3141</v>
      </c>
      <c r="D2837" s="8"/>
      <c r="E2837" s="8">
        <v>29710</v>
      </c>
      <c r="F2837" s="8"/>
      <c r="G2837" s="15" t="s">
        <v>10</v>
      </c>
      <c r="H2837" s="15" t="s">
        <v>10</v>
      </c>
      <c r="I2837" s="15">
        <v>0.93060704325606869</v>
      </c>
      <c r="J2837" s="15">
        <v>0.93060704325606869</v>
      </c>
      <c r="K2837" s="15">
        <v>0.99618022972377107</v>
      </c>
      <c r="L2837" s="15">
        <v>0.99618022972377107</v>
      </c>
      <c r="M2837" s="15">
        <v>0.99618022972377107</v>
      </c>
      <c r="N2837" s="15">
        <v>0.99618022972377107</v>
      </c>
      <c r="O2837" s="15">
        <v>0.87167527051416671</v>
      </c>
      <c r="P2837" s="15">
        <v>0.87167527051416671</v>
      </c>
      <c r="Q2837" s="8"/>
      <c r="R2837" s="9" t="s">
        <v>8109</v>
      </c>
    </row>
    <row r="2838" spans="1:18" x14ac:dyDescent="0.25">
      <c r="A2838" s="6" t="str">
        <f>HYPERLINK("proteomic_fractions_linear_files/Yang_linear_img/309270370.jpg", "309270370")</f>
        <v>309270370</v>
      </c>
      <c r="B2838" s="7"/>
      <c r="C2838" s="6" t="str">
        <f>HYPERLINK("http://www.ncbi.nlm.nih.gov/protein/309270370","Gm3141")</f>
        <v>Gm3141</v>
      </c>
      <c r="D2838" s="8"/>
      <c r="E2838" s="8">
        <v>58364</v>
      </c>
      <c r="F2838" s="8"/>
      <c r="G2838" s="15" t="s">
        <v>10</v>
      </c>
      <c r="H2838" s="15" t="s">
        <v>10</v>
      </c>
      <c r="I2838" s="15">
        <v>0.48134847064969066</v>
      </c>
      <c r="J2838" s="15">
        <v>0.48134847064969066</v>
      </c>
      <c r="K2838" s="15">
        <v>0.51526563606401954</v>
      </c>
      <c r="L2838" s="15">
        <v>0.51526563606401954</v>
      </c>
      <c r="M2838" s="15">
        <v>0.51526563606401954</v>
      </c>
      <c r="N2838" s="15">
        <v>0.51526563606401954</v>
      </c>
      <c r="O2838" s="15">
        <v>0.45086651923146553</v>
      </c>
      <c r="P2838" s="15">
        <v>0.45086651923146553</v>
      </c>
      <c r="Q2838" s="8"/>
      <c r="R2838" s="9" t="s">
        <v>8110</v>
      </c>
    </row>
    <row r="2839" spans="1:18" x14ac:dyDescent="0.25">
      <c r="A2839" s="6" t="str">
        <f>HYPERLINK("proteomic_fractions_linear_files/Yang_linear_img/309262094.jpg", "309262094")</f>
        <v>309262094</v>
      </c>
      <c r="B2839" s="7"/>
      <c r="C2839" s="6" t="str">
        <f>HYPERLINK("http://www.ncbi.nlm.nih.gov/protein/309262094","Gm3213")</f>
        <v>Gm3213</v>
      </c>
      <c r="D2839" s="8"/>
      <c r="E2839" s="8">
        <v>19146</v>
      </c>
      <c r="F2839" s="8"/>
      <c r="G2839" s="15">
        <v>1.1471443300357238</v>
      </c>
      <c r="H2839" s="15">
        <v>1.1471443300357238</v>
      </c>
      <c r="I2839" s="15">
        <v>0.83828640964114609</v>
      </c>
      <c r="J2839" s="15">
        <v>0.83828640964114609</v>
      </c>
      <c r="K2839" s="15">
        <v>0.83828640964114609</v>
      </c>
      <c r="L2839" s="15">
        <v>0.83828640964114609</v>
      </c>
      <c r="M2839" s="15">
        <v>0.83828640964114609</v>
      </c>
      <c r="N2839" s="15">
        <v>0.83828640964114609</v>
      </c>
      <c r="O2839" s="15">
        <v>0.76407756430896567</v>
      </c>
      <c r="P2839" s="15">
        <v>0.76407756430896567</v>
      </c>
      <c r="Q2839" s="8"/>
      <c r="R2839" s="9" t="s">
        <v>8111</v>
      </c>
    </row>
    <row r="2840" spans="1:18" x14ac:dyDescent="0.25">
      <c r="A2840" s="6" t="str">
        <f>HYPERLINK("proteomic_fractions_linear_files/Yang_linear_img/149266669.jpg", "149266669")</f>
        <v>149266669</v>
      </c>
      <c r="B2840" s="7"/>
      <c r="C2840" s="6" t="str">
        <f>HYPERLINK("http://www.ncbi.nlm.nih.gov/protein/149266669","Gm3244")</f>
        <v>Gm3244</v>
      </c>
      <c r="D2840" s="8"/>
      <c r="E2840" s="8">
        <v>14950</v>
      </c>
      <c r="F2840" s="8"/>
      <c r="G2840" s="15">
        <v>1.4530494847119166</v>
      </c>
      <c r="H2840" s="15">
        <v>1.4530494847119166</v>
      </c>
      <c r="I2840" s="15">
        <v>0.96783158145802317</v>
      </c>
      <c r="J2840" s="15">
        <v>0.96783158145802317</v>
      </c>
      <c r="K2840" s="15">
        <v>1.0130892195876191</v>
      </c>
      <c r="L2840" s="15">
        <v>1.0130892195876191</v>
      </c>
      <c r="M2840" s="15">
        <v>1.0130892195876191</v>
      </c>
      <c r="N2840" s="15">
        <v>1.0130892195876191</v>
      </c>
      <c r="O2840" s="15" t="s">
        <v>10</v>
      </c>
      <c r="P2840" s="15" t="s">
        <v>10</v>
      </c>
      <c r="Q2840" s="8"/>
      <c r="R2840" s="9" t="s">
        <v>8112</v>
      </c>
    </row>
    <row r="2841" spans="1:18" x14ac:dyDescent="0.25">
      <c r="A2841" s="6" t="str">
        <f>HYPERLINK("proteomic_fractions_linear_files/Yang_linear_img/7949148.jpg", "7949148")</f>
        <v>7949148</v>
      </c>
      <c r="B2841" s="7"/>
      <c r="C2841" s="6" t="str">
        <f>HYPERLINK("http://www.ncbi.nlm.nih.gov/protein/7949148","Gm3258")</f>
        <v>Gm3258</v>
      </c>
      <c r="D2841" s="8"/>
      <c r="E2841" s="8">
        <v>13063</v>
      </c>
      <c r="F2841" s="8"/>
      <c r="G2841" s="15" t="s">
        <v>10</v>
      </c>
      <c r="H2841" s="15" t="s">
        <v>10</v>
      </c>
      <c r="I2841" s="15">
        <v>1.068142346148973</v>
      </c>
      <c r="J2841" s="15">
        <v>1.068142346148973</v>
      </c>
      <c r="K2841" s="15" t="s">
        <v>10</v>
      </c>
      <c r="L2841" s="15" t="s">
        <v>10</v>
      </c>
      <c r="M2841" s="15">
        <v>1.1167287478361805</v>
      </c>
      <c r="N2841" s="15">
        <v>1.1167287478361805</v>
      </c>
      <c r="O2841" s="15">
        <v>1.0228510786924256</v>
      </c>
      <c r="P2841" s="15">
        <v>1.0228510786924256</v>
      </c>
      <c r="Q2841" s="8"/>
      <c r="R2841" s="9" t="s">
        <v>2721</v>
      </c>
    </row>
    <row r="2842" spans="1:18" x14ac:dyDescent="0.25">
      <c r="A2842" s="6" t="str">
        <f>HYPERLINK("proteomic_fractions_linear_files/Yang_linear_img/309263233.jpg", "309263233")</f>
        <v>309263233</v>
      </c>
      <c r="B2842" s="7"/>
      <c r="C2842" s="6" t="str">
        <f>HYPERLINK("http://www.ncbi.nlm.nih.gov/protein/309263233","Gm3362")</f>
        <v>Gm3362</v>
      </c>
      <c r="D2842" s="8"/>
      <c r="E2842" s="8">
        <v>17594</v>
      </c>
      <c r="F2842" s="8"/>
      <c r="G2842" s="15">
        <v>1.5510117387601143</v>
      </c>
      <c r="H2842" s="15">
        <v>1.5510117387601143</v>
      </c>
      <c r="I2842" s="15">
        <v>1.0833972126686264</v>
      </c>
      <c r="J2842" s="15">
        <v>1.0833972126686264</v>
      </c>
      <c r="K2842" s="15">
        <v>1.0833972126686264</v>
      </c>
      <c r="L2842" s="15">
        <v>1.0833972126686264</v>
      </c>
      <c r="M2842" s="15">
        <v>1.0833972126686264</v>
      </c>
      <c r="N2842" s="15">
        <v>1.0833972126686264</v>
      </c>
      <c r="O2842" s="15">
        <v>1.0275166202535602</v>
      </c>
      <c r="P2842" s="15">
        <v>1.0275166202535602</v>
      </c>
      <c r="Q2842" s="8"/>
      <c r="R2842" s="9" t="s">
        <v>8113</v>
      </c>
    </row>
    <row r="2843" spans="1:18" x14ac:dyDescent="0.25">
      <c r="A2843" s="6" t="str">
        <f>HYPERLINK("proteomic_fractions_linear_files/Yang_linear_img/309263978.jpg", "309263978")</f>
        <v>309263978</v>
      </c>
      <c r="B2843" s="7"/>
      <c r="C2843" s="6" t="str">
        <f>HYPERLINK("http://www.ncbi.nlm.nih.gov/protein/309263978","Gm340")</f>
        <v>Gm340</v>
      </c>
      <c r="D2843" s="8"/>
      <c r="E2843" s="8">
        <v>168987</v>
      </c>
      <c r="F2843" s="8"/>
      <c r="G2843" s="15" t="s">
        <v>10</v>
      </c>
      <c r="H2843" s="15" t="s">
        <v>10</v>
      </c>
      <c r="I2843" s="15" t="s">
        <v>10</v>
      </c>
      <c r="J2843" s="15" t="s">
        <v>10</v>
      </c>
      <c r="K2843" s="15" t="s">
        <v>10</v>
      </c>
      <c r="L2843" s="15" t="s">
        <v>10</v>
      </c>
      <c r="M2843" s="15" t="s">
        <v>10</v>
      </c>
      <c r="N2843" s="15" t="s">
        <v>10</v>
      </c>
      <c r="O2843" s="15">
        <v>0.13674303772022156</v>
      </c>
      <c r="P2843" s="15">
        <v>0.13674303772022156</v>
      </c>
      <c r="Q2843" s="8"/>
      <c r="R2843" s="9" t="s">
        <v>8114</v>
      </c>
    </row>
    <row r="2844" spans="1:18" x14ac:dyDescent="0.25">
      <c r="A2844" s="6" t="str">
        <f>HYPERLINK("proteomic_fractions_linear_files/Yang_linear_img/309271277.jpg", "309271277")</f>
        <v>309271277</v>
      </c>
      <c r="B2844" s="7"/>
      <c r="C2844" s="6" t="str">
        <f>HYPERLINK("http://www.ncbi.nlm.nih.gov/protein/309271277","Gm340")</f>
        <v>Gm340</v>
      </c>
      <c r="D2844" s="8"/>
      <c r="E2844" s="8">
        <v>169100</v>
      </c>
      <c r="F2844" s="8"/>
      <c r="G2844" s="15" t="s">
        <v>10</v>
      </c>
      <c r="H2844" s="15" t="s">
        <v>10</v>
      </c>
      <c r="I2844" s="15" t="s">
        <v>10</v>
      </c>
      <c r="J2844" s="15" t="s">
        <v>10</v>
      </c>
      <c r="K2844" s="15" t="s">
        <v>10</v>
      </c>
      <c r="L2844" s="15" t="s">
        <v>10</v>
      </c>
      <c r="M2844" s="15" t="s">
        <v>10</v>
      </c>
      <c r="N2844" s="15" t="s">
        <v>10</v>
      </c>
      <c r="O2844" s="15">
        <v>0.13674303772022156</v>
      </c>
      <c r="P2844" s="15">
        <v>0.13674303772022156</v>
      </c>
      <c r="Q2844" s="8"/>
      <c r="R2844" s="9" t="s">
        <v>8114</v>
      </c>
    </row>
    <row r="2845" spans="1:18" x14ac:dyDescent="0.25">
      <c r="A2845" s="6" t="str">
        <f>HYPERLINK("proteomic_fractions_linear_files/Yang_linear_img/377833368.jpg", "377833368")</f>
        <v>377833368</v>
      </c>
      <c r="B2845" s="7"/>
      <c r="C2845" s="6" t="str">
        <f>HYPERLINK("http://www.ncbi.nlm.nih.gov/protein/377833368","Gm3552")</f>
        <v>Gm3552</v>
      </c>
      <c r="D2845" s="8"/>
      <c r="E2845" s="8">
        <v>29449</v>
      </c>
      <c r="F2845" s="8"/>
      <c r="G2845" s="15">
        <v>0.75157731967857766</v>
      </c>
      <c r="H2845" s="15">
        <v>0.96269694129938133</v>
      </c>
      <c r="I2845" s="15">
        <v>0.67245344234604398</v>
      </c>
      <c r="J2845" s="15">
        <v>0.67245344234604398</v>
      </c>
      <c r="K2845" s="15">
        <v>0.67245344234604398</v>
      </c>
      <c r="L2845" s="15">
        <v>0.67245344234604398</v>
      </c>
      <c r="M2845" s="15">
        <v>0.71025659264331975</v>
      </c>
      <c r="N2845" s="15">
        <v>0.71025659264331975</v>
      </c>
      <c r="O2845" s="15" t="s">
        <v>10</v>
      </c>
      <c r="P2845" s="15" t="s">
        <v>10</v>
      </c>
      <c r="Q2845" s="8"/>
      <c r="R2845" s="9" t="s">
        <v>8115</v>
      </c>
    </row>
    <row r="2846" spans="1:18" x14ac:dyDescent="0.25">
      <c r="A2846" s="6" t="str">
        <f>HYPERLINK("proteomic_fractions_linear_files/Yang_linear_img/377836168.jpg", "377836168")</f>
        <v>377836168</v>
      </c>
      <c r="B2846" s="7"/>
      <c r="C2846" s="6" t="str">
        <f>HYPERLINK("http://www.ncbi.nlm.nih.gov/protein/377836168","Gm3552")</f>
        <v>Gm3552</v>
      </c>
      <c r="D2846" s="8"/>
      <c r="E2846" s="8">
        <v>25751</v>
      </c>
      <c r="F2846" s="8"/>
      <c r="G2846" s="15">
        <v>0.83829777964149044</v>
      </c>
      <c r="H2846" s="15">
        <v>1.0737773576031562</v>
      </c>
      <c r="I2846" s="15">
        <v>0.75004422415520289</v>
      </c>
      <c r="J2846" s="15">
        <v>0.75004422415520289</v>
      </c>
      <c r="K2846" s="15">
        <v>0.75004422415520289</v>
      </c>
      <c r="L2846" s="15">
        <v>0.75004422415520289</v>
      </c>
      <c r="M2846" s="15">
        <v>0.79220927640985661</v>
      </c>
      <c r="N2846" s="15">
        <v>0.79220927640985661</v>
      </c>
      <c r="O2846" s="15" t="s">
        <v>10</v>
      </c>
      <c r="P2846" s="15" t="s">
        <v>10</v>
      </c>
      <c r="Q2846" s="8"/>
      <c r="R2846" s="9" t="s">
        <v>8115</v>
      </c>
    </row>
    <row r="2847" spans="1:18" x14ac:dyDescent="0.25">
      <c r="A2847" s="6" t="str">
        <f>HYPERLINK("proteomic_fractions_linear_files/Yang_linear_img/340545553.jpg", "340545553")</f>
        <v>340545553</v>
      </c>
      <c r="B2847" s="7"/>
      <c r="C2847" s="6" t="str">
        <f>HYPERLINK("http://www.ncbi.nlm.nih.gov/protein/340545553","Gm3776")</f>
        <v>Gm3776</v>
      </c>
      <c r="D2847" s="8"/>
      <c r="E2847" s="8">
        <v>25451</v>
      </c>
      <c r="F2847" s="8"/>
      <c r="G2847" s="15">
        <v>1.2833629142293435</v>
      </c>
      <c r="H2847" s="15">
        <v>1.2833629142293435</v>
      </c>
      <c r="I2847" s="15">
        <v>0.92438293498869784</v>
      </c>
      <c r="J2847" s="15">
        <v>0.92438293498869784</v>
      </c>
      <c r="K2847" s="15">
        <v>0.92438293498869784</v>
      </c>
      <c r="L2847" s="15">
        <v>0.92438293498869784</v>
      </c>
      <c r="M2847" s="15">
        <v>0.92438293498869784</v>
      </c>
      <c r="N2847" s="15">
        <v>0.92438293498869784</v>
      </c>
      <c r="O2847" s="15">
        <v>0.87182969082715001</v>
      </c>
      <c r="P2847" s="15">
        <v>0.87182969082715001</v>
      </c>
      <c r="Q2847" s="8"/>
      <c r="R2847" s="9" t="s">
        <v>2722</v>
      </c>
    </row>
    <row r="2848" spans="1:18" x14ac:dyDescent="0.25">
      <c r="A2848" s="6" t="str">
        <f>HYPERLINK("proteomic_fractions_linear_files/Yang_linear_img/309264292.jpg", "309264292")</f>
        <v>309264292</v>
      </c>
      <c r="B2848" s="7"/>
      <c r="C2848" s="6" t="str">
        <f>HYPERLINK("http://www.ncbi.nlm.nih.gov/protein/309264292","Gm3837")</f>
        <v>Gm3837</v>
      </c>
      <c r="D2848" s="8"/>
      <c r="E2848" s="8">
        <v>14144</v>
      </c>
      <c r="F2848" s="8"/>
      <c r="G2848" s="15">
        <v>1.0369624087050249</v>
      </c>
      <c r="H2848" s="15">
        <v>1.0369624087050249</v>
      </c>
      <c r="I2848" s="15">
        <v>1.085452735272449</v>
      </c>
      <c r="J2848" s="15">
        <v>1.085452735272449</v>
      </c>
      <c r="K2848" s="15">
        <v>1.085452735272449</v>
      </c>
      <c r="L2848" s="15">
        <v>1.085452735272449</v>
      </c>
      <c r="M2848" s="15">
        <v>1.085452735272449</v>
      </c>
      <c r="N2848" s="15">
        <v>1.085452735272449</v>
      </c>
      <c r="O2848" s="15">
        <v>1.0369624087050249</v>
      </c>
      <c r="P2848" s="15">
        <v>1.0369624087050249</v>
      </c>
      <c r="Q2848" s="8"/>
      <c r="R2848" s="9" t="s">
        <v>8116</v>
      </c>
    </row>
    <row r="2849" spans="1:18" x14ac:dyDescent="0.25">
      <c r="A2849" s="6" t="str">
        <f>HYPERLINK("proteomic_fractions_linear_files/Yang_linear_img/309264301.jpg", "309264301")</f>
        <v>309264301</v>
      </c>
      <c r="B2849" s="7"/>
      <c r="C2849" s="6" t="str">
        <f>HYPERLINK("http://www.ncbi.nlm.nih.gov/protein/309264301","Gm3934")</f>
        <v>Gm3934</v>
      </c>
      <c r="D2849" s="8"/>
      <c r="E2849" s="8">
        <v>23495</v>
      </c>
      <c r="F2849" s="8"/>
      <c r="G2849" s="15">
        <v>1.3949596893797211</v>
      </c>
      <c r="H2849" s="15">
        <v>1.3949596893797211</v>
      </c>
      <c r="I2849" s="15">
        <v>1.0047640597703238</v>
      </c>
      <c r="J2849" s="15">
        <v>1.0047640597703238</v>
      </c>
      <c r="K2849" s="15">
        <v>0.94764096829038047</v>
      </c>
      <c r="L2849" s="15">
        <v>0.94764096829038047</v>
      </c>
      <c r="M2849" s="15">
        <v>1.0047640597703238</v>
      </c>
      <c r="N2849" s="15">
        <v>1.0047640597703238</v>
      </c>
      <c r="O2849" s="15">
        <v>0.94764096829038047</v>
      </c>
      <c r="P2849" s="15">
        <v>0.94764096829038047</v>
      </c>
      <c r="Q2849" s="8"/>
      <c r="R2849" s="9" t="s">
        <v>8117</v>
      </c>
    </row>
    <row r="2850" spans="1:18" x14ac:dyDescent="0.25">
      <c r="A2850" s="6" t="str">
        <f>HYPERLINK("proteomic_fractions_linear_files/Yang_linear_img/309262833.jpg", "309262833")</f>
        <v>309262833</v>
      </c>
      <c r="B2850" s="7"/>
      <c r="C2850" s="6" t="str">
        <f>HYPERLINK("http://www.ncbi.nlm.nih.gov/protein/309262833","Gm4024")</f>
        <v>Gm4024</v>
      </c>
      <c r="D2850" s="8"/>
      <c r="E2850" s="8">
        <v>24748</v>
      </c>
      <c r="F2850" s="8"/>
      <c r="G2850" s="15">
        <v>1.1167284519072824</v>
      </c>
      <c r="H2850" s="15">
        <v>1.1167284519072824</v>
      </c>
      <c r="I2850" s="15">
        <v>0.78004599312141099</v>
      </c>
      <c r="J2850" s="15">
        <v>0.78004599312141099</v>
      </c>
      <c r="K2850" s="15">
        <v>0.78004599312141099</v>
      </c>
      <c r="L2850" s="15">
        <v>0.78004599312141099</v>
      </c>
      <c r="M2850" s="15">
        <v>0.78004599312141099</v>
      </c>
      <c r="N2850" s="15">
        <v>0.78004599312141099</v>
      </c>
      <c r="O2850" s="15" t="s">
        <v>10</v>
      </c>
      <c r="P2850" s="15" t="s">
        <v>10</v>
      </c>
      <c r="Q2850" s="8"/>
      <c r="R2850" s="9" t="s">
        <v>8118</v>
      </c>
    </row>
    <row r="2851" spans="1:18" x14ac:dyDescent="0.25">
      <c r="A2851" s="6" t="str">
        <f>HYPERLINK("proteomic_fractions_linear_files/Yang_linear_img/294774578;294774603.jpg", "294774578;294774603")</f>
        <v>294774578;294774603</v>
      </c>
      <c r="B2851" s="8"/>
      <c r="C2851" s="6" t="str">
        <f>HYPERLINK("http://www.ncbi.nlm.nih.gov/protein/294774578;294774603","Gm4027")</f>
        <v>Gm4027</v>
      </c>
      <c r="D2851" s="8"/>
      <c r="E2851" s="8">
        <v>16514</v>
      </c>
      <c r="F2851" s="8"/>
      <c r="G2851" s="15" t="s">
        <v>10</v>
      </c>
      <c r="H2851" s="15" t="s">
        <v>10</v>
      </c>
      <c r="I2851" s="15" t="s">
        <v>10</v>
      </c>
      <c r="J2851" s="15" t="s">
        <v>10</v>
      </c>
      <c r="K2851" s="15">
        <v>1.0879587743861225</v>
      </c>
      <c r="L2851" s="15">
        <v>1.0879587743861225</v>
      </c>
      <c r="M2851" s="15" t="s">
        <v>10</v>
      </c>
      <c r="N2851" s="15" t="s">
        <v>10</v>
      </c>
      <c r="O2851" s="15" t="s">
        <v>10</v>
      </c>
      <c r="P2851" s="15" t="s">
        <v>10</v>
      </c>
      <c r="Q2851" s="8"/>
      <c r="R2851" s="9" t="s">
        <v>2723</v>
      </c>
    </row>
    <row r="2852" spans="1:18" x14ac:dyDescent="0.25">
      <c r="A2852" s="6" t="str">
        <f>HYPERLINK("proteomic_fractions_linear_files/Yang_linear_img/339895904.jpg", "339895904")</f>
        <v>339895904</v>
      </c>
      <c r="B2852" s="7"/>
      <c r="C2852" s="6" t="str">
        <f>HYPERLINK("http://www.ncbi.nlm.nih.gov/protein/339895904","Gm4070")</f>
        <v>Gm4070</v>
      </c>
      <c r="D2852" s="8"/>
      <c r="E2852" s="8">
        <v>280685</v>
      </c>
      <c r="F2852" s="8"/>
      <c r="G2852" s="15" t="s">
        <v>10</v>
      </c>
      <c r="H2852" s="15" t="s">
        <v>10</v>
      </c>
      <c r="I2852" s="15" t="s">
        <v>10</v>
      </c>
      <c r="J2852" s="15" t="s">
        <v>10</v>
      </c>
      <c r="K2852" s="15">
        <v>0.66464708768662051</v>
      </c>
      <c r="L2852" s="15">
        <v>0.66464708768662051</v>
      </c>
      <c r="M2852" s="15" t="s">
        <v>10</v>
      </c>
      <c r="N2852" s="15" t="s">
        <v>10</v>
      </c>
      <c r="O2852" s="15" t="s">
        <v>10</v>
      </c>
      <c r="P2852" s="15" t="s">
        <v>10</v>
      </c>
      <c r="Q2852" s="8"/>
      <c r="R2852" s="9" t="s">
        <v>2724</v>
      </c>
    </row>
    <row r="2853" spans="1:18" x14ac:dyDescent="0.25">
      <c r="A2853" s="6" t="str">
        <f>HYPERLINK("proteomic_fractions_linear_files/Yang_linear_img/149267527.jpg", "149267527")</f>
        <v>149267527</v>
      </c>
      <c r="B2853" s="7"/>
      <c r="C2853" s="6" t="str">
        <f>HYPERLINK("http://www.ncbi.nlm.nih.gov/protein/149267527","Gm4581")</f>
        <v>Gm4581</v>
      </c>
      <c r="D2853" s="8"/>
      <c r="E2853" s="8">
        <v>24027</v>
      </c>
      <c r="F2853" s="8"/>
      <c r="G2853" s="15">
        <v>1.3368363689888996</v>
      </c>
      <c r="H2853" s="15">
        <v>1.3368363689888996</v>
      </c>
      <c r="I2853" s="15">
        <v>0.90815592794494793</v>
      </c>
      <c r="J2853" s="15">
        <v>0.90815592794494793</v>
      </c>
      <c r="K2853" s="15">
        <v>0.96289889061322687</v>
      </c>
      <c r="L2853" s="15">
        <v>0.96289889061322687</v>
      </c>
      <c r="M2853" s="15">
        <v>0.96289889061322687</v>
      </c>
      <c r="N2853" s="15">
        <v>0.96289889061322687</v>
      </c>
      <c r="O2853" s="15" t="s">
        <v>10</v>
      </c>
      <c r="P2853" s="15" t="s">
        <v>10</v>
      </c>
      <c r="Q2853" s="8"/>
      <c r="R2853" s="9" t="s">
        <v>8059</v>
      </c>
    </row>
    <row r="2854" spans="1:18" x14ac:dyDescent="0.25">
      <c r="A2854" s="6" t="str">
        <f>HYPERLINK("proteomic_fractions_linear_files/Yang_linear_img/309265658.jpg", "309265658")</f>
        <v>309265658</v>
      </c>
      <c r="B2854" s="7"/>
      <c r="C2854" s="6" t="str">
        <f>HYPERLINK("http://www.ncbi.nlm.nih.gov/protein/309265658","Gm4604")</f>
        <v>Gm4604</v>
      </c>
      <c r="D2854" s="8"/>
      <c r="E2854" s="8">
        <v>12181</v>
      </c>
      <c r="F2854" s="8"/>
      <c r="G2854" s="15">
        <v>1.8163118558898959</v>
      </c>
      <c r="H2854" s="15">
        <v>1.6250958190029394</v>
      </c>
      <c r="I2854" s="15">
        <v>1.2663615244845239</v>
      </c>
      <c r="J2854" s="15">
        <v>1.2663615244845239</v>
      </c>
      <c r="K2854" s="15">
        <v>1.327286815265148</v>
      </c>
      <c r="L2854" s="15">
        <v>1.327286815265148</v>
      </c>
      <c r="M2854" s="15">
        <v>1.2663615244845239</v>
      </c>
      <c r="N2854" s="15">
        <v>1.2663615244845239</v>
      </c>
      <c r="O2854" s="15" t="s">
        <v>10</v>
      </c>
      <c r="P2854" s="15" t="s">
        <v>10</v>
      </c>
      <c r="Q2854" s="8"/>
      <c r="R2854" s="9" t="s">
        <v>8119</v>
      </c>
    </row>
    <row r="2855" spans="1:18" x14ac:dyDescent="0.25">
      <c r="A2855" s="6" t="str">
        <f>HYPERLINK("proteomic_fractions_linear_files/Yang_linear_img/168229231.jpg", "168229231")</f>
        <v>168229231</v>
      </c>
      <c r="B2855" s="7"/>
      <c r="C2855" s="6" t="str">
        <f>HYPERLINK("http://www.ncbi.nlm.nih.gov/protein/168229231","Gm4794")</f>
        <v>Gm4794</v>
      </c>
      <c r="D2855" s="8"/>
      <c r="E2855" s="8">
        <v>34688</v>
      </c>
      <c r="F2855" s="8"/>
      <c r="G2855" s="15" t="s">
        <v>10</v>
      </c>
      <c r="H2855" s="15" t="s">
        <v>10</v>
      </c>
      <c r="I2855" s="15" t="s">
        <v>10</v>
      </c>
      <c r="J2855" s="15" t="s">
        <v>10</v>
      </c>
      <c r="K2855" s="15" t="s">
        <v>10</v>
      </c>
      <c r="L2855" s="15" t="s">
        <v>10</v>
      </c>
      <c r="M2855" s="15" t="s">
        <v>10</v>
      </c>
      <c r="N2855" s="15" t="s">
        <v>10</v>
      </c>
      <c r="O2855" s="15">
        <v>0.91668779587810256</v>
      </c>
      <c r="P2855" s="15">
        <v>0.91668779587810256</v>
      </c>
      <c r="Q2855" s="8"/>
      <c r="R2855" s="9" t="s">
        <v>2725</v>
      </c>
    </row>
    <row r="2856" spans="1:18" x14ac:dyDescent="0.25">
      <c r="A2856" s="6" t="str">
        <f>HYPERLINK("proteomic_fractions_linear_files/Yang_linear_img/298493250.jpg", "298493250")</f>
        <v>298493250</v>
      </c>
      <c r="B2856" s="7"/>
      <c r="C2856" s="6" t="str">
        <f>HYPERLINK("http://www.ncbi.nlm.nih.gov/protein/298493250","Gm4832")</f>
        <v>Gm4832</v>
      </c>
      <c r="D2856" s="8"/>
      <c r="E2856" s="8">
        <v>15218</v>
      </c>
      <c r="F2856" s="8"/>
      <c r="G2856" s="15" t="s">
        <v>10</v>
      </c>
      <c r="H2856" s="15" t="s">
        <v>10</v>
      </c>
      <c r="I2856" s="15" t="s">
        <v>10</v>
      </c>
      <c r="J2856" s="15" t="s">
        <v>10</v>
      </c>
      <c r="K2856" s="15">
        <v>1.1713293176905979</v>
      </c>
      <c r="L2856" s="15">
        <v>1.1713293176905979</v>
      </c>
      <c r="M2856" s="15">
        <v>1.1713293176905979</v>
      </c>
      <c r="N2856" s="15">
        <v>1.1713293176905979</v>
      </c>
      <c r="O2856" s="15" t="s">
        <v>10</v>
      </c>
      <c r="P2856" s="15" t="s">
        <v>10</v>
      </c>
      <c r="Q2856" s="8"/>
      <c r="R2856" s="9" t="s">
        <v>2726</v>
      </c>
    </row>
    <row r="2857" spans="1:18" x14ac:dyDescent="0.25">
      <c r="A2857" s="6" t="str">
        <f>HYPERLINK("proteomic_fractions_linear_files/Yang_linear_img/256221758.jpg", "256221758")</f>
        <v>256221758</v>
      </c>
      <c r="B2857" s="7"/>
      <c r="C2857" s="6" t="str">
        <f>HYPERLINK("http://www.ncbi.nlm.nih.gov/protein/256221758","Gm4846")</f>
        <v>Gm4846</v>
      </c>
      <c r="D2857" s="8"/>
      <c r="E2857" s="8">
        <v>61513</v>
      </c>
      <c r="F2857" s="8"/>
      <c r="G2857" s="15" t="s">
        <v>10</v>
      </c>
      <c r="H2857" s="15" t="s">
        <v>10</v>
      </c>
      <c r="I2857" s="15" t="s">
        <v>10</v>
      </c>
      <c r="J2857" s="15" t="s">
        <v>10</v>
      </c>
      <c r="K2857" s="15">
        <v>96.66290322580646</v>
      </c>
      <c r="L2857" s="15">
        <v>96.66290322580646</v>
      </c>
      <c r="M2857" s="15" t="s">
        <v>10</v>
      </c>
      <c r="N2857" s="15" t="s">
        <v>10</v>
      </c>
      <c r="O2857" s="15" t="s">
        <v>10</v>
      </c>
      <c r="P2857" s="15" t="s">
        <v>10</v>
      </c>
      <c r="Q2857" s="8"/>
      <c r="R2857" s="9" t="s">
        <v>2727</v>
      </c>
    </row>
    <row r="2858" spans="1:18" x14ac:dyDescent="0.25">
      <c r="A2858" s="6" t="str">
        <f>HYPERLINK("proteomic_fractions_linear_files/Yang_linear_img/256221898.jpg", "256221898")</f>
        <v>256221898</v>
      </c>
      <c r="B2858" s="7"/>
      <c r="C2858" s="6" t="str">
        <f>HYPERLINK("http://www.ncbi.nlm.nih.gov/protein/256221898","Gm4847")</f>
        <v>Gm4847</v>
      </c>
      <c r="D2858" s="8"/>
      <c r="E2858" s="8">
        <v>61203</v>
      </c>
      <c r="F2858" s="8"/>
      <c r="G2858" s="15" t="s">
        <v>10</v>
      </c>
      <c r="H2858" s="15" t="s">
        <v>10</v>
      </c>
      <c r="I2858" s="15" t="s">
        <v>10</v>
      </c>
      <c r="J2858" s="15" t="s">
        <v>10</v>
      </c>
      <c r="K2858" s="15">
        <v>98.247540983606569</v>
      </c>
      <c r="L2858" s="15">
        <v>98.247540983606569</v>
      </c>
      <c r="M2858" s="15" t="s">
        <v>10</v>
      </c>
      <c r="N2858" s="15" t="s">
        <v>10</v>
      </c>
      <c r="O2858" s="15" t="s">
        <v>10</v>
      </c>
      <c r="P2858" s="15" t="s">
        <v>10</v>
      </c>
      <c r="Q2858" s="8"/>
      <c r="R2858" s="9" t="s">
        <v>2728</v>
      </c>
    </row>
    <row r="2859" spans="1:18" x14ac:dyDescent="0.25">
      <c r="A2859" s="6" t="str">
        <f>HYPERLINK("proteomic_fractions_linear_files/Yang_linear_img/82904428.jpg", "82904428")</f>
        <v>82904428</v>
      </c>
      <c r="B2859" s="7"/>
      <c r="C2859" s="6" t="str">
        <f>HYPERLINK("http://www.ncbi.nlm.nih.gov/protein/82904428","Gm4883")</f>
        <v>Gm4883</v>
      </c>
      <c r="D2859" s="8"/>
      <c r="E2859" s="8">
        <v>20116</v>
      </c>
      <c r="F2859" s="8"/>
      <c r="G2859" s="15" t="s">
        <v>10</v>
      </c>
      <c r="H2859" s="15" t="s">
        <v>10</v>
      </c>
      <c r="I2859" s="15">
        <v>0.97505749140176368</v>
      </c>
      <c r="J2859" s="15">
        <v>0.97505749140176368</v>
      </c>
      <c r="K2859" s="15">
        <v>1.0298720593328137</v>
      </c>
      <c r="L2859" s="15">
        <v>1.0298720593328137</v>
      </c>
      <c r="M2859" s="15">
        <v>1.0298720593328137</v>
      </c>
      <c r="N2859" s="15">
        <v>1.0298720593328137</v>
      </c>
      <c r="O2859" s="15" t="s">
        <v>10</v>
      </c>
      <c r="P2859" s="15" t="s">
        <v>10</v>
      </c>
      <c r="Q2859" s="8"/>
      <c r="R2859" s="9" t="s">
        <v>8120</v>
      </c>
    </row>
    <row r="2860" spans="1:18" x14ac:dyDescent="0.25">
      <c r="A2860" s="6" t="str">
        <f>HYPERLINK("proteomic_fractions_linear_files/Yang_linear_img/149258537.jpg", "149258537")</f>
        <v>149258537</v>
      </c>
      <c r="B2860" s="7"/>
      <c r="C2860" s="6" t="str">
        <f>HYPERLINK("http://www.ncbi.nlm.nih.gov/protein/149258537","Gm4889")</f>
        <v>Gm4889</v>
      </c>
      <c r="D2860" s="8"/>
      <c r="E2860" s="8">
        <v>20556</v>
      </c>
      <c r="F2860" s="8"/>
      <c r="G2860" s="15" t="s">
        <v>10</v>
      </c>
      <c r="H2860" s="15" t="s">
        <v>10</v>
      </c>
      <c r="I2860" s="15">
        <v>1.0378924890799406</v>
      </c>
      <c r="J2860" s="15">
        <v>1.0378924890799406</v>
      </c>
      <c r="K2860" s="15">
        <v>1.0378924890799406</v>
      </c>
      <c r="L2860" s="15">
        <v>1.0378924890799406</v>
      </c>
      <c r="M2860" s="15">
        <v>1.0378924890799406</v>
      </c>
      <c r="N2860" s="15">
        <v>1.0378924890799406</v>
      </c>
      <c r="O2860" s="15" t="s">
        <v>10</v>
      </c>
      <c r="P2860" s="15" t="s">
        <v>10</v>
      </c>
      <c r="Q2860" s="8"/>
      <c r="R2860" s="9" t="s">
        <v>8064</v>
      </c>
    </row>
    <row r="2861" spans="1:18" x14ac:dyDescent="0.25">
      <c r="A2861" s="6" t="str">
        <f>HYPERLINK("proteomic_fractions_linear_files/Yang_linear_img/309266241.jpg", "309266241")</f>
        <v>309266241</v>
      </c>
      <c r="B2861" s="7"/>
      <c r="C2861" s="6" t="str">
        <f>HYPERLINK("http://www.ncbi.nlm.nih.gov/protein/309266241","Gm4889")</f>
        <v>Gm4889</v>
      </c>
      <c r="D2861" s="8"/>
      <c r="E2861" s="8">
        <v>17903</v>
      </c>
      <c r="F2861" s="8"/>
      <c r="G2861" s="15">
        <v>1.1443022881475706</v>
      </c>
      <c r="H2861" s="15">
        <v>1.1443022881475706</v>
      </c>
      <c r="I2861" s="15">
        <v>1.210874570593264</v>
      </c>
      <c r="J2861" s="15">
        <v>1.210874570593264</v>
      </c>
      <c r="K2861" s="15">
        <v>1.210874570593264</v>
      </c>
      <c r="L2861" s="15">
        <v>1.210874570593264</v>
      </c>
      <c r="M2861" s="15">
        <v>1.1443022881475706</v>
      </c>
      <c r="N2861" s="15">
        <v>1.1443022881475706</v>
      </c>
      <c r="O2861" s="15" t="s">
        <v>10</v>
      </c>
      <c r="P2861" s="15" t="s">
        <v>10</v>
      </c>
      <c r="Q2861" s="8"/>
      <c r="R2861" s="9" t="s">
        <v>8064</v>
      </c>
    </row>
    <row r="2862" spans="1:18" x14ac:dyDescent="0.25">
      <c r="A2862" s="6" t="str">
        <f>HYPERLINK("proteomic_fractions_linear_files/Yang_linear_img/81230474.jpg", "81230474")</f>
        <v>81230474</v>
      </c>
      <c r="B2862" s="7"/>
      <c r="C2862" s="6" t="str">
        <f>HYPERLINK("http://www.ncbi.nlm.nih.gov/protein/81230474","Gm4925")</f>
        <v>Gm4925</v>
      </c>
      <c r="D2862" s="8"/>
      <c r="E2862" s="8">
        <v>14390</v>
      </c>
      <c r="F2862" s="8"/>
      <c r="G2862" s="15">
        <v>1.5568387336199108</v>
      </c>
      <c r="H2862" s="15">
        <v>1.5568387336199108</v>
      </c>
      <c r="I2862" s="15">
        <v>1.085452735272449</v>
      </c>
      <c r="J2862" s="15">
        <v>1.085452735272449</v>
      </c>
      <c r="K2862" s="15">
        <v>1.085452735272449</v>
      </c>
      <c r="L2862" s="15">
        <v>1.085452735272449</v>
      </c>
      <c r="M2862" s="15">
        <v>1.085452735272449</v>
      </c>
      <c r="N2862" s="15">
        <v>1.085452735272449</v>
      </c>
      <c r="O2862" s="15">
        <v>0.99184646428118928</v>
      </c>
      <c r="P2862" s="15">
        <v>0.99184646428118928</v>
      </c>
      <c r="Q2862" s="8"/>
      <c r="R2862" s="9" t="s">
        <v>2729</v>
      </c>
    </row>
    <row r="2863" spans="1:18" x14ac:dyDescent="0.25">
      <c r="A2863" s="6" t="str">
        <f>HYPERLINK("proteomic_fractions_linear_files/Yang_linear_img/149267789.jpg", "149267789")</f>
        <v>149267789</v>
      </c>
      <c r="B2863" s="7"/>
      <c r="C2863" s="6" t="str">
        <f>HYPERLINK("http://www.ncbi.nlm.nih.gov/protein/149267789","Gm4943")</f>
        <v>Gm4943</v>
      </c>
      <c r="D2863" s="8"/>
      <c r="E2863" s="8">
        <v>15081</v>
      </c>
      <c r="F2863" s="8"/>
      <c r="G2863" s="15">
        <v>1.540638224981163</v>
      </c>
      <c r="H2863" s="15">
        <v>1.4530494847119166</v>
      </c>
      <c r="I2863" s="15">
        <v>0.96783158145802317</v>
      </c>
      <c r="J2863" s="15">
        <v>0.96783158145802317</v>
      </c>
      <c r="K2863" s="15">
        <v>1.0130892195876191</v>
      </c>
      <c r="L2863" s="15">
        <v>1.0130892195876191</v>
      </c>
      <c r="M2863" s="15" t="s">
        <v>10</v>
      </c>
      <c r="N2863" s="15" t="s">
        <v>10</v>
      </c>
      <c r="O2863" s="15" t="s">
        <v>10</v>
      </c>
      <c r="P2863" s="15" t="s">
        <v>10</v>
      </c>
      <c r="Q2863" s="8"/>
      <c r="R2863" s="9" t="s">
        <v>8121</v>
      </c>
    </row>
    <row r="2864" spans="1:18" x14ac:dyDescent="0.25">
      <c r="A2864" s="6" t="str">
        <f>HYPERLINK("proteomic_fractions_linear_files/Yang_linear_img/20846986.jpg", "20846986")</f>
        <v>20846986</v>
      </c>
      <c r="B2864" s="7"/>
      <c r="C2864" s="6" t="str">
        <f>HYPERLINK("http://www.ncbi.nlm.nih.gov/protein/20846986","Gm4963")</f>
        <v>Gm4963</v>
      </c>
      <c r="D2864" s="8"/>
      <c r="E2864" s="8">
        <v>13577</v>
      </c>
      <c r="F2864" s="8"/>
      <c r="G2864" s="15">
        <v>1.7539157580912084</v>
      </c>
      <c r="H2864" s="15">
        <v>1.7539157580912084</v>
      </c>
      <c r="I2864" s="15">
        <v>1.1940338943290729</v>
      </c>
      <c r="J2864" s="15">
        <v>1.1940338943290729</v>
      </c>
      <c r="K2864" s="15">
        <v>1.2549956975256404</v>
      </c>
      <c r="L2864" s="15">
        <v>1.2549956975256404</v>
      </c>
      <c r="M2864" s="15">
        <v>1.1940338943290729</v>
      </c>
      <c r="N2864" s="15">
        <v>1.1940338943290729</v>
      </c>
      <c r="O2864" s="15">
        <v>1.1940338943290729</v>
      </c>
      <c r="P2864" s="15">
        <v>1.1940338943290729</v>
      </c>
      <c r="Q2864" s="8"/>
      <c r="R2864" s="9" t="s">
        <v>8122</v>
      </c>
    </row>
    <row r="2865" spans="1:18" x14ac:dyDescent="0.25">
      <c r="A2865" s="6" t="str">
        <f>HYPERLINK("proteomic_fractions_linear_files/Yang_linear_img/307574641.jpg", "307574641")</f>
        <v>307574641</v>
      </c>
      <c r="B2865" s="7"/>
      <c r="C2865" s="6" t="str">
        <f>HYPERLINK("http://www.ncbi.nlm.nih.gov/protein/307574641","Gm4975")</f>
        <v>Gm4975</v>
      </c>
      <c r="D2865" s="8"/>
      <c r="E2865" s="8">
        <v>130352</v>
      </c>
      <c r="F2865" s="8"/>
      <c r="G2865" s="15" t="s">
        <v>10</v>
      </c>
      <c r="H2865" s="15" t="s">
        <v>10</v>
      </c>
      <c r="I2865" s="15" t="s">
        <v>10</v>
      </c>
      <c r="J2865" s="15" t="s">
        <v>10</v>
      </c>
      <c r="K2865" s="15">
        <v>0.26579520408057833</v>
      </c>
      <c r="L2865" s="15">
        <v>0.26579520408057833</v>
      </c>
      <c r="M2865" s="15" t="s">
        <v>10</v>
      </c>
      <c r="N2865" s="15" t="s">
        <v>10</v>
      </c>
      <c r="O2865" s="15" t="s">
        <v>10</v>
      </c>
      <c r="P2865" s="15" t="s">
        <v>10</v>
      </c>
      <c r="Q2865" s="8"/>
      <c r="R2865" s="9" t="s">
        <v>2730</v>
      </c>
    </row>
    <row r="2866" spans="1:18" x14ac:dyDescent="0.25">
      <c r="A2866" s="6" t="str">
        <f>HYPERLINK("proteomic_fractions_linear_files/Yang_linear_img/25032837.jpg", "25032837")</f>
        <v>25032837</v>
      </c>
      <c r="B2866" s="7"/>
      <c r="C2866" s="6" t="str">
        <f>HYPERLINK("http://www.ncbi.nlm.nih.gov/protein/25032837","Gm5058")</f>
        <v>Gm5058</v>
      </c>
      <c r="D2866" s="8"/>
      <c r="E2866" s="8">
        <v>17700</v>
      </c>
      <c r="F2866" s="8"/>
      <c r="G2866" s="15">
        <v>0.97610776474216487</v>
      </c>
      <c r="H2866" s="15">
        <v>0.97610776474216487</v>
      </c>
      <c r="I2866" s="15">
        <v>1.0833972126686264</v>
      </c>
      <c r="J2866" s="15">
        <v>1.0833972126686264</v>
      </c>
      <c r="K2866" s="15">
        <v>1.0833972126686264</v>
      </c>
      <c r="L2866" s="15">
        <v>1.0833972126686264</v>
      </c>
      <c r="M2866" s="15">
        <v>1.0833972126686264</v>
      </c>
      <c r="N2866" s="15">
        <v>1.0833972126686264</v>
      </c>
      <c r="O2866" s="15" t="s">
        <v>10</v>
      </c>
      <c r="P2866" s="15" t="s">
        <v>10</v>
      </c>
      <c r="Q2866" s="8"/>
      <c r="R2866" s="9" t="s">
        <v>8113</v>
      </c>
    </row>
    <row r="2867" spans="1:18" x14ac:dyDescent="0.25">
      <c r="A2867" s="6" t="str">
        <f>HYPERLINK("proteomic_fractions_linear_files/Yang_linear_img/149263303.jpg", "149263303")</f>
        <v>149263303</v>
      </c>
      <c r="B2867" s="7"/>
      <c r="C2867" s="6" t="str">
        <f>HYPERLINK("http://www.ncbi.nlm.nih.gov/protein/149263303","Gm5068")</f>
        <v>Gm5068</v>
      </c>
      <c r="D2867" s="8"/>
      <c r="E2867" s="8">
        <v>24112</v>
      </c>
      <c r="F2867" s="8"/>
      <c r="G2867" s="15">
        <v>0.53113413924740105</v>
      </c>
      <c r="H2867" s="15">
        <v>0.53113413924740105</v>
      </c>
      <c r="I2867" s="15">
        <v>0.53113413924740105</v>
      </c>
      <c r="J2867" s="15">
        <v>0.53113413924740105</v>
      </c>
      <c r="K2867" s="15">
        <v>0.53113413924740105</v>
      </c>
      <c r="L2867" s="15">
        <v>0.53113413924740105</v>
      </c>
      <c r="M2867" s="15">
        <v>0.53113413924740105</v>
      </c>
      <c r="N2867" s="15">
        <v>0.53113413924740105</v>
      </c>
      <c r="O2867" s="15">
        <v>0.50970255384713992</v>
      </c>
      <c r="P2867" s="15">
        <v>0.50970255384713992</v>
      </c>
      <c r="Q2867" s="8"/>
      <c r="R2867" s="9" t="s">
        <v>8123</v>
      </c>
    </row>
    <row r="2868" spans="1:18" x14ac:dyDescent="0.25">
      <c r="A2868" s="6" t="str">
        <f>HYPERLINK("proteomic_fractions_linear_files/Yang_linear_img/82994207.jpg", "82994207")</f>
        <v>82994207</v>
      </c>
      <c r="B2868" s="7"/>
      <c r="C2868" s="6" t="str">
        <f>HYPERLINK("http://www.ncbi.nlm.nih.gov/protein/82994207","Gm5093")</f>
        <v>Gm5093</v>
      </c>
      <c r="D2868" s="8"/>
      <c r="E2868" s="8">
        <v>22577</v>
      </c>
      <c r="F2868" s="8"/>
      <c r="G2868" s="15">
        <v>0.7639104245808247</v>
      </c>
      <c r="H2868" s="15">
        <v>0.7639104245808247</v>
      </c>
      <c r="I2868" s="15">
        <v>0.84787607947979449</v>
      </c>
      <c r="J2868" s="15">
        <v>0.84787607947979449</v>
      </c>
      <c r="K2868" s="15">
        <v>0.84787607947979449</v>
      </c>
      <c r="L2868" s="15">
        <v>0.84787607947979449</v>
      </c>
      <c r="M2868" s="15">
        <v>0.84787607947979449</v>
      </c>
      <c r="N2868" s="15">
        <v>0.84787607947979449</v>
      </c>
      <c r="O2868" s="15">
        <v>0.84787607947979449</v>
      </c>
      <c r="P2868" s="15">
        <v>0.84787607947979449</v>
      </c>
      <c r="Q2868" s="8"/>
      <c r="R2868" s="9" t="s">
        <v>8115</v>
      </c>
    </row>
    <row r="2869" spans="1:18" x14ac:dyDescent="0.25">
      <c r="A2869" s="6" t="str">
        <f>HYPERLINK("proteomic_fractions_linear_files/Yang_linear_img/407264077.jpg", "407264077")</f>
        <v>407264077</v>
      </c>
      <c r="B2869" s="7"/>
      <c r="C2869" s="6" t="str">
        <f>HYPERLINK("http://www.ncbi.nlm.nih.gov/protein/407264077","Gm5215")</f>
        <v>Gm5215</v>
      </c>
      <c r="D2869" s="8"/>
      <c r="E2869" s="8">
        <v>17238</v>
      </c>
      <c r="F2869" s="8"/>
      <c r="G2869" s="15">
        <v>1.4444012125457011</v>
      </c>
      <c r="H2869" s="15">
        <v>1.4444012125457011</v>
      </c>
      <c r="I2869" s="15">
        <v>0.98332203062394252</v>
      </c>
      <c r="J2869" s="15">
        <v>0.98332203062394252</v>
      </c>
      <c r="K2869" s="15">
        <v>1.0335258685505275</v>
      </c>
      <c r="L2869" s="15">
        <v>1.0335258685505275</v>
      </c>
      <c r="M2869" s="15">
        <v>1.0335258685505275</v>
      </c>
      <c r="N2869" s="15">
        <v>1.0335258685505275</v>
      </c>
      <c r="O2869" s="15">
        <v>0.98332203062394252</v>
      </c>
      <c r="P2869" s="15">
        <v>0.98332203062394252</v>
      </c>
      <c r="Q2869" s="8"/>
      <c r="R2869" s="9" t="s">
        <v>8124</v>
      </c>
    </row>
    <row r="2870" spans="1:18" x14ac:dyDescent="0.25">
      <c r="A2870" s="6" t="str">
        <f>HYPERLINK("proteomic_fractions_linear_files/Yang_linear_img/309263329.jpg", "309263329")</f>
        <v>309263329</v>
      </c>
      <c r="B2870" s="7"/>
      <c r="C2870" s="6" t="str">
        <f>HYPERLINK("http://www.ncbi.nlm.nih.gov/protein/309263329","Gm5218")</f>
        <v>Gm5218</v>
      </c>
      <c r="D2870" s="8"/>
      <c r="E2870" s="8">
        <v>22382</v>
      </c>
      <c r="F2870" s="8"/>
      <c r="G2870" s="15">
        <v>1.3584275859869606</v>
      </c>
      <c r="H2870" s="15">
        <v>1.3584275859869606</v>
      </c>
      <c r="I2870" s="15">
        <v>0.99071555775812503</v>
      </c>
      <c r="J2870" s="15">
        <v>0.99071555775812503</v>
      </c>
      <c r="K2870" s="15">
        <v>0.99071555775812503</v>
      </c>
      <c r="L2870" s="15">
        <v>0.99071555775812503</v>
      </c>
      <c r="M2870" s="15">
        <v>0.99071555775812503</v>
      </c>
      <c r="N2870" s="15">
        <v>0.99071555775812503</v>
      </c>
      <c r="O2870" s="15" t="s">
        <v>10</v>
      </c>
      <c r="P2870" s="15" t="s">
        <v>10</v>
      </c>
      <c r="Q2870" s="8"/>
      <c r="R2870" s="9" t="s">
        <v>8064</v>
      </c>
    </row>
    <row r="2871" spans="1:18" x14ac:dyDescent="0.25">
      <c r="A2871" s="6" t="str">
        <f>HYPERLINK("proteomic_fractions_linear_files/Yang_linear_img/94380332.jpg", "94380332")</f>
        <v>94380332</v>
      </c>
      <c r="B2871" s="7"/>
      <c r="C2871" s="6" t="str">
        <f>HYPERLINK("http://www.ncbi.nlm.nih.gov/protein/94380332","Gm5331")</f>
        <v>Gm5331</v>
      </c>
      <c r="D2871" s="8"/>
      <c r="E2871" s="8">
        <v>23042</v>
      </c>
      <c r="F2871" s="8"/>
      <c r="G2871" s="15" t="s">
        <v>10</v>
      </c>
      <c r="H2871" s="15" t="s">
        <v>10</v>
      </c>
      <c r="I2871" s="15">
        <v>0.66071036060062116</v>
      </c>
      <c r="J2871" s="15">
        <v>0.66071036060062116</v>
      </c>
      <c r="K2871" s="15">
        <v>0.69249746883399022</v>
      </c>
      <c r="L2871" s="15">
        <v>0.69249746883399022</v>
      </c>
      <c r="M2871" s="15" t="s">
        <v>10</v>
      </c>
      <c r="N2871" s="15" t="s">
        <v>10</v>
      </c>
      <c r="O2871" s="15" t="s">
        <v>10</v>
      </c>
      <c r="P2871" s="15" t="s">
        <v>10</v>
      </c>
      <c r="Q2871" s="8"/>
      <c r="R2871" s="9" t="s">
        <v>8125</v>
      </c>
    </row>
    <row r="2872" spans="1:18" x14ac:dyDescent="0.25">
      <c r="A2872" s="6" t="str">
        <f>HYPERLINK("proteomic_fractions_linear_files/Yang_linear_img/407264363.jpg", "407264363")</f>
        <v>407264363</v>
      </c>
      <c r="B2872" s="7"/>
      <c r="C2872" s="6" t="str">
        <f>HYPERLINK("http://www.ncbi.nlm.nih.gov/protein/407264363","Gm5396")</f>
        <v>Gm5396</v>
      </c>
      <c r="D2872" s="8"/>
      <c r="E2872" s="8">
        <v>19136</v>
      </c>
      <c r="F2872" s="8"/>
      <c r="G2872" s="15">
        <v>1.9653329696381363</v>
      </c>
      <c r="H2872" s="15">
        <v>1.9653329696381363</v>
      </c>
      <c r="I2872" s="15">
        <v>1.3763293744960527</v>
      </c>
      <c r="J2872" s="15">
        <v>1.3763293744960527</v>
      </c>
      <c r="K2872" s="15">
        <v>1.3763293744960527</v>
      </c>
      <c r="L2872" s="15">
        <v>1.3763293744960527</v>
      </c>
      <c r="M2872" s="15">
        <v>1.4693795419832663</v>
      </c>
      <c r="N2872" s="15">
        <v>1.4693795419832663</v>
      </c>
      <c r="O2872" s="15">
        <v>1.2923589796461534</v>
      </c>
      <c r="P2872" s="15">
        <v>1.2923589796461534</v>
      </c>
      <c r="Q2872" s="8"/>
      <c r="R2872" s="9" t="s">
        <v>8105</v>
      </c>
    </row>
    <row r="2873" spans="1:18" x14ac:dyDescent="0.25">
      <c r="A2873" s="6" t="str">
        <f>HYPERLINK("proteomic_fractions_linear_files/Yang_linear_img/83004259.jpg", "83004259")</f>
        <v>83004259</v>
      </c>
      <c r="B2873" s="7"/>
      <c r="C2873" s="6" t="str">
        <f>HYPERLINK("http://www.ncbi.nlm.nih.gov/protein/83004259","Gm5396")</f>
        <v>Gm5396</v>
      </c>
      <c r="D2873" s="8"/>
      <c r="E2873" s="8">
        <v>21177</v>
      </c>
      <c r="F2873" s="8"/>
      <c r="G2873" s="15">
        <v>1.7781584011011711</v>
      </c>
      <c r="H2873" s="15">
        <v>1.7781584011011711</v>
      </c>
      <c r="I2873" s="15">
        <v>1.2452503864488096</v>
      </c>
      <c r="J2873" s="15">
        <v>1.2452503864488096</v>
      </c>
      <c r="K2873" s="15">
        <v>1.2452503864488096</v>
      </c>
      <c r="L2873" s="15">
        <v>1.2452503864488096</v>
      </c>
      <c r="M2873" s="15">
        <v>1.3294386332229553</v>
      </c>
      <c r="N2873" s="15">
        <v>1.3294386332229553</v>
      </c>
      <c r="O2873" s="15">
        <v>1.1692771720608055</v>
      </c>
      <c r="P2873" s="15">
        <v>1.1692771720608055</v>
      </c>
      <c r="Q2873" s="8"/>
      <c r="R2873" s="9" t="s">
        <v>8105</v>
      </c>
    </row>
    <row r="2874" spans="1:18" x14ac:dyDescent="0.25">
      <c r="A2874" s="6" t="str">
        <f>HYPERLINK("proteomic_fractions_linear_files/Yang_linear_img/256017236.jpg", "256017236")</f>
        <v>256017236</v>
      </c>
      <c r="B2874" s="7"/>
      <c r="C2874" s="6" t="str">
        <f>HYPERLINK("http://www.ncbi.nlm.nih.gov/protein/256017236","Gm5415")</f>
        <v>Gm5415</v>
      </c>
      <c r="D2874" s="8"/>
      <c r="E2874" s="8">
        <v>54455</v>
      </c>
      <c r="F2874" s="8"/>
      <c r="G2874" s="15" t="s">
        <v>10</v>
      </c>
      <c r="H2874" s="15" t="s">
        <v>10</v>
      </c>
      <c r="I2874" s="15" t="s">
        <v>10</v>
      </c>
      <c r="J2874" s="15" t="s">
        <v>10</v>
      </c>
      <c r="K2874" s="15">
        <v>3.4586265118507473</v>
      </c>
      <c r="L2874" s="15">
        <v>3.4586265118507473</v>
      </c>
      <c r="M2874" s="15" t="s">
        <v>10</v>
      </c>
      <c r="N2874" s="15" t="s">
        <v>10</v>
      </c>
      <c r="O2874" s="15" t="s">
        <v>10</v>
      </c>
      <c r="P2874" s="15" t="s">
        <v>10</v>
      </c>
      <c r="Q2874" s="8"/>
      <c r="R2874" s="9" t="s">
        <v>2731</v>
      </c>
    </row>
    <row r="2875" spans="1:18" x14ac:dyDescent="0.25">
      <c r="A2875" s="6" t="str">
        <f>HYPERLINK("proteomic_fractions_linear_files/Yang_linear_img/407261829.jpg", "407261829")</f>
        <v>407261829</v>
      </c>
      <c r="B2875" s="7"/>
      <c r="C2875" s="6" t="str">
        <f>HYPERLINK("http://www.ncbi.nlm.nih.gov/protein/407261829","Gm5428")</f>
        <v>Gm5428</v>
      </c>
      <c r="D2875" s="8"/>
      <c r="E2875" s="8">
        <v>34763</v>
      </c>
      <c r="F2875" s="8"/>
      <c r="G2875" s="15">
        <v>1.2607311213418706</v>
      </c>
      <c r="H2875" s="15">
        <v>1.2607311213418706</v>
      </c>
      <c r="I2875" s="15">
        <v>0.91668779587810256</v>
      </c>
      <c r="J2875" s="15">
        <v>0.91668779587810256</v>
      </c>
      <c r="K2875" s="15">
        <v>0.98723932944214809</v>
      </c>
      <c r="L2875" s="15">
        <v>0.98723932944214809</v>
      </c>
      <c r="M2875" s="15">
        <v>0.91668779587810256</v>
      </c>
      <c r="N2875" s="15">
        <v>0.91668779587810256</v>
      </c>
      <c r="O2875" s="15" t="s">
        <v>10</v>
      </c>
      <c r="P2875" s="15" t="s">
        <v>10</v>
      </c>
      <c r="Q2875" s="8"/>
      <c r="R2875" s="9" t="s">
        <v>8126</v>
      </c>
    </row>
    <row r="2876" spans="1:18" x14ac:dyDescent="0.25">
      <c r="A2876" s="6" t="str">
        <f>HYPERLINK("proteomic_fractions_linear_files/Yang_linear_img/82949522.jpg", "82949522")</f>
        <v>82949522</v>
      </c>
      <c r="B2876" s="7"/>
      <c r="C2876" s="6" t="str">
        <f>HYPERLINK("http://www.ncbi.nlm.nih.gov/protein/82949522","Gm5445")</f>
        <v>Gm5445</v>
      </c>
      <c r="D2876" s="8"/>
      <c r="E2876" s="8">
        <v>18524</v>
      </c>
      <c r="F2876" s="8"/>
      <c r="G2876" s="15">
        <v>1.572916152195428</v>
      </c>
      <c r="H2876" s="15">
        <v>1.572916152195428</v>
      </c>
      <c r="I2876" s="15">
        <v>1.0840758519292775</v>
      </c>
      <c r="J2876" s="15">
        <v>1.0840758519292775</v>
      </c>
      <c r="K2876" s="15">
        <v>1.0840758519292775</v>
      </c>
      <c r="L2876" s="15">
        <v>1.0840758519292775</v>
      </c>
      <c r="M2876" s="15">
        <v>1.0840758519292775</v>
      </c>
      <c r="N2876" s="15">
        <v>1.0840758519292775</v>
      </c>
      <c r="O2876" s="15" t="s">
        <v>10</v>
      </c>
      <c r="P2876" s="15" t="s">
        <v>10</v>
      </c>
      <c r="Q2876" s="8"/>
      <c r="R2876" s="9" t="s">
        <v>8127</v>
      </c>
    </row>
    <row r="2877" spans="1:18" x14ac:dyDescent="0.25">
      <c r="A2877" s="6" t="str">
        <f>HYPERLINK("proteomic_fractions_linear_files/Yang_linear_img/51767763.jpg", "51767763")</f>
        <v>51767763</v>
      </c>
      <c r="B2877" s="7"/>
      <c r="C2877" s="6" t="str">
        <f>HYPERLINK("http://www.ncbi.nlm.nih.gov/protein/51767763","Gm5451")</f>
        <v>Gm5451</v>
      </c>
      <c r="D2877" s="8"/>
      <c r="E2877" s="8">
        <v>21802</v>
      </c>
      <c r="F2877" s="8"/>
      <c r="G2877" s="15">
        <v>1.4583669479878905</v>
      </c>
      <c r="H2877" s="15">
        <v>1.4583669479878905</v>
      </c>
      <c r="I2877" s="15">
        <v>0.99071555775812503</v>
      </c>
      <c r="J2877" s="15">
        <v>0.99071555775812503</v>
      </c>
      <c r="K2877" s="15">
        <v>0.99071555775812503</v>
      </c>
      <c r="L2877" s="15">
        <v>0.99071555775812503</v>
      </c>
      <c r="M2877" s="15">
        <v>0.99071555775812503</v>
      </c>
      <c r="N2877" s="15">
        <v>0.99071555775812503</v>
      </c>
      <c r="O2877" s="15" t="s">
        <v>10</v>
      </c>
      <c r="P2877" s="15" t="s">
        <v>10</v>
      </c>
      <c r="Q2877" s="8"/>
      <c r="R2877" s="9" t="s">
        <v>8128</v>
      </c>
    </row>
    <row r="2878" spans="1:18" x14ac:dyDescent="0.25">
      <c r="A2878" s="6" t="str">
        <f>HYPERLINK("proteomic_fractions_linear_files/Yang_linear_img/82951993.jpg", "82951993")</f>
        <v>82951993</v>
      </c>
      <c r="B2878" s="7"/>
      <c r="C2878" s="6" t="str">
        <f>HYPERLINK("http://www.ncbi.nlm.nih.gov/protein/82951993","Gm5453")</f>
        <v>Gm5453</v>
      </c>
      <c r="D2878" s="8"/>
      <c r="E2878" s="8">
        <v>16527</v>
      </c>
      <c r="F2878" s="8"/>
      <c r="G2878" s="15">
        <v>1.5382504773779413</v>
      </c>
      <c r="H2878" s="15">
        <v>1.5382504773779413</v>
      </c>
      <c r="I2878" s="15">
        <v>1.0335258685505275</v>
      </c>
      <c r="J2878" s="15">
        <v>1.0335258685505275</v>
      </c>
      <c r="K2878" s="15">
        <v>1.1471264604726632</v>
      </c>
      <c r="L2878" s="15">
        <v>1.1471264604726632</v>
      </c>
      <c r="M2878" s="15">
        <v>1.0335258685505275</v>
      </c>
      <c r="N2878" s="15">
        <v>1.0335258685505275</v>
      </c>
      <c r="O2878" s="15" t="s">
        <v>10</v>
      </c>
      <c r="P2878" s="15" t="s">
        <v>10</v>
      </c>
      <c r="Q2878" s="8"/>
      <c r="R2878" s="9" t="s">
        <v>8078</v>
      </c>
    </row>
    <row r="2879" spans="1:18" x14ac:dyDescent="0.25">
      <c r="A2879" s="6" t="str">
        <f>HYPERLINK("proteomic_fractions_linear_files/Yang_linear_img/82957080.jpg", "82957080")</f>
        <v>82957080</v>
      </c>
      <c r="B2879" s="7"/>
      <c r="C2879" s="6" t="str">
        <f>HYPERLINK("http://www.ncbi.nlm.nih.gov/protein/82957080","Gm5471")</f>
        <v>Gm5471</v>
      </c>
      <c r="D2879" s="8"/>
      <c r="E2879" s="8">
        <v>12712</v>
      </c>
      <c r="F2879" s="8"/>
      <c r="G2879" s="15" t="s">
        <v>10</v>
      </c>
      <c r="H2879" s="15" t="s">
        <v>10</v>
      </c>
      <c r="I2879" s="15" t="s">
        <v>10</v>
      </c>
      <c r="J2879" s="15" t="s">
        <v>10</v>
      </c>
      <c r="K2879" s="15" t="s">
        <v>10</v>
      </c>
      <c r="L2879" s="15" t="s">
        <v>10</v>
      </c>
      <c r="M2879" s="15">
        <v>1.1167287478361805</v>
      </c>
      <c r="N2879" s="15">
        <v>1.1167287478361805</v>
      </c>
      <c r="O2879" s="15" t="s">
        <v>10</v>
      </c>
      <c r="P2879" s="15" t="s">
        <v>10</v>
      </c>
      <c r="Q2879" s="8"/>
      <c r="R2879" s="9" t="s">
        <v>8129</v>
      </c>
    </row>
    <row r="2880" spans="1:18" x14ac:dyDescent="0.25">
      <c r="A2880" s="6" t="str">
        <f>HYPERLINK("proteomic_fractions_linear_files/Yang_linear_img/82964986.jpg", "82964986")</f>
        <v>82964986</v>
      </c>
      <c r="B2880" s="7"/>
      <c r="C2880" s="6" t="str">
        <f>HYPERLINK("http://www.ncbi.nlm.nih.gov/protein/82964986","Gm5481")</f>
        <v>Gm5481</v>
      </c>
      <c r="D2880" s="8"/>
      <c r="E2880" s="8">
        <v>12713</v>
      </c>
      <c r="F2880" s="8"/>
      <c r="G2880" s="15" t="s">
        <v>10</v>
      </c>
      <c r="H2880" s="15" t="s">
        <v>10</v>
      </c>
      <c r="I2880" s="15" t="s">
        <v>10</v>
      </c>
      <c r="J2880" s="15" t="s">
        <v>10</v>
      </c>
      <c r="K2880" s="15">
        <v>1.2251878294755212</v>
      </c>
      <c r="L2880" s="15">
        <v>1.2251878294755212</v>
      </c>
      <c r="M2880" s="15">
        <v>1.1689490995241758</v>
      </c>
      <c r="N2880" s="15">
        <v>1.1689490995241758</v>
      </c>
      <c r="O2880" s="15" t="s">
        <v>10</v>
      </c>
      <c r="P2880" s="15" t="s">
        <v>10</v>
      </c>
      <c r="Q2880" s="8"/>
      <c r="R2880" s="9" t="s">
        <v>8130</v>
      </c>
    </row>
    <row r="2881" spans="1:18" x14ac:dyDescent="0.25">
      <c r="A2881" s="6" t="str">
        <f>HYPERLINK("proteomic_fractions_linear_files/Yang_linear_img/70794816.jpg", "70794816")</f>
        <v>70794816</v>
      </c>
      <c r="B2881" s="7"/>
      <c r="C2881" s="6" t="str">
        <f>HYPERLINK("http://www.ncbi.nlm.nih.gov/protein/70794816","Gm5506")</f>
        <v>Gm5506</v>
      </c>
      <c r="D2881" s="8"/>
      <c r="E2881" s="8">
        <v>47010</v>
      </c>
      <c r="F2881" s="8"/>
      <c r="G2881" s="15">
        <v>1.2504937784168904</v>
      </c>
      <c r="H2881" s="15">
        <v>1.2504937784168904</v>
      </c>
      <c r="I2881" s="15">
        <v>1.0274462890301117</v>
      </c>
      <c r="J2881" s="15">
        <v>1.0274462890301117</v>
      </c>
      <c r="K2881" s="15" t="s">
        <v>10</v>
      </c>
      <c r="L2881" s="15" t="s">
        <v>10</v>
      </c>
      <c r="M2881" s="15">
        <v>1.0274462890301117</v>
      </c>
      <c r="N2881" s="15">
        <v>1.0274462890301117</v>
      </c>
      <c r="O2881" s="15">
        <v>0.93884232440352056</v>
      </c>
      <c r="P2881" s="15">
        <v>0.93884232440352056</v>
      </c>
      <c r="Q2881" s="8"/>
      <c r="R2881" s="9" t="s">
        <v>2732</v>
      </c>
    </row>
    <row r="2882" spans="1:18" x14ac:dyDescent="0.25">
      <c r="A2882" s="6" t="str">
        <f>HYPERLINK("proteomic_fractions_linear_files/Yang_linear_img/82879797.jpg", "82879797")</f>
        <v>82879797</v>
      </c>
      <c r="B2882" s="7"/>
      <c r="C2882" s="6" t="str">
        <f>HYPERLINK("http://www.ncbi.nlm.nih.gov/protein/82879797","Gm5528")</f>
        <v>Gm5528</v>
      </c>
      <c r="D2882" s="8"/>
      <c r="E2882" s="8">
        <v>18372</v>
      </c>
      <c r="F2882" s="8"/>
      <c r="G2882" s="15">
        <v>1.6603003828729517</v>
      </c>
      <c r="H2882" s="15">
        <v>1.6603003828729517</v>
      </c>
      <c r="I2882" s="15">
        <v>1.1443022881475706</v>
      </c>
      <c r="J2882" s="15">
        <v>1.1443022881475706</v>
      </c>
      <c r="K2882" s="15">
        <v>1.1443022881475706</v>
      </c>
      <c r="L2882" s="15">
        <v>1.1443022881475706</v>
      </c>
      <c r="M2882" s="15">
        <v>1.1443022881475706</v>
      </c>
      <c r="N2882" s="15">
        <v>1.1443022881475706</v>
      </c>
      <c r="O2882" s="15" t="s">
        <v>10</v>
      </c>
      <c r="P2882" s="15" t="s">
        <v>10</v>
      </c>
      <c r="Q2882" s="8"/>
      <c r="R2882" s="9" t="s">
        <v>8053</v>
      </c>
    </row>
    <row r="2883" spans="1:18" x14ac:dyDescent="0.25">
      <c r="A2883" s="6" t="str">
        <f>HYPERLINK("proteomic_fractions_linear_files/Yang_linear_img/82896822.jpg", "82896822")</f>
        <v>82896822</v>
      </c>
      <c r="B2883" s="7"/>
      <c r="C2883" s="6" t="str">
        <f>HYPERLINK("http://www.ncbi.nlm.nih.gov/protein/82896822","Gm5553")</f>
        <v>Gm5553</v>
      </c>
      <c r="D2883" s="8"/>
      <c r="E2883" s="8">
        <v>16997</v>
      </c>
      <c r="F2883" s="8"/>
      <c r="G2883" s="15" t="s">
        <v>10</v>
      </c>
      <c r="H2883" s="15" t="s">
        <v>10</v>
      </c>
      <c r="I2883" s="15" t="s">
        <v>10</v>
      </c>
      <c r="J2883" s="15" t="s">
        <v>10</v>
      </c>
      <c r="K2883" s="15">
        <v>0.93690834018716329</v>
      </c>
      <c r="L2883" s="15">
        <v>0.93690834018716329</v>
      </c>
      <c r="M2883" s="15" t="s">
        <v>10</v>
      </c>
      <c r="N2883" s="15" t="s">
        <v>10</v>
      </c>
      <c r="O2883" s="15" t="s">
        <v>10</v>
      </c>
      <c r="P2883" s="15" t="s">
        <v>10</v>
      </c>
      <c r="Q2883" s="8"/>
      <c r="R2883" s="9" t="s">
        <v>8131</v>
      </c>
    </row>
    <row r="2884" spans="1:18" x14ac:dyDescent="0.25">
      <c r="A2884" s="6" t="str">
        <f>HYPERLINK("proteomic_fractions_linear_files/Yang_linear_img/94375800.jpg", "94375800")</f>
        <v>94375800</v>
      </c>
      <c r="B2884" s="7"/>
      <c r="C2884" s="6" t="str">
        <f>HYPERLINK("http://www.ncbi.nlm.nih.gov/protein/94375800","Gm5566")</f>
        <v>Gm5566</v>
      </c>
      <c r="D2884" s="8"/>
      <c r="E2884" s="8">
        <v>20372</v>
      </c>
      <c r="F2884" s="8"/>
      <c r="G2884" s="15">
        <v>1.1554786687358722</v>
      </c>
      <c r="H2884" s="15">
        <v>1.1554786687358722</v>
      </c>
      <c r="I2884" s="15">
        <v>0.79637208915908875</v>
      </c>
      <c r="J2884" s="15">
        <v>0.79637208915908875</v>
      </c>
      <c r="K2884" s="15">
        <v>0.83582372603035116</v>
      </c>
      <c r="L2884" s="15">
        <v>0.83582372603035116</v>
      </c>
      <c r="M2884" s="15">
        <v>0.83582372603035116</v>
      </c>
      <c r="N2884" s="15">
        <v>0.83582372603035116</v>
      </c>
      <c r="O2884" s="15">
        <v>0.79637208915908875</v>
      </c>
      <c r="P2884" s="15">
        <v>0.79637208915908875</v>
      </c>
      <c r="Q2884" s="8"/>
      <c r="R2884" s="9" t="s">
        <v>8132</v>
      </c>
    </row>
    <row r="2885" spans="1:18" x14ac:dyDescent="0.25">
      <c r="A2885" s="6" t="str">
        <f>HYPERLINK("proteomic_fractions_linear_files/Yang_linear_img/82902181.jpg", "82902181")</f>
        <v>82902181</v>
      </c>
      <c r="B2885" s="7"/>
      <c r="C2885" s="6" t="str">
        <f>HYPERLINK("http://www.ncbi.nlm.nih.gov/protein/82902181","Gm5576")</f>
        <v>Gm5576</v>
      </c>
      <c r="D2885" s="8"/>
      <c r="E2885" s="8">
        <v>46920</v>
      </c>
      <c r="F2885" s="8"/>
      <c r="G2885" s="15">
        <v>1.2504937784168904</v>
      </c>
      <c r="H2885" s="15">
        <v>1.2504937784168904</v>
      </c>
      <c r="I2885" s="15">
        <v>0.93884232440352056</v>
      </c>
      <c r="J2885" s="15">
        <v>0.93884232440352056</v>
      </c>
      <c r="K2885" s="15">
        <v>0.93884232440352056</v>
      </c>
      <c r="L2885" s="15">
        <v>0.93884232440352056</v>
      </c>
      <c r="M2885" s="15">
        <v>0.93884232440352056</v>
      </c>
      <c r="N2885" s="15">
        <v>0.93884232440352056</v>
      </c>
      <c r="O2885" s="15">
        <v>0.86185783411112227</v>
      </c>
      <c r="P2885" s="15">
        <v>0.86185783411112227</v>
      </c>
      <c r="Q2885" s="8"/>
      <c r="R2885" s="9" t="s">
        <v>8133</v>
      </c>
    </row>
    <row r="2886" spans="1:18" x14ac:dyDescent="0.25">
      <c r="A2886" s="6" t="str">
        <f>HYPERLINK("proteomic_fractions_linear_files/Yang_linear_img/85701806.jpg", "85701806")</f>
        <v>85701806</v>
      </c>
      <c r="B2886" s="7"/>
      <c r="C2886" s="6" t="str">
        <f>HYPERLINK("http://www.ncbi.nlm.nih.gov/protein/85701806","Gm561")</f>
        <v>Gm561</v>
      </c>
      <c r="D2886" s="8"/>
      <c r="E2886" s="8">
        <v>11832</v>
      </c>
      <c r="F2886" s="8"/>
      <c r="G2886" s="15" t="s">
        <v>10</v>
      </c>
      <c r="H2886" s="15" t="s">
        <v>10</v>
      </c>
      <c r="I2886" s="15">
        <v>1.2663615244845239</v>
      </c>
      <c r="J2886" s="15">
        <v>1.2663615244845239</v>
      </c>
      <c r="K2886" s="15">
        <v>1.3930395433839184</v>
      </c>
      <c r="L2886" s="15">
        <v>1.3930395433839184</v>
      </c>
      <c r="M2886" s="15" t="s">
        <v>10</v>
      </c>
      <c r="N2886" s="15" t="s">
        <v>10</v>
      </c>
      <c r="O2886" s="15" t="s">
        <v>10</v>
      </c>
      <c r="P2886" s="15" t="s">
        <v>10</v>
      </c>
      <c r="Q2886" s="8"/>
      <c r="R2886" s="9" t="s">
        <v>2733</v>
      </c>
    </row>
    <row r="2887" spans="1:18" x14ac:dyDescent="0.25">
      <c r="A2887" s="6" t="str">
        <f>HYPERLINK("proteomic_fractions_linear_files/Yang_linear_img/82930689.jpg", "82930689")</f>
        <v>82930689</v>
      </c>
      <c r="B2887" s="7"/>
      <c r="C2887" s="6" t="str">
        <f>HYPERLINK("http://www.ncbi.nlm.nih.gov/protein/82930689","Gm5620")</f>
        <v>Gm5620</v>
      </c>
      <c r="D2887" s="8"/>
      <c r="E2887" s="8">
        <v>49906</v>
      </c>
      <c r="F2887" s="8"/>
      <c r="G2887" s="15">
        <v>1.3090652666108866</v>
      </c>
      <c r="H2887" s="15">
        <v>1.3090652666108866</v>
      </c>
      <c r="I2887" s="15">
        <v>1.0624113926000216</v>
      </c>
      <c r="J2887" s="15">
        <v>1.0624113926000216</v>
      </c>
      <c r="K2887" s="15">
        <v>1.0624113926000216</v>
      </c>
      <c r="L2887" s="15">
        <v>1.1754641517118771</v>
      </c>
      <c r="M2887" s="15">
        <v>1.0624113926000216</v>
      </c>
      <c r="N2887" s="15">
        <v>1.0624113926000216</v>
      </c>
      <c r="O2887" s="15">
        <v>0.96579951168830502</v>
      </c>
      <c r="P2887" s="15">
        <v>0.96579951168830502</v>
      </c>
      <c r="Q2887" s="8"/>
      <c r="R2887" s="9" t="s">
        <v>8134</v>
      </c>
    </row>
    <row r="2888" spans="1:18" x14ac:dyDescent="0.25">
      <c r="A2888" s="6" t="str">
        <f>HYPERLINK("proteomic_fractions_linear_files/Yang_linear_img/82931053.jpg", "82931053")</f>
        <v>82931053</v>
      </c>
      <c r="B2888" s="7"/>
      <c r="C2888" s="6" t="str">
        <f>HYPERLINK("http://www.ncbi.nlm.nih.gov/protein/82931053","Gm5621")</f>
        <v>Gm5621</v>
      </c>
      <c r="D2888" s="8"/>
      <c r="E2888" s="8">
        <v>24416</v>
      </c>
      <c r="F2888" s="8"/>
      <c r="G2888" s="15">
        <v>1.4397240221031327</v>
      </c>
      <c r="H2888" s="15">
        <v>1.4397240221031327</v>
      </c>
      <c r="I2888" s="15">
        <v>0.90815592794494793</v>
      </c>
      <c r="J2888" s="15">
        <v>0.90815592794494793</v>
      </c>
      <c r="K2888" s="15">
        <v>0.96289889061322687</v>
      </c>
      <c r="L2888" s="15">
        <v>0.96289889061322687</v>
      </c>
      <c r="M2888" s="15">
        <v>0.96289889061322687</v>
      </c>
      <c r="N2888" s="15">
        <v>0.96289889061322687</v>
      </c>
      <c r="O2888" s="15" t="s">
        <v>10</v>
      </c>
      <c r="P2888" s="15" t="s">
        <v>10</v>
      </c>
      <c r="Q2888" s="8"/>
      <c r="R2888" s="9" t="s">
        <v>8135</v>
      </c>
    </row>
    <row r="2889" spans="1:18" x14ac:dyDescent="0.25">
      <c r="A2889" s="6" t="str">
        <f>HYPERLINK("proteomic_fractions_linear_files/Yang_linear_img/149262895.jpg", "149262895")</f>
        <v>149262895</v>
      </c>
      <c r="B2889" s="7"/>
      <c r="C2889" s="6" t="str">
        <f>HYPERLINK("http://www.ncbi.nlm.nih.gov/protein/149262895","Gm5633")</f>
        <v>Gm5633</v>
      </c>
      <c r="D2889" s="8"/>
      <c r="E2889" s="8">
        <v>27392</v>
      </c>
      <c r="F2889" s="8"/>
      <c r="G2889" s="15">
        <v>1.3830120897453553</v>
      </c>
      <c r="H2889" s="15">
        <v>1.3830120897453553</v>
      </c>
      <c r="I2889" s="15">
        <v>1.0340078258400762</v>
      </c>
      <c r="J2889" s="15">
        <v>1.0340078258400762</v>
      </c>
      <c r="K2889" s="15">
        <v>1.0340078258400762</v>
      </c>
      <c r="L2889" s="15">
        <v>1.0340078258400762</v>
      </c>
      <c r="M2889" s="15">
        <v>1.0340078258400762</v>
      </c>
      <c r="N2889" s="15">
        <v>1.0340078258400762</v>
      </c>
      <c r="O2889" s="15" t="s">
        <v>10</v>
      </c>
      <c r="P2889" s="15" t="s">
        <v>10</v>
      </c>
      <c r="Q2889" s="8"/>
      <c r="R2889" s="9" t="s">
        <v>8136</v>
      </c>
    </row>
    <row r="2890" spans="1:18" x14ac:dyDescent="0.25">
      <c r="A2890" s="6" t="str">
        <f>HYPERLINK("proteomic_fractions_linear_files/Yang_linear_img/83001127.jpg", "83001127")</f>
        <v>83001127</v>
      </c>
      <c r="B2890" s="7"/>
      <c r="C2890" s="6" t="str">
        <f>HYPERLINK("http://www.ncbi.nlm.nih.gov/protein/83001127","Gm5637")</f>
        <v>Gm5637</v>
      </c>
      <c r="D2890" s="8"/>
      <c r="E2890" s="8">
        <v>40854</v>
      </c>
      <c r="F2890" s="8"/>
      <c r="G2890" s="15">
        <v>0.84276528123110206</v>
      </c>
      <c r="H2890" s="15">
        <v>0.84276528123110206</v>
      </c>
      <c r="I2890" s="15">
        <v>0.84276528123110206</v>
      </c>
      <c r="J2890" s="15">
        <v>0.84276528123110206</v>
      </c>
      <c r="K2890" s="15">
        <v>0.91076405910059977</v>
      </c>
      <c r="L2890" s="15">
        <v>0.91076405910059977</v>
      </c>
      <c r="M2890" s="15">
        <v>0.91076405910059977</v>
      </c>
      <c r="N2890" s="15">
        <v>0.91076405910059977</v>
      </c>
      <c r="O2890" s="15">
        <v>0.84276528123110206</v>
      </c>
      <c r="P2890" s="15">
        <v>0.84276528123110206</v>
      </c>
      <c r="Q2890" s="8"/>
      <c r="R2890" s="9" t="s">
        <v>8137</v>
      </c>
    </row>
    <row r="2891" spans="1:18" x14ac:dyDescent="0.25">
      <c r="A2891" s="6" t="str">
        <f>HYPERLINK("proteomic_fractions_linear_files/Yang_linear_img/85701506.jpg", "85701506")</f>
        <v>85701506</v>
      </c>
      <c r="B2891" s="7"/>
      <c r="C2891" s="6" t="str">
        <f>HYPERLINK("http://www.ncbi.nlm.nih.gov/protein/85701506","Gm5662")</f>
        <v>Gm5662</v>
      </c>
      <c r="D2891" s="8"/>
      <c r="E2891" s="8">
        <v>16426</v>
      </c>
      <c r="F2891" s="8"/>
      <c r="G2891" s="15" t="s">
        <v>10</v>
      </c>
      <c r="H2891" s="15" t="s">
        <v>10</v>
      </c>
      <c r="I2891" s="15">
        <v>1.0981212353349354</v>
      </c>
      <c r="J2891" s="15">
        <v>1.0981212353349354</v>
      </c>
      <c r="K2891" s="15">
        <v>1.1559561977852553</v>
      </c>
      <c r="L2891" s="15">
        <v>1.1559561977852553</v>
      </c>
      <c r="M2891" s="15">
        <v>1.0981212353349354</v>
      </c>
      <c r="N2891" s="15">
        <v>1.0981212353349354</v>
      </c>
      <c r="O2891" s="15">
        <v>1.0981212353349354</v>
      </c>
      <c r="P2891" s="15">
        <v>1.0981212353349354</v>
      </c>
      <c r="Q2891" s="8"/>
      <c r="R2891" s="9" t="s">
        <v>2717</v>
      </c>
    </row>
    <row r="2892" spans="1:18" x14ac:dyDescent="0.25">
      <c r="A2892" s="6" t="str">
        <f>HYPERLINK("proteomic_fractions_linear_files/Yang_linear_img/407262667.jpg", "407262667")</f>
        <v>407262667</v>
      </c>
      <c r="B2892" s="7"/>
      <c r="C2892" s="6" t="str">
        <f>HYPERLINK("http://www.ncbi.nlm.nih.gov/protein/407262667","Gm5662")</f>
        <v>Gm5662</v>
      </c>
      <c r="D2892" s="8"/>
      <c r="E2892" s="8">
        <v>16438</v>
      </c>
      <c r="F2892" s="8"/>
      <c r="G2892" s="15">
        <v>1.0447796575379389</v>
      </c>
      <c r="H2892" s="15">
        <v>1.0447796575379389</v>
      </c>
      <c r="I2892" s="15">
        <v>1.0981212353349354</v>
      </c>
      <c r="J2892" s="15">
        <v>1.0981212353349354</v>
      </c>
      <c r="K2892" s="15">
        <v>1.1559561977852553</v>
      </c>
      <c r="L2892" s="15">
        <v>1.1559561977852553</v>
      </c>
      <c r="M2892" s="15">
        <v>1.0981212353349354</v>
      </c>
      <c r="N2892" s="15">
        <v>1.0981212353349354</v>
      </c>
      <c r="O2892" s="15">
        <v>1.0981212353349354</v>
      </c>
      <c r="P2892" s="15">
        <v>1.0981212353349354</v>
      </c>
      <c r="Q2892" s="8"/>
      <c r="R2892" s="9" t="s">
        <v>8099</v>
      </c>
    </row>
    <row r="2893" spans="1:18" x14ac:dyDescent="0.25">
      <c r="A2893" s="6" t="str">
        <f>HYPERLINK("proteomic_fractions_linear_files/Yang_linear_img/82950935.jpg", "82950935")</f>
        <v>82950935</v>
      </c>
      <c r="B2893" s="7"/>
      <c r="C2893" s="6" t="str">
        <f>HYPERLINK("http://www.ncbi.nlm.nih.gov/protein/82950935","Gm5792")</f>
        <v>Gm5792</v>
      </c>
      <c r="D2893" s="8"/>
      <c r="E2893" s="8">
        <v>20486</v>
      </c>
      <c r="F2893" s="8"/>
      <c r="G2893" s="15">
        <v>1.395910564884103</v>
      </c>
      <c r="H2893" s="15">
        <v>1.395910564884103</v>
      </c>
      <c r="I2893" s="15">
        <v>0.97505749140176368</v>
      </c>
      <c r="J2893" s="15">
        <v>0.97505749140176368</v>
      </c>
      <c r="K2893" s="15">
        <v>1.0298720593328137</v>
      </c>
      <c r="L2893" s="15">
        <v>1.0298720593328137</v>
      </c>
      <c r="M2893" s="15">
        <v>1.0298720593328137</v>
      </c>
      <c r="N2893" s="15">
        <v>1.0298720593328137</v>
      </c>
      <c r="O2893" s="15">
        <v>0.97505749140176368</v>
      </c>
      <c r="P2893" s="15">
        <v>0.97505749140176368</v>
      </c>
      <c r="Q2893" s="8"/>
      <c r="R2893" s="9" t="s">
        <v>8138</v>
      </c>
    </row>
    <row r="2894" spans="1:18" x14ac:dyDescent="0.25">
      <c r="A2894" s="6" t="str">
        <f>HYPERLINK("proteomic_fractions_linear_files/Yang_linear_img/260304980.jpg", "260304980")</f>
        <v>260304980</v>
      </c>
      <c r="B2894" s="7"/>
      <c r="C2894" s="6" t="str">
        <f>HYPERLINK("http://www.ncbi.nlm.nih.gov/protein/260304980","Gm5803")</f>
        <v>Gm5803</v>
      </c>
      <c r="D2894" s="8"/>
      <c r="E2894" s="8">
        <v>34264</v>
      </c>
      <c r="F2894" s="8"/>
      <c r="G2894" s="15">
        <v>1.2978114484401608</v>
      </c>
      <c r="H2894" s="15">
        <v>1.2978114484401608</v>
      </c>
      <c r="I2894" s="15">
        <v>0.94364920163922317</v>
      </c>
      <c r="J2894" s="15">
        <v>0.94364920163922317</v>
      </c>
      <c r="K2894" s="15">
        <v>0.94364920163922317</v>
      </c>
      <c r="L2894" s="15">
        <v>0.94364920163922317</v>
      </c>
      <c r="M2894" s="15">
        <v>0.94364920163922317</v>
      </c>
      <c r="N2894" s="15">
        <v>0.94364920163922317</v>
      </c>
      <c r="O2894" s="15">
        <v>0.82112386169653118</v>
      </c>
      <c r="P2894" s="15">
        <v>0.82112386169653118</v>
      </c>
      <c r="Q2894" s="8"/>
      <c r="R2894" s="9" t="s">
        <v>2734</v>
      </c>
    </row>
    <row r="2895" spans="1:18" x14ac:dyDescent="0.25">
      <c r="A2895" s="6" t="str">
        <f>HYPERLINK("proteomic_fractions_linear_files/Yang_linear_img/309270629.jpg", "309270629")</f>
        <v>309270629</v>
      </c>
      <c r="B2895" s="7"/>
      <c r="C2895" s="6" t="str">
        <f>HYPERLINK("http://www.ncbi.nlm.nih.gov/protein/309270629","Gm5806")</f>
        <v>Gm5806</v>
      </c>
      <c r="D2895" s="8"/>
      <c r="E2895" s="8">
        <v>46721</v>
      </c>
      <c r="F2895" s="8"/>
      <c r="G2895" s="15" t="s">
        <v>10</v>
      </c>
      <c r="H2895" s="15" t="s">
        <v>10</v>
      </c>
      <c r="I2895" s="15" t="s">
        <v>10</v>
      </c>
      <c r="J2895" s="15" t="s">
        <v>10</v>
      </c>
      <c r="K2895" s="15">
        <v>1.3926226240541346</v>
      </c>
      <c r="L2895" s="15">
        <v>1.3926226240541346</v>
      </c>
      <c r="M2895" s="15" t="s">
        <v>10</v>
      </c>
      <c r="N2895" s="15" t="s">
        <v>10</v>
      </c>
      <c r="O2895" s="15" t="s">
        <v>10</v>
      </c>
      <c r="P2895" s="15" t="s">
        <v>10</v>
      </c>
      <c r="Q2895" s="8"/>
      <c r="R2895" s="9" t="s">
        <v>8139</v>
      </c>
    </row>
    <row r="2896" spans="1:18" x14ac:dyDescent="0.25">
      <c r="A2896" s="6" t="str">
        <f>HYPERLINK("proteomic_fractions_linear_files/Yang_linear_img/309264759.jpg", "309264759")</f>
        <v>309264759</v>
      </c>
      <c r="B2896" s="7"/>
      <c r="C2896" s="6" t="str">
        <f>HYPERLINK("http://www.ncbi.nlm.nih.gov/protein/309264759","Gm5848")</f>
        <v>Gm5848</v>
      </c>
      <c r="D2896" s="8"/>
      <c r="E2896" s="8">
        <v>13385</v>
      </c>
      <c r="F2896" s="8"/>
      <c r="G2896" s="15">
        <v>1.7776594903628804</v>
      </c>
      <c r="H2896" s="15">
        <v>1.7776594903628804</v>
      </c>
      <c r="I2896" s="15">
        <v>1.1689490995241758</v>
      </c>
      <c r="J2896" s="15">
        <v>1.1689490995241758</v>
      </c>
      <c r="K2896" s="15">
        <v>1.2251878294755212</v>
      </c>
      <c r="L2896" s="15">
        <v>1.2251878294755212</v>
      </c>
      <c r="M2896" s="15">
        <v>1.1689490995241758</v>
      </c>
      <c r="N2896" s="15">
        <v>1.1689490995241758</v>
      </c>
      <c r="O2896" s="15">
        <v>1.1167287478361805</v>
      </c>
      <c r="P2896" s="15">
        <v>1.1167287478361805</v>
      </c>
      <c r="Q2896" s="8"/>
      <c r="R2896" s="9" t="s">
        <v>8140</v>
      </c>
    </row>
    <row r="2897" spans="1:18" x14ac:dyDescent="0.25">
      <c r="A2897" s="6" t="str">
        <f>HYPERLINK("proteomic_fractions_linear_files/Yang_linear_img/63501063.jpg", "63501063")</f>
        <v>63501063</v>
      </c>
      <c r="B2897" s="7"/>
      <c r="C2897" s="6" t="str">
        <f>HYPERLINK("http://www.ncbi.nlm.nih.gov/protein/63501063","Gm5848")</f>
        <v>Gm5848</v>
      </c>
      <c r="D2897" s="8"/>
      <c r="E2897" s="8">
        <v>13385</v>
      </c>
      <c r="F2897" s="8"/>
      <c r="G2897" s="15">
        <v>1.7776594903628804</v>
      </c>
      <c r="H2897" s="15">
        <v>1.7776594903628804</v>
      </c>
      <c r="I2897" s="15">
        <v>1.1689490995241758</v>
      </c>
      <c r="J2897" s="15">
        <v>1.1689490995241758</v>
      </c>
      <c r="K2897" s="15">
        <v>1.2251878294755212</v>
      </c>
      <c r="L2897" s="15">
        <v>1.2251878294755212</v>
      </c>
      <c r="M2897" s="15">
        <v>1.1689490995241758</v>
      </c>
      <c r="N2897" s="15">
        <v>1.1689490995241758</v>
      </c>
      <c r="O2897" s="15">
        <v>1.1167287478361805</v>
      </c>
      <c r="P2897" s="15">
        <v>1.1167287478361805</v>
      </c>
      <c r="Q2897" s="8"/>
      <c r="R2897" s="9" t="s">
        <v>8140</v>
      </c>
    </row>
    <row r="2898" spans="1:18" x14ac:dyDescent="0.25">
      <c r="A2898" s="6" t="str">
        <f>HYPERLINK("proteomic_fractions_linear_files/Yang_linear_img/82891539.jpg", "82891539")</f>
        <v>82891539</v>
      </c>
      <c r="B2898" s="7"/>
      <c r="C2898" s="6" t="str">
        <f>HYPERLINK("http://www.ncbi.nlm.nih.gov/protein/82891539","Gm5858")</f>
        <v>Gm5858</v>
      </c>
      <c r="D2898" s="8"/>
      <c r="E2898" s="8">
        <v>17523</v>
      </c>
      <c r="F2898" s="8"/>
      <c r="G2898" s="15" t="s">
        <v>10</v>
      </c>
      <c r="H2898" s="15" t="s">
        <v>10</v>
      </c>
      <c r="I2898" s="15">
        <v>0.9286930289226123</v>
      </c>
      <c r="J2898" s="15">
        <v>0.9286930289226123</v>
      </c>
      <c r="K2898" s="15">
        <v>0.9286930289226123</v>
      </c>
      <c r="L2898" s="15">
        <v>0.9286930289226123</v>
      </c>
      <c r="M2898" s="15">
        <v>0.97610776474216487</v>
      </c>
      <c r="N2898" s="15">
        <v>0.97610776474216487</v>
      </c>
      <c r="O2898" s="15">
        <v>0.88485787684343198</v>
      </c>
      <c r="P2898" s="15">
        <v>0.88485787684343198</v>
      </c>
      <c r="Q2898" s="8"/>
      <c r="R2898" s="9" t="s">
        <v>8141</v>
      </c>
    </row>
    <row r="2899" spans="1:18" x14ac:dyDescent="0.25">
      <c r="A2899" s="6" t="str">
        <f>HYPERLINK("proteomic_fractions_linear_files/Yang_linear_img/309266232.jpg", "309266232")</f>
        <v>309266232</v>
      </c>
      <c r="B2899" s="7"/>
      <c r="C2899" s="6" t="str">
        <f>HYPERLINK("http://www.ncbi.nlm.nih.gov/protein/309266232","Gm5908")</f>
        <v>Gm5908</v>
      </c>
      <c r="D2899" s="8"/>
      <c r="E2899" s="8">
        <v>16550</v>
      </c>
      <c r="F2899" s="8"/>
      <c r="G2899" s="15">
        <v>1.5382504773779413</v>
      </c>
      <c r="H2899" s="15">
        <v>1.5382504773779413</v>
      </c>
      <c r="I2899" s="15">
        <v>1.0335258685505275</v>
      </c>
      <c r="J2899" s="15">
        <v>1.0335258685505275</v>
      </c>
      <c r="K2899" s="15">
        <v>1.0335258685505275</v>
      </c>
      <c r="L2899" s="15">
        <v>1.0335258685505275</v>
      </c>
      <c r="M2899" s="15">
        <v>1.0879587743861225</v>
      </c>
      <c r="N2899" s="15">
        <v>1.0879587743861225</v>
      </c>
      <c r="O2899" s="15" t="s">
        <v>10</v>
      </c>
      <c r="P2899" s="15" t="s">
        <v>10</v>
      </c>
      <c r="Q2899" s="8"/>
      <c r="R2899" s="9" t="s">
        <v>8078</v>
      </c>
    </row>
    <row r="2900" spans="1:18" x14ac:dyDescent="0.25">
      <c r="A2900" s="6" t="str">
        <f>HYPERLINK("proteomic_fractions_linear_files/Yang_linear_img/82965725.jpg", "82965725")</f>
        <v>82965725</v>
      </c>
      <c r="B2900" s="7"/>
      <c r="C2900" s="6" t="str">
        <f>HYPERLINK("http://www.ncbi.nlm.nih.gov/protein/82965725","Gm5963")</f>
        <v>Gm5963</v>
      </c>
      <c r="D2900" s="8"/>
      <c r="E2900" s="8">
        <v>8705</v>
      </c>
      <c r="F2900" s="8"/>
      <c r="G2900" s="15">
        <v>1.4163577046597362</v>
      </c>
      <c r="H2900" s="15">
        <v>2.1667944253372529</v>
      </c>
      <c r="I2900" s="15">
        <v>1.4163577046597362</v>
      </c>
      <c r="J2900" s="15">
        <v>1.4163577046597362</v>
      </c>
      <c r="K2900" s="15">
        <v>1.4163577046597362</v>
      </c>
      <c r="L2900" s="15">
        <v>1.4163577046597362</v>
      </c>
      <c r="M2900" s="15">
        <v>1.4163577046597362</v>
      </c>
      <c r="N2900" s="15">
        <v>1.4163577046597362</v>
      </c>
      <c r="O2900" s="15">
        <v>1.3592068102590398</v>
      </c>
      <c r="P2900" s="15">
        <v>1.3592068102590398</v>
      </c>
      <c r="Q2900" s="8"/>
      <c r="R2900" s="9" t="s">
        <v>8142</v>
      </c>
    </row>
    <row r="2901" spans="1:18" x14ac:dyDescent="0.25">
      <c r="A2901" s="6" t="str">
        <f>HYPERLINK("proteomic_fractions_linear_files/Yang_linear_img/82952096.jpg", "82952096")</f>
        <v>82952096</v>
      </c>
      <c r="B2901" s="7"/>
      <c r="C2901" s="6" t="str">
        <f>HYPERLINK("http://www.ncbi.nlm.nih.gov/protein/82952096","Gm6109")</f>
        <v>Gm6109</v>
      </c>
      <c r="D2901" s="8"/>
      <c r="E2901" s="8">
        <v>12751</v>
      </c>
      <c r="F2901" s="8"/>
      <c r="G2901" s="15">
        <v>1.6765955592829809</v>
      </c>
      <c r="H2901" s="15">
        <v>1.6765955592829809</v>
      </c>
      <c r="I2901" s="15">
        <v>1.1689490995241758</v>
      </c>
      <c r="J2901" s="15">
        <v>1.1689490995241758</v>
      </c>
      <c r="K2901" s="15">
        <v>1.2251878294755212</v>
      </c>
      <c r="L2901" s="15">
        <v>1.2251878294755212</v>
      </c>
      <c r="M2901" s="15">
        <v>1.2251878294755212</v>
      </c>
      <c r="N2901" s="15">
        <v>1.2251878294755212</v>
      </c>
      <c r="O2901" s="15">
        <v>1.1167287478361805</v>
      </c>
      <c r="P2901" s="15">
        <v>1.1167287478361805</v>
      </c>
      <c r="Q2901" s="8"/>
      <c r="R2901" s="9" t="s">
        <v>8130</v>
      </c>
    </row>
    <row r="2902" spans="1:18" x14ac:dyDescent="0.25">
      <c r="A2902" s="6" t="str">
        <f>HYPERLINK("proteomic_fractions_linear_files/Yang_linear_img/407263905.jpg", "407263905")</f>
        <v>407263905</v>
      </c>
      <c r="B2902" s="7"/>
      <c r="C2902" s="6" t="str">
        <f>HYPERLINK("http://www.ncbi.nlm.nih.gov/protein/407263905","Gm6115")</f>
        <v>Gm6115</v>
      </c>
      <c r="D2902" s="8"/>
      <c r="E2902" s="8">
        <v>24834</v>
      </c>
      <c r="F2902" s="8"/>
      <c r="G2902" s="15">
        <v>1.4936530569249837</v>
      </c>
      <c r="H2902" s="15">
        <v>1.4936530569249837</v>
      </c>
      <c r="I2902" s="15">
        <v>1.0460103246170001</v>
      </c>
      <c r="J2902" s="15">
        <v>1.0460103246170001</v>
      </c>
      <c r="K2902" s="15">
        <v>1.0460103246170001</v>
      </c>
      <c r="L2902" s="15">
        <v>1.0460103246170001</v>
      </c>
      <c r="M2902" s="15">
        <v>1.1167284519072824</v>
      </c>
      <c r="N2902" s="15">
        <v>1.1167284519072824</v>
      </c>
      <c r="O2902" s="15">
        <v>0.9821928245310767</v>
      </c>
      <c r="P2902" s="15">
        <v>0.9821928245310767</v>
      </c>
      <c r="Q2902" s="8"/>
      <c r="R2902" s="9" t="s">
        <v>8143</v>
      </c>
    </row>
    <row r="2903" spans="1:18" x14ac:dyDescent="0.25">
      <c r="A2903" s="6" t="str">
        <f>HYPERLINK("proteomic_fractions_linear_files/Yang_linear_img/407261316.jpg", "407261316")</f>
        <v>407261316</v>
      </c>
      <c r="B2903" s="7"/>
      <c r="C2903" s="6" t="str">
        <f>HYPERLINK("http://www.ncbi.nlm.nih.gov/protein/407261316","Gm6139")</f>
        <v>Gm6139</v>
      </c>
      <c r="D2903" s="8"/>
      <c r="E2903" s="8">
        <v>31157</v>
      </c>
      <c r="F2903" s="8"/>
      <c r="G2903" s="15">
        <v>0.84355671340080651</v>
      </c>
      <c r="H2903" s="15">
        <v>0.84355671340080651</v>
      </c>
      <c r="I2903" s="15">
        <v>0.90058746121555033</v>
      </c>
      <c r="J2903" s="15">
        <v>0.90058746121555033</v>
      </c>
      <c r="K2903" s="15">
        <v>0.96404538360364944</v>
      </c>
      <c r="L2903" s="15">
        <v>0.96404538360364944</v>
      </c>
      <c r="M2903" s="15">
        <v>0.90058746121555033</v>
      </c>
      <c r="N2903" s="15">
        <v>0.90058746121555033</v>
      </c>
      <c r="O2903" s="15" t="s">
        <v>10</v>
      </c>
      <c r="P2903" s="15" t="s">
        <v>10</v>
      </c>
      <c r="Q2903" s="8"/>
      <c r="R2903" s="9" t="s">
        <v>8144</v>
      </c>
    </row>
    <row r="2904" spans="1:18" x14ac:dyDescent="0.25">
      <c r="A2904" s="6" t="str">
        <f>HYPERLINK("proteomic_fractions_linear_files/Yang_linear_img/85701852.jpg", "85701852")</f>
        <v>85701852</v>
      </c>
      <c r="B2904" s="7"/>
      <c r="C2904" s="6" t="str">
        <f>HYPERLINK("http://www.ncbi.nlm.nih.gov/protein/85701852","Gm614")</f>
        <v>Gm614</v>
      </c>
      <c r="D2904" s="8"/>
      <c r="E2904" s="8">
        <v>21456</v>
      </c>
      <c r="F2904" s="8"/>
      <c r="G2904" s="15" t="s">
        <v>10</v>
      </c>
      <c r="H2904" s="15" t="s">
        <v>10</v>
      </c>
      <c r="I2904" s="15" t="s">
        <v>10</v>
      </c>
      <c r="J2904" s="15" t="s">
        <v>10</v>
      </c>
      <c r="K2904" s="15">
        <v>5.2286458962443554</v>
      </c>
      <c r="L2904" s="15">
        <v>5.2286458962443554</v>
      </c>
      <c r="M2904" s="15" t="s">
        <v>10</v>
      </c>
      <c r="N2904" s="15" t="s">
        <v>10</v>
      </c>
      <c r="O2904" s="15" t="s">
        <v>10</v>
      </c>
      <c r="P2904" s="15" t="s">
        <v>10</v>
      </c>
      <c r="Q2904" s="8"/>
      <c r="R2904" s="9" t="s">
        <v>2735</v>
      </c>
    </row>
    <row r="2905" spans="1:18" x14ac:dyDescent="0.25">
      <c r="A2905" s="6" t="str">
        <f>HYPERLINK("proteomic_fractions_linear_files/Yang_linear_img/309265975.jpg", "309265975")</f>
        <v>309265975</v>
      </c>
      <c r="B2905" s="7"/>
      <c r="C2905" s="6" t="str">
        <f>HYPERLINK("http://www.ncbi.nlm.nih.gov/protein/309265975","Gm6155")</f>
        <v>Gm6155</v>
      </c>
      <c r="D2905" s="8"/>
      <c r="E2905" s="8">
        <v>17123</v>
      </c>
      <c r="F2905" s="8"/>
      <c r="G2905" s="15">
        <v>0.78218023664714909</v>
      </c>
      <c r="H2905" s="15">
        <v>0.78218023664714909</v>
      </c>
      <c r="I2905" s="15">
        <v>0.81681473529039117</v>
      </c>
      <c r="J2905" s="15">
        <v>0.78218023664714909</v>
      </c>
      <c r="K2905" s="15">
        <v>0.85396904246296157</v>
      </c>
      <c r="L2905" s="15">
        <v>0.85396904246296157</v>
      </c>
      <c r="M2905" s="15">
        <v>0.85396904246296157</v>
      </c>
      <c r="N2905" s="15">
        <v>0.85396904246296157</v>
      </c>
      <c r="O2905" s="15">
        <v>0.78218023664714909</v>
      </c>
      <c r="P2905" s="15">
        <v>0.78218023664714909</v>
      </c>
      <c r="Q2905" s="8"/>
      <c r="R2905" s="9" t="s">
        <v>8129</v>
      </c>
    </row>
    <row r="2906" spans="1:18" x14ac:dyDescent="0.25">
      <c r="A2906" s="6" t="str">
        <f>HYPERLINK("proteomic_fractions_linear_files/Yang_linear_img/309268860.jpg", "309268860")</f>
        <v>309268860</v>
      </c>
      <c r="B2906" s="7"/>
      <c r="C2906" s="6" t="str">
        <f>HYPERLINK("http://www.ncbi.nlm.nih.gov/protein/309268860","Gm6155")</f>
        <v>Gm6155</v>
      </c>
      <c r="D2906" s="8"/>
      <c r="E2906" s="8">
        <v>17293</v>
      </c>
      <c r="F2906" s="8"/>
      <c r="G2906" s="15">
        <v>0.78218023664714909</v>
      </c>
      <c r="H2906" s="15">
        <v>0.78218023664714909</v>
      </c>
      <c r="I2906" s="15">
        <v>0.81681473529039117</v>
      </c>
      <c r="J2906" s="15">
        <v>0.78218023664714909</v>
      </c>
      <c r="K2906" s="15">
        <v>0.85396904246296157</v>
      </c>
      <c r="L2906" s="15">
        <v>0.85396904246296157</v>
      </c>
      <c r="M2906" s="15">
        <v>0.85396904246296157</v>
      </c>
      <c r="N2906" s="15">
        <v>0.85396904246296157</v>
      </c>
      <c r="O2906" s="15">
        <v>0.78218023664714909</v>
      </c>
      <c r="P2906" s="15">
        <v>0.78218023664714909</v>
      </c>
      <c r="Q2906" s="8"/>
      <c r="R2906" s="9" t="s">
        <v>8129</v>
      </c>
    </row>
    <row r="2907" spans="1:18" x14ac:dyDescent="0.25">
      <c r="A2907" s="6" t="str">
        <f>HYPERLINK("proteomic_fractions_linear_files/Yang_linear_img/407262102.jpg", "407262102")</f>
        <v>407262102</v>
      </c>
      <c r="B2907" s="7"/>
      <c r="C2907" s="6" t="str">
        <f>HYPERLINK("http://www.ncbi.nlm.nih.gov/protein/407262102","Gm6158")</f>
        <v>Gm6158</v>
      </c>
      <c r="D2907" s="8"/>
      <c r="E2907" s="8">
        <v>37262</v>
      </c>
      <c r="F2907" s="8"/>
      <c r="G2907" s="15" t="s">
        <v>10</v>
      </c>
      <c r="H2907" s="15" t="s">
        <v>10</v>
      </c>
      <c r="I2907" s="15">
        <v>6.3070499358878127</v>
      </c>
      <c r="J2907" s="15">
        <v>6.3070499358878127</v>
      </c>
      <c r="K2907" s="15">
        <v>8.1563060712567239</v>
      </c>
      <c r="L2907" s="15">
        <v>8.1563060712567239</v>
      </c>
      <c r="M2907" s="15">
        <v>8.1563060712567239</v>
      </c>
      <c r="N2907" s="15">
        <v>8.1563060712567239</v>
      </c>
      <c r="O2907" s="15">
        <v>6.3070499358878127</v>
      </c>
      <c r="P2907" s="15">
        <v>6.3070499358878127</v>
      </c>
      <c r="Q2907" s="8"/>
      <c r="R2907" s="9" t="s">
        <v>8145</v>
      </c>
    </row>
    <row r="2908" spans="1:18" x14ac:dyDescent="0.25">
      <c r="A2908" s="6" t="str">
        <f>HYPERLINK("proteomic_fractions_linear_files/Yang_linear_img/377833664.jpg", "377833664")</f>
        <v>377833664</v>
      </c>
      <c r="B2908" s="7"/>
      <c r="C2908" s="6" t="str">
        <f>HYPERLINK("http://www.ncbi.nlm.nih.gov/protein/377833664","Gm6177")</f>
        <v>Gm6177</v>
      </c>
      <c r="D2908" s="8"/>
      <c r="E2908" s="8">
        <v>17331</v>
      </c>
      <c r="F2908" s="8"/>
      <c r="G2908" s="15">
        <v>1.6422477233930624</v>
      </c>
      <c r="H2908" s="15">
        <v>1.6422477233930624</v>
      </c>
      <c r="I2908" s="15">
        <v>1.1471264604726632</v>
      </c>
      <c r="J2908" s="15">
        <v>1.1471264604726632</v>
      </c>
      <c r="K2908" s="15">
        <v>1.1471264604726632</v>
      </c>
      <c r="L2908" s="15">
        <v>1.1471264604726632</v>
      </c>
      <c r="M2908" s="15">
        <v>1.211614187450369</v>
      </c>
      <c r="N2908" s="15">
        <v>1.211614187450369</v>
      </c>
      <c r="O2908" s="15" t="s">
        <v>10</v>
      </c>
      <c r="P2908" s="15" t="s">
        <v>10</v>
      </c>
      <c r="Q2908" s="8"/>
      <c r="R2908" s="9" t="s">
        <v>8146</v>
      </c>
    </row>
    <row r="2909" spans="1:18" x14ac:dyDescent="0.25">
      <c r="A2909" s="6" t="str">
        <f>HYPERLINK("proteomic_fractions_linear_files/Yang_linear_img/82883044.jpg", "82883044")</f>
        <v>82883044</v>
      </c>
      <c r="B2909" s="7"/>
      <c r="C2909" s="6" t="str">
        <f>HYPERLINK("http://www.ncbi.nlm.nih.gov/protein/82883044","Gm6177")</f>
        <v>Gm6177</v>
      </c>
      <c r="D2909" s="8"/>
      <c r="E2909" s="8">
        <v>17361</v>
      </c>
      <c r="F2909" s="8"/>
      <c r="G2909" s="15">
        <v>1.6422477233930624</v>
      </c>
      <c r="H2909" s="15">
        <v>1.6422477233930624</v>
      </c>
      <c r="I2909" s="15">
        <v>1.1471264604726632</v>
      </c>
      <c r="J2909" s="15">
        <v>1.1471264604726632</v>
      </c>
      <c r="K2909" s="15">
        <v>1.1471264604726632</v>
      </c>
      <c r="L2909" s="15">
        <v>1.1471264604726632</v>
      </c>
      <c r="M2909" s="15">
        <v>1.211614187450369</v>
      </c>
      <c r="N2909" s="15">
        <v>1.211614187450369</v>
      </c>
      <c r="O2909" s="15" t="s">
        <v>10</v>
      </c>
      <c r="P2909" s="15" t="s">
        <v>10</v>
      </c>
      <c r="Q2909" s="8"/>
      <c r="R2909" s="9" t="s">
        <v>8146</v>
      </c>
    </row>
    <row r="2910" spans="1:18" x14ac:dyDescent="0.25">
      <c r="A2910" s="6" t="str">
        <f>HYPERLINK("proteomic_fractions_linear_files/Yang_linear_img/82795390.jpg", "82795390")</f>
        <v>82795390</v>
      </c>
      <c r="B2910" s="7"/>
      <c r="C2910" s="6" t="str">
        <f>HYPERLINK("http://www.ncbi.nlm.nih.gov/protein/82795390","Gm6195")</f>
        <v>Gm6195</v>
      </c>
      <c r="D2910" s="8"/>
      <c r="E2910" s="8">
        <v>13125</v>
      </c>
      <c r="F2910" s="8"/>
      <c r="G2910" s="15" t="s">
        <v>10</v>
      </c>
      <c r="H2910" s="15" t="s">
        <v>10</v>
      </c>
      <c r="I2910" s="15">
        <v>1.0228510786924256</v>
      </c>
      <c r="J2910" s="15">
        <v>1.0228510786924256</v>
      </c>
      <c r="K2910" s="15">
        <v>1.068142346148973</v>
      </c>
      <c r="L2910" s="15">
        <v>1.068142346148973</v>
      </c>
      <c r="M2910" s="15">
        <v>1.1167287478361805</v>
      </c>
      <c r="N2910" s="15">
        <v>1.1167287478361805</v>
      </c>
      <c r="O2910" s="15">
        <v>1.0228510786924256</v>
      </c>
      <c r="P2910" s="15">
        <v>1.0228510786924256</v>
      </c>
      <c r="Q2910" s="8"/>
      <c r="R2910" s="9" t="s">
        <v>8147</v>
      </c>
    </row>
    <row r="2911" spans="1:18" x14ac:dyDescent="0.25">
      <c r="A2911" s="6" t="str">
        <f>HYPERLINK("proteomic_fractions_linear_files/Yang_linear_img/82795935.jpg", "82795935")</f>
        <v>82795935</v>
      </c>
      <c r="B2911" s="7"/>
      <c r="C2911" s="6" t="str">
        <f>HYPERLINK("http://www.ncbi.nlm.nih.gov/protein/82795935","Gm6195")</f>
        <v>Gm6195</v>
      </c>
      <c r="D2911" s="8"/>
      <c r="E2911" s="8">
        <v>13162</v>
      </c>
      <c r="F2911" s="8"/>
      <c r="G2911" s="15" t="s">
        <v>10</v>
      </c>
      <c r="H2911" s="15" t="s">
        <v>10</v>
      </c>
      <c r="I2911" s="15">
        <v>1.0228510786924256</v>
      </c>
      <c r="J2911" s="15">
        <v>1.0228510786924256</v>
      </c>
      <c r="K2911" s="15">
        <v>1.068142346148973</v>
      </c>
      <c r="L2911" s="15">
        <v>1.068142346148973</v>
      </c>
      <c r="M2911" s="15">
        <v>1.1167287478361805</v>
      </c>
      <c r="N2911" s="15">
        <v>1.1167287478361805</v>
      </c>
      <c r="O2911" s="15">
        <v>1.0228510786924256</v>
      </c>
      <c r="P2911" s="15">
        <v>1.0228510786924256</v>
      </c>
      <c r="Q2911" s="8"/>
      <c r="R2911" s="9" t="s">
        <v>8147</v>
      </c>
    </row>
    <row r="2912" spans="1:18" x14ac:dyDescent="0.25">
      <c r="A2912" s="6" t="str">
        <f>HYPERLINK("proteomic_fractions_linear_files/Yang_linear_img/283945554.jpg", "283945554")</f>
        <v>283945554</v>
      </c>
      <c r="B2912" s="7"/>
      <c r="C2912" s="6" t="str">
        <f>HYPERLINK("http://www.ncbi.nlm.nih.gov/protein/283945554","Gm6251")</f>
        <v>Gm6251</v>
      </c>
      <c r="D2912" s="8"/>
      <c r="E2912" s="8">
        <v>15532</v>
      </c>
      <c r="F2912" s="8"/>
      <c r="G2912" s="15">
        <v>1.6343911322140625</v>
      </c>
      <c r="H2912" s="15">
        <v>1.6343911322140625</v>
      </c>
      <c r="I2912" s="15">
        <v>1.0981212353349354</v>
      </c>
      <c r="J2912" s="15">
        <v>1.0981212353349354</v>
      </c>
      <c r="K2912" s="15">
        <v>1.1559561977852553</v>
      </c>
      <c r="L2912" s="15">
        <v>1.1559561977852553</v>
      </c>
      <c r="M2912" s="15">
        <v>1.0981212353349354</v>
      </c>
      <c r="N2912" s="15">
        <v>1.0981212353349354</v>
      </c>
      <c r="O2912" s="15" t="s">
        <v>10</v>
      </c>
      <c r="P2912" s="15" t="s">
        <v>10</v>
      </c>
      <c r="Q2912" s="8"/>
      <c r="R2912" s="9" t="s">
        <v>2736</v>
      </c>
    </row>
    <row r="2913" spans="1:18" x14ac:dyDescent="0.25">
      <c r="A2913" s="6" t="str">
        <f>HYPERLINK("proteomic_fractions_linear_files/Yang_linear_img/309265684.jpg", "309265684")</f>
        <v>309265684</v>
      </c>
      <c r="B2913" s="7"/>
      <c r="C2913" s="6" t="str">
        <f>HYPERLINK("http://www.ncbi.nlm.nih.gov/protein/309265684","Gm6253")</f>
        <v>Gm6253</v>
      </c>
      <c r="D2913" s="8"/>
      <c r="E2913" s="8">
        <v>18531</v>
      </c>
      <c r="F2913" s="8"/>
      <c r="G2913" s="15" t="s">
        <v>10</v>
      </c>
      <c r="H2913" s="15" t="s">
        <v>10</v>
      </c>
      <c r="I2913" s="15" t="s">
        <v>10</v>
      </c>
      <c r="J2913" s="15" t="s">
        <v>10</v>
      </c>
      <c r="K2913" s="15" t="s">
        <v>10</v>
      </c>
      <c r="L2913" s="15" t="s">
        <v>10</v>
      </c>
      <c r="M2913" s="15">
        <v>0.97343679813495176</v>
      </c>
      <c r="N2913" s="15">
        <v>0.97343679813495176</v>
      </c>
      <c r="O2913" s="15">
        <v>0.92473367186099831</v>
      </c>
      <c r="P2913" s="15">
        <v>0.92473367186099831</v>
      </c>
      <c r="Q2913" s="8"/>
      <c r="R2913" s="9" t="s">
        <v>8148</v>
      </c>
    </row>
    <row r="2914" spans="1:18" x14ac:dyDescent="0.25">
      <c r="A2914" s="6" t="str">
        <f>HYPERLINK("proteomic_fractions_linear_files/Yang_linear_img/82914650.jpg", "82914650")</f>
        <v>82914650</v>
      </c>
      <c r="B2914" s="7"/>
      <c r="C2914" s="6" t="str">
        <f>HYPERLINK("http://www.ncbi.nlm.nih.gov/protein/82914650","Gm6314")</f>
        <v>Gm6314</v>
      </c>
      <c r="D2914" s="8"/>
      <c r="E2914" s="8">
        <v>14280</v>
      </c>
      <c r="F2914" s="8"/>
      <c r="G2914" s="15">
        <v>0.8737758065950969</v>
      </c>
      <c r="H2914" s="15">
        <v>0.8737758065950969</v>
      </c>
      <c r="I2914" s="15" t="s">
        <v>10</v>
      </c>
      <c r="J2914" s="15" t="s">
        <v>10</v>
      </c>
      <c r="K2914" s="15">
        <v>0.8737758065950969</v>
      </c>
      <c r="L2914" s="15">
        <v>0.8737758065950969</v>
      </c>
      <c r="M2914" s="15" t="s">
        <v>10</v>
      </c>
      <c r="N2914" s="15" t="s">
        <v>10</v>
      </c>
      <c r="O2914" s="15" t="s">
        <v>10</v>
      </c>
      <c r="P2914" s="15" t="s">
        <v>10</v>
      </c>
      <c r="Q2914" s="8"/>
      <c r="R2914" s="9" t="s">
        <v>8149</v>
      </c>
    </row>
    <row r="2915" spans="1:18" x14ac:dyDescent="0.25">
      <c r="A2915" s="6" t="str">
        <f>HYPERLINK("proteomic_fractions_linear_files/Yang_linear_img/407263925.jpg", "407263925")</f>
        <v>407263925</v>
      </c>
      <c r="B2915" s="7"/>
      <c r="C2915" s="6" t="str">
        <f>HYPERLINK("http://www.ncbi.nlm.nih.gov/protein/407263925","Gm6404")</f>
        <v>Gm6404</v>
      </c>
      <c r="D2915" s="8"/>
      <c r="E2915" s="8">
        <v>15614</v>
      </c>
      <c r="F2915" s="8"/>
      <c r="G2915" s="15">
        <v>1.4443483359198404</v>
      </c>
      <c r="H2915" s="15">
        <v>1.4443483359198404</v>
      </c>
      <c r="I2915" s="15" t="s">
        <v>10</v>
      </c>
      <c r="J2915" s="15" t="s">
        <v>10</v>
      </c>
      <c r="K2915" s="15">
        <v>0.99546511144886096</v>
      </c>
      <c r="L2915" s="15">
        <v>0.99546511144886096</v>
      </c>
      <c r="M2915" s="15">
        <v>0.99546511144886096</v>
      </c>
      <c r="N2915" s="15">
        <v>0.99546511144886096</v>
      </c>
      <c r="O2915" s="15" t="s">
        <v>10</v>
      </c>
      <c r="P2915" s="15" t="s">
        <v>10</v>
      </c>
      <c r="Q2915" s="8"/>
      <c r="R2915" s="9" t="s">
        <v>8150</v>
      </c>
    </row>
    <row r="2916" spans="1:18" x14ac:dyDescent="0.25">
      <c r="A2916" s="6" t="str">
        <f>HYPERLINK("proteomic_fractions_linear_files/Yang_linear_img/82906344.jpg", "82906344")</f>
        <v>82906344</v>
      </c>
      <c r="B2916" s="7"/>
      <c r="C2916" s="6" t="str">
        <f>HYPERLINK("http://www.ncbi.nlm.nih.gov/protein/82906344","Gm6415")</f>
        <v>Gm6415</v>
      </c>
      <c r="D2916" s="8"/>
      <c r="E2916" s="8">
        <v>13100</v>
      </c>
      <c r="F2916" s="8"/>
      <c r="G2916" s="15">
        <v>1.5000884483104058</v>
      </c>
      <c r="H2916" s="15">
        <v>1.5000884483104058</v>
      </c>
      <c r="I2916" s="15">
        <v>1.0228510786924256</v>
      </c>
      <c r="J2916" s="15">
        <v>1.0228510786924256</v>
      </c>
      <c r="K2916" s="15">
        <v>1.0228510786924256</v>
      </c>
      <c r="L2916" s="15">
        <v>1.0228510786924256</v>
      </c>
      <c r="M2916" s="15" t="s">
        <v>10</v>
      </c>
      <c r="N2916" s="15" t="s">
        <v>10</v>
      </c>
      <c r="O2916" s="15" t="s">
        <v>10</v>
      </c>
      <c r="P2916" s="15" t="s">
        <v>10</v>
      </c>
      <c r="Q2916" s="8"/>
      <c r="R2916" s="9" t="s">
        <v>8151</v>
      </c>
    </row>
    <row r="2917" spans="1:18" x14ac:dyDescent="0.25">
      <c r="A2917" s="6" t="str">
        <f>HYPERLINK("proteomic_fractions_linear_files/Yang_linear_img/348041355.jpg", "348041355")</f>
        <v>348041355</v>
      </c>
      <c r="B2917" s="7"/>
      <c r="C2917" s="6" t="str">
        <f>HYPERLINK("http://www.ncbi.nlm.nih.gov/protein/348041355","Gm6432")</f>
        <v>Gm6432</v>
      </c>
      <c r="D2917" s="8"/>
      <c r="E2917" s="8">
        <v>19903</v>
      </c>
      <c r="F2917" s="8"/>
      <c r="G2917" s="15" t="s">
        <v>10</v>
      </c>
      <c r="H2917" s="15" t="s">
        <v>10</v>
      </c>
      <c r="I2917" s="15" t="s">
        <v>10</v>
      </c>
      <c r="J2917" s="15" t="s">
        <v>10</v>
      </c>
      <c r="K2917" s="15">
        <v>0.97505749140176368</v>
      </c>
      <c r="L2917" s="15">
        <v>0.97505749140176368</v>
      </c>
      <c r="M2917" s="15">
        <v>0.97505749140176368</v>
      </c>
      <c r="N2917" s="15">
        <v>0.97505749140176368</v>
      </c>
      <c r="O2917" s="15">
        <v>0.97505749140176368</v>
      </c>
      <c r="P2917" s="15">
        <v>0.97505749140176368</v>
      </c>
      <c r="Q2917" s="8"/>
      <c r="R2917" s="9" t="s">
        <v>2737</v>
      </c>
    </row>
    <row r="2918" spans="1:18" x14ac:dyDescent="0.25">
      <c r="A2918" s="6" t="str">
        <f>HYPERLINK("proteomic_fractions_linear_files/Yang_linear_img/82952669.jpg", "82952669")</f>
        <v>82952669</v>
      </c>
      <c r="B2918" s="7"/>
      <c r="C2918" s="6" t="str">
        <f>HYPERLINK("http://www.ncbi.nlm.nih.gov/protein/82952669","Gm6436")</f>
        <v>Gm6436</v>
      </c>
      <c r="D2918" s="8"/>
      <c r="E2918" s="8">
        <v>21475</v>
      </c>
      <c r="F2918" s="8"/>
      <c r="G2918" s="15">
        <v>1.100455874986545</v>
      </c>
      <c r="H2918" s="15">
        <v>1.100455874986545</v>
      </c>
      <c r="I2918" s="15">
        <v>0.75844960872294165</v>
      </c>
      <c r="J2918" s="15">
        <v>0.75844960872294165</v>
      </c>
      <c r="K2918" s="15">
        <v>0.83666379835042703</v>
      </c>
      <c r="L2918" s="15">
        <v>0.83666379835042703</v>
      </c>
      <c r="M2918" s="15">
        <v>0.79602259621938198</v>
      </c>
      <c r="N2918" s="15">
        <v>0.79602259621938198</v>
      </c>
      <c r="O2918" s="15">
        <v>0.79602259621938198</v>
      </c>
      <c r="P2918" s="15">
        <v>0.79602259621938198</v>
      </c>
      <c r="Q2918" s="8"/>
      <c r="R2918" s="9" t="s">
        <v>8152</v>
      </c>
    </row>
    <row r="2919" spans="1:18" x14ac:dyDescent="0.25">
      <c r="A2919" s="6" t="str">
        <f>HYPERLINK("proteomic_fractions_linear_files/Yang_linear_img/85702318.jpg", "85702318")</f>
        <v>85702318</v>
      </c>
      <c r="B2919" s="7"/>
      <c r="C2919" s="6" t="str">
        <f>HYPERLINK("http://www.ncbi.nlm.nih.gov/protein/85702318","Gm6531")</f>
        <v>Gm6531</v>
      </c>
      <c r="D2919" s="8"/>
      <c r="E2919" s="8">
        <v>11422</v>
      </c>
      <c r="F2919" s="8"/>
      <c r="G2919" s="15" t="s">
        <v>10</v>
      </c>
      <c r="H2919" s="15" t="s">
        <v>10</v>
      </c>
      <c r="I2919" s="15" t="s">
        <v>10</v>
      </c>
      <c r="J2919" s="15" t="s">
        <v>10</v>
      </c>
      <c r="K2919" s="15" t="s">
        <v>10</v>
      </c>
      <c r="L2919" s="15" t="s">
        <v>10</v>
      </c>
      <c r="M2919" s="15" t="s">
        <v>10</v>
      </c>
      <c r="N2919" s="15" t="s">
        <v>10</v>
      </c>
      <c r="O2919" s="15">
        <v>1.1120782993028506</v>
      </c>
      <c r="P2919" s="15">
        <v>1.1120782993028506</v>
      </c>
      <c r="Q2919" s="8"/>
      <c r="R2919" s="9" t="s">
        <v>2738</v>
      </c>
    </row>
    <row r="2920" spans="1:18" x14ac:dyDescent="0.25">
      <c r="A2920" s="6" t="str">
        <f>HYPERLINK("proteomic_fractions_linear_files/Yang_linear_img/149251558.jpg", "149251558")</f>
        <v>149251558</v>
      </c>
      <c r="B2920" s="7"/>
      <c r="C2920" s="6" t="str">
        <f>HYPERLINK("http://www.ncbi.nlm.nih.gov/protein/149251558","Gm6570")</f>
        <v>Gm6570</v>
      </c>
      <c r="D2920" s="8"/>
      <c r="E2920" s="8">
        <v>12696</v>
      </c>
      <c r="F2920" s="8"/>
      <c r="G2920" s="15">
        <v>1.6765955592829809</v>
      </c>
      <c r="H2920" s="15">
        <v>1.6765955592829809</v>
      </c>
      <c r="I2920" s="15">
        <v>1.1689490995241758</v>
      </c>
      <c r="J2920" s="15">
        <v>1.1689490995241758</v>
      </c>
      <c r="K2920" s="15">
        <v>1.1689490995241758</v>
      </c>
      <c r="L2920" s="15">
        <v>1.1689490995241758</v>
      </c>
      <c r="M2920" s="15">
        <v>1.1689490995241758</v>
      </c>
      <c r="N2920" s="15">
        <v>1.1689490995241758</v>
      </c>
      <c r="O2920" s="15">
        <v>1.1167287478361805</v>
      </c>
      <c r="P2920" s="15">
        <v>1.1167287478361805</v>
      </c>
      <c r="Q2920" s="8"/>
      <c r="R2920" s="9" t="s">
        <v>8130</v>
      </c>
    </row>
    <row r="2921" spans="1:18" x14ac:dyDescent="0.25">
      <c r="A2921" s="6" t="str">
        <f>HYPERLINK("proteomic_fractions_linear_files/Yang_linear_img/82890078.jpg", "82890078")</f>
        <v>82890078</v>
      </c>
      <c r="B2921" s="7"/>
      <c r="C2921" s="6" t="str">
        <f>HYPERLINK("http://www.ncbi.nlm.nih.gov/protein/82890078","Gm6570")</f>
        <v>Gm6570</v>
      </c>
      <c r="D2921" s="8"/>
      <c r="E2921" s="8">
        <v>12691</v>
      </c>
      <c r="F2921" s="8"/>
      <c r="G2921" s="15">
        <v>1.6765955592829809</v>
      </c>
      <c r="H2921" s="15">
        <v>1.6765955592829809</v>
      </c>
      <c r="I2921" s="15">
        <v>1.1689490995241758</v>
      </c>
      <c r="J2921" s="15">
        <v>1.1689490995241758</v>
      </c>
      <c r="K2921" s="15">
        <v>1.1689490995241758</v>
      </c>
      <c r="L2921" s="15">
        <v>1.1689490995241758</v>
      </c>
      <c r="M2921" s="15">
        <v>1.1689490995241758</v>
      </c>
      <c r="N2921" s="15">
        <v>1.1689490995241758</v>
      </c>
      <c r="O2921" s="15">
        <v>1.1167287478361805</v>
      </c>
      <c r="P2921" s="15">
        <v>1.1167287478361805</v>
      </c>
      <c r="Q2921" s="8"/>
      <c r="R2921" s="9" t="s">
        <v>8130</v>
      </c>
    </row>
    <row r="2922" spans="1:18" x14ac:dyDescent="0.25">
      <c r="A2922" s="6" t="str">
        <f>HYPERLINK("proteomic_fractions_linear_files/Yang_linear_img/309262251.jpg", "309262251")</f>
        <v>309262251</v>
      </c>
      <c r="B2922" s="7"/>
      <c r="C2922" s="6" t="str">
        <f>HYPERLINK("http://www.ncbi.nlm.nih.gov/protein/309262251","Gm6613")</f>
        <v>Gm6613</v>
      </c>
      <c r="D2922" s="8"/>
      <c r="E2922" s="8">
        <v>21222</v>
      </c>
      <c r="F2922" s="8"/>
      <c r="G2922" s="15">
        <v>1.4231146138911015</v>
      </c>
      <c r="H2922" s="15">
        <v>1.4231146138911015</v>
      </c>
      <c r="I2922" s="15">
        <v>1.0378924890799406</v>
      </c>
      <c r="J2922" s="15">
        <v>1.0378924890799406</v>
      </c>
      <c r="K2922" s="15">
        <v>0.98083053269791776</v>
      </c>
      <c r="L2922" s="15">
        <v>0.98083053269791776</v>
      </c>
      <c r="M2922" s="15">
        <v>1.0378924890799406</v>
      </c>
      <c r="N2922" s="15">
        <v>1.0378924890799406</v>
      </c>
      <c r="O2922" s="15" t="s">
        <v>10</v>
      </c>
      <c r="P2922" s="15" t="s">
        <v>10</v>
      </c>
      <c r="Q2922" s="8"/>
      <c r="R2922" s="9" t="s">
        <v>8057</v>
      </c>
    </row>
    <row r="2923" spans="1:18" x14ac:dyDescent="0.25">
      <c r="A2923" s="6" t="str">
        <f>HYPERLINK("proteomic_fractions_linear_files/Yang_linear_img/309271811.jpg", "309271811")</f>
        <v>309271811</v>
      </c>
      <c r="B2923" s="7"/>
      <c r="C2923" s="6" t="str">
        <f>HYPERLINK("http://www.ncbi.nlm.nih.gov/protein/309271811","Gm6625")</f>
        <v>Gm6625</v>
      </c>
      <c r="D2923" s="8"/>
      <c r="E2923" s="8">
        <v>11657</v>
      </c>
      <c r="F2923" s="8"/>
      <c r="G2923" s="15">
        <v>2.1791881762854168</v>
      </c>
      <c r="H2923" s="15">
        <v>2.1791881762854168</v>
      </c>
      <c r="I2923" s="15">
        <v>1.4641616471132473</v>
      </c>
      <c r="J2923" s="15">
        <v>1.4641616471132473</v>
      </c>
      <c r="K2923" s="15">
        <v>1.4641616471132473</v>
      </c>
      <c r="L2923" s="15">
        <v>1.4641616471132473</v>
      </c>
      <c r="M2923" s="15">
        <v>1.6250958190029394</v>
      </c>
      <c r="N2923" s="15">
        <v>1.6250958190029394</v>
      </c>
      <c r="O2923" s="15">
        <v>1.1080886685834612</v>
      </c>
      <c r="P2923" s="15">
        <v>1.1080886685834612</v>
      </c>
      <c r="Q2923" s="8"/>
      <c r="R2923" s="9" t="s">
        <v>8089</v>
      </c>
    </row>
    <row r="2924" spans="1:18" x14ac:dyDescent="0.25">
      <c r="A2924" s="6" t="str">
        <f>HYPERLINK("proteomic_fractions_linear_files/Yang_linear_img/407264254.jpg", "407264254")</f>
        <v>407264254</v>
      </c>
      <c r="B2924" s="7"/>
      <c r="C2924" s="6" t="str">
        <f>HYPERLINK("http://www.ncbi.nlm.nih.gov/protein/407264254","Gm6747")</f>
        <v>Gm6747</v>
      </c>
      <c r="D2924" s="8"/>
      <c r="E2924" s="8">
        <v>26649</v>
      </c>
      <c r="F2924" s="8"/>
      <c r="G2924" s="15" t="s">
        <v>10</v>
      </c>
      <c r="H2924" s="15" t="s">
        <v>10</v>
      </c>
      <c r="I2924" s="15" t="s">
        <v>10</v>
      </c>
      <c r="J2924" s="15" t="s">
        <v>10</v>
      </c>
      <c r="K2924" s="15">
        <v>1.3830120897453553</v>
      </c>
      <c r="L2924" s="15">
        <v>1.3830120897453553</v>
      </c>
      <c r="M2924" s="15">
        <v>1.3830120897453553</v>
      </c>
      <c r="N2924" s="15">
        <v>1.3830120897453553</v>
      </c>
      <c r="O2924" s="15">
        <v>1.2797546863138958</v>
      </c>
      <c r="P2924" s="15">
        <v>1.2797546863138958</v>
      </c>
      <c r="Q2924" s="8"/>
      <c r="R2924" s="9" t="s">
        <v>8153</v>
      </c>
    </row>
    <row r="2925" spans="1:18" x14ac:dyDescent="0.25">
      <c r="A2925" s="6" t="str">
        <f>HYPERLINK("proteomic_fractions_linear_files/Yang_linear_img/82998543.jpg", "82998543")</f>
        <v>82998543</v>
      </c>
      <c r="B2925" s="7"/>
      <c r="C2925" s="6" t="str">
        <f>HYPERLINK("http://www.ncbi.nlm.nih.gov/protein/82998543","Gm6747")</f>
        <v>Gm6747</v>
      </c>
      <c r="D2925" s="8"/>
      <c r="E2925" s="8">
        <v>37130</v>
      </c>
      <c r="F2925" s="8"/>
      <c r="G2925" s="15" t="s">
        <v>10</v>
      </c>
      <c r="H2925" s="15" t="s">
        <v>10</v>
      </c>
      <c r="I2925" s="15" t="s">
        <v>10</v>
      </c>
      <c r="J2925" s="15" t="s">
        <v>10</v>
      </c>
      <c r="K2925" s="15">
        <v>1.0092250384628267</v>
      </c>
      <c r="L2925" s="15">
        <v>1.0092250384628267</v>
      </c>
      <c r="M2925" s="15">
        <v>1.0092250384628267</v>
      </c>
      <c r="N2925" s="15">
        <v>1.0092250384628267</v>
      </c>
      <c r="O2925" s="15">
        <v>0.93387504136419419</v>
      </c>
      <c r="P2925" s="15">
        <v>0.93387504136419419</v>
      </c>
      <c r="Q2925" s="8"/>
      <c r="R2925" s="9" t="s">
        <v>8154</v>
      </c>
    </row>
    <row r="2926" spans="1:18" x14ac:dyDescent="0.25">
      <c r="A2926" s="6" t="str">
        <f>HYPERLINK("proteomic_fractions_linear_files/Yang_linear_img/149255259.jpg", "149255259")</f>
        <v>149255259</v>
      </c>
      <c r="B2926" s="7"/>
      <c r="C2926" s="6" t="str">
        <f>HYPERLINK("http://www.ncbi.nlm.nih.gov/protein/149255259","Gm6749")</f>
        <v>Gm6749</v>
      </c>
      <c r="D2926" s="8"/>
      <c r="E2926" s="8">
        <v>15565</v>
      </c>
      <c r="F2926" s="8"/>
      <c r="G2926" s="15">
        <v>374.56875000000002</v>
      </c>
      <c r="H2926" s="15">
        <v>374.56875000000002</v>
      </c>
      <c r="I2926" s="15">
        <v>0.94977114336339286</v>
      </c>
      <c r="J2926" s="15">
        <v>0.94977114336339286</v>
      </c>
      <c r="K2926" s="15">
        <v>1.0447796575379389</v>
      </c>
      <c r="L2926" s="15">
        <v>1.0447796575379389</v>
      </c>
      <c r="M2926" s="15">
        <v>1.0447796575379389</v>
      </c>
      <c r="N2926" s="15">
        <v>1.0447796575379389</v>
      </c>
      <c r="O2926" s="15">
        <v>0.94977114336339286</v>
      </c>
      <c r="P2926" s="15">
        <v>0.94977114336339286</v>
      </c>
      <c r="Q2926" s="8"/>
      <c r="R2926" s="9" t="s">
        <v>8060</v>
      </c>
    </row>
    <row r="2927" spans="1:18" x14ac:dyDescent="0.25">
      <c r="A2927" s="6" t="str">
        <f>HYPERLINK("proteomic_fractions_linear_files/Yang_linear_img/309265661.jpg", "309265661")</f>
        <v>309265661</v>
      </c>
      <c r="B2927" s="7"/>
      <c r="C2927" s="6" t="str">
        <f>HYPERLINK("http://www.ncbi.nlm.nih.gov/protein/309265661","Gm6749")</f>
        <v>Gm6749</v>
      </c>
      <c r="D2927" s="8"/>
      <c r="E2927" s="8">
        <v>16264</v>
      </c>
      <c r="F2927" s="8"/>
      <c r="G2927" s="15">
        <v>374.56875000000002</v>
      </c>
      <c r="H2927" s="15">
        <v>374.56875000000002</v>
      </c>
      <c r="I2927" s="15">
        <v>0.94977114336339286</v>
      </c>
      <c r="J2927" s="15">
        <v>0.94977114336339286</v>
      </c>
      <c r="K2927" s="15">
        <v>1.0447796575379389</v>
      </c>
      <c r="L2927" s="15">
        <v>1.0447796575379389</v>
      </c>
      <c r="M2927" s="15">
        <v>1.0447796575379389</v>
      </c>
      <c r="N2927" s="15">
        <v>1.0447796575379389</v>
      </c>
      <c r="O2927" s="15">
        <v>0.94977114336339286</v>
      </c>
      <c r="P2927" s="15">
        <v>0.94977114336339286</v>
      </c>
      <c r="Q2927" s="8"/>
      <c r="R2927" s="9" t="s">
        <v>8060</v>
      </c>
    </row>
    <row r="2928" spans="1:18" x14ac:dyDescent="0.25">
      <c r="A2928" s="6" t="str">
        <f>HYPERLINK("proteomic_fractions_linear_files/Yang_linear_img/309266388.jpg", "309266388")</f>
        <v>309266388</v>
      </c>
      <c r="B2928" s="7"/>
      <c r="C2928" s="6" t="str">
        <f>HYPERLINK("http://www.ncbi.nlm.nih.gov/protein/309266388","Gm6834")</f>
        <v>Gm6834</v>
      </c>
      <c r="D2928" s="8"/>
      <c r="E2928" s="8">
        <v>17117</v>
      </c>
      <c r="F2928" s="8"/>
      <c r="G2928" s="15">
        <v>1.4444012125457011</v>
      </c>
      <c r="H2928" s="15">
        <v>1.4444012125457011</v>
      </c>
      <c r="I2928" s="15">
        <v>0.98332203062394252</v>
      </c>
      <c r="J2928" s="15">
        <v>0.98332203062394252</v>
      </c>
      <c r="K2928" s="15">
        <v>1.0335258685505275</v>
      </c>
      <c r="L2928" s="15">
        <v>1.0335258685505275</v>
      </c>
      <c r="M2928" s="15">
        <v>1.0335258685505275</v>
      </c>
      <c r="N2928" s="15">
        <v>1.0335258685505275</v>
      </c>
      <c r="O2928" s="15" t="s">
        <v>10</v>
      </c>
      <c r="P2928" s="15" t="s">
        <v>10</v>
      </c>
      <c r="Q2928" s="8"/>
      <c r="R2928" s="9" t="s">
        <v>8090</v>
      </c>
    </row>
    <row r="2929" spans="1:18" x14ac:dyDescent="0.25">
      <c r="A2929" s="6" t="str">
        <f>HYPERLINK("proteomic_fractions_linear_files/Yang_linear_img/82905251.jpg", "82905251")</f>
        <v>82905251</v>
      </c>
      <c r="B2929" s="7"/>
      <c r="C2929" s="6" t="str">
        <f>HYPERLINK("http://www.ncbi.nlm.nih.gov/protein/82905251","Gm6851")</f>
        <v>Gm6851</v>
      </c>
      <c r="D2929" s="8"/>
      <c r="E2929" s="8">
        <v>13684</v>
      </c>
      <c r="F2929" s="8"/>
      <c r="G2929" s="15">
        <v>1.0369624087050249</v>
      </c>
      <c r="H2929" s="15">
        <v>1.0369624087050249</v>
      </c>
      <c r="I2929" s="15">
        <v>1.085452735272449</v>
      </c>
      <c r="J2929" s="15">
        <v>1.085452735272449</v>
      </c>
      <c r="K2929" s="15">
        <v>1.085452735272449</v>
      </c>
      <c r="L2929" s="15">
        <v>1.085452735272449</v>
      </c>
      <c r="M2929" s="15">
        <v>1.085452735272449</v>
      </c>
      <c r="N2929" s="15">
        <v>1.085452735272449</v>
      </c>
      <c r="O2929" s="15">
        <v>1.0369624087050249</v>
      </c>
      <c r="P2929" s="15">
        <v>1.0369624087050249</v>
      </c>
      <c r="Q2929" s="8"/>
      <c r="R2929" s="9" t="s">
        <v>8155</v>
      </c>
    </row>
    <row r="2930" spans="1:18" x14ac:dyDescent="0.25">
      <c r="A2930" s="6" t="str">
        <f>HYPERLINK("proteomic_fractions_linear_files/Yang_linear_img/82950919.jpg", "82950919")</f>
        <v>82950919</v>
      </c>
      <c r="B2930" s="7"/>
      <c r="C2930" s="6" t="str">
        <f>HYPERLINK("http://www.ncbi.nlm.nih.gov/protein/82950919","Gm6901")</f>
        <v>Gm6901</v>
      </c>
      <c r="D2930" s="8"/>
      <c r="E2930" s="8">
        <v>20496</v>
      </c>
      <c r="F2930" s="8"/>
      <c r="G2930" s="15">
        <v>1.395910564884103</v>
      </c>
      <c r="H2930" s="15">
        <v>1.395910564884103</v>
      </c>
      <c r="I2930" s="15">
        <v>0.97505749140176368</v>
      </c>
      <c r="J2930" s="15">
        <v>0.97505749140176368</v>
      </c>
      <c r="K2930" s="15">
        <v>1.0298720593328137</v>
      </c>
      <c r="L2930" s="15">
        <v>1.0298720593328137</v>
      </c>
      <c r="M2930" s="15">
        <v>1.0298720593328137</v>
      </c>
      <c r="N2930" s="15">
        <v>1.0298720593328137</v>
      </c>
      <c r="O2930" s="15">
        <v>0.97505749140176368</v>
      </c>
      <c r="P2930" s="15">
        <v>0.97505749140176368</v>
      </c>
      <c r="Q2930" s="8"/>
      <c r="R2930" s="9" t="s">
        <v>8138</v>
      </c>
    </row>
    <row r="2931" spans="1:18" x14ac:dyDescent="0.25">
      <c r="A2931" s="6" t="str">
        <f>HYPERLINK("proteomic_fractions_linear_files/Yang_linear_img/407263864.jpg", "407263864")</f>
        <v>407263864</v>
      </c>
      <c r="B2931" s="7"/>
      <c r="C2931" s="6" t="str">
        <f>HYPERLINK("http://www.ncbi.nlm.nih.gov/protein/407263864","Gm6910")</f>
        <v>Gm6910</v>
      </c>
      <c r="D2931" s="8"/>
      <c r="E2931" s="8">
        <v>24671</v>
      </c>
      <c r="F2931" s="8"/>
      <c r="G2931" s="15" t="s">
        <v>10</v>
      </c>
      <c r="H2931" s="15" t="s">
        <v>10</v>
      </c>
      <c r="I2931" s="15">
        <v>1.2833629142293435</v>
      </c>
      <c r="J2931" s="15">
        <v>1.2833629142293435</v>
      </c>
      <c r="K2931" s="15" t="s">
        <v>10</v>
      </c>
      <c r="L2931" s="15" t="s">
        <v>10</v>
      </c>
      <c r="M2931" s="15">
        <v>0.70279759061435865</v>
      </c>
      <c r="N2931" s="15">
        <v>1.2833629142293435</v>
      </c>
      <c r="O2931" s="15" t="s">
        <v>10</v>
      </c>
      <c r="P2931" s="15" t="s">
        <v>10</v>
      </c>
      <c r="Q2931" s="8"/>
      <c r="R2931" s="9" t="s">
        <v>8156</v>
      </c>
    </row>
    <row r="2932" spans="1:18" x14ac:dyDescent="0.25">
      <c r="A2932" s="6" t="str">
        <f>HYPERLINK("proteomic_fractions_linear_files/Yang_linear_img/309267035.jpg", "309267035")</f>
        <v>309267035</v>
      </c>
      <c r="B2932" s="7"/>
      <c r="C2932" s="6" t="str">
        <f>HYPERLINK("http://www.ncbi.nlm.nih.gov/protein/309267035","Gm6917")</f>
        <v>Gm6917</v>
      </c>
      <c r="D2932" s="8"/>
      <c r="E2932" s="8">
        <v>20722</v>
      </c>
      <c r="F2932" s="8"/>
      <c r="G2932" s="15">
        <v>1.3294386332229553</v>
      </c>
      <c r="H2932" s="15">
        <v>1.3294386332229553</v>
      </c>
      <c r="I2932" s="15">
        <v>0.92862618228739402</v>
      </c>
      <c r="J2932" s="15">
        <v>0.92862618228739402</v>
      </c>
      <c r="K2932" s="15">
        <v>0.98083053269791776</v>
      </c>
      <c r="L2932" s="15">
        <v>0.98083053269791776</v>
      </c>
      <c r="M2932" s="15">
        <v>0.98083053269791776</v>
      </c>
      <c r="N2932" s="15">
        <v>0.98083053269791776</v>
      </c>
      <c r="O2932" s="15">
        <v>0.92862618228739402</v>
      </c>
      <c r="P2932" s="15">
        <v>0.92862618228739402</v>
      </c>
      <c r="Q2932" s="8"/>
      <c r="R2932" s="9" t="s">
        <v>8138</v>
      </c>
    </row>
    <row r="2933" spans="1:18" x14ac:dyDescent="0.25">
      <c r="A2933" s="6" t="str">
        <f>HYPERLINK("proteomic_fractions_linear_files/Yang_linear_img/309269987.jpg", "309269987")</f>
        <v>309269987</v>
      </c>
      <c r="B2933" s="7"/>
      <c r="C2933" s="6" t="str">
        <f>HYPERLINK("http://www.ncbi.nlm.nih.gov/protein/309269987","Gm6917")</f>
        <v>Gm6917</v>
      </c>
      <c r="D2933" s="8"/>
      <c r="E2933" s="8">
        <v>19390</v>
      </c>
      <c r="F2933" s="8"/>
      <c r="G2933" s="15">
        <v>1.4693795419832663</v>
      </c>
      <c r="H2933" s="15">
        <v>1.4693795419832663</v>
      </c>
      <c r="I2933" s="15">
        <v>1.0263763067386986</v>
      </c>
      <c r="J2933" s="15">
        <v>1.0263763067386986</v>
      </c>
      <c r="K2933" s="15">
        <v>1.0840758519292775</v>
      </c>
      <c r="L2933" s="15">
        <v>1.0840758519292775</v>
      </c>
      <c r="M2933" s="15">
        <v>1.0840758519292775</v>
      </c>
      <c r="N2933" s="15">
        <v>1.0840758519292775</v>
      </c>
      <c r="O2933" s="15">
        <v>1.0263763067386986</v>
      </c>
      <c r="P2933" s="15">
        <v>1.0263763067386986</v>
      </c>
      <c r="Q2933" s="8"/>
      <c r="R2933" s="9" t="s">
        <v>8138</v>
      </c>
    </row>
    <row r="2934" spans="1:18" x14ac:dyDescent="0.25">
      <c r="A2934" s="6" t="str">
        <f>HYPERLINK("proteomic_fractions_linear_files/Yang_linear_img/309266416.jpg", "309266416")</f>
        <v>309266416</v>
      </c>
      <c r="B2934" s="7"/>
      <c r="C2934" s="6" t="str">
        <f>HYPERLINK("http://www.ncbi.nlm.nih.gov/protein/309266416","Gm6921")</f>
        <v>Gm6921</v>
      </c>
      <c r="D2934" s="8"/>
      <c r="E2934" s="8">
        <v>16762</v>
      </c>
      <c r="F2934" s="8"/>
      <c r="G2934" s="15" t="s">
        <v>10</v>
      </c>
      <c r="H2934" s="15" t="s">
        <v>10</v>
      </c>
      <c r="I2934" s="15">
        <v>0.98332203062394252</v>
      </c>
      <c r="J2934" s="15">
        <v>0.98332203062394252</v>
      </c>
      <c r="K2934" s="15">
        <v>1.0335258685505275</v>
      </c>
      <c r="L2934" s="15">
        <v>1.0335258685505275</v>
      </c>
      <c r="M2934" s="15">
        <v>1.0335258685505275</v>
      </c>
      <c r="N2934" s="15">
        <v>1.0335258685505275</v>
      </c>
      <c r="O2934" s="15" t="s">
        <v>10</v>
      </c>
      <c r="P2934" s="15" t="s">
        <v>10</v>
      </c>
      <c r="Q2934" s="8"/>
      <c r="R2934" s="9" t="s">
        <v>8157</v>
      </c>
    </row>
    <row r="2935" spans="1:18" x14ac:dyDescent="0.25">
      <c r="A2935" s="6" t="str">
        <f>HYPERLINK("proteomic_fractions_linear_files/Yang_linear_img/82918545.jpg", "82918545")</f>
        <v>82918545</v>
      </c>
      <c r="B2935" s="7"/>
      <c r="C2935" s="6" t="str">
        <f>HYPERLINK("http://www.ncbi.nlm.nih.gov/protein/82918545","Gm6921")</f>
        <v>Gm6921</v>
      </c>
      <c r="D2935" s="8"/>
      <c r="E2935" s="8">
        <v>16693</v>
      </c>
      <c r="F2935" s="8"/>
      <c r="G2935" s="15" t="s">
        <v>10</v>
      </c>
      <c r="H2935" s="15" t="s">
        <v>10</v>
      </c>
      <c r="I2935" s="15">
        <v>0.98332203062394252</v>
      </c>
      <c r="J2935" s="15">
        <v>0.98332203062394252</v>
      </c>
      <c r="K2935" s="15">
        <v>1.0335258685505275</v>
      </c>
      <c r="L2935" s="15">
        <v>1.0335258685505275</v>
      </c>
      <c r="M2935" s="15">
        <v>1.0335258685505275</v>
      </c>
      <c r="N2935" s="15">
        <v>1.0335258685505275</v>
      </c>
      <c r="O2935" s="15" t="s">
        <v>10</v>
      </c>
      <c r="P2935" s="15" t="s">
        <v>10</v>
      </c>
      <c r="Q2935" s="8"/>
      <c r="R2935" s="9" t="s">
        <v>8158</v>
      </c>
    </row>
    <row r="2936" spans="1:18" x14ac:dyDescent="0.25">
      <c r="A2936" s="6" t="str">
        <f>HYPERLINK("proteomic_fractions_linear_files/Yang_linear_img/149267906.jpg", "149267906")</f>
        <v>149267906</v>
      </c>
      <c r="B2936" s="7"/>
      <c r="C2936" s="6" t="str">
        <f>HYPERLINK("http://www.ncbi.nlm.nih.gov/protein/149267906","Gm6958")</f>
        <v>Gm6958</v>
      </c>
      <c r="D2936" s="8"/>
      <c r="E2936" s="8">
        <v>32737</v>
      </c>
      <c r="F2936" s="8"/>
      <c r="G2936" s="15">
        <v>0.79243206410378786</v>
      </c>
      <c r="H2936" s="15">
        <v>0.79243206410378786</v>
      </c>
      <c r="I2936" s="15">
        <v>0.53242241713208993</v>
      </c>
      <c r="J2936" s="15">
        <v>0.53242241713208993</v>
      </c>
      <c r="K2936" s="15">
        <v>0.5604636110473965</v>
      </c>
      <c r="L2936" s="15">
        <v>0.5604636110473965</v>
      </c>
      <c r="M2936" s="15">
        <v>0.53242241713208993</v>
      </c>
      <c r="N2936" s="15">
        <v>0.53242241713208993</v>
      </c>
      <c r="O2936" s="15" t="s">
        <v>10</v>
      </c>
      <c r="P2936" s="15" t="s">
        <v>10</v>
      </c>
      <c r="Q2936" s="8"/>
      <c r="R2936" s="9" t="s">
        <v>8159</v>
      </c>
    </row>
    <row r="2937" spans="1:18" x14ac:dyDescent="0.25">
      <c r="A2937" s="6" t="str">
        <f>HYPERLINK("proteomic_fractions_linear_files/Yang_linear_img/83002589.jpg", "83002589")</f>
        <v>83002589</v>
      </c>
      <c r="B2937" s="7"/>
      <c r="C2937" s="6" t="str">
        <f>HYPERLINK("http://www.ncbi.nlm.nih.gov/protein/83002589","Gm6987")</f>
        <v>Gm6987</v>
      </c>
      <c r="D2937" s="8"/>
      <c r="E2937" s="8">
        <v>15988</v>
      </c>
      <c r="F2937" s="8"/>
      <c r="G2937" s="15">
        <v>1.5346762883298073</v>
      </c>
      <c r="H2937" s="15">
        <v>1.5346762883298073</v>
      </c>
      <c r="I2937" s="15">
        <v>1.0447796575379389</v>
      </c>
      <c r="J2937" s="15">
        <v>1.0447796575379389</v>
      </c>
      <c r="K2937" s="15">
        <v>1.0447796575379389</v>
      </c>
      <c r="L2937" s="15">
        <v>1.0447796575379389</v>
      </c>
      <c r="M2937" s="15">
        <v>1.1559561977852553</v>
      </c>
      <c r="N2937" s="15">
        <v>1.1559561977852553</v>
      </c>
      <c r="O2937" s="15">
        <v>1.0447796575379389</v>
      </c>
      <c r="P2937" s="15">
        <v>1.0447796575379389</v>
      </c>
      <c r="Q2937" s="8"/>
      <c r="R2937" s="9" t="s">
        <v>8160</v>
      </c>
    </row>
    <row r="2938" spans="1:18" x14ac:dyDescent="0.25">
      <c r="A2938" s="6" t="str">
        <f>HYPERLINK("proteomic_fractions_linear_files/Yang_linear_img/309262778.jpg", "309262778")</f>
        <v>309262778</v>
      </c>
      <c r="B2938" s="7"/>
      <c r="C2938" s="6" t="str">
        <f>HYPERLINK("http://www.ncbi.nlm.nih.gov/protein/309262778","Gm6988")</f>
        <v>Gm6988</v>
      </c>
      <c r="D2938" s="8"/>
      <c r="E2938" s="8">
        <v>13607</v>
      </c>
      <c r="F2938" s="8"/>
      <c r="G2938" s="15">
        <v>1.7539157580912084</v>
      </c>
      <c r="H2938" s="15">
        <v>1.7539157580912084</v>
      </c>
      <c r="I2938" s="15">
        <v>1.1940338943290729</v>
      </c>
      <c r="J2938" s="15">
        <v>1.1940338943290729</v>
      </c>
      <c r="K2938" s="15">
        <v>1.2549956975256404</v>
      </c>
      <c r="L2938" s="15">
        <v>1.2549956975256404</v>
      </c>
      <c r="M2938" s="15">
        <v>1.1376744130844125</v>
      </c>
      <c r="N2938" s="15">
        <v>1.1376744130844125</v>
      </c>
      <c r="O2938" s="15">
        <v>1.1940338943290729</v>
      </c>
      <c r="P2938" s="15">
        <v>1.1940338943290729</v>
      </c>
      <c r="Q2938" s="8"/>
      <c r="R2938" s="9" t="s">
        <v>8122</v>
      </c>
    </row>
    <row r="2939" spans="1:18" x14ac:dyDescent="0.25">
      <c r="A2939" s="6" t="str">
        <f>HYPERLINK("proteomic_fractions_linear_files/Yang_linear_img/82943174.jpg", "82943174")</f>
        <v>82943174</v>
      </c>
      <c r="B2939" s="7"/>
      <c r="C2939" s="6" t="str">
        <f>HYPERLINK("http://www.ncbi.nlm.nih.gov/protein/82943174","Gm6988")</f>
        <v>Gm6988</v>
      </c>
      <c r="D2939" s="8"/>
      <c r="E2939" s="8">
        <v>13606</v>
      </c>
      <c r="F2939" s="8"/>
      <c r="G2939" s="15">
        <v>1.7539157580912084</v>
      </c>
      <c r="H2939" s="15">
        <v>1.7539157580912084</v>
      </c>
      <c r="I2939" s="15">
        <v>1.1940338943290729</v>
      </c>
      <c r="J2939" s="15">
        <v>1.1940338943290729</v>
      </c>
      <c r="K2939" s="15">
        <v>1.1940338943290729</v>
      </c>
      <c r="L2939" s="15">
        <v>1.1940338943290729</v>
      </c>
      <c r="M2939" s="15">
        <v>1.1376744130844125</v>
      </c>
      <c r="N2939" s="15">
        <v>1.1376744130844125</v>
      </c>
      <c r="O2939" s="15">
        <v>1.1376744130844125</v>
      </c>
      <c r="P2939" s="15">
        <v>1.1376744130844125</v>
      </c>
      <c r="Q2939" s="8"/>
      <c r="R2939" s="9" t="s">
        <v>8122</v>
      </c>
    </row>
    <row r="2940" spans="1:18" x14ac:dyDescent="0.25">
      <c r="A2940" s="6" t="str">
        <f>HYPERLINK("proteomic_fractions_linear_files/Yang_linear_img/407262228.jpg", "407262228")</f>
        <v>407262228</v>
      </c>
      <c r="B2940" s="7"/>
      <c r="C2940" s="6" t="str">
        <f>HYPERLINK("http://www.ncbi.nlm.nih.gov/protein/407262228","Gm7250")</f>
        <v>Gm7250</v>
      </c>
      <c r="D2940" s="8"/>
      <c r="E2940" s="8">
        <v>18087</v>
      </c>
      <c r="F2940" s="8"/>
      <c r="G2940" s="15">
        <v>0.97610776474216487</v>
      </c>
      <c r="H2940" s="15">
        <v>0.97610776474216487</v>
      </c>
      <c r="I2940" s="15">
        <v>0.97610776474216487</v>
      </c>
      <c r="J2940" s="15">
        <v>0.97610776474216487</v>
      </c>
      <c r="K2940" s="15">
        <v>1.0833972126686264</v>
      </c>
      <c r="L2940" s="15">
        <v>1.0833972126686264</v>
      </c>
      <c r="M2940" s="15">
        <v>1.0833972126686264</v>
      </c>
      <c r="N2940" s="15">
        <v>1.0833972126686264</v>
      </c>
      <c r="O2940" s="15" t="s">
        <v>10</v>
      </c>
      <c r="P2940" s="15" t="s">
        <v>10</v>
      </c>
      <c r="Q2940" s="8"/>
      <c r="R2940" s="9" t="s">
        <v>8161</v>
      </c>
    </row>
    <row r="2941" spans="1:18" x14ac:dyDescent="0.25">
      <c r="A2941" s="6" t="str">
        <f>HYPERLINK("proteomic_fractions_linear_files/Yang_linear_img/94408110.jpg", "94408110")</f>
        <v>94408110</v>
      </c>
      <c r="B2941" s="7"/>
      <c r="C2941" s="6" t="str">
        <f>HYPERLINK("http://www.ncbi.nlm.nih.gov/protein/94408110","Gm7429")</f>
        <v>Gm7429</v>
      </c>
      <c r="D2941" s="8"/>
      <c r="E2941" s="8">
        <v>12701</v>
      </c>
      <c r="F2941" s="8"/>
      <c r="G2941" s="15">
        <v>1.6765955592829809</v>
      </c>
      <c r="H2941" s="15">
        <v>1.6765955592829809</v>
      </c>
      <c r="I2941" s="15">
        <v>1.1689490995241758</v>
      </c>
      <c r="J2941" s="15">
        <v>1.1689490995241758</v>
      </c>
      <c r="K2941" s="15">
        <v>1.2251878294755212</v>
      </c>
      <c r="L2941" s="15">
        <v>1.2251878294755212</v>
      </c>
      <c r="M2941" s="15">
        <v>1.2251878294755212</v>
      </c>
      <c r="N2941" s="15">
        <v>1.1689490995241758</v>
      </c>
      <c r="O2941" s="15">
        <v>1.1167287478361805</v>
      </c>
      <c r="P2941" s="15">
        <v>1.1167287478361805</v>
      </c>
      <c r="Q2941" s="8"/>
      <c r="R2941" s="9" t="s">
        <v>8130</v>
      </c>
    </row>
    <row r="2942" spans="1:18" x14ac:dyDescent="0.25">
      <c r="A2942" s="6" t="str">
        <f>HYPERLINK("proteomic_fractions_linear_files/Yang_linear_img/309265940.jpg", "309265940")</f>
        <v>309265940</v>
      </c>
      <c r="B2942" s="7"/>
      <c r="C2942" s="6" t="str">
        <f>HYPERLINK("http://www.ncbi.nlm.nih.gov/protein/309265940","Gm7546")</f>
        <v>Gm7546</v>
      </c>
      <c r="D2942" s="8"/>
      <c r="E2942" s="8">
        <v>25491</v>
      </c>
      <c r="F2942" s="8"/>
      <c r="G2942" s="15" t="s">
        <v>10</v>
      </c>
      <c r="H2942" s="15" t="s">
        <v>10</v>
      </c>
      <c r="I2942" s="15" t="s">
        <v>10</v>
      </c>
      <c r="J2942" s="15" t="s">
        <v>10</v>
      </c>
      <c r="K2942" s="15" t="s">
        <v>10</v>
      </c>
      <c r="L2942" s="15" t="s">
        <v>10</v>
      </c>
      <c r="M2942" s="15">
        <v>1.2833629142293435</v>
      </c>
      <c r="N2942" s="15">
        <v>1.2833629142293435</v>
      </c>
      <c r="O2942" s="15" t="s">
        <v>10</v>
      </c>
      <c r="P2942" s="15" t="s">
        <v>10</v>
      </c>
      <c r="Q2942" s="8"/>
      <c r="R2942" s="9" t="s">
        <v>8162</v>
      </c>
    </row>
    <row r="2943" spans="1:18" x14ac:dyDescent="0.25">
      <c r="A2943" s="6" t="str">
        <f>HYPERLINK("proteomic_fractions_linear_files/Yang_linear_img/312176359.jpg", "312176359")</f>
        <v>312176359</v>
      </c>
      <c r="B2943" s="7"/>
      <c r="C2943" s="6" t="str">
        <f>HYPERLINK("http://www.ncbi.nlm.nih.gov/protein/312176359","Gm7694")</f>
        <v>Gm7694</v>
      </c>
      <c r="D2943" s="8"/>
      <c r="E2943" s="8">
        <v>28371</v>
      </c>
      <c r="F2943" s="8"/>
      <c r="G2943" s="15" t="s">
        <v>10</v>
      </c>
      <c r="H2943" s="15" t="s">
        <v>10</v>
      </c>
      <c r="I2943" s="15" t="s">
        <v>10</v>
      </c>
      <c r="J2943" s="15" t="s">
        <v>10</v>
      </c>
      <c r="K2943" s="15">
        <v>3.9214844221832665</v>
      </c>
      <c r="L2943" s="15">
        <v>3.9214844221832665</v>
      </c>
      <c r="M2943" s="15" t="s">
        <v>10</v>
      </c>
      <c r="N2943" s="15" t="s">
        <v>10</v>
      </c>
      <c r="O2943" s="15" t="s">
        <v>10</v>
      </c>
      <c r="P2943" s="15" t="s">
        <v>10</v>
      </c>
      <c r="Q2943" s="8"/>
      <c r="R2943" s="9" t="s">
        <v>2739</v>
      </c>
    </row>
    <row r="2944" spans="1:18" x14ac:dyDescent="0.25">
      <c r="A2944" s="6" t="str">
        <f>HYPERLINK("proteomic_fractions_linear_files/Yang_linear_img/407264240.jpg", "407264240")</f>
        <v>407264240</v>
      </c>
      <c r="B2944" s="7"/>
      <c r="C2944" s="6" t="str">
        <f>HYPERLINK("http://www.ncbi.nlm.nih.gov/protein/407264240","Gm7810")</f>
        <v>Gm7810</v>
      </c>
      <c r="D2944" s="8"/>
      <c r="E2944" s="8">
        <v>54767</v>
      </c>
      <c r="F2944" s="8"/>
      <c r="G2944" s="15">
        <v>0.67893320769317445</v>
      </c>
      <c r="H2944" s="15">
        <v>0.67893320769317445</v>
      </c>
      <c r="I2944" s="15">
        <v>0.50760384177603746</v>
      </c>
      <c r="J2944" s="15">
        <v>0.50760384177603746</v>
      </c>
      <c r="K2944" s="15">
        <v>0.54337103439478418</v>
      </c>
      <c r="L2944" s="15">
        <v>0.54337103439478418</v>
      </c>
      <c r="M2944" s="15">
        <v>0.50760384177603746</v>
      </c>
      <c r="N2944" s="15">
        <v>0.50760384177603746</v>
      </c>
      <c r="O2944" s="15" t="s">
        <v>10</v>
      </c>
      <c r="P2944" s="15" t="s">
        <v>10</v>
      </c>
      <c r="Q2944" s="8"/>
      <c r="R2944" s="9" t="s">
        <v>8163</v>
      </c>
    </row>
    <row r="2945" spans="1:18" x14ac:dyDescent="0.25">
      <c r="A2945" s="6" t="str">
        <f>HYPERLINK("proteomic_fractions_linear_files/Yang_linear_img/149260017.jpg", "149260017")</f>
        <v>149260017</v>
      </c>
      <c r="B2945" s="7"/>
      <c r="C2945" s="6" t="str">
        <f>HYPERLINK("http://www.ncbi.nlm.nih.gov/protein/149260017","Gm7866")</f>
        <v>Gm7866</v>
      </c>
      <c r="D2945" s="8"/>
      <c r="E2945" s="8">
        <v>22952</v>
      </c>
      <c r="F2945" s="8"/>
      <c r="G2945" s="15">
        <v>1.2993655170310057</v>
      </c>
      <c r="H2945" s="15">
        <v>1.2993655170310057</v>
      </c>
      <c r="I2945" s="15">
        <v>0.4912451825045745</v>
      </c>
      <c r="J2945" s="15">
        <v>0.4912451825045745</v>
      </c>
      <c r="K2945" s="15">
        <v>1.0676008962294312</v>
      </c>
      <c r="L2945" s="15">
        <v>1.0676008962294312</v>
      </c>
      <c r="M2945" s="15">
        <v>6.6718639624452978</v>
      </c>
      <c r="N2945" s="15">
        <v>6.6718639624452978</v>
      </c>
      <c r="O2945" s="15">
        <v>5.5965925280485633</v>
      </c>
      <c r="P2945" s="15">
        <v>5.5965925280485633</v>
      </c>
      <c r="Q2945" s="8"/>
      <c r="R2945" s="9" t="s">
        <v>8164</v>
      </c>
    </row>
    <row r="2946" spans="1:18" x14ac:dyDescent="0.25">
      <c r="A2946" s="6" t="str">
        <f>HYPERLINK("proteomic_fractions_linear_files/Yang_linear_img/309266537.jpg", "309266537")</f>
        <v>309266537</v>
      </c>
      <c r="B2946" s="7"/>
      <c r="C2946" s="6" t="str">
        <f>HYPERLINK("http://www.ncbi.nlm.nih.gov/protein/309266537","Gm7866")</f>
        <v>Gm7866</v>
      </c>
      <c r="D2946" s="8"/>
      <c r="E2946" s="8">
        <v>22795</v>
      </c>
      <c r="F2946" s="8"/>
      <c r="G2946" s="15">
        <v>1.2993655170310057</v>
      </c>
      <c r="H2946" s="15">
        <v>1.2993655170310057</v>
      </c>
      <c r="I2946" s="15">
        <v>0.4912451825045745</v>
      </c>
      <c r="J2946" s="15">
        <v>0.4912451825045745</v>
      </c>
      <c r="K2946" s="15">
        <v>1.0676008962294312</v>
      </c>
      <c r="L2946" s="15">
        <v>1.0676008962294312</v>
      </c>
      <c r="M2946" s="15">
        <v>6.6718639624452978</v>
      </c>
      <c r="N2946" s="15">
        <v>6.6718639624452978</v>
      </c>
      <c r="O2946" s="15">
        <v>5.5965925280485633</v>
      </c>
      <c r="P2946" s="15">
        <v>5.5965925280485633</v>
      </c>
      <c r="Q2946" s="8"/>
      <c r="R2946" s="9" t="s">
        <v>8164</v>
      </c>
    </row>
    <row r="2947" spans="1:18" x14ac:dyDescent="0.25">
      <c r="A2947" s="6" t="str">
        <f>HYPERLINK("proteomic_fractions_linear_files/Yang_linear_img/407262833.jpg", "407262833")</f>
        <v>407262833</v>
      </c>
      <c r="B2947" s="7"/>
      <c r="C2947" s="6" t="str">
        <f>HYPERLINK("http://www.ncbi.nlm.nih.gov/protein/407262833","Gm7889")</f>
        <v>Gm7889</v>
      </c>
      <c r="D2947" s="8"/>
      <c r="E2947" s="8">
        <v>35734</v>
      </c>
      <c r="F2947" s="8"/>
      <c r="G2947" s="15" t="s">
        <v>10</v>
      </c>
      <c r="H2947" s="15" t="s">
        <v>10</v>
      </c>
      <c r="I2947" s="15">
        <v>1.3413882106782014</v>
      </c>
      <c r="J2947" s="15">
        <v>1.3413882106782014</v>
      </c>
      <c r="K2947" s="15" t="s">
        <v>10</v>
      </c>
      <c r="L2947" s="15" t="s">
        <v>10</v>
      </c>
      <c r="M2947" s="15" t="s">
        <v>10</v>
      </c>
      <c r="N2947" s="15" t="s">
        <v>10</v>
      </c>
      <c r="O2947" s="15" t="s">
        <v>10</v>
      </c>
      <c r="P2947" s="15" t="s">
        <v>10</v>
      </c>
      <c r="Q2947" s="8"/>
      <c r="R2947" s="9" t="s">
        <v>8165</v>
      </c>
    </row>
    <row r="2948" spans="1:18" x14ac:dyDescent="0.25">
      <c r="A2948" s="6" t="str">
        <f>HYPERLINK("proteomic_fractions_linear_files/Yang_linear_img/94374770.jpg", "94374770")</f>
        <v>94374770</v>
      </c>
      <c r="B2948" s="7"/>
      <c r="C2948" s="6" t="str">
        <f>HYPERLINK("http://www.ncbi.nlm.nih.gov/protein/94374770","Gm8069")</f>
        <v>Gm8069</v>
      </c>
      <c r="D2948" s="8"/>
      <c r="E2948" s="8">
        <v>5878</v>
      </c>
      <c r="F2948" s="8"/>
      <c r="G2948" s="15">
        <v>1.8831065329342023</v>
      </c>
      <c r="H2948" s="15">
        <v>1.8831065329342023</v>
      </c>
      <c r="I2948" s="15">
        <v>1.8831065329342023</v>
      </c>
      <c r="J2948" s="15">
        <v>1.8831065329342023</v>
      </c>
      <c r="K2948" s="15" t="s">
        <v>10</v>
      </c>
      <c r="L2948" s="15" t="s">
        <v>10</v>
      </c>
      <c r="M2948" s="15" t="s">
        <v>10</v>
      </c>
      <c r="N2948" s="15" t="s">
        <v>10</v>
      </c>
      <c r="O2948" s="15" t="s">
        <v>10</v>
      </c>
      <c r="P2948" s="15" t="s">
        <v>10</v>
      </c>
      <c r="Q2948" s="8"/>
      <c r="R2948" s="9" t="s">
        <v>8166</v>
      </c>
    </row>
    <row r="2949" spans="1:18" x14ac:dyDescent="0.25">
      <c r="A2949" s="6" t="str">
        <f>HYPERLINK("proteomic_fractions_linear_files/Yang_linear_img/94388464.jpg", "94388464")</f>
        <v>94388464</v>
      </c>
      <c r="B2949" s="7"/>
      <c r="C2949" s="6" t="str">
        <f>HYPERLINK("http://www.ncbi.nlm.nih.gov/protein/94388464","Gm8112")</f>
        <v>Gm8112</v>
      </c>
      <c r="D2949" s="8"/>
      <c r="E2949" s="8">
        <v>17617</v>
      </c>
      <c r="F2949" s="8"/>
      <c r="G2949" s="15">
        <v>0.97610776474216487</v>
      </c>
      <c r="H2949" s="15">
        <v>0.97610776474216487</v>
      </c>
      <c r="I2949" s="15">
        <v>1.0833972126686264</v>
      </c>
      <c r="J2949" s="15">
        <v>1.0833972126686264</v>
      </c>
      <c r="K2949" s="15">
        <v>1.0833972126686264</v>
      </c>
      <c r="L2949" s="15">
        <v>1.0833972126686264</v>
      </c>
      <c r="M2949" s="15">
        <v>1.0833972126686264</v>
      </c>
      <c r="N2949" s="15">
        <v>1.0833972126686264</v>
      </c>
      <c r="O2949" s="15">
        <v>1.0275166202535602</v>
      </c>
      <c r="P2949" s="15">
        <v>1.0275166202535602</v>
      </c>
      <c r="Q2949" s="8"/>
      <c r="R2949" s="9" t="s">
        <v>8113</v>
      </c>
    </row>
    <row r="2950" spans="1:18" x14ac:dyDescent="0.25">
      <c r="A2950" s="6" t="str">
        <f>HYPERLINK("proteomic_fractions_linear_files/Yang_linear_img/94388474.jpg", "94388474")</f>
        <v>94388474</v>
      </c>
      <c r="B2950" s="7"/>
      <c r="C2950" s="6" t="str">
        <f>HYPERLINK("http://www.ncbi.nlm.nih.gov/protein/94388474","Gm8137")</f>
        <v>Gm8137</v>
      </c>
      <c r="D2950" s="8"/>
      <c r="E2950" s="8">
        <v>17596</v>
      </c>
      <c r="F2950" s="8"/>
      <c r="G2950" s="15">
        <v>0.97610776474216487</v>
      </c>
      <c r="H2950" s="15">
        <v>0.97610776474216487</v>
      </c>
      <c r="I2950" s="15">
        <v>1.0833972126686264</v>
      </c>
      <c r="J2950" s="15">
        <v>1.0833972126686264</v>
      </c>
      <c r="K2950" s="15">
        <v>1.0833972126686264</v>
      </c>
      <c r="L2950" s="15">
        <v>1.0833972126686264</v>
      </c>
      <c r="M2950" s="15">
        <v>1.0833972126686264</v>
      </c>
      <c r="N2950" s="15">
        <v>1.0833972126686264</v>
      </c>
      <c r="O2950" s="15">
        <v>1.0275166202535602</v>
      </c>
      <c r="P2950" s="15">
        <v>1.0275166202535602</v>
      </c>
      <c r="Q2950" s="8"/>
      <c r="R2950" s="9" t="s">
        <v>8113</v>
      </c>
    </row>
    <row r="2951" spans="1:18" x14ac:dyDescent="0.25">
      <c r="A2951" s="6" t="str">
        <f>HYPERLINK("proteomic_fractions_linear_files/Yang_linear_img/94363330.jpg", "94363330")</f>
        <v>94363330</v>
      </c>
      <c r="B2951" s="7"/>
      <c r="C2951" s="6" t="str">
        <f>HYPERLINK("http://www.ncbi.nlm.nih.gov/protein/94363330","Gm8210")</f>
        <v>Gm8210</v>
      </c>
      <c r="D2951" s="8"/>
      <c r="E2951" s="8">
        <v>17456</v>
      </c>
      <c r="F2951" s="8"/>
      <c r="G2951" s="15">
        <v>1.757965111277243</v>
      </c>
      <c r="H2951" s="15">
        <v>1.757965111277243</v>
      </c>
      <c r="I2951" s="15">
        <v>1.2821024865105148</v>
      </c>
      <c r="J2951" s="15">
        <v>1.2821024865105148</v>
      </c>
      <c r="K2951" s="15">
        <v>1.2821024865105148</v>
      </c>
      <c r="L2951" s="15">
        <v>1.2821024865105148</v>
      </c>
      <c r="M2951" s="15">
        <v>1.211614187450369</v>
      </c>
      <c r="N2951" s="15">
        <v>1.211614187450369</v>
      </c>
      <c r="O2951" s="15" t="s">
        <v>10</v>
      </c>
      <c r="P2951" s="15" t="s">
        <v>10</v>
      </c>
      <c r="Q2951" s="8"/>
      <c r="R2951" s="9" t="s">
        <v>8064</v>
      </c>
    </row>
    <row r="2952" spans="1:18" x14ac:dyDescent="0.25">
      <c r="A2952" s="6" t="str">
        <f>HYPERLINK("proteomic_fractions_linear_files/Yang_linear_img/309265674.jpg", "309265674")</f>
        <v>309265674</v>
      </c>
      <c r="B2952" s="7"/>
      <c r="C2952" s="6" t="str">
        <f>HYPERLINK("http://www.ncbi.nlm.nih.gov/protein/309265674","Gm8213")</f>
        <v>Gm8213</v>
      </c>
      <c r="D2952" s="8"/>
      <c r="E2952" s="8">
        <v>16337</v>
      </c>
      <c r="F2952" s="8"/>
      <c r="G2952" s="15">
        <v>1.5346762883298073</v>
      </c>
      <c r="H2952" s="15">
        <v>1.5346762883298073</v>
      </c>
      <c r="I2952" s="15">
        <v>1.1559561977852553</v>
      </c>
      <c r="J2952" s="15">
        <v>1.1559561977852553</v>
      </c>
      <c r="K2952" s="15">
        <v>1.0981212353349354</v>
      </c>
      <c r="L2952" s="15">
        <v>1.0981212353349354</v>
      </c>
      <c r="M2952" s="15">
        <v>1.1559561977852553</v>
      </c>
      <c r="N2952" s="15">
        <v>1.1559561977852553</v>
      </c>
      <c r="O2952" s="15" t="s">
        <v>10</v>
      </c>
      <c r="P2952" s="15" t="s">
        <v>10</v>
      </c>
      <c r="Q2952" s="8"/>
      <c r="R2952" s="9" t="s">
        <v>8078</v>
      </c>
    </row>
    <row r="2953" spans="1:18" x14ac:dyDescent="0.25">
      <c r="A2953" s="6" t="str">
        <f>HYPERLINK("proteomic_fractions_linear_files/Yang_linear_img/94388507.jpg", "94388507")</f>
        <v>94388507</v>
      </c>
      <c r="B2953" s="7"/>
      <c r="C2953" s="6" t="str">
        <f>HYPERLINK("http://www.ncbi.nlm.nih.gov/protein/94388507","Gm8290")</f>
        <v>Gm8290</v>
      </c>
      <c r="D2953" s="8"/>
      <c r="E2953" s="8">
        <v>17339</v>
      </c>
      <c r="F2953" s="8"/>
      <c r="G2953" s="15">
        <v>1.6422477233930624</v>
      </c>
      <c r="H2953" s="15">
        <v>1.6422477233930624</v>
      </c>
      <c r="I2953" s="15">
        <v>1.1471264604726632</v>
      </c>
      <c r="J2953" s="15">
        <v>1.1471264604726632</v>
      </c>
      <c r="K2953" s="15">
        <v>1.1471264604726632</v>
      </c>
      <c r="L2953" s="15">
        <v>1.1471264604726632</v>
      </c>
      <c r="M2953" s="15">
        <v>1.1471264604726632</v>
      </c>
      <c r="N2953" s="15">
        <v>1.1471264604726632</v>
      </c>
      <c r="O2953" s="15" t="s">
        <v>10</v>
      </c>
      <c r="P2953" s="15" t="s">
        <v>10</v>
      </c>
      <c r="Q2953" s="8"/>
      <c r="R2953" s="9" t="s">
        <v>8113</v>
      </c>
    </row>
    <row r="2954" spans="1:18" x14ac:dyDescent="0.25">
      <c r="A2954" s="6" t="str">
        <f>HYPERLINK("proteomic_fractions_linear_files/Yang_linear_img/309265697.jpg", "309265697")</f>
        <v>309265697</v>
      </c>
      <c r="B2954" s="7"/>
      <c r="C2954" s="6" t="str">
        <f>HYPERLINK("http://www.ncbi.nlm.nih.gov/protein/309265697","Gm8430")</f>
        <v>Gm8430</v>
      </c>
      <c r="D2954" s="8"/>
      <c r="E2954" s="8">
        <v>17620</v>
      </c>
      <c r="F2954" s="8"/>
      <c r="G2954" s="15">
        <v>1.6603003828729517</v>
      </c>
      <c r="H2954" s="15">
        <v>1.6603003828729517</v>
      </c>
      <c r="I2954" s="15">
        <v>0.80652631788168594</v>
      </c>
      <c r="J2954" s="15">
        <v>0.80652631788168594</v>
      </c>
      <c r="K2954" s="15">
        <v>0.84424101632301585</v>
      </c>
      <c r="L2954" s="15">
        <v>0.84424101632301585</v>
      </c>
      <c r="M2954" s="15">
        <v>0.84424101632301585</v>
      </c>
      <c r="N2954" s="15">
        <v>0.84424101632301585</v>
      </c>
      <c r="O2954" s="15">
        <v>7.1512015636176089</v>
      </c>
      <c r="P2954" s="15">
        <v>7.1512015636176089</v>
      </c>
      <c r="Q2954" s="8"/>
      <c r="R2954" s="9" t="s">
        <v>8167</v>
      </c>
    </row>
    <row r="2955" spans="1:18" x14ac:dyDescent="0.25">
      <c r="A2955" s="6" t="str">
        <f>HYPERLINK("proteomic_fractions_linear_files/Yang_linear_img/94378076.jpg", "94378076")</f>
        <v>94378076</v>
      </c>
      <c r="B2955" s="7"/>
      <c r="C2955" s="6" t="str">
        <f>HYPERLINK("http://www.ncbi.nlm.nih.gov/protein/94378076","Gm8430")</f>
        <v>Gm8430</v>
      </c>
      <c r="D2955" s="8"/>
      <c r="E2955" s="8">
        <v>17748</v>
      </c>
      <c r="F2955" s="8"/>
      <c r="G2955" s="15">
        <v>1.6603003828729517</v>
      </c>
      <c r="H2955" s="15">
        <v>1.6603003828729517</v>
      </c>
      <c r="I2955" s="15">
        <v>0.80652631788168594</v>
      </c>
      <c r="J2955" s="15">
        <v>0.80652631788168594</v>
      </c>
      <c r="K2955" s="15">
        <v>0.84424101632301585</v>
      </c>
      <c r="L2955" s="15">
        <v>0.84424101632301585</v>
      </c>
      <c r="M2955" s="15">
        <v>0.84424101632301585</v>
      </c>
      <c r="N2955" s="15">
        <v>0.84424101632301585</v>
      </c>
      <c r="O2955" s="15">
        <v>7.1512015636176089</v>
      </c>
      <c r="P2955" s="15">
        <v>7.1512015636176089</v>
      </c>
      <c r="Q2955" s="8"/>
      <c r="R2955" s="9" t="s">
        <v>8167</v>
      </c>
    </row>
    <row r="2956" spans="1:18" x14ac:dyDescent="0.25">
      <c r="A2956" s="6" t="str">
        <f>HYPERLINK("proteomic_fractions_linear_files/Yang_linear_img/377833325.jpg", "377833325")</f>
        <v>377833325</v>
      </c>
      <c r="B2956" s="7"/>
      <c r="C2956" s="6" t="str">
        <f>HYPERLINK("http://www.ncbi.nlm.nih.gov/protein/377833325","Gm8526")</f>
        <v>Gm8526</v>
      </c>
      <c r="D2956" s="8"/>
      <c r="E2956" s="8">
        <v>18462</v>
      </c>
      <c r="F2956" s="8"/>
      <c r="G2956" s="15" t="s">
        <v>10</v>
      </c>
      <c r="H2956" s="15" t="s">
        <v>10</v>
      </c>
      <c r="I2956" s="15" t="s">
        <v>10</v>
      </c>
      <c r="J2956" s="15" t="s">
        <v>10</v>
      </c>
      <c r="K2956" s="15">
        <v>1.1443022881475706</v>
      </c>
      <c r="L2956" s="15">
        <v>1.1443022881475706</v>
      </c>
      <c r="M2956" s="15">
        <v>1.1443022881475706</v>
      </c>
      <c r="N2956" s="15">
        <v>1.1443022881475706</v>
      </c>
      <c r="O2956" s="15" t="s">
        <v>10</v>
      </c>
      <c r="P2956" s="15" t="s">
        <v>10</v>
      </c>
      <c r="Q2956" s="8"/>
      <c r="R2956" s="9" t="s">
        <v>8053</v>
      </c>
    </row>
    <row r="2957" spans="1:18" x14ac:dyDescent="0.25">
      <c r="A2957" s="6" t="str">
        <f>HYPERLINK("proteomic_fractions_linear_files/Yang_linear_img/309265232.jpg", "309265232")</f>
        <v>309265232</v>
      </c>
      <c r="B2957" s="7"/>
      <c r="C2957" s="6" t="str">
        <f>HYPERLINK("http://www.ncbi.nlm.nih.gov/protein/309265232","Gm8539")</f>
        <v>Gm8539</v>
      </c>
      <c r="D2957" s="8"/>
      <c r="E2957" s="8">
        <v>20645</v>
      </c>
      <c r="F2957" s="8"/>
      <c r="G2957" s="15" t="s">
        <v>10</v>
      </c>
      <c r="H2957" s="15" t="s">
        <v>10</v>
      </c>
      <c r="I2957" s="15">
        <v>0.92862618228739402</v>
      </c>
      <c r="J2957" s="15">
        <v>0.92862618228739402</v>
      </c>
      <c r="K2957" s="15">
        <v>0.92862618228739402</v>
      </c>
      <c r="L2957" s="15">
        <v>0.92862618228739402</v>
      </c>
      <c r="M2957" s="15" t="s">
        <v>10</v>
      </c>
      <c r="N2957" s="15" t="s">
        <v>10</v>
      </c>
      <c r="O2957" s="15">
        <v>0.98083053269791776</v>
      </c>
      <c r="P2957" s="15">
        <v>0.98083053269791776</v>
      </c>
      <c r="Q2957" s="8"/>
      <c r="R2957" s="9" t="s">
        <v>8168</v>
      </c>
    </row>
    <row r="2958" spans="1:18" x14ac:dyDescent="0.25">
      <c r="A2958" s="6" t="str">
        <f>HYPERLINK("proteomic_fractions_linear_files/Yang_linear_img/309265997.jpg", "309265997")</f>
        <v>309265997</v>
      </c>
      <c r="B2958" s="7"/>
      <c r="C2958" s="6" t="str">
        <f>HYPERLINK("http://www.ncbi.nlm.nih.gov/protein/309265997","Gm8556")</f>
        <v>Gm8556</v>
      </c>
      <c r="D2958" s="8"/>
      <c r="E2958" s="8">
        <v>49303</v>
      </c>
      <c r="F2958" s="8"/>
      <c r="G2958" s="15">
        <v>0.76206788618621613</v>
      </c>
      <c r="H2958" s="15">
        <v>0.76206788618621613</v>
      </c>
      <c r="I2958" s="15">
        <v>0.53367873704948976</v>
      </c>
      <c r="J2958" s="15">
        <v>0.53367873704948976</v>
      </c>
      <c r="K2958" s="15">
        <v>0.53367873704948976</v>
      </c>
      <c r="L2958" s="15">
        <v>0.53367873704948976</v>
      </c>
      <c r="M2958" s="15">
        <v>0.56975941423840937</v>
      </c>
      <c r="N2958" s="15">
        <v>0.56975941423840937</v>
      </c>
      <c r="O2958" s="15">
        <v>0.50111878802605947</v>
      </c>
      <c r="P2958" s="15">
        <v>0.50111878802605947</v>
      </c>
      <c r="Q2958" s="8"/>
      <c r="R2958" s="9" t="s">
        <v>8169</v>
      </c>
    </row>
    <row r="2959" spans="1:18" x14ac:dyDescent="0.25">
      <c r="A2959" s="6" t="str">
        <f>HYPERLINK("proteomic_fractions_linear_files/Yang_linear_img/407263446.jpg", "407263446")</f>
        <v>407263446</v>
      </c>
      <c r="B2959" s="7"/>
      <c r="C2959" s="6" t="str">
        <f>HYPERLINK("http://www.ncbi.nlm.nih.gov/protein/407263446","Gm8556")</f>
        <v>Gm8556</v>
      </c>
      <c r="D2959" s="8"/>
      <c r="E2959" s="8">
        <v>47792</v>
      </c>
      <c r="F2959" s="8"/>
      <c r="G2959" s="15">
        <v>0.77794430048176233</v>
      </c>
      <c r="H2959" s="15">
        <v>0.77794430048176233</v>
      </c>
      <c r="I2959" s="15">
        <v>0.54479704407135421</v>
      </c>
      <c r="J2959" s="15">
        <v>0.54479704407135421</v>
      </c>
      <c r="K2959" s="15">
        <v>0.54479704407135421</v>
      </c>
      <c r="L2959" s="15">
        <v>0.54479704407135421</v>
      </c>
      <c r="M2959" s="15">
        <v>0.58162940203504288</v>
      </c>
      <c r="N2959" s="15">
        <v>0.58162940203504288</v>
      </c>
      <c r="O2959" s="15">
        <v>0.51155876277660239</v>
      </c>
      <c r="P2959" s="15">
        <v>0.51155876277660239</v>
      </c>
      <c r="Q2959" s="8"/>
      <c r="R2959" s="9" t="s">
        <v>8169</v>
      </c>
    </row>
    <row r="2960" spans="1:18" x14ac:dyDescent="0.25">
      <c r="A2960" s="6" t="str">
        <f>HYPERLINK("proteomic_fractions_linear_files/Yang_linear_img/149263421.jpg", "149263421")</f>
        <v>149263421</v>
      </c>
      <c r="B2960" s="7"/>
      <c r="C2960" s="6" t="str">
        <f>HYPERLINK("http://www.ncbi.nlm.nih.gov/protein/149263421","Gm8587")</f>
        <v>Gm8587</v>
      </c>
      <c r="D2960" s="8"/>
      <c r="E2960" s="8">
        <v>33902</v>
      </c>
      <c r="F2960" s="8"/>
      <c r="G2960" s="15" t="s">
        <v>10</v>
      </c>
      <c r="H2960" s="15" t="s">
        <v>10</v>
      </c>
      <c r="I2960" s="15" t="s">
        <v>10</v>
      </c>
      <c r="J2960" s="15" t="s">
        <v>10</v>
      </c>
      <c r="K2960" s="15" t="s">
        <v>10</v>
      </c>
      <c r="L2960" s="15" t="s">
        <v>10</v>
      </c>
      <c r="M2960" s="15">
        <v>0.87898255563862149</v>
      </c>
      <c r="N2960" s="15">
        <v>0.87898255563862149</v>
      </c>
      <c r="O2960" s="15" t="s">
        <v>10</v>
      </c>
      <c r="P2960" s="15" t="s">
        <v>10</v>
      </c>
      <c r="Q2960" s="8"/>
      <c r="R2960" s="9" t="s">
        <v>8170</v>
      </c>
    </row>
    <row r="2961" spans="1:18" x14ac:dyDescent="0.25">
      <c r="A2961" s="6" t="str">
        <f>HYPERLINK("proteomic_fractions_linear_files/Yang_linear_img/149240882.jpg", "149240882")</f>
        <v>149240882</v>
      </c>
      <c r="B2961" s="7"/>
      <c r="C2961" s="6" t="str">
        <f>HYPERLINK("http://www.ncbi.nlm.nih.gov/protein/149240882","Gm8618")</f>
        <v>Gm8618</v>
      </c>
      <c r="D2961" s="8"/>
      <c r="E2961" s="8">
        <v>15727</v>
      </c>
      <c r="F2961" s="8"/>
      <c r="G2961" s="15">
        <v>374.56875000000002</v>
      </c>
      <c r="H2961" s="15">
        <v>374.56875000000002</v>
      </c>
      <c r="I2961" s="15">
        <v>1.0447796575379389</v>
      </c>
      <c r="J2961" s="15">
        <v>1.0447796575379389</v>
      </c>
      <c r="K2961" s="15">
        <v>1.0981212353349354</v>
      </c>
      <c r="L2961" s="15">
        <v>1.0981212353349354</v>
      </c>
      <c r="M2961" s="15">
        <v>0.99546511144886096</v>
      </c>
      <c r="N2961" s="15">
        <v>0.99546511144886096</v>
      </c>
      <c r="O2961" s="15" t="s">
        <v>10</v>
      </c>
      <c r="P2961" s="15" t="s">
        <v>10</v>
      </c>
      <c r="Q2961" s="8"/>
      <c r="R2961" s="9" t="s">
        <v>8171</v>
      </c>
    </row>
    <row r="2962" spans="1:18" x14ac:dyDescent="0.25">
      <c r="A2962" s="6" t="str">
        <f>HYPERLINK("proteomic_fractions_linear_files/Yang_linear_img/94383782.jpg", "94383782")</f>
        <v>94383782</v>
      </c>
      <c r="B2962" s="7"/>
      <c r="C2962" s="6" t="str">
        <f>HYPERLINK("http://www.ncbi.nlm.nih.gov/protein/94383782","Gm8841")</f>
        <v>Gm8841</v>
      </c>
      <c r="D2962" s="8"/>
      <c r="E2962" s="8">
        <v>31038</v>
      </c>
      <c r="F2962" s="8"/>
      <c r="G2962" s="15">
        <v>1.3066876839749273</v>
      </c>
      <c r="H2962" s="15">
        <v>1.3066876839749273</v>
      </c>
      <c r="I2962" s="15">
        <v>0.90058746121555033</v>
      </c>
      <c r="J2962" s="15">
        <v>0.90058746121555033</v>
      </c>
      <c r="K2962" s="15">
        <v>0.96404538360364944</v>
      </c>
      <c r="L2962" s="15">
        <v>0.96404538360364944</v>
      </c>
      <c r="M2962" s="15">
        <v>0.90058746121555033</v>
      </c>
      <c r="N2962" s="15">
        <v>0.90058746121555033</v>
      </c>
      <c r="O2962" s="15" t="s">
        <v>10</v>
      </c>
      <c r="P2962" s="15" t="s">
        <v>10</v>
      </c>
      <c r="Q2962" s="8"/>
      <c r="R2962" s="9" t="s">
        <v>8144</v>
      </c>
    </row>
    <row r="2963" spans="1:18" x14ac:dyDescent="0.25">
      <c r="A2963" s="6" t="str">
        <f>HYPERLINK("proteomic_fractions_linear_files/Yang_linear_img/94384306.jpg", "94384306")</f>
        <v>94384306</v>
      </c>
      <c r="B2963" s="7"/>
      <c r="C2963" s="6" t="str">
        <f>HYPERLINK("http://www.ncbi.nlm.nih.gov/protein/94384306","Gm8842")</f>
        <v>Gm8842</v>
      </c>
      <c r="D2963" s="8"/>
      <c r="E2963" s="8">
        <v>31233</v>
      </c>
      <c r="F2963" s="8"/>
      <c r="G2963" s="15">
        <v>0.84355671340080651</v>
      </c>
      <c r="H2963" s="15">
        <v>0.84355671340080651</v>
      </c>
      <c r="I2963" s="15">
        <v>0.90058746121555033</v>
      </c>
      <c r="J2963" s="15">
        <v>0.90058746121555033</v>
      </c>
      <c r="K2963" s="15">
        <v>0.96404538360364944</v>
      </c>
      <c r="L2963" s="15">
        <v>0.96404538360364944</v>
      </c>
      <c r="M2963" s="15">
        <v>0.90058746121555033</v>
      </c>
      <c r="N2963" s="15">
        <v>0.90058746121555033</v>
      </c>
      <c r="O2963" s="15" t="s">
        <v>10</v>
      </c>
      <c r="P2963" s="15" t="s">
        <v>10</v>
      </c>
      <c r="Q2963" s="8"/>
      <c r="R2963" s="9" t="s">
        <v>8172</v>
      </c>
    </row>
    <row r="2964" spans="1:18" x14ac:dyDescent="0.25">
      <c r="A2964" s="6" t="str">
        <f>HYPERLINK("proteomic_fractions_linear_files/Yang_linear_img/326320033.jpg", "326320033")</f>
        <v>326320033</v>
      </c>
      <c r="B2964" s="7"/>
      <c r="C2964" s="6" t="str">
        <f>HYPERLINK("http://www.ncbi.nlm.nih.gov/protein/326320033","Gm8909")</f>
        <v>Gm8909</v>
      </c>
      <c r="D2964" s="8"/>
      <c r="E2964" s="8">
        <v>39409</v>
      </c>
      <c r="F2964" s="8"/>
      <c r="G2964" s="15" t="s">
        <v>10</v>
      </c>
      <c r="H2964" s="15" t="s">
        <v>10</v>
      </c>
      <c r="I2964" s="15" t="s">
        <v>10</v>
      </c>
      <c r="J2964" s="15" t="s">
        <v>10</v>
      </c>
      <c r="K2964" s="15">
        <v>1.2382045021644936</v>
      </c>
      <c r="L2964" s="15">
        <v>1.2382045021644936</v>
      </c>
      <c r="M2964" s="15" t="s">
        <v>10</v>
      </c>
      <c r="N2964" s="15" t="s">
        <v>10</v>
      </c>
      <c r="O2964" s="15" t="s">
        <v>10</v>
      </c>
      <c r="P2964" s="15" t="s">
        <v>10</v>
      </c>
      <c r="Q2964" s="8"/>
      <c r="R2964" s="9" t="s">
        <v>2740</v>
      </c>
    </row>
    <row r="2965" spans="1:18" x14ac:dyDescent="0.25">
      <c r="A2965" s="6" t="str">
        <f>HYPERLINK("proteomic_fractions_linear_files/Yang_linear_img/218505708.jpg", "218505708")</f>
        <v>218505708</v>
      </c>
      <c r="B2965" s="7"/>
      <c r="C2965" s="6" t="str">
        <f>HYPERLINK("http://www.ncbi.nlm.nih.gov/protein/218505708","Gm8994")</f>
        <v>Gm8994</v>
      </c>
      <c r="D2965" s="8"/>
      <c r="E2965" s="8">
        <v>46723</v>
      </c>
      <c r="F2965" s="8"/>
      <c r="G2965" s="15">
        <v>1.2504937784168904</v>
      </c>
      <c r="H2965" s="15">
        <v>1.2504937784168904</v>
      </c>
      <c r="I2965" s="15">
        <v>0.93884232440352056</v>
      </c>
      <c r="J2965" s="15">
        <v>0.93884232440352056</v>
      </c>
      <c r="K2965" s="15">
        <v>0.93884232440352056</v>
      </c>
      <c r="L2965" s="15">
        <v>0.93884232440352056</v>
      </c>
      <c r="M2965" s="15">
        <v>0.93884232440352056</v>
      </c>
      <c r="N2965" s="15">
        <v>0.93884232440352056</v>
      </c>
      <c r="O2965" s="15">
        <v>0.86185783411112227</v>
      </c>
      <c r="P2965" s="15">
        <v>0.86185783411112227</v>
      </c>
      <c r="Q2965" s="8"/>
      <c r="R2965" s="9" t="s">
        <v>2741</v>
      </c>
    </row>
    <row r="2966" spans="1:18" x14ac:dyDescent="0.25">
      <c r="A2966" s="6" t="str">
        <f>HYPERLINK("proteomic_fractions_linear_files/Yang_linear_img/94392404.jpg", "94392404")</f>
        <v>94392404</v>
      </c>
      <c r="B2966" s="7"/>
      <c r="C2966" s="6" t="str">
        <f>HYPERLINK("http://www.ncbi.nlm.nih.gov/protein/94392404","Gm9178")</f>
        <v>Gm9178</v>
      </c>
      <c r="D2966" s="8"/>
      <c r="E2966" s="8">
        <v>27372</v>
      </c>
      <c r="F2966" s="8"/>
      <c r="G2966" s="15">
        <v>1.3830120897453553</v>
      </c>
      <c r="H2966" s="15">
        <v>1.3830120897453553</v>
      </c>
      <c r="I2966" s="15">
        <v>1.0340078258400762</v>
      </c>
      <c r="J2966" s="15">
        <v>1.0340078258400762</v>
      </c>
      <c r="K2966" s="15">
        <v>1.0340078258400762</v>
      </c>
      <c r="L2966" s="15">
        <v>1.0340078258400762</v>
      </c>
      <c r="M2966" s="15">
        <v>1.0340078258400762</v>
      </c>
      <c r="N2966" s="15">
        <v>1.0340078258400762</v>
      </c>
      <c r="O2966" s="15" t="s">
        <v>10</v>
      </c>
      <c r="P2966" s="15" t="s">
        <v>10</v>
      </c>
      <c r="Q2966" s="8"/>
      <c r="R2966" s="9" t="s">
        <v>8173</v>
      </c>
    </row>
    <row r="2967" spans="1:18" x14ac:dyDescent="0.25">
      <c r="A2967" s="6" t="str">
        <f>HYPERLINK("proteomic_fractions_linear_files/Yang_linear_img/407261558.jpg", "407261558")</f>
        <v>407261558</v>
      </c>
      <c r="B2967" s="7"/>
      <c r="C2967" s="6" t="str">
        <f>HYPERLINK("http://www.ncbi.nlm.nih.gov/protein/407261558","Gm9234")</f>
        <v>Gm9234</v>
      </c>
      <c r="D2967" s="8"/>
      <c r="E2967" s="8">
        <v>20153</v>
      </c>
      <c r="F2967" s="8"/>
      <c r="G2967" s="15">
        <v>1.1554786687358722</v>
      </c>
      <c r="H2967" s="15">
        <v>1.1554786687358722</v>
      </c>
      <c r="I2967" s="15">
        <v>0.79637208915908875</v>
      </c>
      <c r="J2967" s="15">
        <v>0.79637208915908875</v>
      </c>
      <c r="K2967" s="15">
        <v>0.83582372603035116</v>
      </c>
      <c r="L2967" s="15">
        <v>0.83582372603035116</v>
      </c>
      <c r="M2967" s="15">
        <v>0.83582372603035116</v>
      </c>
      <c r="N2967" s="15">
        <v>0.83582372603035116</v>
      </c>
      <c r="O2967" s="15">
        <v>0.83582372603035116</v>
      </c>
      <c r="P2967" s="15">
        <v>0.83582372603035116</v>
      </c>
      <c r="Q2967" s="8"/>
      <c r="R2967" s="9" t="s">
        <v>8174</v>
      </c>
    </row>
    <row r="2968" spans="1:18" x14ac:dyDescent="0.25">
      <c r="A2968" s="6" t="str">
        <f>HYPERLINK("proteomic_fractions_linear_files/Yang_linear_img/94370353.jpg", "94370353")</f>
        <v>94370353</v>
      </c>
      <c r="B2968" s="7"/>
      <c r="C2968" s="6" t="str">
        <f>HYPERLINK("http://www.ncbi.nlm.nih.gov/protein/94370353","Gm9372")</f>
        <v>Gm9372</v>
      </c>
      <c r="D2968" s="8"/>
      <c r="E2968" s="8">
        <v>16738</v>
      </c>
      <c r="F2968" s="8"/>
      <c r="G2968" s="15" t="s">
        <v>10</v>
      </c>
      <c r="H2968" s="15" t="s">
        <v>10</v>
      </c>
      <c r="I2968" s="15" t="s">
        <v>10</v>
      </c>
      <c r="J2968" s="15" t="s">
        <v>10</v>
      </c>
      <c r="K2968" s="15">
        <v>0.93690834018716329</v>
      </c>
      <c r="L2968" s="15">
        <v>0.93690834018716329</v>
      </c>
      <c r="M2968" s="15" t="s">
        <v>10</v>
      </c>
      <c r="N2968" s="15" t="s">
        <v>10</v>
      </c>
      <c r="O2968" s="15" t="s">
        <v>10</v>
      </c>
      <c r="P2968" s="15" t="s">
        <v>10</v>
      </c>
      <c r="Q2968" s="8"/>
      <c r="R2968" s="9" t="s">
        <v>8171</v>
      </c>
    </row>
    <row r="2969" spans="1:18" x14ac:dyDescent="0.25">
      <c r="A2969" s="6" t="str">
        <f>HYPERLINK("proteomic_fractions_linear_files/Yang_linear_img/407263600.jpg", "407263600")</f>
        <v>407263600</v>
      </c>
      <c r="B2969" s="7"/>
      <c r="C2969" s="6" t="str">
        <f>HYPERLINK("http://www.ncbi.nlm.nih.gov/protein/407263600","Gm9385")</f>
        <v>Gm9385</v>
      </c>
      <c r="D2969" s="8"/>
      <c r="E2969" s="8">
        <v>12086</v>
      </c>
      <c r="F2969" s="8"/>
      <c r="G2969" s="15">
        <v>2.3265176081401715</v>
      </c>
      <c r="H2969" s="15">
        <v>2.3265176081401715</v>
      </c>
      <c r="I2969" s="15">
        <v>1.6250958190029394</v>
      </c>
      <c r="J2969" s="15">
        <v>1.6250958190029394</v>
      </c>
      <c r="K2969" s="15">
        <v>1.716453432221356</v>
      </c>
      <c r="L2969" s="15">
        <v>1.716453432221356</v>
      </c>
      <c r="M2969" s="15">
        <v>1.716453432221356</v>
      </c>
      <c r="N2969" s="15">
        <v>1.716453432221356</v>
      </c>
      <c r="O2969" s="15">
        <v>1.6250958190029394</v>
      </c>
      <c r="P2969" s="15">
        <v>1.6250958190029394</v>
      </c>
      <c r="Q2969" s="8"/>
      <c r="R2969" s="9" t="s">
        <v>8175</v>
      </c>
    </row>
    <row r="2970" spans="1:18" x14ac:dyDescent="0.25">
      <c r="A2970" s="6" t="str">
        <f>HYPERLINK("proteomic_fractions_linear_files/Yang_linear_img/94403170.jpg", "94403170")</f>
        <v>94403170</v>
      </c>
      <c r="B2970" s="7"/>
      <c r="C2970" s="6" t="str">
        <f>HYPERLINK("http://www.ncbi.nlm.nih.gov/protein/94403170","Gm9386")</f>
        <v>Gm9386</v>
      </c>
      <c r="D2970" s="8"/>
      <c r="E2970" s="8">
        <v>19692</v>
      </c>
      <c r="F2970" s="8"/>
      <c r="G2970" s="15" t="s">
        <v>10</v>
      </c>
      <c r="H2970" s="15" t="s">
        <v>10</v>
      </c>
      <c r="I2970" s="15" t="s">
        <v>10</v>
      </c>
      <c r="J2970" s="15" t="s">
        <v>10</v>
      </c>
      <c r="K2970" s="15">
        <v>0.63736096709688128</v>
      </c>
      <c r="L2970" s="15">
        <v>0.63736096709688128</v>
      </c>
      <c r="M2970" s="15" t="s">
        <v>10</v>
      </c>
      <c r="N2970" s="15" t="s">
        <v>10</v>
      </c>
      <c r="O2970" s="15">
        <v>0.63736096709688128</v>
      </c>
      <c r="P2970" s="15">
        <v>0.63736096709688128</v>
      </c>
      <c r="Q2970" s="8"/>
      <c r="R2970" s="9" t="s">
        <v>8061</v>
      </c>
    </row>
    <row r="2971" spans="1:18" x14ac:dyDescent="0.25">
      <c r="A2971" s="6" t="str">
        <f>HYPERLINK("proteomic_fractions_linear_files/Yang_linear_img/309266196.jpg", "309266196")</f>
        <v>309266196</v>
      </c>
      <c r="B2971" s="7"/>
      <c r="C2971" s="6" t="str">
        <f>HYPERLINK("http://www.ncbi.nlm.nih.gov/protein/309266196","Gm9457")</f>
        <v>Gm9457</v>
      </c>
      <c r="D2971" s="8"/>
      <c r="E2971" s="8">
        <v>15957</v>
      </c>
      <c r="F2971" s="8"/>
      <c r="G2971" s="15">
        <v>0.90734210761689671</v>
      </c>
      <c r="H2971" s="15">
        <v>0.90734210761689671</v>
      </c>
      <c r="I2971" s="15">
        <v>0.90734210761689671</v>
      </c>
      <c r="J2971" s="15">
        <v>0.90734210761689671</v>
      </c>
      <c r="K2971" s="15">
        <v>1.0447796575379389</v>
      </c>
      <c r="L2971" s="15">
        <v>1.0447796575379389</v>
      </c>
      <c r="M2971" s="15">
        <v>1.0447796575379389</v>
      </c>
      <c r="N2971" s="15">
        <v>1.0447796575379389</v>
      </c>
      <c r="O2971" s="15">
        <v>0.94977114336339286</v>
      </c>
      <c r="P2971" s="15">
        <v>0.94977114336339286</v>
      </c>
      <c r="Q2971" s="8"/>
      <c r="R2971" s="9" t="s">
        <v>8176</v>
      </c>
    </row>
    <row r="2972" spans="1:18" x14ac:dyDescent="0.25">
      <c r="A2972" s="6" t="str">
        <f>HYPERLINK("proteomic_fractions_linear_files/Yang_linear_img/377834619.jpg", "377834619")</f>
        <v>377834619</v>
      </c>
      <c r="B2972" s="7"/>
      <c r="C2972" s="6" t="str">
        <f>HYPERLINK("http://www.ncbi.nlm.nih.gov/protein/377834619","Gm9670")</f>
        <v>Gm9670</v>
      </c>
      <c r="D2972" s="8"/>
      <c r="E2972" s="8">
        <v>17553</v>
      </c>
      <c r="F2972" s="8"/>
      <c r="G2972" s="15">
        <v>2.074518134618033</v>
      </c>
      <c r="H2972" s="15">
        <v>2.074518134618033</v>
      </c>
      <c r="I2972" s="15">
        <v>1.3641567007376065</v>
      </c>
      <c r="J2972" s="15">
        <v>1.3641567007376065</v>
      </c>
      <c r="K2972" s="15">
        <v>1.4527921175236111</v>
      </c>
      <c r="L2972" s="15">
        <v>1.4527921175236111</v>
      </c>
      <c r="M2972" s="15">
        <v>1.4527921175236111</v>
      </c>
      <c r="N2972" s="15">
        <v>1.4527921175236111</v>
      </c>
      <c r="O2972" s="15" t="s">
        <v>10</v>
      </c>
      <c r="P2972" s="15" t="s">
        <v>10</v>
      </c>
      <c r="Q2972" s="8"/>
      <c r="R2972" s="9" t="s">
        <v>8177</v>
      </c>
    </row>
    <row r="2973" spans="1:18" x14ac:dyDescent="0.25">
      <c r="A2973" s="6" t="str">
        <f>HYPERLINK("proteomic_fractions_linear_files/Yang_linear_img/309268396.jpg", "309268396")</f>
        <v>309268396</v>
      </c>
      <c r="B2973" s="7"/>
      <c r="C2973" s="6" t="str">
        <f>HYPERLINK("http://www.ncbi.nlm.nih.gov/protein/309268396","Gm9835")</f>
        <v>Gm9835</v>
      </c>
      <c r="D2973" s="8"/>
      <c r="E2973" s="8">
        <v>30396</v>
      </c>
      <c r="F2973" s="8"/>
      <c r="G2973" s="15" t="s">
        <v>10</v>
      </c>
      <c r="H2973" s="15" t="s">
        <v>10</v>
      </c>
      <c r="I2973" s="15" t="s">
        <v>10</v>
      </c>
      <c r="J2973" s="15" t="s">
        <v>10</v>
      </c>
      <c r="K2973" s="15" t="s">
        <v>10</v>
      </c>
      <c r="L2973" s="15" t="s">
        <v>10</v>
      </c>
      <c r="M2973" s="15">
        <v>0.5572158173535674</v>
      </c>
      <c r="N2973" s="15">
        <v>0.5572158173535674</v>
      </c>
      <c r="O2973" s="15" t="s">
        <v>10</v>
      </c>
      <c r="P2973" s="15" t="s">
        <v>10</v>
      </c>
      <c r="Q2973" s="8"/>
      <c r="R2973" s="9" t="s">
        <v>8178</v>
      </c>
    </row>
    <row r="2974" spans="1:18" x14ac:dyDescent="0.25">
      <c r="A2974" s="6" t="str">
        <f>HYPERLINK("proteomic_fractions_linear_files/Yang_linear_img/309265531.jpg", "309265531")</f>
        <v>309265531</v>
      </c>
      <c r="B2974" s="7"/>
      <c r="C2974" s="6" t="str">
        <f>HYPERLINK("http://www.ncbi.nlm.nih.gov/protein/309265531","Gm9835")</f>
        <v>Gm9835</v>
      </c>
      <c r="D2974" s="8"/>
      <c r="E2974" s="8">
        <v>19189</v>
      </c>
      <c r="F2974" s="8"/>
      <c r="G2974" s="15" t="s">
        <v>10</v>
      </c>
      <c r="H2974" s="15" t="s">
        <v>10</v>
      </c>
      <c r="I2974" s="15" t="s">
        <v>10</v>
      </c>
      <c r="J2974" s="15" t="s">
        <v>10</v>
      </c>
      <c r="K2974" s="15">
        <v>0.92473367186099831</v>
      </c>
      <c r="L2974" s="15">
        <v>0.92473367186099831</v>
      </c>
      <c r="M2974" s="15">
        <v>0.92473367186099831</v>
      </c>
      <c r="N2974" s="15">
        <v>0.92473367186099831</v>
      </c>
      <c r="O2974" s="15">
        <v>0.83828640964114609</v>
      </c>
      <c r="P2974" s="15">
        <v>0.83828640964114609</v>
      </c>
      <c r="Q2974" s="8"/>
      <c r="R2974" s="9" t="s">
        <v>8178</v>
      </c>
    </row>
    <row r="2975" spans="1:18" x14ac:dyDescent="0.25">
      <c r="A2975" s="6" t="str">
        <f>HYPERLINK("proteomic_fractions_linear_files/Yang_linear_img/316659416.jpg", "316659416")</f>
        <v>316659416</v>
      </c>
      <c r="B2975" s="7"/>
      <c r="C2975" s="6" t="str">
        <f>HYPERLINK("http://www.ncbi.nlm.nih.gov/protein/316659416","Gm9839")</f>
        <v>Gm9839</v>
      </c>
      <c r="D2975" s="8"/>
      <c r="E2975" s="8">
        <v>54577</v>
      </c>
      <c r="F2975" s="8"/>
      <c r="G2975" s="15" t="s">
        <v>10</v>
      </c>
      <c r="H2975" s="15" t="s">
        <v>10</v>
      </c>
      <c r="I2975" s="15" t="s">
        <v>10</v>
      </c>
      <c r="J2975" s="15" t="s">
        <v>10</v>
      </c>
      <c r="K2975" s="15">
        <v>3.3957423934534612</v>
      </c>
      <c r="L2975" s="15">
        <v>3.3957423934534612</v>
      </c>
      <c r="M2975" s="15" t="s">
        <v>10</v>
      </c>
      <c r="N2975" s="15" t="s">
        <v>10</v>
      </c>
      <c r="O2975" s="15" t="s">
        <v>10</v>
      </c>
      <c r="P2975" s="15" t="s">
        <v>10</v>
      </c>
      <c r="Q2975" s="8"/>
      <c r="R2975" s="9" t="s">
        <v>2742</v>
      </c>
    </row>
    <row r="2976" spans="1:18" x14ac:dyDescent="0.25">
      <c r="A2976" s="6" t="str">
        <f>HYPERLINK("proteomic_fractions_linear_files/Yang_linear_img/22122523.jpg", "22122523")</f>
        <v>22122523</v>
      </c>
      <c r="B2976" s="7"/>
      <c r="C2976" s="6" t="str">
        <f>HYPERLINK("http://www.ncbi.nlm.nih.gov/protein/22122523","Gmds")</f>
        <v>Gmds</v>
      </c>
      <c r="D2976" s="8"/>
      <c r="E2976" s="8">
        <v>41854</v>
      </c>
      <c r="F2976" s="8"/>
      <c r="G2976" s="15" t="s">
        <v>10</v>
      </c>
      <c r="H2976" s="15" t="s">
        <v>10</v>
      </c>
      <c r="I2976" s="15">
        <v>0.96445995721958921</v>
      </c>
      <c r="J2976" s="15">
        <v>0.96445995721958921</v>
      </c>
      <c r="K2976" s="15">
        <v>0.96445995721958921</v>
      </c>
      <c r="L2976" s="15">
        <v>0.96445995721958921</v>
      </c>
      <c r="M2976" s="15">
        <v>0.96445995721958921</v>
      </c>
      <c r="N2976" s="15">
        <v>0.96445995721958921</v>
      </c>
      <c r="O2976" s="15">
        <v>0.82269944120179006</v>
      </c>
      <c r="P2976" s="15">
        <v>0.82269944120179006</v>
      </c>
      <c r="Q2976" s="8"/>
      <c r="R2976" s="9" t="s">
        <v>2743</v>
      </c>
    </row>
    <row r="2977" spans="1:18" x14ac:dyDescent="0.25">
      <c r="A2977" s="6" t="str">
        <f>HYPERLINK("proteomic_fractions_linear_files/Yang_linear_img/188528613.jpg", "188528613")</f>
        <v>188528613</v>
      </c>
      <c r="B2977" s="7"/>
      <c r="C2977" s="6" t="str">
        <f>HYPERLINK("http://www.ncbi.nlm.nih.gov/protein/188528613","Gmfb")</f>
        <v>Gmfb</v>
      </c>
      <c r="D2977" s="8"/>
      <c r="E2977" s="8">
        <v>16592</v>
      </c>
      <c r="F2977" s="8"/>
      <c r="G2977" s="15">
        <v>0.98332203062394252</v>
      </c>
      <c r="H2977" s="15">
        <v>0.98332203062394252</v>
      </c>
      <c r="I2977" s="15">
        <v>0.98332203062394252</v>
      </c>
      <c r="J2977" s="15">
        <v>0.98332203062394252</v>
      </c>
      <c r="K2977" s="15">
        <v>1.0335258685505275</v>
      </c>
      <c r="L2977" s="15">
        <v>1.0335258685505275</v>
      </c>
      <c r="M2977" s="15">
        <v>1.0335258685505275</v>
      </c>
      <c r="N2977" s="15">
        <v>1.0335258685505275</v>
      </c>
      <c r="O2977" s="15">
        <v>0.93690834018716329</v>
      </c>
      <c r="P2977" s="15">
        <v>0.93690834018716329</v>
      </c>
      <c r="Q2977" s="8"/>
      <c r="R2977" s="9" t="s">
        <v>2744</v>
      </c>
    </row>
    <row r="2978" spans="1:18" x14ac:dyDescent="0.25">
      <c r="A2978" s="6" t="str">
        <f>HYPERLINK("proteomic_fractions_linear_files/Yang_linear_img/11993950.jpg", "11993950")</f>
        <v>11993950</v>
      </c>
      <c r="B2978" s="7"/>
      <c r="C2978" s="6" t="str">
        <f>HYPERLINK("http://www.ncbi.nlm.nih.gov/protein/11993950","Gmfg")</f>
        <v>Gmfg</v>
      </c>
      <c r="D2978" s="8"/>
      <c r="E2978" s="8">
        <v>16617</v>
      </c>
      <c r="F2978" s="8"/>
      <c r="G2978" s="15" t="s">
        <v>10</v>
      </c>
      <c r="H2978" s="15" t="s">
        <v>10</v>
      </c>
      <c r="I2978" s="15" t="s">
        <v>10</v>
      </c>
      <c r="J2978" s="15" t="s">
        <v>10</v>
      </c>
      <c r="K2978" s="15">
        <v>1.0335258685505275</v>
      </c>
      <c r="L2978" s="15">
        <v>1.0335258685505275</v>
      </c>
      <c r="M2978" s="15">
        <v>1.0335258685505275</v>
      </c>
      <c r="N2978" s="15">
        <v>1.0335258685505275</v>
      </c>
      <c r="O2978" s="15">
        <v>0.93690834018716329</v>
      </c>
      <c r="P2978" s="15">
        <v>0.93690834018716329</v>
      </c>
      <c r="Q2978" s="8"/>
      <c r="R2978" s="9" t="s">
        <v>2745</v>
      </c>
    </row>
    <row r="2979" spans="1:18" x14ac:dyDescent="0.25">
      <c r="A2979" s="6" t="str">
        <f>HYPERLINK("proteomic_fractions_linear_files/Yang_linear_img/37674214.jpg", "37674214")</f>
        <v>37674214</v>
      </c>
      <c r="B2979" s="7"/>
      <c r="C2979" s="6" t="str">
        <f>HYPERLINK("http://www.ncbi.nlm.nih.gov/protein/37674214","Gmip")</f>
        <v>Gmip</v>
      </c>
      <c r="D2979" s="8"/>
      <c r="E2979" s="8">
        <v>107414</v>
      </c>
      <c r="F2979" s="8"/>
      <c r="G2979" s="15" t="s">
        <v>10</v>
      </c>
      <c r="H2979" s="15" t="s">
        <v>10</v>
      </c>
      <c r="I2979" s="15" t="s">
        <v>10</v>
      </c>
      <c r="J2979" s="15" t="s">
        <v>10</v>
      </c>
      <c r="K2979" s="15" t="s">
        <v>10</v>
      </c>
      <c r="L2979" s="15" t="s">
        <v>10</v>
      </c>
      <c r="M2979" s="15" t="s">
        <v>10</v>
      </c>
      <c r="N2979" s="15" t="s">
        <v>10</v>
      </c>
      <c r="O2979" s="15">
        <v>1.4341389825816995</v>
      </c>
      <c r="P2979" s="15">
        <v>1.4341389825816995</v>
      </c>
      <c r="Q2979" s="8"/>
      <c r="R2979" s="9" t="s">
        <v>2746</v>
      </c>
    </row>
    <row r="2980" spans="1:18" x14ac:dyDescent="0.25">
      <c r="A2980" s="6" t="str">
        <f>HYPERLINK("proteomic_fractions_linear_files/Yang_linear_img/19526884.jpg", "19526884")</f>
        <v>19526884</v>
      </c>
      <c r="B2980" s="7"/>
      <c r="C2980" s="6" t="str">
        <f>HYPERLINK("http://www.ncbi.nlm.nih.gov/protein/19526884","Gmppa")</f>
        <v>Gmppa</v>
      </c>
      <c r="D2980" s="8"/>
      <c r="E2980" s="8">
        <v>46113</v>
      </c>
      <c r="F2980" s="8"/>
      <c r="G2980" s="15" t="s">
        <v>10</v>
      </c>
      <c r="H2980" s="15" t="s">
        <v>10</v>
      </c>
      <c r="I2980" s="15">
        <v>0.88059387398310318</v>
      </c>
      <c r="J2980" s="15">
        <v>0.88059387398310318</v>
      </c>
      <c r="K2980" s="15">
        <v>0.95925194015142323</v>
      </c>
      <c r="L2980" s="15">
        <v>0.95925194015142323</v>
      </c>
      <c r="M2980" s="15">
        <v>0.88059387398310318</v>
      </c>
      <c r="N2980" s="15">
        <v>0.88059387398310318</v>
      </c>
      <c r="O2980" s="15">
        <v>0.81176796572009979</v>
      </c>
      <c r="P2980" s="15">
        <v>0.81176796572009979</v>
      </c>
      <c r="Q2980" s="8"/>
      <c r="R2980" s="9" t="s">
        <v>2747</v>
      </c>
    </row>
    <row r="2981" spans="1:18" x14ac:dyDescent="0.25">
      <c r="A2981" s="6" t="str">
        <f>HYPERLINK("proteomic_fractions_linear_files/Yang_linear_img/29244556.jpg", "29244556")</f>
        <v>29244556</v>
      </c>
      <c r="B2981" s="7"/>
      <c r="C2981" s="6" t="str">
        <f>HYPERLINK("http://www.ncbi.nlm.nih.gov/protein/29244556","Gmppb")</f>
        <v>Gmppb</v>
      </c>
      <c r="D2981" s="8"/>
      <c r="E2981" s="8">
        <v>39786</v>
      </c>
      <c r="F2981" s="8"/>
      <c r="G2981" s="15" t="s">
        <v>10</v>
      </c>
      <c r="H2981" s="15" t="s">
        <v>10</v>
      </c>
      <c r="I2981" s="15">
        <v>0.93353316057811475</v>
      </c>
      <c r="J2981" s="15">
        <v>0.93353316057811475</v>
      </c>
      <c r="K2981" s="15">
        <v>1.0126829550805687</v>
      </c>
      <c r="L2981" s="15">
        <v>1.0126829550805687</v>
      </c>
      <c r="M2981" s="15">
        <v>0.93353316057811475</v>
      </c>
      <c r="N2981" s="15">
        <v>0.93353316057811475</v>
      </c>
      <c r="O2981" s="15">
        <v>0.8638344132618796</v>
      </c>
      <c r="P2981" s="15">
        <v>0.8638344132618796</v>
      </c>
      <c r="Q2981" s="8"/>
      <c r="R2981" s="9" t="s">
        <v>2748</v>
      </c>
    </row>
    <row r="2982" spans="1:18" x14ac:dyDescent="0.25">
      <c r="A2982" s="6" t="str">
        <f>HYPERLINK("proteomic_fractions_linear_files/Yang_linear_img/17975500.jpg", "17975500")</f>
        <v>17975500</v>
      </c>
      <c r="B2982" s="7"/>
      <c r="C2982" s="6" t="str">
        <f>HYPERLINK("http://www.ncbi.nlm.nih.gov/protein/17975500","Gmpr")</f>
        <v>Gmpr</v>
      </c>
      <c r="D2982" s="8"/>
      <c r="E2982" s="8">
        <v>37351</v>
      </c>
      <c r="F2982" s="8"/>
      <c r="G2982" s="15">
        <v>0.30536862696230305</v>
      </c>
      <c r="H2982" s="15">
        <v>0.30536862696230305</v>
      </c>
      <c r="I2982" s="15" t="s">
        <v>10</v>
      </c>
      <c r="J2982" s="15" t="s">
        <v>10</v>
      </c>
      <c r="K2982" s="15">
        <v>1.0092250384628267</v>
      </c>
      <c r="L2982" s="15">
        <v>1.0092250384628267</v>
      </c>
      <c r="M2982" s="15">
        <v>1.0092250384628267</v>
      </c>
      <c r="N2982" s="15">
        <v>1.0092250384628267</v>
      </c>
      <c r="O2982" s="15">
        <v>0.86713710420901591</v>
      </c>
      <c r="P2982" s="15">
        <v>0.86713710420901591</v>
      </c>
      <c r="Q2982" s="8"/>
      <c r="R2982" s="9" t="s">
        <v>2749</v>
      </c>
    </row>
    <row r="2983" spans="1:18" x14ac:dyDescent="0.25">
      <c r="A2983" s="6" t="str">
        <f>HYPERLINK("proteomic_fractions_linear_files/Yang_linear_img/29568082.jpg", "29568082")</f>
        <v>29568082</v>
      </c>
      <c r="B2983" s="7"/>
      <c r="C2983" s="6" t="str">
        <f>HYPERLINK("http://www.ncbi.nlm.nih.gov/protein/29568082","Gmpr2")</f>
        <v>Gmpr2</v>
      </c>
      <c r="D2983" s="8"/>
      <c r="E2983" s="8">
        <v>37888</v>
      </c>
      <c r="F2983" s="8"/>
      <c r="G2983" s="15">
        <v>0.29733261046329512</v>
      </c>
      <c r="H2983" s="15">
        <v>0.29733261046329512</v>
      </c>
      <c r="I2983" s="15" t="s">
        <v>10</v>
      </c>
      <c r="J2983" s="15" t="s">
        <v>10</v>
      </c>
      <c r="K2983" s="15">
        <v>0.30923462173220095</v>
      </c>
      <c r="L2983" s="15">
        <v>0.30923462173220095</v>
      </c>
      <c r="M2983" s="15">
        <v>0.98266648481906815</v>
      </c>
      <c r="N2983" s="15">
        <v>0.98266648481906815</v>
      </c>
      <c r="O2983" s="15">
        <v>0.90929938238092589</v>
      </c>
      <c r="P2983" s="15">
        <v>0.90929938238092589</v>
      </c>
      <c r="Q2983" s="8"/>
      <c r="R2983" s="9" t="s">
        <v>2750</v>
      </c>
    </row>
    <row r="2984" spans="1:18" x14ac:dyDescent="0.25">
      <c r="A2984" s="6" t="str">
        <f>HYPERLINK("proteomic_fractions_linear_files/Yang_linear_img/85861218.jpg", "85861218")</f>
        <v>85861218</v>
      </c>
      <c r="B2984" s="7"/>
      <c r="C2984" s="6" t="str">
        <f>HYPERLINK("http://www.ncbi.nlm.nih.gov/protein/85861218","Gmps")</f>
        <v>Gmps</v>
      </c>
      <c r="D2984" s="8"/>
      <c r="E2984" s="8">
        <v>76593</v>
      </c>
      <c r="F2984" s="8"/>
      <c r="G2984" s="15">
        <v>1.2333504049686299</v>
      </c>
      <c r="H2984" s="15">
        <v>1.2333504049686299</v>
      </c>
      <c r="I2984" s="15">
        <v>0.95371636677509408</v>
      </c>
      <c r="J2984" s="15">
        <v>0.95371636677509408</v>
      </c>
      <c r="K2984" s="15">
        <v>1.079203356794076</v>
      </c>
      <c r="L2984" s="15">
        <v>1.079203356794076</v>
      </c>
      <c r="M2984" s="15">
        <v>1.079203356794076</v>
      </c>
      <c r="N2984" s="15">
        <v>1.079203356794076</v>
      </c>
      <c r="O2984" s="15">
        <v>0.95371636677509408</v>
      </c>
      <c r="P2984" s="15">
        <v>0.95371636677509408</v>
      </c>
      <c r="Q2984" s="8"/>
      <c r="R2984" s="9" t="s">
        <v>2751</v>
      </c>
    </row>
    <row r="2985" spans="1:18" x14ac:dyDescent="0.25">
      <c r="A2985" s="6" t="str">
        <f>HYPERLINK("proteomic_fractions_linear_files/Yang_linear_img/6754004.jpg", "6754004")</f>
        <v>6754004</v>
      </c>
      <c r="B2985" s="7"/>
      <c r="C2985" s="6" t="str">
        <f>HYPERLINK("http://www.ncbi.nlm.nih.gov/protein/6754004","Gna11")</f>
        <v>Gna11</v>
      </c>
      <c r="D2985" s="8"/>
      <c r="E2985" s="8">
        <v>41893</v>
      </c>
      <c r="F2985" s="8"/>
      <c r="G2985" s="15">
        <v>1.2647754673809781</v>
      </c>
      <c r="H2985" s="15">
        <v>1.2647754673809781</v>
      </c>
      <c r="I2985" s="15">
        <v>0.88907920055058554</v>
      </c>
      <c r="J2985" s="15">
        <v>0.88907920055058554</v>
      </c>
      <c r="K2985" s="15">
        <v>0.96445995721958921</v>
      </c>
      <c r="L2985" s="15">
        <v>0.96445995721958921</v>
      </c>
      <c r="M2985" s="15">
        <v>0.88907920055058554</v>
      </c>
      <c r="N2985" s="15">
        <v>0.88907920055058554</v>
      </c>
      <c r="O2985" s="15">
        <v>0.82269944120179006</v>
      </c>
      <c r="P2985" s="15">
        <v>0.82269944120179006</v>
      </c>
      <c r="Q2985" s="8"/>
      <c r="R2985" s="9" t="s">
        <v>2752</v>
      </c>
    </row>
    <row r="2986" spans="1:18" x14ac:dyDescent="0.25">
      <c r="A2986" s="6" t="str">
        <f>HYPERLINK("proteomic_fractions_linear_files/Yang_linear_img/6754006.jpg", "6754006")</f>
        <v>6754006</v>
      </c>
      <c r="B2986" s="7"/>
      <c r="C2986" s="6" t="str">
        <f>HYPERLINK("http://www.ncbi.nlm.nih.gov/protein/6754006","Gna12")</f>
        <v>Gna12</v>
      </c>
      <c r="D2986" s="8"/>
      <c r="E2986" s="8">
        <v>43964</v>
      </c>
      <c r="F2986" s="8"/>
      <c r="G2986" s="15">
        <v>1.0028543010673969</v>
      </c>
      <c r="H2986" s="15">
        <v>1.0028543010673969</v>
      </c>
      <c r="I2986" s="15">
        <v>1.0974994451003466</v>
      </c>
      <c r="J2986" s="15">
        <v>1.0974994451003466</v>
      </c>
      <c r="K2986" s="15">
        <v>0.9206208682550624</v>
      </c>
      <c r="L2986" s="15">
        <v>0.9206208682550624</v>
      </c>
      <c r="M2986" s="15">
        <v>0.30220600052276214</v>
      </c>
      <c r="N2986" s="15">
        <v>0.30220600052276214</v>
      </c>
      <c r="O2986" s="15">
        <v>0.78530401205625422</v>
      </c>
      <c r="P2986" s="15">
        <v>0.78530401205625422</v>
      </c>
      <c r="Q2986" s="8"/>
      <c r="R2986" s="9" t="s">
        <v>2753</v>
      </c>
    </row>
    <row r="2987" spans="1:18" x14ac:dyDescent="0.25">
      <c r="A2987" s="6" t="str">
        <f>HYPERLINK("proteomic_fractions_linear_files/Yang_linear_img/89001109.jpg", "89001109")</f>
        <v>89001109</v>
      </c>
      <c r="B2987" s="7"/>
      <c r="C2987" s="6" t="str">
        <f>HYPERLINK("http://www.ncbi.nlm.nih.gov/protein/89001109","Gna13")</f>
        <v>Gna13</v>
      </c>
      <c r="D2987" s="8"/>
      <c r="E2987" s="8">
        <v>43924</v>
      </c>
      <c r="F2987" s="8"/>
      <c r="G2987" s="15">
        <v>1.0028543010673969</v>
      </c>
      <c r="H2987" s="15">
        <v>1.0028543010673969</v>
      </c>
      <c r="I2987" s="15">
        <v>1.0974994451003466</v>
      </c>
      <c r="J2987" s="15">
        <v>1.0974994451003466</v>
      </c>
      <c r="K2987" s="15">
        <v>0.9206208682550624</v>
      </c>
      <c r="L2987" s="15">
        <v>0.9206208682550624</v>
      </c>
      <c r="M2987" s="15">
        <v>0.30220600052276214</v>
      </c>
      <c r="N2987" s="15">
        <v>0.30220600052276214</v>
      </c>
      <c r="O2987" s="15">
        <v>0.78530401205625422</v>
      </c>
      <c r="P2987" s="15">
        <v>0.78530401205625422</v>
      </c>
      <c r="Q2987" s="8"/>
      <c r="R2987" s="9" t="s">
        <v>2754</v>
      </c>
    </row>
    <row r="2988" spans="1:18" x14ac:dyDescent="0.25">
      <c r="A2988" s="6" t="str">
        <f>HYPERLINK("proteomic_fractions_linear_files/Yang_linear_img/160298199.jpg", "160298199")</f>
        <v>160298199</v>
      </c>
      <c r="B2988" s="7"/>
      <c r="C2988" s="6" t="str">
        <f>HYPERLINK("http://www.ncbi.nlm.nih.gov/protein/160298199","Gna14")</f>
        <v>Gna14</v>
      </c>
      <c r="D2988" s="8"/>
      <c r="E2988" s="8">
        <v>41397</v>
      </c>
      <c r="F2988" s="8"/>
      <c r="G2988" s="15" t="s">
        <v>10</v>
      </c>
      <c r="H2988" s="15" t="s">
        <v>10</v>
      </c>
      <c r="I2988" s="15" t="s">
        <v>10</v>
      </c>
      <c r="J2988" s="15" t="s">
        <v>10</v>
      </c>
      <c r="K2988" s="15">
        <v>0.98798337081031085</v>
      </c>
      <c r="L2988" s="15">
        <v>0.98798337081031085</v>
      </c>
      <c r="M2988" s="15" t="s">
        <v>10</v>
      </c>
      <c r="N2988" s="15" t="s">
        <v>10</v>
      </c>
      <c r="O2988" s="15" t="s">
        <v>10</v>
      </c>
      <c r="P2988" s="15" t="s">
        <v>10</v>
      </c>
      <c r="Q2988" s="8"/>
      <c r="R2988" s="9" t="s">
        <v>2755</v>
      </c>
    </row>
    <row r="2989" spans="1:18" x14ac:dyDescent="0.25">
      <c r="A2989" s="6" t="str">
        <f>HYPERLINK("proteomic_fractions_linear_files/Yang_linear_img/74271899.jpg", "74271899")</f>
        <v>74271899</v>
      </c>
      <c r="B2989" s="7"/>
      <c r="C2989" s="6" t="str">
        <f>HYPERLINK("http://www.ncbi.nlm.nih.gov/protein/74271899","Gnai1")</f>
        <v>Gnai1</v>
      </c>
      <c r="D2989" s="8"/>
      <c r="E2989" s="8">
        <v>40230</v>
      </c>
      <c r="F2989" s="8"/>
      <c r="G2989" s="15">
        <v>0.8638344132618796</v>
      </c>
      <c r="H2989" s="15">
        <v>0.8638344132618796</v>
      </c>
      <c r="I2989" s="15">
        <v>1.2072493896103813</v>
      </c>
      <c r="J2989" s="15">
        <v>1.2072493896103813</v>
      </c>
      <c r="K2989" s="15">
        <v>1.0126829550805687</v>
      </c>
      <c r="L2989" s="15">
        <v>1.0126829550805687</v>
      </c>
      <c r="M2989" s="15">
        <v>0.93353316057811475</v>
      </c>
      <c r="N2989" s="15">
        <v>0.93353316057811475</v>
      </c>
      <c r="O2989" s="15">
        <v>0.8638344132618796</v>
      </c>
      <c r="P2989" s="15">
        <v>0.8638344132618796</v>
      </c>
      <c r="Q2989" s="8"/>
      <c r="R2989" s="9" t="s">
        <v>2756</v>
      </c>
    </row>
    <row r="2990" spans="1:18" x14ac:dyDescent="0.25">
      <c r="A2990" s="6" t="str">
        <f>HYPERLINK("proteomic_fractions_linear_files/Yang_linear_img/41054806.jpg", "41054806")</f>
        <v>41054806</v>
      </c>
      <c r="B2990" s="7"/>
      <c r="C2990" s="6" t="str">
        <f>HYPERLINK("http://www.ncbi.nlm.nih.gov/protein/41054806","Gnai2")</f>
        <v>Gnai2</v>
      </c>
      <c r="D2990" s="8"/>
      <c r="E2990" s="8">
        <v>40358</v>
      </c>
      <c r="F2990" s="8"/>
      <c r="G2990" s="15">
        <v>1.2072493896103813</v>
      </c>
      <c r="H2990" s="15">
        <v>0.8638344132618796</v>
      </c>
      <c r="I2990" s="15">
        <v>1.2072493896103813</v>
      </c>
      <c r="J2990" s="15">
        <v>1.2072493896103813</v>
      </c>
      <c r="K2990" s="15">
        <v>1.0126829550805687</v>
      </c>
      <c r="L2990" s="15">
        <v>1.0126829550805687</v>
      </c>
      <c r="M2990" s="15">
        <v>0.93353316057811475</v>
      </c>
      <c r="N2990" s="15">
        <v>0.93353316057811475</v>
      </c>
      <c r="O2990" s="15">
        <v>0.8638344132618796</v>
      </c>
      <c r="P2990" s="15">
        <v>0.8638344132618796</v>
      </c>
      <c r="Q2990" s="8"/>
      <c r="R2990" s="9" t="s">
        <v>2757</v>
      </c>
    </row>
    <row r="2991" spans="1:18" x14ac:dyDescent="0.25">
      <c r="A2991" s="6" t="str">
        <f>HYPERLINK("proteomic_fractions_linear_files/Yang_linear_img/33563256.jpg", "33563256")</f>
        <v>33563256</v>
      </c>
      <c r="B2991" s="7"/>
      <c r="C2991" s="6" t="str">
        <f>HYPERLINK("http://www.ncbi.nlm.nih.gov/protein/33563256","Gnai3")</f>
        <v>Gnai3</v>
      </c>
      <c r="D2991" s="8"/>
      <c r="E2991" s="8">
        <v>40407</v>
      </c>
      <c r="F2991" s="8"/>
      <c r="G2991" s="15">
        <v>0.8638344132618796</v>
      </c>
      <c r="H2991" s="15">
        <v>0.8638344132618796</v>
      </c>
      <c r="I2991" s="15">
        <v>1.2072493896103813</v>
      </c>
      <c r="J2991" s="15">
        <v>1.2072493896103813</v>
      </c>
      <c r="K2991" s="15">
        <v>1.0126829550805687</v>
      </c>
      <c r="L2991" s="15">
        <v>1.0126829550805687</v>
      </c>
      <c r="M2991" s="15">
        <v>0.93353316057811475</v>
      </c>
      <c r="N2991" s="15">
        <v>0.93353316057811475</v>
      </c>
      <c r="O2991" s="15">
        <v>0.8638344132618796</v>
      </c>
      <c r="P2991" s="15">
        <v>0.8638344132618796</v>
      </c>
      <c r="Q2991" s="8"/>
      <c r="R2991" s="9" t="s">
        <v>2758</v>
      </c>
    </row>
    <row r="2992" spans="1:18" x14ac:dyDescent="0.25">
      <c r="A2992" s="6" t="str">
        <f>HYPERLINK("proteomic_fractions_linear_files/Yang_linear_img/47271350.jpg", "47271350")</f>
        <v>47271350</v>
      </c>
      <c r="B2992" s="7"/>
      <c r="C2992" s="6" t="str">
        <f>HYPERLINK("http://www.ncbi.nlm.nih.gov/protein/47271350","Gnal")</f>
        <v>Gnal</v>
      </c>
      <c r="D2992" s="8"/>
      <c r="E2992" s="8">
        <v>44178</v>
      </c>
      <c r="F2992" s="8"/>
      <c r="G2992" s="15">
        <v>1.0028543010673969</v>
      </c>
      <c r="H2992" s="15">
        <v>1.0028543010673969</v>
      </c>
      <c r="I2992" s="15">
        <v>1.0974994451003466</v>
      </c>
      <c r="J2992" s="15">
        <v>1.0974994451003466</v>
      </c>
      <c r="K2992" s="15">
        <v>0.9206208682550624</v>
      </c>
      <c r="L2992" s="15">
        <v>0.9206208682550624</v>
      </c>
      <c r="M2992" s="15">
        <v>0.30220600052276214</v>
      </c>
      <c r="N2992" s="15">
        <v>0.30220600052276214</v>
      </c>
      <c r="O2992" s="15">
        <v>0.78530401205625422</v>
      </c>
      <c r="P2992" s="15">
        <v>0.78530401205625422</v>
      </c>
      <c r="Q2992" s="8"/>
      <c r="R2992" s="9" t="s">
        <v>2759</v>
      </c>
    </row>
    <row r="2993" spans="1:18" x14ac:dyDescent="0.25">
      <c r="A2993" s="6" t="str">
        <f>HYPERLINK("proteomic_fractions_linear_files/Yang_linear_img/84000001.jpg", "84000001")</f>
        <v>84000001</v>
      </c>
      <c r="B2993" s="7"/>
      <c r="C2993" s="6" t="str">
        <f>HYPERLINK("http://www.ncbi.nlm.nih.gov/protein/84000001","Gnal")</f>
        <v>Gnal</v>
      </c>
      <c r="D2993" s="8"/>
      <c r="E2993" s="8">
        <v>51226</v>
      </c>
      <c r="F2993" s="8"/>
      <c r="G2993" s="15">
        <v>0.86520763229344055</v>
      </c>
      <c r="H2993" s="15">
        <v>0.86520763229344055</v>
      </c>
      <c r="I2993" s="15">
        <v>0.94686226636108339</v>
      </c>
      <c r="J2993" s="15">
        <v>0.94686226636108339</v>
      </c>
      <c r="K2993" s="15">
        <v>0.79426114123966163</v>
      </c>
      <c r="L2993" s="15">
        <v>0.79426114123966163</v>
      </c>
      <c r="M2993" s="15">
        <v>0.26072674554904968</v>
      </c>
      <c r="N2993" s="15">
        <v>0.26072674554904968</v>
      </c>
      <c r="O2993" s="15">
        <v>0.67751718687206242</v>
      </c>
      <c r="P2993" s="15">
        <v>0.67751718687206242</v>
      </c>
      <c r="Q2993" s="8"/>
      <c r="R2993" s="9" t="s">
        <v>2760</v>
      </c>
    </row>
    <row r="2994" spans="1:18" x14ac:dyDescent="0.25">
      <c r="A2994" s="6" t="str">
        <f>HYPERLINK("proteomic_fractions_linear_files/Yang_linear_img/164607137.jpg", "164607137")</f>
        <v>164607137</v>
      </c>
      <c r="B2994" s="7"/>
      <c r="C2994" s="6" t="str">
        <f>HYPERLINK("http://www.ncbi.nlm.nih.gov/protein/164607137","Gnao1")</f>
        <v>Gnao1</v>
      </c>
      <c r="D2994" s="8"/>
      <c r="E2994" s="8">
        <v>39905</v>
      </c>
      <c r="F2994" s="8"/>
      <c r="G2994" s="15">
        <v>0.8638344132618796</v>
      </c>
      <c r="H2994" s="15">
        <v>0.8638344132618796</v>
      </c>
      <c r="I2994" s="15">
        <v>1.2072493896103813</v>
      </c>
      <c r="J2994" s="15">
        <v>1.2072493896103813</v>
      </c>
      <c r="K2994" s="15">
        <v>1.0126829550805687</v>
      </c>
      <c r="L2994" s="15">
        <v>1.0126829550805687</v>
      </c>
      <c r="M2994" s="15">
        <v>0.93353316057811475</v>
      </c>
      <c r="N2994" s="15">
        <v>0.93353316057811475</v>
      </c>
      <c r="O2994" s="15">
        <v>0.8638344132618796</v>
      </c>
      <c r="P2994" s="15">
        <v>0.8638344132618796</v>
      </c>
      <c r="Q2994" s="8"/>
      <c r="R2994" s="9" t="s">
        <v>2761</v>
      </c>
    </row>
    <row r="2995" spans="1:18" x14ac:dyDescent="0.25">
      <c r="A2995" s="6" t="str">
        <f>HYPERLINK("proteomic_fractions_linear_files/Yang_linear_img/6754012.jpg", "6754012")</f>
        <v>6754012</v>
      </c>
      <c r="B2995" s="7"/>
      <c r="C2995" s="6" t="str">
        <f>HYPERLINK("http://www.ncbi.nlm.nih.gov/protein/6754012","Gnao1")</f>
        <v>Gnao1</v>
      </c>
      <c r="D2995" s="8"/>
      <c r="E2995" s="8">
        <v>39954</v>
      </c>
      <c r="F2995" s="8"/>
      <c r="G2995" s="15">
        <v>1.1031397311741367</v>
      </c>
      <c r="H2995" s="15">
        <v>1.1031397311741367</v>
      </c>
      <c r="I2995" s="15">
        <v>1.2072493896103813</v>
      </c>
      <c r="J2995" s="15">
        <v>1.2072493896103813</v>
      </c>
      <c r="K2995" s="15">
        <v>1.0126829550805687</v>
      </c>
      <c r="L2995" s="15">
        <v>1.0126829550805687</v>
      </c>
      <c r="M2995" s="15">
        <v>0.93353316057811475</v>
      </c>
      <c r="N2995" s="15">
        <v>0.93353316057811475</v>
      </c>
      <c r="O2995" s="15">
        <v>0.8638344132618796</v>
      </c>
      <c r="P2995" s="15">
        <v>0.8638344132618796</v>
      </c>
      <c r="Q2995" s="8"/>
      <c r="R2995" s="9" t="s">
        <v>2762</v>
      </c>
    </row>
    <row r="2996" spans="1:18" x14ac:dyDescent="0.25">
      <c r="A2996" s="6" t="str">
        <f>HYPERLINK("proteomic_fractions_linear_files/Yang_linear_img/84662745.jpg", "84662745")</f>
        <v>84662745</v>
      </c>
      <c r="B2996" s="7"/>
      <c r="C2996" s="6" t="str">
        <f>HYPERLINK("http://www.ncbi.nlm.nih.gov/protein/84662745","Gnaq")</f>
        <v>Gnaq</v>
      </c>
      <c r="D2996" s="8"/>
      <c r="E2996" s="8">
        <v>42027</v>
      </c>
      <c r="F2996" s="8"/>
      <c r="G2996" s="15">
        <v>0.88907920055058554</v>
      </c>
      <c r="H2996" s="15">
        <v>0.88907920055058554</v>
      </c>
      <c r="I2996" s="15">
        <v>0.88907920055058554</v>
      </c>
      <c r="J2996" s="15">
        <v>0.88907920055058554</v>
      </c>
      <c r="K2996" s="15">
        <v>0.96445995721958921</v>
      </c>
      <c r="L2996" s="15">
        <v>0.96445995721958921</v>
      </c>
      <c r="M2996" s="15">
        <v>0.88907920055058554</v>
      </c>
      <c r="N2996" s="15">
        <v>0.88907920055058554</v>
      </c>
      <c r="O2996" s="15" t="s">
        <v>10</v>
      </c>
      <c r="P2996" s="15" t="s">
        <v>10</v>
      </c>
      <c r="Q2996" s="8"/>
      <c r="R2996" s="9" t="s">
        <v>2763</v>
      </c>
    </row>
    <row r="2997" spans="1:18" x14ac:dyDescent="0.25">
      <c r="A2997" s="6" t="str">
        <f>HYPERLINK("proteomic_fractions_linear_files/Yang_linear_img/117959921.jpg", "117959921")</f>
        <v>117959921</v>
      </c>
      <c r="B2997" s="7"/>
      <c r="C2997" s="6" t="str">
        <f>HYPERLINK("http://www.ncbi.nlm.nih.gov/protein/117959921","Gnas")</f>
        <v>Gnas</v>
      </c>
      <c r="D2997" s="8"/>
      <c r="E2997" s="8">
        <v>119976</v>
      </c>
      <c r="F2997" s="8"/>
      <c r="G2997" s="15">
        <v>0.36771324372471226</v>
      </c>
      <c r="H2997" s="15">
        <v>0.36771324372471226</v>
      </c>
      <c r="I2997" s="15">
        <v>0.40241646320346042</v>
      </c>
      <c r="J2997" s="15">
        <v>0.40241646320346042</v>
      </c>
      <c r="K2997" s="15">
        <v>0.40241646320346042</v>
      </c>
      <c r="L2997" s="15">
        <v>0.40241646320346042</v>
      </c>
      <c r="M2997" s="15">
        <v>0.33756098502685622</v>
      </c>
      <c r="N2997" s="15">
        <v>0.33756098502685622</v>
      </c>
      <c r="O2997" s="15">
        <v>0.28794480442062653</v>
      </c>
      <c r="P2997" s="15">
        <v>0.28794480442062653</v>
      </c>
      <c r="Q2997" s="8"/>
      <c r="R2997" s="9" t="s">
        <v>2764</v>
      </c>
    </row>
    <row r="2998" spans="1:18" x14ac:dyDescent="0.25">
      <c r="A2998" s="6" t="str">
        <f>HYPERLINK("proteomic_fractions_linear_files/Yang_linear_img/117959928.jpg", "117959928")</f>
        <v>117959928</v>
      </c>
      <c r="B2998" s="7"/>
      <c r="C2998" s="6" t="str">
        <f>HYPERLINK("http://www.ncbi.nlm.nih.gov/protein/117959928","Gnas")</f>
        <v>Gnas</v>
      </c>
      <c r="D2998" s="8"/>
      <c r="E2998" s="8">
        <v>44134</v>
      </c>
      <c r="F2998" s="8"/>
      <c r="G2998" s="15">
        <v>1.0028543010673969</v>
      </c>
      <c r="H2998" s="15">
        <v>1.0028543010673969</v>
      </c>
      <c r="I2998" s="15">
        <v>1.0974994451003466</v>
      </c>
      <c r="J2998" s="15">
        <v>1.0974994451003466</v>
      </c>
      <c r="K2998" s="15">
        <v>1.0974994451003466</v>
      </c>
      <c r="L2998" s="15">
        <v>1.0974994451003466</v>
      </c>
      <c r="M2998" s="15">
        <v>0.9206208682550624</v>
      </c>
      <c r="N2998" s="15">
        <v>0.9206208682550624</v>
      </c>
      <c r="O2998" s="15">
        <v>0.78530401205625422</v>
      </c>
      <c r="P2998" s="15">
        <v>0.78530401205625422</v>
      </c>
      <c r="Q2998" s="8"/>
      <c r="R2998" s="9" t="s">
        <v>2765</v>
      </c>
    </row>
    <row r="2999" spans="1:18" x14ac:dyDescent="0.25">
      <c r="A2999" s="6" t="str">
        <f>HYPERLINK("proteomic_fractions_linear_files/Yang_linear_img/117959930.jpg", "117959930")</f>
        <v>117959930</v>
      </c>
      <c r="B2999" s="7"/>
      <c r="C2999" s="6" t="str">
        <f>HYPERLINK("http://www.ncbi.nlm.nih.gov/protein/117959930","Gnas")</f>
        <v>Gnas</v>
      </c>
      <c r="D2999" s="8"/>
      <c r="E2999" s="8">
        <v>45533</v>
      </c>
      <c r="F2999" s="8"/>
      <c r="G2999" s="15">
        <v>0.95925194015142323</v>
      </c>
      <c r="H2999" s="15">
        <v>0.95925194015142323</v>
      </c>
      <c r="I2999" s="15">
        <v>1.0497820779220708</v>
      </c>
      <c r="J2999" s="15">
        <v>1.0497820779220708</v>
      </c>
      <c r="K2999" s="15">
        <v>1.0497820779220708</v>
      </c>
      <c r="L2999" s="15">
        <v>1.0497820779220708</v>
      </c>
      <c r="M2999" s="15">
        <v>0.88059387398310318</v>
      </c>
      <c r="N2999" s="15">
        <v>0.88059387398310318</v>
      </c>
      <c r="O2999" s="15">
        <v>0.75116035935815617</v>
      </c>
      <c r="P2999" s="15">
        <v>0.75116035935815617</v>
      </c>
      <c r="Q2999" s="8"/>
      <c r="R2999" s="9" t="s">
        <v>2766</v>
      </c>
    </row>
    <row r="3000" spans="1:18" x14ac:dyDescent="0.25">
      <c r="A3000" s="6" t="str">
        <f>HYPERLINK("proteomic_fractions_linear_files/Yang_linear_img/47271396.jpg", "47271396")</f>
        <v>47271396</v>
      </c>
      <c r="B3000" s="7"/>
      <c r="C3000" s="6" t="str">
        <f>HYPERLINK("http://www.ncbi.nlm.nih.gov/protein/47271396","Gnas")</f>
        <v>Gnas</v>
      </c>
      <c r="D3000" s="8"/>
      <c r="E3000" s="8">
        <v>121375</v>
      </c>
      <c r="F3000" s="8"/>
      <c r="G3000" s="15">
        <v>0.36467429129723528</v>
      </c>
      <c r="H3000" s="15">
        <v>0.36467429129723528</v>
      </c>
      <c r="I3000" s="15">
        <v>0.39909070730921697</v>
      </c>
      <c r="J3000" s="15">
        <v>0.39909070730921697</v>
      </c>
      <c r="K3000" s="15">
        <v>0.39909070730921697</v>
      </c>
      <c r="L3000" s="15">
        <v>0.39909070730921697</v>
      </c>
      <c r="M3000" s="15">
        <v>0.33477122482002269</v>
      </c>
      <c r="N3000" s="15">
        <v>0.33477122482002269</v>
      </c>
      <c r="O3000" s="15">
        <v>0.28556509529318336</v>
      </c>
      <c r="P3000" s="15">
        <v>0.28556509529318336</v>
      </c>
      <c r="Q3000" s="8"/>
      <c r="R3000" s="9" t="s">
        <v>2767</v>
      </c>
    </row>
    <row r="3001" spans="1:18" x14ac:dyDescent="0.25">
      <c r="A3001" s="6" t="str">
        <f>HYPERLINK("proteomic_fractions_linear_files/Yang_linear_img/6680041.jpg", "6680041")</f>
        <v>6680041</v>
      </c>
      <c r="B3001" s="7"/>
      <c r="C3001" s="6" t="str">
        <f>HYPERLINK("http://www.ncbi.nlm.nih.gov/protein/6680041","Gnat1")</f>
        <v>Gnat1</v>
      </c>
      <c r="D3001" s="8"/>
      <c r="E3001" s="8">
        <v>39836</v>
      </c>
      <c r="F3001" s="8"/>
      <c r="G3001" s="15">
        <v>1.1031397311741367</v>
      </c>
      <c r="H3001" s="15">
        <v>1.1031397311741367</v>
      </c>
      <c r="I3001" s="15">
        <v>1.2072493896103813</v>
      </c>
      <c r="J3001" s="15">
        <v>1.2072493896103813</v>
      </c>
      <c r="K3001" s="15">
        <v>1.0126829550805687</v>
      </c>
      <c r="L3001" s="15">
        <v>1.0126829550805687</v>
      </c>
      <c r="M3001" s="15">
        <v>0.93353316057811475</v>
      </c>
      <c r="N3001" s="15">
        <v>0.93353316057811475</v>
      </c>
      <c r="O3001" s="15">
        <v>0.8638344132618796</v>
      </c>
      <c r="P3001" s="15">
        <v>0.8638344132618796</v>
      </c>
      <c r="Q3001" s="8"/>
      <c r="R3001" s="9" t="s">
        <v>2768</v>
      </c>
    </row>
    <row r="3002" spans="1:18" x14ac:dyDescent="0.25">
      <c r="A3002" s="6" t="str">
        <f>HYPERLINK("proteomic_fractions_linear_files/Yang_linear_img/6680043.jpg", "6680043")</f>
        <v>6680043</v>
      </c>
      <c r="B3002" s="7"/>
      <c r="C3002" s="6" t="str">
        <f>HYPERLINK("http://www.ncbi.nlm.nih.gov/protein/6680043","Gnat2")</f>
        <v>Gnat2</v>
      </c>
      <c r="D3002" s="8"/>
      <c r="E3002" s="8">
        <v>39987</v>
      </c>
      <c r="F3002" s="8"/>
      <c r="G3002" s="15">
        <v>1.1031397311741367</v>
      </c>
      <c r="H3002" s="15">
        <v>1.1031397311741367</v>
      </c>
      <c r="I3002" s="15">
        <v>1.2072493896103813</v>
      </c>
      <c r="J3002" s="15">
        <v>1.2072493896103813</v>
      </c>
      <c r="K3002" s="15">
        <v>1.0126829550805687</v>
      </c>
      <c r="L3002" s="15">
        <v>1.0126829550805687</v>
      </c>
      <c r="M3002" s="15">
        <v>0.93353316057811475</v>
      </c>
      <c r="N3002" s="15">
        <v>0.93353316057811475</v>
      </c>
      <c r="O3002" s="15">
        <v>0.8638344132618796</v>
      </c>
      <c r="P3002" s="15">
        <v>0.8638344132618796</v>
      </c>
      <c r="Q3002" s="8"/>
      <c r="R3002" s="9" t="s">
        <v>2769</v>
      </c>
    </row>
    <row r="3003" spans="1:18" x14ac:dyDescent="0.25">
      <c r="A3003" s="6" t="str">
        <f>HYPERLINK("proteomic_fractions_linear_files/Yang_linear_img/124487259.jpg", "124487259")</f>
        <v>124487259</v>
      </c>
      <c r="B3003" s="7"/>
      <c r="C3003" s="6" t="str">
        <f>HYPERLINK("http://www.ncbi.nlm.nih.gov/protein/124487259","Gnat3")</f>
        <v>Gnat3</v>
      </c>
      <c r="D3003" s="8"/>
      <c r="E3003" s="8">
        <v>40185</v>
      </c>
      <c r="F3003" s="8"/>
      <c r="G3003" s="15">
        <v>1.1031397311741367</v>
      </c>
      <c r="H3003" s="15">
        <v>1.1031397311741367</v>
      </c>
      <c r="I3003" s="15">
        <v>1.2072493896103813</v>
      </c>
      <c r="J3003" s="15">
        <v>1.2072493896103813</v>
      </c>
      <c r="K3003" s="15">
        <v>1.0126829550805687</v>
      </c>
      <c r="L3003" s="15">
        <v>1.0126829550805687</v>
      </c>
      <c r="M3003" s="15">
        <v>0.93353316057811475</v>
      </c>
      <c r="N3003" s="15">
        <v>0.93353316057811475</v>
      </c>
      <c r="O3003" s="15">
        <v>0.8638344132618796</v>
      </c>
      <c r="P3003" s="15">
        <v>0.8638344132618796</v>
      </c>
      <c r="Q3003" s="8"/>
      <c r="R3003" s="9" t="s">
        <v>2770</v>
      </c>
    </row>
    <row r="3004" spans="1:18" x14ac:dyDescent="0.25">
      <c r="A3004" s="6" t="str">
        <f>HYPERLINK("proteomic_fractions_linear_files/Yang_linear_img/27532946.jpg", "27532946")</f>
        <v>27532946</v>
      </c>
      <c r="B3004" s="7"/>
      <c r="C3004" s="6" t="str">
        <f>HYPERLINK("http://www.ncbi.nlm.nih.gov/protein/27532946","Gnaz")</f>
        <v>Gnaz</v>
      </c>
      <c r="D3004" s="8"/>
      <c r="E3004" s="8">
        <v>40719</v>
      </c>
      <c r="F3004" s="8"/>
      <c r="G3004" s="15" t="s">
        <v>10</v>
      </c>
      <c r="H3004" s="15" t="s">
        <v>10</v>
      </c>
      <c r="I3004" s="15" t="s">
        <v>10</v>
      </c>
      <c r="J3004" s="15" t="s">
        <v>10</v>
      </c>
      <c r="K3004" s="15">
        <v>0.98798337081031085</v>
      </c>
      <c r="L3004" s="15">
        <v>0.98798337081031085</v>
      </c>
      <c r="M3004" s="15" t="s">
        <v>10</v>
      </c>
      <c r="N3004" s="15" t="s">
        <v>10</v>
      </c>
      <c r="O3004" s="15" t="s">
        <v>10</v>
      </c>
      <c r="P3004" s="15" t="s">
        <v>10</v>
      </c>
      <c r="Q3004" s="8"/>
      <c r="R3004" s="9" t="s">
        <v>2771</v>
      </c>
    </row>
    <row r="3005" spans="1:18" x14ac:dyDescent="0.25">
      <c r="A3005" s="6" t="str">
        <f>HYPERLINK("proteomic_fractions_linear_files/Yang_linear_img/6680045.jpg", "6680045")</f>
        <v>6680045</v>
      </c>
      <c r="B3005" s="7"/>
      <c r="C3005" s="6" t="str">
        <f>HYPERLINK("http://www.ncbi.nlm.nih.gov/protein/6680045","Gnb1")</f>
        <v>Gnb1</v>
      </c>
      <c r="D3005" s="8"/>
      <c r="E3005" s="8">
        <v>37246</v>
      </c>
      <c r="F3005" s="8"/>
      <c r="G3005" s="15">
        <v>0.80771369977603058</v>
      </c>
      <c r="H3005" s="15">
        <v>1.1925834931612289</v>
      </c>
      <c r="I3005" s="15">
        <v>0.86713710420901591</v>
      </c>
      <c r="J3005" s="15">
        <v>0.86713710420901591</v>
      </c>
      <c r="K3005" s="15">
        <v>0.86713710420901591</v>
      </c>
      <c r="L3005" s="15">
        <v>0.86713710420901591</v>
      </c>
      <c r="M3005" s="15">
        <v>0.86713710420901591</v>
      </c>
      <c r="N3005" s="15">
        <v>0.86713710420901591</v>
      </c>
      <c r="O3005" s="15">
        <v>0.75454625128870434</v>
      </c>
      <c r="P3005" s="15">
        <v>0.75454625128870434</v>
      </c>
      <c r="Q3005" s="8"/>
      <c r="R3005" s="9" t="s">
        <v>2772</v>
      </c>
    </row>
    <row r="3006" spans="1:18" x14ac:dyDescent="0.25">
      <c r="A3006" s="6" t="str">
        <f>HYPERLINK("proteomic_fractions_linear_files/Yang_linear_img/13937391.jpg", "13937391")</f>
        <v>13937391</v>
      </c>
      <c r="B3006" s="7"/>
      <c r="C3006" s="6" t="str">
        <f>HYPERLINK("http://www.ncbi.nlm.nih.gov/protein/13937391","Gnb2")</f>
        <v>Gnb2</v>
      </c>
      <c r="D3006" s="8"/>
      <c r="E3006" s="8">
        <v>37200</v>
      </c>
      <c r="F3006" s="8"/>
      <c r="G3006" s="15">
        <v>0.80771369977603058</v>
      </c>
      <c r="H3006" s="15">
        <v>0.80771369977603058</v>
      </c>
      <c r="I3006" s="15">
        <v>0.86713710420901591</v>
      </c>
      <c r="J3006" s="15">
        <v>0.86713710420901591</v>
      </c>
      <c r="K3006" s="15">
        <v>0.86713710420901591</v>
      </c>
      <c r="L3006" s="15">
        <v>0.86713710420901591</v>
      </c>
      <c r="M3006" s="15">
        <v>0.86713710420901591</v>
      </c>
      <c r="N3006" s="15">
        <v>0.86713710420901591</v>
      </c>
      <c r="O3006" s="15">
        <v>0.75454625128870434</v>
      </c>
      <c r="P3006" s="15">
        <v>0.75454625128870434</v>
      </c>
      <c r="Q3006" s="8"/>
      <c r="R3006" s="9" t="s">
        <v>2773</v>
      </c>
    </row>
    <row r="3007" spans="1:18" x14ac:dyDescent="0.25">
      <c r="A3007" s="6" t="str">
        <f>HYPERLINK("proteomic_fractions_linear_files/Yang_linear_img/6680047.jpg", "6680047")</f>
        <v>6680047</v>
      </c>
      <c r="B3007" s="7"/>
      <c r="C3007" s="6" t="str">
        <f>HYPERLINK("http://www.ncbi.nlm.nih.gov/protein/6680047","Gnb2l1")</f>
        <v>Gnb2l1</v>
      </c>
      <c r="D3007" s="8"/>
      <c r="E3007" s="8">
        <v>34946</v>
      </c>
      <c r="F3007" s="8"/>
      <c r="G3007" s="15">
        <v>1.1573519486635071</v>
      </c>
      <c r="H3007" s="15">
        <v>1.1573519486635071</v>
      </c>
      <c r="I3007" s="15">
        <v>0.85386876833466085</v>
      </c>
      <c r="J3007" s="15">
        <v>0.85386876833466085</v>
      </c>
      <c r="K3007" s="15">
        <v>0.85386876833466085</v>
      </c>
      <c r="L3007" s="15">
        <v>0.85386876833466085</v>
      </c>
      <c r="M3007" s="15">
        <v>0.85386876833466085</v>
      </c>
      <c r="N3007" s="15">
        <v>0.85386876833466085</v>
      </c>
      <c r="O3007" s="15">
        <v>0.74715023186928575</v>
      </c>
      <c r="P3007" s="15">
        <v>0.74715023186928575</v>
      </c>
      <c r="Q3007" s="8"/>
      <c r="R3007" s="9" t="s">
        <v>2774</v>
      </c>
    </row>
    <row r="3008" spans="1:18" x14ac:dyDescent="0.25">
      <c r="A3008" s="6" t="str">
        <f>HYPERLINK("proteomic_fractions_linear_files/Yang_linear_img/20502976.jpg", "20502976")</f>
        <v>20502976</v>
      </c>
      <c r="B3008" s="7"/>
      <c r="C3008" s="6" t="str">
        <f>HYPERLINK("http://www.ncbi.nlm.nih.gov/protein/20502976","Gnb3")</f>
        <v>Gnb3</v>
      </c>
      <c r="D3008" s="8"/>
      <c r="E3008" s="8">
        <v>37109</v>
      </c>
      <c r="F3008" s="8"/>
      <c r="G3008" s="15">
        <v>0.80771369977603058</v>
      </c>
      <c r="H3008" s="15">
        <v>0.80771369977603058</v>
      </c>
      <c r="I3008" s="15">
        <v>0.86713710420901591</v>
      </c>
      <c r="J3008" s="15">
        <v>0.86713710420901591</v>
      </c>
      <c r="K3008" s="15">
        <v>0.86713710420901591</v>
      </c>
      <c r="L3008" s="15">
        <v>0.86713710420901591</v>
      </c>
      <c r="M3008" s="15">
        <v>0.86713710420901591</v>
      </c>
      <c r="N3008" s="15">
        <v>0.86713710420901591</v>
      </c>
      <c r="O3008" s="15">
        <v>0.75454625128870434</v>
      </c>
      <c r="P3008" s="15">
        <v>0.75454625128870434</v>
      </c>
      <c r="Q3008" s="8"/>
      <c r="R3008" s="9" t="s">
        <v>2775</v>
      </c>
    </row>
    <row r="3009" spans="1:18" x14ac:dyDescent="0.25">
      <c r="A3009" s="6" t="str">
        <f>HYPERLINK("proteomic_fractions_linear_files/Yang_linear_img/31542899.jpg", "31542899")</f>
        <v>31542899</v>
      </c>
      <c r="B3009" s="7"/>
      <c r="C3009" s="6" t="str">
        <f>HYPERLINK("http://www.ncbi.nlm.nih.gov/protein/31542899","Gnb4")</f>
        <v>Gnb4</v>
      </c>
      <c r="D3009" s="8"/>
      <c r="E3009" s="8">
        <v>37248</v>
      </c>
      <c r="F3009" s="8"/>
      <c r="G3009" s="15">
        <v>1.0947923838708851</v>
      </c>
      <c r="H3009" s="15">
        <v>1.0947923838708851</v>
      </c>
      <c r="I3009" s="15">
        <v>0.86713710420901591</v>
      </c>
      <c r="J3009" s="15">
        <v>0.86713710420901591</v>
      </c>
      <c r="K3009" s="15">
        <v>0.86713710420901591</v>
      </c>
      <c r="L3009" s="15">
        <v>0.86713710420901591</v>
      </c>
      <c r="M3009" s="15">
        <v>0.86713710420901591</v>
      </c>
      <c r="N3009" s="15">
        <v>0.86713710420901591</v>
      </c>
      <c r="O3009" s="15">
        <v>0.75454625128870434</v>
      </c>
      <c r="P3009" s="15">
        <v>0.75454625128870434</v>
      </c>
      <c r="Q3009" s="8"/>
      <c r="R3009" s="9" t="s">
        <v>2776</v>
      </c>
    </row>
    <row r="3010" spans="1:18" x14ac:dyDescent="0.25">
      <c r="A3010" s="6" t="str">
        <f>HYPERLINK("proteomic_fractions_linear_files/Yang_linear_img/13384616.jpg", "13384616")</f>
        <v>13384616</v>
      </c>
      <c r="B3010" s="7"/>
      <c r="C3010" s="6" t="str">
        <f>HYPERLINK("http://www.ncbi.nlm.nih.gov/protein/13384616","Gng10")</f>
        <v>Gng10</v>
      </c>
      <c r="D3010" s="8"/>
      <c r="E3010" s="8">
        <v>7098</v>
      </c>
      <c r="F3010" s="8"/>
      <c r="G3010" s="15" t="s">
        <v>10</v>
      </c>
      <c r="H3010" s="15" t="s">
        <v>10</v>
      </c>
      <c r="I3010" s="15" t="s">
        <v>10</v>
      </c>
      <c r="J3010" s="15" t="s">
        <v>10</v>
      </c>
      <c r="K3010" s="15">
        <v>1.6787022322605194</v>
      </c>
      <c r="L3010" s="15">
        <v>1.6787022322605194</v>
      </c>
      <c r="M3010" s="15" t="s">
        <v>10</v>
      </c>
      <c r="N3010" s="15" t="s">
        <v>10</v>
      </c>
      <c r="O3010" s="15" t="s">
        <v>10</v>
      </c>
      <c r="P3010" s="15" t="s">
        <v>10</v>
      </c>
      <c r="Q3010" s="8"/>
      <c r="R3010" s="9" t="s">
        <v>2777</v>
      </c>
    </row>
    <row r="3011" spans="1:18" x14ac:dyDescent="0.25">
      <c r="A3011" s="6" t="str">
        <f>HYPERLINK("proteomic_fractions_linear_files/Yang_linear_img/294774560.jpg", "294774560")</f>
        <v>294774560</v>
      </c>
      <c r="B3011" s="7"/>
      <c r="C3011" s="6" t="str">
        <f>HYPERLINK("http://www.ncbi.nlm.nih.gov/protein/294774560","Gng12")</f>
        <v>Gng12</v>
      </c>
      <c r="D3011" s="8"/>
      <c r="E3011" s="8">
        <v>7866</v>
      </c>
      <c r="F3011" s="8"/>
      <c r="G3011" s="15">
        <v>2.3119123955705105</v>
      </c>
      <c r="H3011" s="15">
        <v>2.3119123955705105</v>
      </c>
      <c r="I3011" s="15">
        <v>1.4688644532279544</v>
      </c>
      <c r="J3011" s="15">
        <v>1.4688644532279544</v>
      </c>
      <c r="K3011" s="15">
        <v>1.8146842152337934</v>
      </c>
      <c r="L3011" s="15">
        <v>1.5934024177422033</v>
      </c>
      <c r="M3011" s="15">
        <v>1.5934024177422033</v>
      </c>
      <c r="N3011" s="15">
        <v>1.5934024177422033</v>
      </c>
      <c r="O3011" s="15" t="s">
        <v>10</v>
      </c>
      <c r="P3011" s="15" t="s">
        <v>10</v>
      </c>
      <c r="Q3011" s="8"/>
      <c r="R3011" s="9" t="s">
        <v>2778</v>
      </c>
    </row>
    <row r="3012" spans="1:18" x14ac:dyDescent="0.25">
      <c r="A3012" s="6" t="str">
        <f>HYPERLINK("proteomic_fractions_linear_files/Yang_linear_img/84579919.jpg", "84579919")</f>
        <v>84579919</v>
      </c>
      <c r="B3012" s="7"/>
      <c r="C3012" s="6" t="str">
        <f>HYPERLINK("http://www.ncbi.nlm.nih.gov/protein/84579919","Gng7")</f>
        <v>Gng7</v>
      </c>
      <c r="D3012" s="8"/>
      <c r="E3012" s="8">
        <v>7480</v>
      </c>
      <c r="F3012" s="8"/>
      <c r="G3012" s="15" t="s">
        <v>10</v>
      </c>
      <c r="H3012" s="15" t="s">
        <v>10</v>
      </c>
      <c r="I3012" s="15">
        <v>1.7475516131901938</v>
      </c>
      <c r="J3012" s="15">
        <v>1.7475516131901938</v>
      </c>
      <c r="K3012" s="15">
        <v>1.7475516131901938</v>
      </c>
      <c r="L3012" s="15">
        <v>1.7475516131901938</v>
      </c>
      <c r="M3012" s="15" t="s">
        <v>10</v>
      </c>
      <c r="N3012" s="15" t="s">
        <v>10</v>
      </c>
      <c r="O3012" s="15" t="s">
        <v>10</v>
      </c>
      <c r="P3012" s="15" t="s">
        <v>10</v>
      </c>
      <c r="Q3012" s="8"/>
      <c r="R3012" s="9" t="s">
        <v>2779</v>
      </c>
    </row>
    <row r="3013" spans="1:18" x14ac:dyDescent="0.25">
      <c r="A3013" s="6" t="str">
        <f>HYPERLINK("proteomic_fractions_linear_files/Yang_linear_img/122937361.jpg", "122937361")</f>
        <v>122937361</v>
      </c>
      <c r="B3013" s="7"/>
      <c r="C3013" s="6" t="str">
        <f>HYPERLINK("http://www.ncbi.nlm.nih.gov/protein/122937361","Gnl1")</f>
        <v>Gnl1</v>
      </c>
      <c r="D3013" s="8"/>
      <c r="E3013" s="8">
        <v>68640</v>
      </c>
      <c r="F3013" s="8"/>
      <c r="G3013" s="15" t="s">
        <v>10</v>
      </c>
      <c r="H3013" s="15" t="s">
        <v>10</v>
      </c>
      <c r="I3013" s="15">
        <v>1.2043283836687515</v>
      </c>
      <c r="J3013" s="15">
        <v>1.2043283836687515</v>
      </c>
      <c r="K3013" s="15">
        <v>1.2043283836687515</v>
      </c>
      <c r="L3013" s="15">
        <v>1.2043283836687515</v>
      </c>
      <c r="M3013" s="15">
        <v>1.2043283836687515</v>
      </c>
      <c r="N3013" s="15">
        <v>1.2043283836687515</v>
      </c>
      <c r="O3013" s="15">
        <v>1.2043283836687515</v>
      </c>
      <c r="P3013" s="15">
        <v>1.2043283836687515</v>
      </c>
      <c r="Q3013" s="8"/>
      <c r="R3013" s="9" t="s">
        <v>2780</v>
      </c>
    </row>
    <row r="3014" spans="1:18" x14ac:dyDescent="0.25">
      <c r="A3014" s="6" t="str">
        <f>HYPERLINK("proteomic_fractions_linear_files/Yang_linear_img/240120093.jpg", "240120093")</f>
        <v>240120093</v>
      </c>
      <c r="B3014" s="7"/>
      <c r="C3014" s="6" t="str">
        <f>HYPERLINK("http://www.ncbi.nlm.nih.gov/protein/240120093","Gnl2")</f>
        <v>Gnl2</v>
      </c>
      <c r="D3014" s="8"/>
      <c r="E3014" s="8">
        <v>83215</v>
      </c>
      <c r="F3014" s="8"/>
      <c r="G3014" s="15" t="s">
        <v>10</v>
      </c>
      <c r="H3014" s="15" t="s">
        <v>10</v>
      </c>
      <c r="I3014" s="15" t="s">
        <v>10</v>
      </c>
      <c r="J3014" s="15" t="s">
        <v>10</v>
      </c>
      <c r="K3014" s="15">
        <v>1.5508629897002044</v>
      </c>
      <c r="L3014" s="15">
        <v>1.5508629897002044</v>
      </c>
      <c r="M3014" s="15" t="s">
        <v>10</v>
      </c>
      <c r="N3014" s="15" t="s">
        <v>10</v>
      </c>
      <c r="O3014" s="15" t="s">
        <v>10</v>
      </c>
      <c r="P3014" s="15" t="s">
        <v>10</v>
      </c>
      <c r="Q3014" s="8"/>
      <c r="R3014" s="9" t="s">
        <v>2781</v>
      </c>
    </row>
    <row r="3015" spans="1:18" x14ac:dyDescent="0.25">
      <c r="A3015" s="6" t="str">
        <f>HYPERLINK("proteomic_fractions_linear_files/Yang_linear_img/30524920.jpg", "30524920")</f>
        <v>30524920</v>
      </c>
      <c r="B3015" s="7"/>
      <c r="C3015" s="6" t="str">
        <f>HYPERLINK("http://www.ncbi.nlm.nih.gov/protein/30524920","Gnl3")</f>
        <v>Gnl3</v>
      </c>
      <c r="D3015" s="8"/>
      <c r="E3015" s="8">
        <v>60656</v>
      </c>
      <c r="F3015" s="8"/>
      <c r="G3015" s="15">
        <v>1.3622730897236699</v>
      </c>
      <c r="H3015" s="15">
        <v>1.3622730897236699</v>
      </c>
      <c r="I3015" s="15" t="s">
        <v>10</v>
      </c>
      <c r="J3015" s="15" t="s">
        <v>10</v>
      </c>
      <c r="K3015" s="15">
        <v>1.3622730897236699</v>
      </c>
      <c r="L3015" s="15">
        <v>1.3622730897236699</v>
      </c>
      <c r="M3015" s="15">
        <v>1.2038714793718401</v>
      </c>
      <c r="N3015" s="15">
        <v>1.2038714793718401</v>
      </c>
      <c r="O3015" s="15" t="s">
        <v>10</v>
      </c>
      <c r="P3015" s="15" t="s">
        <v>10</v>
      </c>
      <c r="Q3015" s="8"/>
      <c r="R3015" s="9" t="s">
        <v>2782</v>
      </c>
    </row>
    <row r="3016" spans="1:18" x14ac:dyDescent="0.25">
      <c r="A3016" s="6" t="str">
        <f>HYPERLINK("proteomic_fractions_linear_files/Yang_linear_img/160298207.jpg", "160298207")</f>
        <v>160298207</v>
      </c>
      <c r="B3016" s="7"/>
      <c r="C3016" s="6" t="str">
        <f>HYPERLINK("http://www.ncbi.nlm.nih.gov/protein/160298207","Gnpat")</f>
        <v>Gnpat</v>
      </c>
      <c r="D3016" s="8"/>
      <c r="E3016" s="8">
        <v>76739</v>
      </c>
      <c r="F3016" s="8"/>
      <c r="G3016" s="15" t="s">
        <v>10</v>
      </c>
      <c r="H3016" s="15" t="s">
        <v>10</v>
      </c>
      <c r="I3016" s="15">
        <v>0.95371636677509408</v>
      </c>
      <c r="J3016" s="15">
        <v>0.95371636677509408</v>
      </c>
      <c r="K3016" s="15">
        <v>0.95371636677509408</v>
      </c>
      <c r="L3016" s="15">
        <v>0.95371636677509408</v>
      </c>
      <c r="M3016" s="15" t="s">
        <v>10</v>
      </c>
      <c r="N3016" s="15" t="s">
        <v>10</v>
      </c>
      <c r="O3016" s="15" t="s">
        <v>10</v>
      </c>
      <c r="P3016" s="15" t="s">
        <v>10</v>
      </c>
      <c r="Q3016" s="8"/>
      <c r="R3016" s="9" t="s">
        <v>2783</v>
      </c>
    </row>
    <row r="3017" spans="1:18" x14ac:dyDescent="0.25">
      <c r="A3017" s="6" t="str">
        <f>HYPERLINK("proteomic_fractions_linear_files/Yang_linear_img/188219582.jpg", "188219582")</f>
        <v>188219582</v>
      </c>
      <c r="B3017" s="7"/>
      <c r="C3017" s="6" t="str">
        <f>HYPERLINK("http://www.ncbi.nlm.nih.gov/protein/188219582","Gnpda1")</f>
        <v>Gnpda1</v>
      </c>
      <c r="D3017" s="8"/>
      <c r="E3017" s="8">
        <v>32418</v>
      </c>
      <c r="F3017" s="8"/>
      <c r="G3017" s="15" t="s">
        <v>10</v>
      </c>
      <c r="H3017" s="15" t="s">
        <v>10</v>
      </c>
      <c r="I3017" s="15">
        <v>0.87244410305256437</v>
      </c>
      <c r="J3017" s="15">
        <v>0.87244410305256437</v>
      </c>
      <c r="K3017" s="15">
        <v>0.93391896536603536</v>
      </c>
      <c r="L3017" s="15">
        <v>0.93391896536603536</v>
      </c>
      <c r="M3017" s="15">
        <v>0.87244410305256437</v>
      </c>
      <c r="N3017" s="15">
        <v>0.87244410305256437</v>
      </c>
      <c r="O3017" s="15">
        <v>0.81719556610703126</v>
      </c>
      <c r="P3017" s="15">
        <v>0.81719556610703126</v>
      </c>
      <c r="Q3017" s="8"/>
      <c r="R3017" s="9" t="s">
        <v>2784</v>
      </c>
    </row>
    <row r="3018" spans="1:18" x14ac:dyDescent="0.25">
      <c r="A3018" s="6" t="str">
        <f>HYPERLINK("proteomic_fractions_linear_files/Yang_linear_img/83999999.jpg", "83999999")</f>
        <v>83999999</v>
      </c>
      <c r="B3018" s="7"/>
      <c r="C3018" s="6" t="str">
        <f>HYPERLINK("http://www.ncbi.nlm.nih.gov/protein/83999999","Gnpda2")</f>
        <v>Gnpda2</v>
      </c>
      <c r="D3018" s="8"/>
      <c r="E3018" s="8">
        <v>30953</v>
      </c>
      <c r="F3018" s="8"/>
      <c r="G3018" s="15" t="s">
        <v>10</v>
      </c>
      <c r="H3018" s="15" t="s">
        <v>10</v>
      </c>
      <c r="I3018" s="15" t="s">
        <v>10</v>
      </c>
      <c r="J3018" s="15" t="s">
        <v>10</v>
      </c>
      <c r="K3018" s="15">
        <v>0.96404538360364944</v>
      </c>
      <c r="L3018" s="15">
        <v>0.96404538360364944</v>
      </c>
      <c r="M3018" s="15">
        <v>0.90058746121555033</v>
      </c>
      <c r="N3018" s="15">
        <v>0.90058746121555033</v>
      </c>
      <c r="O3018" s="15">
        <v>0.84355671340080651</v>
      </c>
      <c r="P3018" s="15">
        <v>0.84355671340080651</v>
      </c>
      <c r="Q3018" s="8"/>
      <c r="R3018" s="9" t="s">
        <v>2785</v>
      </c>
    </row>
    <row r="3019" spans="1:18" x14ac:dyDescent="0.25">
      <c r="A3019" s="6" t="str">
        <f>HYPERLINK("proteomic_fractions_linear_files/Yang_linear_img/9506761.jpg", "9506761")</f>
        <v>9506761</v>
      </c>
      <c r="B3019" s="7"/>
      <c r="C3019" s="6" t="str">
        <f>HYPERLINK("http://www.ncbi.nlm.nih.gov/protein/9506761","Gnpnat1")</f>
        <v>Gnpnat1</v>
      </c>
      <c r="D3019" s="8"/>
      <c r="E3019" s="8">
        <v>20660</v>
      </c>
      <c r="F3019" s="8"/>
      <c r="G3019" s="15" t="s">
        <v>10</v>
      </c>
      <c r="H3019" s="15" t="s">
        <v>10</v>
      </c>
      <c r="I3019" s="15">
        <v>1.0378924890799406</v>
      </c>
      <c r="J3019" s="15">
        <v>1.0378924890799406</v>
      </c>
      <c r="K3019" s="15">
        <v>0.98083053269791776</v>
      </c>
      <c r="L3019" s="15">
        <v>0.98083053269791776</v>
      </c>
      <c r="M3019" s="15">
        <v>0.98083053269791776</v>
      </c>
      <c r="N3019" s="15">
        <v>0.98083053269791776</v>
      </c>
      <c r="O3019" s="15">
        <v>0.98083053269791776</v>
      </c>
      <c r="P3019" s="15">
        <v>0.98083053269791776</v>
      </c>
      <c r="Q3019" s="8"/>
      <c r="R3019" s="9" t="s">
        <v>2786</v>
      </c>
    </row>
    <row r="3020" spans="1:18" x14ac:dyDescent="0.25">
      <c r="A3020" s="6" t="str">
        <f>HYPERLINK("proteomic_fractions_linear_files/Yang_linear_img/29789239.jpg", "29789239")</f>
        <v>29789239</v>
      </c>
      <c r="B3020" s="7"/>
      <c r="C3020" s="6" t="str">
        <f>HYPERLINK("http://www.ncbi.nlm.nih.gov/protein/29789239","Gns")</f>
        <v>Gns</v>
      </c>
      <c r="D3020" s="8"/>
      <c r="E3020" s="8">
        <v>57633</v>
      </c>
      <c r="F3020" s="8"/>
      <c r="G3020" s="15">
        <v>1.1285045401817988</v>
      </c>
      <c r="H3020" s="15">
        <v>1.1285045401817988</v>
      </c>
      <c r="I3020" s="15">
        <v>0.91587189017243242</v>
      </c>
      <c r="J3020" s="15">
        <v>0.91587189017243242</v>
      </c>
      <c r="K3020" s="15">
        <v>0.91587189017243242</v>
      </c>
      <c r="L3020" s="15">
        <v>0.91587189017243242</v>
      </c>
      <c r="M3020" s="15" t="s">
        <v>10</v>
      </c>
      <c r="N3020" s="15" t="s">
        <v>10</v>
      </c>
      <c r="O3020" s="15">
        <v>0.83258578593819399</v>
      </c>
      <c r="P3020" s="15">
        <v>0.83258578593819399</v>
      </c>
      <c r="Q3020" s="8"/>
      <c r="R3020" s="9" t="s">
        <v>2787</v>
      </c>
    </row>
    <row r="3021" spans="1:18" x14ac:dyDescent="0.25">
      <c r="A3021" s="6" t="str">
        <f>HYPERLINK("proteomic_fractions_linear_files/Yang_linear_img/30794192.jpg", "30794192")</f>
        <v>30794192</v>
      </c>
      <c r="B3021" s="7"/>
      <c r="C3021" s="6" t="str">
        <f>HYPERLINK("http://www.ncbi.nlm.nih.gov/protein/30794192","Golga1")</f>
        <v>Golga1</v>
      </c>
      <c r="D3021" s="8"/>
      <c r="E3021" s="8">
        <v>87207</v>
      </c>
      <c r="F3021" s="8"/>
      <c r="G3021" s="15" t="s">
        <v>10</v>
      </c>
      <c r="H3021" s="15" t="s">
        <v>10</v>
      </c>
      <c r="I3021" s="15">
        <v>1.2620869404727755</v>
      </c>
      <c r="J3021" s="15">
        <v>1.2620869404727755</v>
      </c>
      <c r="K3021" s="15">
        <v>1.2620869404727755</v>
      </c>
      <c r="L3021" s="15">
        <v>1.2620869404727755</v>
      </c>
      <c r="M3021" s="15" t="s">
        <v>10</v>
      </c>
      <c r="N3021" s="15" t="s">
        <v>10</v>
      </c>
      <c r="O3021" s="15" t="s">
        <v>10</v>
      </c>
      <c r="P3021" s="15" t="s">
        <v>10</v>
      </c>
      <c r="Q3021" s="8"/>
      <c r="R3021" s="9" t="s">
        <v>2788</v>
      </c>
    </row>
    <row r="3022" spans="1:18" x14ac:dyDescent="0.25">
      <c r="A3022" s="6" t="str">
        <f>HYPERLINK("proteomic_fractions_linear_files/Yang_linear_img/124378030.jpg", "124378030")</f>
        <v>124378030</v>
      </c>
      <c r="B3022" s="7"/>
      <c r="C3022" s="6" t="str">
        <f>HYPERLINK("http://www.ncbi.nlm.nih.gov/protein/124378030","Golga2")</f>
        <v>Golga2</v>
      </c>
      <c r="D3022" s="8"/>
      <c r="E3022" s="8">
        <v>113148</v>
      </c>
      <c r="F3022" s="8"/>
      <c r="G3022" s="15">
        <v>1.3579900100552376</v>
      </c>
      <c r="H3022" s="15">
        <v>1.3579900100552376</v>
      </c>
      <c r="I3022" s="15">
        <v>1.3579900100552376</v>
      </c>
      <c r="J3022" s="15">
        <v>1.3579900100552376</v>
      </c>
      <c r="K3022" s="15">
        <v>1.6527949702649589</v>
      </c>
      <c r="L3022" s="15">
        <v>1.6527949702649589</v>
      </c>
      <c r="M3022" s="15" t="s">
        <v>10</v>
      </c>
      <c r="N3022" s="15" t="s">
        <v>10</v>
      </c>
      <c r="O3022" s="15" t="s">
        <v>10</v>
      </c>
      <c r="P3022" s="15" t="s">
        <v>10</v>
      </c>
      <c r="Q3022" s="8"/>
      <c r="R3022" s="9" t="s">
        <v>2789</v>
      </c>
    </row>
    <row r="3023" spans="1:18" x14ac:dyDescent="0.25">
      <c r="A3023" s="6" t="str">
        <f>HYPERLINK("proteomic_fractions_linear_files/Yang_linear_img/124378042.jpg", "124378042")</f>
        <v>124378042</v>
      </c>
      <c r="B3023" s="7"/>
      <c r="C3023" s="6" t="str">
        <f>HYPERLINK("http://www.ncbi.nlm.nih.gov/protein/124378042","Golga2")</f>
        <v>Golga2</v>
      </c>
      <c r="D3023" s="8"/>
      <c r="E3023" s="8">
        <v>116148</v>
      </c>
      <c r="F3023" s="8"/>
      <c r="G3023" s="15">
        <v>1.3228695787607054</v>
      </c>
      <c r="H3023" s="15">
        <v>1.3228695787607054</v>
      </c>
      <c r="I3023" s="15">
        <v>1.3228695787607054</v>
      </c>
      <c r="J3023" s="15">
        <v>1.3228695787607054</v>
      </c>
      <c r="K3023" s="15">
        <v>1.6100502727581065</v>
      </c>
      <c r="L3023" s="15">
        <v>1.6100502727581065</v>
      </c>
      <c r="M3023" s="15" t="s">
        <v>10</v>
      </c>
      <c r="N3023" s="15" t="s">
        <v>10</v>
      </c>
      <c r="O3023" s="15" t="s">
        <v>10</v>
      </c>
      <c r="P3023" s="15" t="s">
        <v>10</v>
      </c>
      <c r="Q3023" s="8"/>
      <c r="R3023" s="9" t="s">
        <v>2790</v>
      </c>
    </row>
    <row r="3024" spans="1:18" x14ac:dyDescent="0.25">
      <c r="A3024" s="6" t="str">
        <f>HYPERLINK("proteomic_fractions_linear_files/Yang_linear_img/31982330.jpg", "31982330")</f>
        <v>31982330</v>
      </c>
      <c r="B3024" s="7"/>
      <c r="C3024" s="6" t="str">
        <f>HYPERLINK("http://www.ncbi.nlm.nih.gov/protein/31982330","Golga3")</f>
        <v>Golga3</v>
      </c>
      <c r="D3024" s="8"/>
      <c r="E3024" s="8">
        <v>162761</v>
      </c>
      <c r="F3024" s="8"/>
      <c r="G3024" s="15" t="s">
        <v>10</v>
      </c>
      <c r="H3024" s="15" t="s">
        <v>10</v>
      </c>
      <c r="I3024" s="15" t="s">
        <v>10</v>
      </c>
      <c r="J3024" s="15" t="s">
        <v>10</v>
      </c>
      <c r="K3024" s="15" t="s">
        <v>10</v>
      </c>
      <c r="L3024" s="15" t="s">
        <v>10</v>
      </c>
      <c r="M3024" s="15" t="s">
        <v>10</v>
      </c>
      <c r="N3024" s="15" t="s">
        <v>10</v>
      </c>
      <c r="O3024" s="15">
        <v>1.1458026480977936</v>
      </c>
      <c r="P3024" s="15">
        <v>1.4316616418886445</v>
      </c>
      <c r="Q3024" s="8"/>
      <c r="R3024" s="9" t="s">
        <v>2791</v>
      </c>
    </row>
    <row r="3025" spans="1:18" x14ac:dyDescent="0.25">
      <c r="A3025" s="6" t="str">
        <f>HYPERLINK("proteomic_fractions_linear_files/Yang_linear_img/20127150.jpg", "20127150")</f>
        <v>20127150</v>
      </c>
      <c r="B3025" s="7"/>
      <c r="C3025" s="6" t="str">
        <f>HYPERLINK("http://www.ncbi.nlm.nih.gov/protein/20127150","Golga4")</f>
        <v>Golga4</v>
      </c>
      <c r="D3025" s="8"/>
      <c r="E3025" s="8">
        <v>257434</v>
      </c>
      <c r="F3025" s="8"/>
      <c r="G3025" s="15">
        <v>0.90801886236517149</v>
      </c>
      <c r="H3025" s="15">
        <v>0.90801886236517149</v>
      </c>
      <c r="I3025" s="15">
        <v>0.90801886236517149</v>
      </c>
      <c r="J3025" s="15">
        <v>0.90801886236517149</v>
      </c>
      <c r="K3025" s="15">
        <v>1.1742541814649758</v>
      </c>
      <c r="L3025" s="15">
        <v>1.1742541814649758</v>
      </c>
      <c r="M3025" s="15" t="s">
        <v>10</v>
      </c>
      <c r="N3025" s="15" t="s">
        <v>10</v>
      </c>
      <c r="O3025" s="15">
        <v>1.1742541814649758</v>
      </c>
      <c r="P3025" s="15">
        <v>1.1742541814649758</v>
      </c>
      <c r="Q3025" s="8"/>
      <c r="R3025" s="9" t="s">
        <v>2792</v>
      </c>
    </row>
    <row r="3026" spans="1:18" x14ac:dyDescent="0.25">
      <c r="A3026" s="6" t="str">
        <f>HYPERLINK("proteomic_fractions_linear_files/Yang_linear_img/7305095.jpg", "7305095")</f>
        <v>7305095</v>
      </c>
      <c r="B3026" s="7"/>
      <c r="C3026" s="6" t="str">
        <f>HYPERLINK("http://www.ncbi.nlm.nih.gov/protein/7305095","Golga5")</f>
        <v>Golga5</v>
      </c>
      <c r="D3026" s="8"/>
      <c r="E3026" s="8">
        <v>82237</v>
      </c>
      <c r="F3026" s="8"/>
      <c r="G3026" s="15">
        <v>1.3390434612333106</v>
      </c>
      <c r="H3026" s="15">
        <v>1.3390434612333106</v>
      </c>
      <c r="I3026" s="15" t="s">
        <v>10</v>
      </c>
      <c r="J3026" s="15" t="s">
        <v>10</v>
      </c>
      <c r="K3026" s="15" t="s">
        <v>10</v>
      </c>
      <c r="L3026" s="15" t="s">
        <v>10</v>
      </c>
      <c r="M3026" s="15" t="s">
        <v>10</v>
      </c>
      <c r="N3026" s="15" t="s">
        <v>10</v>
      </c>
      <c r="O3026" s="15" t="s">
        <v>10</v>
      </c>
      <c r="P3026" s="15" t="s">
        <v>10</v>
      </c>
      <c r="Q3026" s="8"/>
      <c r="R3026" s="9" t="s">
        <v>2793</v>
      </c>
    </row>
    <row r="3027" spans="1:18" x14ac:dyDescent="0.25">
      <c r="A3027" s="6" t="str">
        <f>HYPERLINK("proteomic_fractions_linear_files/Yang_linear_img/312222675;7305095.jpg", "312222675;7305095")</f>
        <v>312222675;7305095</v>
      </c>
      <c r="B3027" s="8"/>
      <c r="C3027" s="6" t="str">
        <f>HYPERLINK("http://www.ncbi.nlm.nih.gov/protein/312222675;7305095","Golga5")</f>
        <v>Golga5</v>
      </c>
      <c r="D3027" s="8"/>
      <c r="E3027" s="8">
        <v>82237</v>
      </c>
      <c r="F3027" s="8"/>
      <c r="G3027" s="15" t="s">
        <v>10</v>
      </c>
      <c r="H3027" s="15" t="s">
        <v>10</v>
      </c>
      <c r="I3027" s="15">
        <v>1.0133982740627299</v>
      </c>
      <c r="J3027" s="15">
        <v>1.0133982740627299</v>
      </c>
      <c r="K3027" s="15">
        <v>1.1581461119827379</v>
      </c>
      <c r="L3027" s="15">
        <v>1.1581461119827379</v>
      </c>
      <c r="M3027" s="15" t="s">
        <v>10</v>
      </c>
      <c r="N3027" s="15" t="s">
        <v>10</v>
      </c>
      <c r="O3027" s="15">
        <v>0.14918123527233362</v>
      </c>
      <c r="P3027" s="15">
        <v>0.14918123527233362</v>
      </c>
      <c r="Q3027" s="8"/>
      <c r="R3027" s="9" t="s">
        <v>2793</v>
      </c>
    </row>
    <row r="3028" spans="1:18" x14ac:dyDescent="0.25">
      <c r="A3028" s="6" t="str">
        <f>HYPERLINK("proteomic_fractions_linear_files/Yang_linear_img/109809743.jpg", "109809743")</f>
        <v>109809743</v>
      </c>
      <c r="B3028" s="7"/>
      <c r="C3028" s="6" t="str">
        <f>HYPERLINK("http://www.ncbi.nlm.nih.gov/protein/109809743","Golga7")</f>
        <v>Golga7</v>
      </c>
      <c r="D3028" s="8"/>
      <c r="E3028" s="8">
        <v>15661</v>
      </c>
      <c r="F3028" s="8"/>
      <c r="G3028" s="15">
        <v>0.86786565624604062</v>
      </c>
      <c r="H3028" s="15">
        <v>0.86786565624604062</v>
      </c>
      <c r="I3028" s="15">
        <v>0.86786565624604062</v>
      </c>
      <c r="J3028" s="15">
        <v>0.86786565624604062</v>
      </c>
      <c r="K3028" s="15">
        <v>0.94977114336339286</v>
      </c>
      <c r="L3028" s="15">
        <v>0.94977114336339286</v>
      </c>
      <c r="M3028" s="15">
        <v>0.94977114336339286</v>
      </c>
      <c r="N3028" s="15">
        <v>0.94977114336339286</v>
      </c>
      <c r="O3028" s="15" t="s">
        <v>10</v>
      </c>
      <c r="P3028" s="15" t="s">
        <v>10</v>
      </c>
      <c r="Q3028" s="8"/>
      <c r="R3028" s="9" t="s">
        <v>2794</v>
      </c>
    </row>
    <row r="3029" spans="1:18" x14ac:dyDescent="0.25">
      <c r="A3029" s="6" t="str">
        <f>HYPERLINK("proteomic_fractions_linear_files/Yang_linear_img/226958601.jpg", "226958601")</f>
        <v>226958601</v>
      </c>
      <c r="B3029" s="7"/>
      <c r="C3029" s="6" t="str">
        <f>HYPERLINK("http://www.ncbi.nlm.nih.gov/protein/226958601","Golgb1")</f>
        <v>Golgb1</v>
      </c>
      <c r="D3029" s="8"/>
      <c r="E3029" s="8">
        <v>370024</v>
      </c>
      <c r="F3029" s="8"/>
      <c r="G3029" s="15" t="s">
        <v>10</v>
      </c>
      <c r="H3029" s="15" t="s">
        <v>10</v>
      </c>
      <c r="I3029" s="15">
        <v>0.63070499358878129</v>
      </c>
      <c r="J3029" s="15">
        <v>0.63070499358878129</v>
      </c>
      <c r="K3029" s="15">
        <v>1.105523129025513</v>
      </c>
      <c r="L3029" s="15">
        <v>1.105523129025513</v>
      </c>
      <c r="M3029" s="15" t="s">
        <v>10</v>
      </c>
      <c r="N3029" s="15" t="s">
        <v>10</v>
      </c>
      <c r="O3029" s="15" t="s">
        <v>10</v>
      </c>
      <c r="P3029" s="15" t="s">
        <v>10</v>
      </c>
      <c r="Q3029" s="8"/>
      <c r="R3029" s="9" t="s">
        <v>2795</v>
      </c>
    </row>
    <row r="3030" spans="1:18" x14ac:dyDescent="0.25">
      <c r="A3030" s="6" t="str">
        <f>HYPERLINK("proteomic_fractions_linear_files/Yang_linear_img/30424814.jpg", "30424814")</f>
        <v>30424814</v>
      </c>
      <c r="B3030" s="7"/>
      <c r="C3030" s="6" t="str">
        <f>HYPERLINK("http://www.ncbi.nlm.nih.gov/protein/30424814","Golim4")</f>
        <v>Golim4</v>
      </c>
      <c r="D3030" s="8"/>
      <c r="E3030" s="8">
        <v>76654</v>
      </c>
      <c r="F3030" s="8"/>
      <c r="G3030" s="15" t="s">
        <v>10</v>
      </c>
      <c r="H3030" s="15" t="s">
        <v>10</v>
      </c>
      <c r="I3030" s="15" t="s">
        <v>10</v>
      </c>
      <c r="J3030" s="15" t="s">
        <v>10</v>
      </c>
      <c r="K3030" s="15">
        <v>0.18853861976454997</v>
      </c>
      <c r="L3030" s="15">
        <v>0.18853861976454997</v>
      </c>
      <c r="M3030" s="15" t="s">
        <v>10</v>
      </c>
      <c r="N3030" s="15" t="s">
        <v>10</v>
      </c>
      <c r="O3030" s="15" t="s">
        <v>10</v>
      </c>
      <c r="P3030" s="15" t="s">
        <v>10</v>
      </c>
      <c r="Q3030" s="8"/>
      <c r="R3030" s="9" t="s">
        <v>2796</v>
      </c>
    </row>
    <row r="3031" spans="1:18" x14ac:dyDescent="0.25">
      <c r="A3031" s="6" t="str">
        <f>HYPERLINK("proteomic_fractions_linear_files/Yang_linear_img/78190502.jpg", "78190502")</f>
        <v>78190502</v>
      </c>
      <c r="B3031" s="7"/>
      <c r="C3031" s="6" t="str">
        <f>HYPERLINK("http://www.ncbi.nlm.nih.gov/protein/78190502","Golm1")</f>
        <v>Golm1</v>
      </c>
      <c r="D3031" s="8"/>
      <c r="E3031" s="8">
        <v>44195</v>
      </c>
      <c r="F3031" s="8"/>
      <c r="G3031" s="15">
        <v>2.1583632086951026</v>
      </c>
      <c r="H3031" s="15">
        <v>2.1583632086951026</v>
      </c>
      <c r="I3031" s="15">
        <v>1.6690036418564147</v>
      </c>
      <c r="J3031" s="15">
        <v>1.6690036418564147</v>
      </c>
      <c r="K3031" s="15">
        <v>1.888605874389633</v>
      </c>
      <c r="L3031" s="15">
        <v>1.888605874389633</v>
      </c>
      <c r="M3031" s="15" t="s">
        <v>10</v>
      </c>
      <c r="N3031" s="15" t="s">
        <v>10</v>
      </c>
      <c r="O3031" s="15" t="s">
        <v>10</v>
      </c>
      <c r="P3031" s="15" t="s">
        <v>10</v>
      </c>
      <c r="Q3031" s="8"/>
      <c r="R3031" s="9" t="s">
        <v>2797</v>
      </c>
    </row>
    <row r="3032" spans="1:18" x14ac:dyDescent="0.25">
      <c r="A3032" s="6" t="str">
        <f>HYPERLINK("proteomic_fractions_linear_files/Yang_linear_img/14140240.jpg", "14140240")</f>
        <v>14140240</v>
      </c>
      <c r="B3032" s="7"/>
      <c r="C3032" s="6" t="str">
        <f>HYPERLINK("http://www.ncbi.nlm.nih.gov/protein/14140240","Golph3")</f>
        <v>Golph3</v>
      </c>
      <c r="D3032" s="8"/>
      <c r="E3032" s="8">
        <v>33621</v>
      </c>
      <c r="F3032" s="8"/>
      <c r="G3032" s="15">
        <v>0.87898255563862149</v>
      </c>
      <c r="H3032" s="15">
        <v>0.87898255563862149</v>
      </c>
      <c r="I3032" s="15">
        <v>0.87898255563862149</v>
      </c>
      <c r="J3032" s="15">
        <v>0.87898255563862149</v>
      </c>
      <c r="K3032" s="15">
        <v>0.94364920163922317</v>
      </c>
      <c r="L3032" s="15">
        <v>0.94364920163922317</v>
      </c>
      <c r="M3032" s="15" t="s">
        <v>10</v>
      </c>
      <c r="N3032" s="15" t="s">
        <v>10</v>
      </c>
      <c r="O3032" s="15" t="s">
        <v>10</v>
      </c>
      <c r="P3032" s="15" t="s">
        <v>10</v>
      </c>
      <c r="Q3032" s="8"/>
      <c r="R3032" s="9" t="s">
        <v>2798</v>
      </c>
    </row>
    <row r="3033" spans="1:18" x14ac:dyDescent="0.25">
      <c r="A3033" s="6" t="str">
        <f>HYPERLINK("proteomic_fractions_linear_files/Yang_linear_img/295054274.jpg", "295054274")</f>
        <v>295054274</v>
      </c>
      <c r="B3033" s="7"/>
      <c r="C3033" s="6" t="str">
        <f>HYPERLINK("http://www.ncbi.nlm.nih.gov/protein/295054274","Golph3l")</f>
        <v>Golph3l</v>
      </c>
      <c r="D3033" s="8"/>
      <c r="E3033" s="8">
        <v>39384</v>
      </c>
      <c r="F3033" s="8"/>
      <c r="G3033" s="15" t="s">
        <v>10</v>
      </c>
      <c r="H3033" s="15" t="s">
        <v>10</v>
      </c>
      <c r="I3033" s="15">
        <v>0.76629248440290076</v>
      </c>
      <c r="J3033" s="15">
        <v>0.76629248440290076</v>
      </c>
      <c r="K3033" s="15">
        <v>0.82266853476239965</v>
      </c>
      <c r="L3033" s="15">
        <v>0.82266853476239965</v>
      </c>
      <c r="M3033" s="15" t="s">
        <v>10</v>
      </c>
      <c r="N3033" s="15" t="s">
        <v>10</v>
      </c>
      <c r="O3033" s="15">
        <v>0.71585157173543745</v>
      </c>
      <c r="P3033" s="15">
        <v>0.71585157173543745</v>
      </c>
      <c r="Q3033" s="8"/>
      <c r="R3033" s="9" t="s">
        <v>2799</v>
      </c>
    </row>
    <row r="3034" spans="1:18" x14ac:dyDescent="0.25">
      <c r="A3034" s="6" t="str">
        <f>HYPERLINK("proteomic_fractions_linear_files/Yang_linear_img/295054280.jpg", "295054280")</f>
        <v>295054280</v>
      </c>
      <c r="B3034" s="7"/>
      <c r="C3034" s="6" t="str">
        <f>HYPERLINK("http://www.ncbi.nlm.nih.gov/protein/295054280","Golph3l")</f>
        <v>Golph3l</v>
      </c>
      <c r="D3034" s="8"/>
      <c r="E3034" s="8">
        <v>32086</v>
      </c>
      <c r="F3034" s="8"/>
      <c r="G3034" s="15" t="s">
        <v>10</v>
      </c>
      <c r="H3034" s="15" t="s">
        <v>10</v>
      </c>
      <c r="I3034" s="15">
        <v>0.93391896536603536</v>
      </c>
      <c r="J3034" s="15">
        <v>0.93391896536603536</v>
      </c>
      <c r="K3034" s="15">
        <v>1.0026272767416746</v>
      </c>
      <c r="L3034" s="15">
        <v>1.0026272767416746</v>
      </c>
      <c r="M3034" s="15" t="s">
        <v>10</v>
      </c>
      <c r="N3034" s="15" t="s">
        <v>10</v>
      </c>
      <c r="O3034" s="15">
        <v>0.87244410305256437</v>
      </c>
      <c r="P3034" s="15">
        <v>0.87244410305256437</v>
      </c>
      <c r="Q3034" s="8"/>
      <c r="R3034" s="9" t="s">
        <v>2800</v>
      </c>
    </row>
    <row r="3035" spans="1:18" x14ac:dyDescent="0.25">
      <c r="A3035" s="6" t="str">
        <f>HYPERLINK("proteomic_fractions_linear_files/Yang_linear_img/295054284.jpg", "295054284")</f>
        <v>295054284</v>
      </c>
      <c r="B3035" s="7"/>
      <c r="C3035" s="6" t="str">
        <f>HYPERLINK("http://www.ncbi.nlm.nih.gov/protein/295054284","Golph3l")</f>
        <v>Golph3l</v>
      </c>
      <c r="D3035" s="8"/>
      <c r="E3035" s="8">
        <v>32079</v>
      </c>
      <c r="F3035" s="8"/>
      <c r="G3035" s="15" t="s">
        <v>10</v>
      </c>
      <c r="H3035" s="15" t="s">
        <v>10</v>
      </c>
      <c r="I3035" s="15">
        <v>0.93391896536603536</v>
      </c>
      <c r="J3035" s="15">
        <v>0.93391896536603536</v>
      </c>
      <c r="K3035" s="15">
        <v>1.0026272767416746</v>
      </c>
      <c r="L3035" s="15">
        <v>1.0026272767416746</v>
      </c>
      <c r="M3035" s="15" t="s">
        <v>10</v>
      </c>
      <c r="N3035" s="15" t="s">
        <v>10</v>
      </c>
      <c r="O3035" s="15">
        <v>0.87244410305256437</v>
      </c>
      <c r="P3035" s="15">
        <v>0.87244410305256437</v>
      </c>
      <c r="Q3035" s="8"/>
      <c r="R3035" s="9" t="s">
        <v>2801</v>
      </c>
    </row>
    <row r="3036" spans="1:18" x14ac:dyDescent="0.25">
      <c r="A3036" s="6" t="str">
        <f>HYPERLINK("proteomic_fractions_linear_files/Yang_linear_img/13385354.jpg", "13385354")</f>
        <v>13385354</v>
      </c>
      <c r="B3036" s="7"/>
      <c r="C3036" s="6" t="str">
        <f>HYPERLINK("http://www.ncbi.nlm.nih.gov/protein/13385354","Golt1b")</f>
        <v>Golt1b</v>
      </c>
      <c r="D3036" s="8"/>
      <c r="E3036" s="8">
        <v>15291</v>
      </c>
      <c r="F3036" s="8"/>
      <c r="G3036" s="15">
        <v>15.557389841856605</v>
      </c>
      <c r="H3036" s="15">
        <v>15.557389841856605</v>
      </c>
      <c r="I3036" s="15">
        <v>2.7004878802148498</v>
      </c>
      <c r="J3036" s="15">
        <v>2.7004878802148498</v>
      </c>
      <c r="K3036" s="15" t="s">
        <v>10</v>
      </c>
      <c r="L3036" s="15" t="s">
        <v>10</v>
      </c>
      <c r="M3036" s="15">
        <v>1.1713293176905979</v>
      </c>
      <c r="N3036" s="15">
        <v>1.1713293176905979</v>
      </c>
      <c r="O3036" s="15" t="s">
        <v>10</v>
      </c>
      <c r="P3036" s="15" t="s">
        <v>10</v>
      </c>
      <c r="Q3036" s="8"/>
      <c r="R3036" s="9" t="s">
        <v>2802</v>
      </c>
    </row>
    <row r="3037" spans="1:18" x14ac:dyDescent="0.25">
      <c r="A3037" s="6" t="str">
        <f>HYPERLINK("proteomic_fractions_linear_files/Yang_linear_img/313151170.jpg", "313151170")</f>
        <v>313151170</v>
      </c>
      <c r="B3037" s="7"/>
      <c r="C3037" s="6" t="str">
        <f>HYPERLINK("http://www.ncbi.nlm.nih.gov/protein/313151170","Gopc")</f>
        <v>Gopc</v>
      </c>
      <c r="D3037" s="8"/>
      <c r="E3037" s="8">
        <v>50531</v>
      </c>
      <c r="F3037" s="8"/>
      <c r="G3037" s="15" t="s">
        <v>10</v>
      </c>
      <c r="H3037" s="15" t="s">
        <v>10</v>
      </c>
      <c r="I3037" s="15" t="s">
        <v>10</v>
      </c>
      <c r="J3037" s="15" t="s">
        <v>10</v>
      </c>
      <c r="K3037" s="15">
        <v>1.1524158350116442</v>
      </c>
      <c r="L3037" s="15">
        <v>1.1524158350116442</v>
      </c>
      <c r="M3037" s="15" t="s">
        <v>10</v>
      </c>
      <c r="N3037" s="15" t="s">
        <v>10</v>
      </c>
      <c r="O3037" s="15">
        <v>1.0415797966666878</v>
      </c>
      <c r="P3037" s="15">
        <v>1.0415797966666878</v>
      </c>
      <c r="Q3037" s="8"/>
      <c r="R3037" s="9" t="s">
        <v>2803</v>
      </c>
    </row>
    <row r="3038" spans="1:18" x14ac:dyDescent="0.25">
      <c r="A3038" s="6" t="str">
        <f>HYPERLINK("proteomic_fractions_linear_files/Yang_linear_img/31543485.jpg", "31543485")</f>
        <v>31543485</v>
      </c>
      <c r="B3038" s="7"/>
      <c r="C3038" s="6" t="str">
        <f>HYPERLINK("http://www.ncbi.nlm.nih.gov/protein/31543485","Gopc")</f>
        <v>Gopc</v>
      </c>
      <c r="D3038" s="8"/>
      <c r="E3038" s="8">
        <v>49664</v>
      </c>
      <c r="F3038" s="8"/>
      <c r="G3038" s="15" t="s">
        <v>10</v>
      </c>
      <c r="H3038" s="15" t="s">
        <v>10</v>
      </c>
      <c r="I3038" s="15" t="s">
        <v>10</v>
      </c>
      <c r="J3038" s="15" t="s">
        <v>10</v>
      </c>
      <c r="K3038" s="15">
        <v>1.1754641517118771</v>
      </c>
      <c r="L3038" s="15">
        <v>1.1754641517118771</v>
      </c>
      <c r="M3038" s="15" t="s">
        <v>10</v>
      </c>
      <c r="N3038" s="15" t="s">
        <v>10</v>
      </c>
      <c r="O3038" s="15">
        <v>1.0624113926000216</v>
      </c>
      <c r="P3038" s="15">
        <v>1.0624113926000216</v>
      </c>
      <c r="Q3038" s="8"/>
      <c r="R3038" s="9" t="s">
        <v>2804</v>
      </c>
    </row>
    <row r="3039" spans="1:18" x14ac:dyDescent="0.25">
      <c r="A3039" s="6" t="str">
        <f>HYPERLINK("proteomic_fractions_linear_files/Yang_linear_img/30350202.jpg", "30350202")</f>
        <v>30350202</v>
      </c>
      <c r="B3039" s="7"/>
      <c r="C3039" s="6" t="str">
        <f>HYPERLINK("http://www.ncbi.nlm.nih.gov/protein/30350202","Gorasp1")</f>
        <v>Gorasp1</v>
      </c>
      <c r="D3039" s="8"/>
      <c r="E3039" s="8">
        <v>46751</v>
      </c>
      <c r="F3039" s="8"/>
      <c r="G3039" s="15" t="s">
        <v>10</v>
      </c>
      <c r="H3039" s="15" t="s">
        <v>10</v>
      </c>
      <c r="I3039" s="15">
        <v>1.2504937784168904</v>
      </c>
      <c r="J3039" s="15">
        <v>1.2504937784168904</v>
      </c>
      <c r="K3039" s="15" t="s">
        <v>10</v>
      </c>
      <c r="L3039" s="15" t="s">
        <v>10</v>
      </c>
      <c r="M3039" s="15" t="s">
        <v>10</v>
      </c>
      <c r="N3039" s="15" t="s">
        <v>10</v>
      </c>
      <c r="O3039" s="15" t="s">
        <v>10</v>
      </c>
      <c r="P3039" s="15" t="s">
        <v>10</v>
      </c>
      <c r="Q3039" s="8"/>
      <c r="R3039" s="9" t="s">
        <v>2805</v>
      </c>
    </row>
    <row r="3040" spans="1:18" x14ac:dyDescent="0.25">
      <c r="A3040" s="6" t="str">
        <f>HYPERLINK("proteomic_fractions_linear_files/Yang_linear_img/224967109.jpg", "224967109")</f>
        <v>224967109</v>
      </c>
      <c r="B3040" s="7"/>
      <c r="C3040" s="6" t="str">
        <f>HYPERLINK("http://www.ncbi.nlm.nih.gov/protein/224967109","Gorasp2")</f>
        <v>Gorasp2</v>
      </c>
      <c r="D3040" s="8"/>
      <c r="E3040" s="8">
        <v>46907</v>
      </c>
      <c r="F3040" s="8"/>
      <c r="G3040" s="15" t="s">
        <v>10</v>
      </c>
      <c r="H3040" s="15" t="s">
        <v>10</v>
      </c>
      <c r="I3040" s="15">
        <v>1.1302248857447037</v>
      </c>
      <c r="J3040" s="15">
        <v>1.1302248857447037</v>
      </c>
      <c r="K3040" s="15">
        <v>1.1302248857447037</v>
      </c>
      <c r="L3040" s="15">
        <v>1.1302248857447037</v>
      </c>
      <c r="M3040" s="15" t="s">
        <v>10</v>
      </c>
      <c r="N3040" s="15" t="s">
        <v>10</v>
      </c>
      <c r="O3040" s="15">
        <v>1.0274462890301117</v>
      </c>
      <c r="P3040" s="15">
        <v>1.0274462890301117</v>
      </c>
      <c r="Q3040" s="8"/>
      <c r="R3040" s="9" t="s">
        <v>2806</v>
      </c>
    </row>
    <row r="3041" spans="1:18" x14ac:dyDescent="0.25">
      <c r="A3041" s="6" t="str">
        <f>HYPERLINK("proteomic_fractions_linear_files/Yang_linear_img/31542904.jpg", "31542904")</f>
        <v>31542904</v>
      </c>
      <c r="B3041" s="7"/>
      <c r="C3041" s="6" t="str">
        <f>HYPERLINK("http://www.ncbi.nlm.nih.gov/protein/31542904","Gosr1")</f>
        <v>Gosr1</v>
      </c>
      <c r="D3041" s="8"/>
      <c r="E3041" s="8">
        <v>28358</v>
      </c>
      <c r="F3041" s="8"/>
      <c r="G3041" s="15" t="s">
        <v>10</v>
      </c>
      <c r="H3041" s="15" t="s">
        <v>10</v>
      </c>
      <c r="I3041" s="15">
        <v>0.87695787904560418</v>
      </c>
      <c r="J3041" s="15">
        <v>0.87695787904560418</v>
      </c>
      <c r="K3041" s="15" t="s">
        <v>10</v>
      </c>
      <c r="L3041" s="15" t="s">
        <v>10</v>
      </c>
      <c r="M3041" s="15">
        <v>0.47489514367862623</v>
      </c>
      <c r="N3041" s="15">
        <v>0.47489514367862623</v>
      </c>
      <c r="O3041" s="15" t="s">
        <v>10</v>
      </c>
      <c r="P3041" s="15" t="s">
        <v>10</v>
      </c>
      <c r="Q3041" s="8"/>
      <c r="R3041" s="9" t="s">
        <v>2807</v>
      </c>
    </row>
    <row r="3042" spans="1:18" x14ac:dyDescent="0.25">
      <c r="A3042" s="6" t="str">
        <f>HYPERLINK("proteomic_fractions_linear_files/Yang_linear_img/24528553.jpg", "24528553")</f>
        <v>24528553</v>
      </c>
      <c r="B3042" s="7"/>
      <c r="C3042" s="6" t="str">
        <f>HYPERLINK("http://www.ncbi.nlm.nih.gov/protein/24528553","Gosr2")</f>
        <v>Gosr2</v>
      </c>
      <c r="D3042" s="8"/>
      <c r="E3042" s="8">
        <v>24594</v>
      </c>
      <c r="F3042" s="8"/>
      <c r="G3042" s="15" t="s">
        <v>10</v>
      </c>
      <c r="H3042" s="15" t="s">
        <v>10</v>
      </c>
      <c r="I3042" s="15">
        <v>0.92438293498869784</v>
      </c>
      <c r="J3042" s="15">
        <v>0.92438293498869784</v>
      </c>
      <c r="K3042" s="15">
        <v>0.9821928245310767</v>
      </c>
      <c r="L3042" s="15">
        <v>0.9821928245310767</v>
      </c>
      <c r="M3042" s="15" t="s">
        <v>10</v>
      </c>
      <c r="N3042" s="15" t="s">
        <v>10</v>
      </c>
      <c r="O3042" s="15" t="s">
        <v>10</v>
      </c>
      <c r="P3042" s="15" t="s">
        <v>10</v>
      </c>
      <c r="Q3042" s="8"/>
      <c r="R3042" s="9" t="s">
        <v>2808</v>
      </c>
    </row>
    <row r="3043" spans="1:18" x14ac:dyDescent="0.25">
      <c r="A3043" s="6" t="str">
        <f>HYPERLINK("proteomic_fractions_linear_files/Yang_linear_img/160298209.jpg", "160298209")</f>
        <v>160298209</v>
      </c>
      <c r="B3043" s="7"/>
      <c r="C3043" s="6" t="str">
        <f>HYPERLINK("http://www.ncbi.nlm.nih.gov/protein/160298209","Got1")</f>
        <v>Got1</v>
      </c>
      <c r="D3043" s="8"/>
      <c r="E3043" s="8">
        <v>46117</v>
      </c>
      <c r="F3043" s="8"/>
      <c r="G3043" s="15">
        <v>1.1547949919565452</v>
      </c>
      <c r="H3043" s="15">
        <v>1.1547949919565452</v>
      </c>
      <c r="I3043" s="15">
        <v>0.88059387398310318</v>
      </c>
      <c r="J3043" s="15">
        <v>0.88059387398310318</v>
      </c>
      <c r="K3043" s="15">
        <v>0.88059387398310318</v>
      </c>
      <c r="L3043" s="15">
        <v>0.88059387398310318</v>
      </c>
      <c r="M3043" s="15">
        <v>0.88059387398310318</v>
      </c>
      <c r="N3043" s="15">
        <v>0.88059387398310318</v>
      </c>
      <c r="O3043" s="15">
        <v>0.75116035935815617</v>
      </c>
      <c r="P3043" s="15">
        <v>0.75116035935815617</v>
      </c>
      <c r="Q3043" s="8"/>
      <c r="R3043" s="9" t="s">
        <v>2809</v>
      </c>
    </row>
    <row r="3044" spans="1:18" x14ac:dyDescent="0.25">
      <c r="A3044" s="6" t="str">
        <f>HYPERLINK("proteomic_fractions_linear_files/Yang_linear_img/6754036.jpg", "6754036")</f>
        <v>6754036</v>
      </c>
      <c r="B3044" s="7"/>
      <c r="C3044" s="6" t="str">
        <f>HYPERLINK("http://www.ncbi.nlm.nih.gov/protein/6754036","Got2")</f>
        <v>Got2</v>
      </c>
      <c r="D3044" s="8"/>
      <c r="E3044" s="8">
        <v>44579</v>
      </c>
      <c r="F3044" s="8"/>
      <c r="G3044" s="15">
        <v>1.1804571028889128</v>
      </c>
      <c r="H3044" s="15">
        <v>1.1804571028889128</v>
      </c>
      <c r="I3044" s="15">
        <v>0.90016262673828318</v>
      </c>
      <c r="J3044" s="15">
        <v>0.90016262673828318</v>
      </c>
      <c r="K3044" s="15">
        <v>0.90016262673828318</v>
      </c>
      <c r="L3044" s="15">
        <v>0.90016262673828318</v>
      </c>
      <c r="M3044" s="15">
        <v>0.90016262673828318</v>
      </c>
      <c r="N3044" s="15">
        <v>0.90016262673828318</v>
      </c>
      <c r="O3044" s="15">
        <v>0.76785281178833742</v>
      </c>
      <c r="P3044" s="15">
        <v>0.76785281178833742</v>
      </c>
      <c r="Q3044" s="8"/>
      <c r="R3044" s="9" t="s">
        <v>2810</v>
      </c>
    </row>
    <row r="3045" spans="1:18" x14ac:dyDescent="0.25">
      <c r="A3045" s="6" t="str">
        <f>HYPERLINK("proteomic_fractions_linear_files/Yang_linear_img/6754046.jpg", "6754046")</f>
        <v>6754046</v>
      </c>
      <c r="B3045" s="7"/>
      <c r="C3045" s="6" t="str">
        <f>HYPERLINK("http://www.ncbi.nlm.nih.gov/protein/6754046","Gpaa1")</f>
        <v>Gpaa1</v>
      </c>
      <c r="D3045" s="8"/>
      <c r="E3045" s="8">
        <v>67818</v>
      </c>
      <c r="F3045" s="8"/>
      <c r="G3045" s="15" t="s">
        <v>10</v>
      </c>
      <c r="H3045" s="15" t="s">
        <v>10</v>
      </c>
      <c r="I3045" s="15">
        <v>0.86431187625873307</v>
      </c>
      <c r="J3045" s="15">
        <v>0.86431187625873307</v>
      </c>
      <c r="K3045" s="15">
        <v>0.96254799015506365</v>
      </c>
      <c r="L3045" s="15">
        <v>0.96254799015506365</v>
      </c>
      <c r="M3045" s="15" t="s">
        <v>10</v>
      </c>
      <c r="N3045" s="15" t="s">
        <v>10</v>
      </c>
      <c r="O3045" s="15" t="s">
        <v>10</v>
      </c>
      <c r="P3045" s="15" t="s">
        <v>10</v>
      </c>
      <c r="Q3045" s="8"/>
      <c r="R3045" s="9" t="s">
        <v>2811</v>
      </c>
    </row>
    <row r="3046" spans="1:18" x14ac:dyDescent="0.25">
      <c r="A3046" s="6" t="str">
        <f>HYPERLINK("proteomic_fractions_linear_files/Yang_linear_img/27754089.jpg", "27754089")</f>
        <v>27754089</v>
      </c>
      <c r="B3046" s="7"/>
      <c r="C3046" s="6" t="str">
        <f>HYPERLINK("http://www.ncbi.nlm.nih.gov/protein/27754089","Gpalpp1")</f>
        <v>Gpalpp1</v>
      </c>
      <c r="D3046" s="8"/>
      <c r="E3046" s="8">
        <v>38824</v>
      </c>
      <c r="F3046" s="8"/>
      <c r="G3046" s="15" t="s">
        <v>10</v>
      </c>
      <c r="H3046" s="15" t="s">
        <v>10</v>
      </c>
      <c r="I3046" s="15" t="s">
        <v>10</v>
      </c>
      <c r="J3046" s="15" t="s">
        <v>10</v>
      </c>
      <c r="K3046" s="15" t="s">
        <v>10</v>
      </c>
      <c r="L3046" s="15" t="s">
        <v>10</v>
      </c>
      <c r="M3046" s="15" t="s">
        <v>10</v>
      </c>
      <c r="N3046" s="15" t="s">
        <v>10</v>
      </c>
      <c r="O3046" s="15">
        <v>1.3620658879487455</v>
      </c>
      <c r="P3046" s="15">
        <v>1.3620658879487455</v>
      </c>
      <c r="Q3046" s="8"/>
      <c r="R3046" s="9" t="s">
        <v>2812</v>
      </c>
    </row>
    <row r="3047" spans="1:18" x14ac:dyDescent="0.25">
      <c r="A3047" s="6" t="str">
        <f>HYPERLINK("proteomic_fractions_linear_files/Yang_linear_img/194473718.jpg", "194473718")</f>
        <v>194473718</v>
      </c>
      <c r="B3047" s="7"/>
      <c r="C3047" s="6" t="str">
        <f>HYPERLINK("http://www.ncbi.nlm.nih.gov/protein/194473718","Gpatch11")</f>
        <v>Gpatch11</v>
      </c>
      <c r="D3047" s="8"/>
      <c r="E3047" s="8">
        <v>30694</v>
      </c>
      <c r="F3047" s="8"/>
      <c r="G3047" s="15" t="s">
        <v>10</v>
      </c>
      <c r="H3047" s="15" t="s">
        <v>10</v>
      </c>
      <c r="I3047" s="15" t="s">
        <v>10</v>
      </c>
      <c r="J3047" s="15" t="s">
        <v>10</v>
      </c>
      <c r="K3047" s="15" t="s">
        <v>10</v>
      </c>
      <c r="L3047" s="15" t="s">
        <v>10</v>
      </c>
      <c r="M3047" s="15" t="s">
        <v>10</v>
      </c>
      <c r="N3047" s="15" t="s">
        <v>10</v>
      </c>
      <c r="O3047" s="15">
        <v>1.0349700921204383</v>
      </c>
      <c r="P3047" s="15">
        <v>1.0349700921204383</v>
      </c>
      <c r="Q3047" s="8"/>
      <c r="R3047" s="9" t="s">
        <v>2813</v>
      </c>
    </row>
    <row r="3048" spans="1:18" x14ac:dyDescent="0.25">
      <c r="A3048" s="6" t="str">
        <f>HYPERLINK("proteomic_fractions_linear_files/Yang_linear_img/27370332.jpg", "27370332")</f>
        <v>27370332</v>
      </c>
      <c r="B3048" s="7"/>
      <c r="C3048" s="6" t="str">
        <f>HYPERLINK("http://www.ncbi.nlm.nih.gov/protein/27370332","Gpatch3")</f>
        <v>Gpatch3</v>
      </c>
      <c r="D3048" s="8"/>
      <c r="E3048" s="8">
        <v>59049</v>
      </c>
      <c r="F3048" s="8"/>
      <c r="G3048" s="15" t="s">
        <v>10</v>
      </c>
      <c r="H3048" s="15" t="s">
        <v>10</v>
      </c>
      <c r="I3048" s="15" t="s">
        <v>10</v>
      </c>
      <c r="J3048" s="15" t="s">
        <v>10</v>
      </c>
      <c r="K3048" s="15">
        <v>0.283330076620458</v>
      </c>
      <c r="L3048" s="15">
        <v>0.283330076620458</v>
      </c>
      <c r="M3048" s="15">
        <v>0.283330076620458</v>
      </c>
      <c r="N3048" s="15">
        <v>0.283330076620458</v>
      </c>
      <c r="O3048" s="15" t="s">
        <v>10</v>
      </c>
      <c r="P3048" s="15" t="s">
        <v>10</v>
      </c>
      <c r="Q3048" s="8"/>
      <c r="R3048" s="9" t="s">
        <v>2814</v>
      </c>
    </row>
    <row r="3049" spans="1:18" x14ac:dyDescent="0.25">
      <c r="A3049" s="6" t="str">
        <f>HYPERLINK("proteomic_fractions_linear_files/Yang_linear_img/160948594.jpg", "160948594")</f>
        <v>160948594</v>
      </c>
      <c r="B3049" s="7"/>
      <c r="C3049" s="6" t="str">
        <f>HYPERLINK("http://www.ncbi.nlm.nih.gov/protein/160948594","Gpatch4")</f>
        <v>Gpatch4</v>
      </c>
      <c r="D3049" s="8"/>
      <c r="E3049" s="8">
        <v>46423</v>
      </c>
      <c r="F3049" s="8"/>
      <c r="G3049" s="15" t="s">
        <v>10</v>
      </c>
      <c r="H3049" s="15" t="s">
        <v>10</v>
      </c>
      <c r="I3049" s="15" t="s">
        <v>10</v>
      </c>
      <c r="J3049" s="15" t="s">
        <v>10</v>
      </c>
      <c r="K3049" s="15">
        <v>0.42393803973989724</v>
      </c>
      <c r="L3049" s="15">
        <v>0.42393803973989724</v>
      </c>
      <c r="M3049" s="15" t="s">
        <v>10</v>
      </c>
      <c r="N3049" s="15" t="s">
        <v>10</v>
      </c>
      <c r="O3049" s="15" t="s">
        <v>10</v>
      </c>
      <c r="P3049" s="15" t="s">
        <v>10</v>
      </c>
      <c r="Q3049" s="8"/>
      <c r="R3049" s="9" t="s">
        <v>2815</v>
      </c>
    </row>
    <row r="3050" spans="1:18" x14ac:dyDescent="0.25">
      <c r="A3050" s="6" t="str">
        <f>HYPERLINK("proteomic_fractions_linear_files/Yang_linear_img/226958329.jpg", "226958329")</f>
        <v>226958329</v>
      </c>
      <c r="B3050" s="7"/>
      <c r="C3050" s="6" t="str">
        <f>HYPERLINK("http://www.ncbi.nlm.nih.gov/protein/226958329","Gpatch8")</f>
        <v>Gpatch8</v>
      </c>
      <c r="D3050" s="8"/>
      <c r="E3050" s="8">
        <v>164857</v>
      </c>
      <c r="F3050" s="8"/>
      <c r="G3050" s="15" t="s">
        <v>10</v>
      </c>
      <c r="H3050" s="15" t="s">
        <v>10</v>
      </c>
      <c r="I3050" s="15">
        <v>36.321818181818188</v>
      </c>
      <c r="J3050" s="15">
        <v>36.321818181818188</v>
      </c>
      <c r="K3050" s="15">
        <v>36.321818181818188</v>
      </c>
      <c r="L3050" s="15">
        <v>36.321818181818188</v>
      </c>
      <c r="M3050" s="15">
        <v>36.321818181818188</v>
      </c>
      <c r="N3050" s="15">
        <v>36.321818181818188</v>
      </c>
      <c r="O3050" s="15">
        <v>36.321818181818188</v>
      </c>
      <c r="P3050" s="15">
        <v>36.321818181818188</v>
      </c>
      <c r="Q3050" s="8"/>
      <c r="R3050" s="9" t="s">
        <v>2816</v>
      </c>
    </row>
    <row r="3051" spans="1:18" x14ac:dyDescent="0.25">
      <c r="A3051" s="6" t="str">
        <f>HYPERLINK("proteomic_fractions_linear_files/Yang_linear_img/238624186.jpg", "238624186")</f>
        <v>238624186</v>
      </c>
      <c r="B3051" s="7"/>
      <c r="C3051" s="6" t="str">
        <f>HYPERLINK("http://www.ncbi.nlm.nih.gov/protein/238624186","Gpc4")</f>
        <v>Gpc4</v>
      </c>
      <c r="D3051" s="8"/>
      <c r="E3051" s="8">
        <v>57852</v>
      </c>
      <c r="F3051" s="8"/>
      <c r="G3051" s="15" t="s">
        <v>10</v>
      </c>
      <c r="H3051" s="15" t="s">
        <v>10</v>
      </c>
      <c r="I3051" s="15">
        <v>0.55317366992644112</v>
      </c>
      <c r="J3051" s="15">
        <v>0.55317366992644112</v>
      </c>
      <c r="K3051" s="15" t="s">
        <v>10</v>
      </c>
      <c r="L3051" s="15" t="s">
        <v>10</v>
      </c>
      <c r="M3051" s="15" t="s">
        <v>10</v>
      </c>
      <c r="N3051" s="15" t="s">
        <v>10</v>
      </c>
      <c r="O3051" s="15" t="s">
        <v>10</v>
      </c>
      <c r="P3051" s="15" t="s">
        <v>10</v>
      </c>
      <c r="Q3051" s="8"/>
      <c r="R3051" s="9" t="s">
        <v>2817</v>
      </c>
    </row>
    <row r="3052" spans="1:18" x14ac:dyDescent="0.25">
      <c r="A3052" s="6" t="str">
        <f>HYPERLINK("proteomic_fractions_linear_files/Yang_linear_img/119943145.jpg", "119943145")</f>
        <v>119943145</v>
      </c>
      <c r="B3052" s="7"/>
      <c r="C3052" s="6" t="str">
        <f>HYPERLINK("http://www.ncbi.nlm.nih.gov/protein/119943145","Gpc6")</f>
        <v>Gpc6</v>
      </c>
      <c r="D3052" s="8"/>
      <c r="E3052" s="8">
        <v>61955</v>
      </c>
      <c r="F3052" s="8"/>
      <c r="G3052" s="15" t="s">
        <v>10</v>
      </c>
      <c r="H3052" s="15" t="s">
        <v>10</v>
      </c>
      <c r="I3052" s="15">
        <v>0.51748504606021917</v>
      </c>
      <c r="J3052" s="15">
        <v>0.51748504606021917</v>
      </c>
      <c r="K3052" s="15" t="s">
        <v>10</v>
      </c>
      <c r="L3052" s="15" t="s">
        <v>10</v>
      </c>
      <c r="M3052" s="15" t="s">
        <v>10</v>
      </c>
      <c r="N3052" s="15" t="s">
        <v>10</v>
      </c>
      <c r="O3052" s="15" t="s">
        <v>10</v>
      </c>
      <c r="P3052" s="15" t="s">
        <v>10</v>
      </c>
      <c r="Q3052" s="8"/>
      <c r="R3052" s="9" t="s">
        <v>2818</v>
      </c>
    </row>
    <row r="3053" spans="1:18" x14ac:dyDescent="0.25">
      <c r="A3053" s="6" t="str">
        <f>HYPERLINK("proteomic_fractions_linear_files/Yang_linear_img/7106325.jpg", "7106325")</f>
        <v>7106325</v>
      </c>
      <c r="B3053" s="7"/>
      <c r="C3053" s="6" t="str">
        <f>HYPERLINK("http://www.ncbi.nlm.nih.gov/protein/7106325","Gpc6")</f>
        <v>Gpc6</v>
      </c>
      <c r="D3053" s="8"/>
      <c r="E3053" s="8">
        <v>57830</v>
      </c>
      <c r="F3053" s="8"/>
      <c r="G3053" s="15" t="s">
        <v>10</v>
      </c>
      <c r="H3053" s="15" t="s">
        <v>10</v>
      </c>
      <c r="I3053" s="15">
        <v>0.55317366992644112</v>
      </c>
      <c r="J3053" s="15">
        <v>0.55317366992644112</v>
      </c>
      <c r="K3053" s="15" t="s">
        <v>10</v>
      </c>
      <c r="L3053" s="15" t="s">
        <v>10</v>
      </c>
      <c r="M3053" s="15" t="s">
        <v>10</v>
      </c>
      <c r="N3053" s="15" t="s">
        <v>10</v>
      </c>
      <c r="O3053" s="15" t="s">
        <v>10</v>
      </c>
      <c r="P3053" s="15" t="s">
        <v>10</v>
      </c>
      <c r="Q3053" s="8"/>
      <c r="R3053" s="9" t="s">
        <v>2819</v>
      </c>
    </row>
    <row r="3054" spans="1:18" x14ac:dyDescent="0.25">
      <c r="A3054" s="6" t="str">
        <f>HYPERLINK("proteomic_fractions_linear_files/Yang_linear_img/111185942.jpg", "111185942")</f>
        <v>111185942</v>
      </c>
      <c r="B3054" s="7"/>
      <c r="C3054" s="6" t="str">
        <f>HYPERLINK("http://www.ncbi.nlm.nih.gov/protein/111185942","Gpcpd1")</f>
        <v>Gpcpd1</v>
      </c>
      <c r="D3054" s="8"/>
      <c r="E3054" s="8">
        <v>76449</v>
      </c>
      <c r="F3054" s="8"/>
      <c r="G3054" s="15" t="s">
        <v>10</v>
      </c>
      <c r="H3054" s="15" t="s">
        <v>10</v>
      </c>
      <c r="I3054" s="15" t="s">
        <v>10</v>
      </c>
      <c r="J3054" s="15" t="s">
        <v>10</v>
      </c>
      <c r="K3054" s="15" t="s">
        <v>10</v>
      </c>
      <c r="L3054" s="15" t="s">
        <v>10</v>
      </c>
      <c r="M3054" s="15" t="s">
        <v>10</v>
      </c>
      <c r="N3054" s="15" t="s">
        <v>10</v>
      </c>
      <c r="O3054" s="15">
        <v>1.0934034009624192</v>
      </c>
      <c r="P3054" s="15">
        <v>1.0934034009624192</v>
      </c>
      <c r="Q3054" s="8"/>
      <c r="R3054" s="9" t="s">
        <v>2820</v>
      </c>
    </row>
    <row r="3055" spans="1:18" x14ac:dyDescent="0.25">
      <c r="A3055" s="6" t="str">
        <f>HYPERLINK("proteomic_fractions_linear_files/Yang_linear_img/111185947.jpg", "111185947")</f>
        <v>111185947</v>
      </c>
      <c r="B3055" s="7"/>
      <c r="C3055" s="6" t="str">
        <f>HYPERLINK("http://www.ncbi.nlm.nih.gov/protein/111185947","Gpcpd1")</f>
        <v>Gpcpd1</v>
      </c>
      <c r="D3055" s="8"/>
      <c r="E3055" s="8">
        <v>71222</v>
      </c>
      <c r="F3055" s="8"/>
      <c r="G3055" s="15" t="s">
        <v>10</v>
      </c>
      <c r="H3055" s="15" t="s">
        <v>10</v>
      </c>
      <c r="I3055" s="15" t="s">
        <v>10</v>
      </c>
      <c r="J3055" s="15" t="s">
        <v>10</v>
      </c>
      <c r="K3055" s="15" t="s">
        <v>10</v>
      </c>
      <c r="L3055" s="15" t="s">
        <v>10</v>
      </c>
      <c r="M3055" s="15" t="s">
        <v>10</v>
      </c>
      <c r="N3055" s="15" t="s">
        <v>10</v>
      </c>
      <c r="O3055" s="15">
        <v>1.1704036404668148</v>
      </c>
      <c r="P3055" s="15">
        <v>1.1704036404668148</v>
      </c>
      <c r="Q3055" s="8"/>
      <c r="R3055" s="9" t="s">
        <v>2821</v>
      </c>
    </row>
    <row r="3056" spans="1:18" x14ac:dyDescent="0.25">
      <c r="A3056" s="6" t="str">
        <f>HYPERLINK("proteomic_fractions_linear_files/Yang_linear_img/6753966.jpg", "6753966")</f>
        <v>6753966</v>
      </c>
      <c r="B3056" s="7"/>
      <c r="C3056" s="6" t="str">
        <f>HYPERLINK("http://www.ncbi.nlm.nih.gov/protein/6753966","Gpd1")</f>
        <v>Gpd1</v>
      </c>
      <c r="D3056" s="8"/>
      <c r="E3056" s="8">
        <v>37442</v>
      </c>
      <c r="F3056" s="8"/>
      <c r="G3056" s="15">
        <v>0.80771369977603058</v>
      </c>
      <c r="H3056" s="15">
        <v>1.1925834931612289</v>
      </c>
      <c r="I3056" s="15">
        <v>0.86713710420901591</v>
      </c>
      <c r="J3056" s="15">
        <v>0.86713710420901591</v>
      </c>
      <c r="K3056" s="15">
        <v>0.86713710420901591</v>
      </c>
      <c r="L3056" s="15">
        <v>0.86713710420901591</v>
      </c>
      <c r="M3056" s="15">
        <v>0.86713710420901591</v>
      </c>
      <c r="N3056" s="15">
        <v>0.86713710420901591</v>
      </c>
      <c r="O3056" s="15">
        <v>0.80771369977603058</v>
      </c>
      <c r="P3056" s="15">
        <v>0.80771369977603058</v>
      </c>
      <c r="Q3056" s="8"/>
      <c r="R3056" s="9" t="s">
        <v>2822</v>
      </c>
    </row>
    <row r="3057" spans="1:18" x14ac:dyDescent="0.25">
      <c r="A3057" s="6" t="str">
        <f>HYPERLINK("proteomic_fractions_linear_files/Yang_linear_img/257467604.jpg", "257467604")</f>
        <v>257467604</v>
      </c>
      <c r="B3057" s="7"/>
      <c r="C3057" s="6" t="str">
        <f>HYPERLINK("http://www.ncbi.nlm.nih.gov/protein/257467604","Gpd1l")</f>
        <v>Gpd1l</v>
      </c>
      <c r="D3057" s="8"/>
      <c r="E3057" s="8">
        <v>38095</v>
      </c>
      <c r="F3057" s="8"/>
      <c r="G3057" s="15" t="s">
        <v>10</v>
      </c>
      <c r="H3057" s="15" t="s">
        <v>10</v>
      </c>
      <c r="I3057" s="15">
        <v>0.90929938238092589</v>
      </c>
      <c r="J3057" s="15">
        <v>0.90929938238092589</v>
      </c>
      <c r="K3057" s="15">
        <v>0.98266648481906815</v>
      </c>
      <c r="L3057" s="15">
        <v>0.98266648481906815</v>
      </c>
      <c r="M3057" s="15">
        <v>0.90929938238092589</v>
      </c>
      <c r="N3057" s="15">
        <v>0.90929938238092589</v>
      </c>
      <c r="O3057" s="15">
        <v>0.84431770672983131</v>
      </c>
      <c r="P3057" s="15">
        <v>0.84431770672983131</v>
      </c>
      <c r="Q3057" s="8"/>
      <c r="R3057" s="9" t="s">
        <v>2823</v>
      </c>
    </row>
    <row r="3058" spans="1:18" x14ac:dyDescent="0.25">
      <c r="A3058" s="6" t="str">
        <f>HYPERLINK("proteomic_fractions_linear_files/Yang_linear_img/224922803.jpg", "224922803")</f>
        <v>224922803</v>
      </c>
      <c r="B3058" s="7"/>
      <c r="C3058" s="6" t="str">
        <f>HYPERLINK("http://www.ncbi.nlm.nih.gov/protein/224922803","Gpd2")</f>
        <v>Gpd2</v>
      </c>
      <c r="D3058" s="8"/>
      <c r="E3058" s="8">
        <v>76552</v>
      </c>
      <c r="F3058" s="8"/>
      <c r="G3058" s="15">
        <v>1.2333504049686299</v>
      </c>
      <c r="H3058" s="15">
        <v>1.2333504049686299</v>
      </c>
      <c r="I3058" s="15">
        <v>0.95371636677509408</v>
      </c>
      <c r="J3058" s="15">
        <v>0.95371636677509408</v>
      </c>
      <c r="K3058" s="15">
        <v>1.079203356794076</v>
      </c>
      <c r="L3058" s="15">
        <v>1.079203356794076</v>
      </c>
      <c r="M3058" s="15" t="s">
        <v>10</v>
      </c>
      <c r="N3058" s="15" t="s">
        <v>10</v>
      </c>
      <c r="O3058" s="15" t="s">
        <v>10</v>
      </c>
      <c r="P3058" s="15" t="s">
        <v>10</v>
      </c>
      <c r="Q3058" s="8"/>
      <c r="R3058" s="9" t="s">
        <v>2824</v>
      </c>
    </row>
    <row r="3059" spans="1:18" x14ac:dyDescent="0.25">
      <c r="A3059" s="6" t="str">
        <f>HYPERLINK("proteomic_fractions_linear_files/Yang_linear_img/269973915.jpg", "269973915")</f>
        <v>269973915</v>
      </c>
      <c r="B3059" s="7"/>
      <c r="C3059" s="6" t="str">
        <f>HYPERLINK("http://www.ncbi.nlm.nih.gov/protein/269973915","Gphn")</f>
        <v>Gphn</v>
      </c>
      <c r="D3059" s="8"/>
      <c r="E3059" s="8">
        <v>83152</v>
      </c>
      <c r="F3059" s="8"/>
      <c r="G3059" s="15" t="s">
        <v>10</v>
      </c>
      <c r="H3059" s="15" t="s">
        <v>10</v>
      </c>
      <c r="I3059" s="15">
        <v>1.3229104074835116</v>
      </c>
      <c r="J3059" s="15">
        <v>1.3229104074835116</v>
      </c>
      <c r="K3059" s="15">
        <v>1.3229104074835116</v>
      </c>
      <c r="L3059" s="15">
        <v>1.3229104074835116</v>
      </c>
      <c r="M3059" s="15">
        <v>1.3229104074835116</v>
      </c>
      <c r="N3059" s="15">
        <v>1.3229104074835116</v>
      </c>
      <c r="O3059" s="15">
        <v>1.1441925443684882</v>
      </c>
      <c r="P3059" s="15">
        <v>1.1441925443684882</v>
      </c>
      <c r="Q3059" s="8"/>
      <c r="R3059" s="9" t="s">
        <v>2825</v>
      </c>
    </row>
    <row r="3060" spans="1:18" x14ac:dyDescent="0.25">
      <c r="A3060" s="6" t="str">
        <f>HYPERLINK("proteomic_fractions_linear_files/Yang_linear_img/269973917.jpg", "269973917")</f>
        <v>269973917</v>
      </c>
      <c r="B3060" s="7"/>
      <c r="C3060" s="6" t="str">
        <f>HYPERLINK("http://www.ncbi.nlm.nih.gov/protein/269973917","Gphn")</f>
        <v>Gphn</v>
      </c>
      <c r="D3060" s="8"/>
      <c r="E3060" s="8">
        <v>83535</v>
      </c>
      <c r="F3060" s="8"/>
      <c r="G3060" s="15" t="s">
        <v>10</v>
      </c>
      <c r="H3060" s="15" t="s">
        <v>10</v>
      </c>
      <c r="I3060" s="15">
        <v>1.3071614740610888</v>
      </c>
      <c r="J3060" s="15">
        <v>1.3071614740610888</v>
      </c>
      <c r="K3060" s="15">
        <v>1.3071614740610888</v>
      </c>
      <c r="L3060" s="15">
        <v>1.3071614740610888</v>
      </c>
      <c r="M3060" s="15">
        <v>1.3071614740610888</v>
      </c>
      <c r="N3060" s="15">
        <v>1.3071614740610888</v>
      </c>
      <c r="O3060" s="15">
        <v>1.1305712045545775</v>
      </c>
      <c r="P3060" s="15">
        <v>1.1305712045545775</v>
      </c>
      <c r="Q3060" s="8"/>
      <c r="R3060" s="9" t="s">
        <v>2826</v>
      </c>
    </row>
    <row r="3061" spans="1:18" x14ac:dyDescent="0.25">
      <c r="A3061" s="6" t="str">
        <f>HYPERLINK("proteomic_fractions_linear_files/Yang_linear_img/254553458.jpg", "254553458")</f>
        <v>254553458</v>
      </c>
      <c r="B3061" s="7"/>
      <c r="C3061" s="6" t="str">
        <f>HYPERLINK("http://www.ncbi.nlm.nih.gov/protein/254553458","Gpi1")</f>
        <v>Gpi1</v>
      </c>
      <c r="D3061" s="8"/>
      <c r="E3061" s="8">
        <v>62636</v>
      </c>
      <c r="F3061" s="8"/>
      <c r="G3061" s="15">
        <v>1.1656533371695594</v>
      </c>
      <c r="H3061" s="15">
        <v>1.1656533371695594</v>
      </c>
      <c r="I3061" s="15">
        <v>0.84318364492065201</v>
      </c>
      <c r="J3061" s="15">
        <v>0.84318364492065201</v>
      </c>
      <c r="K3061" s="15">
        <v>0.9329080569141881</v>
      </c>
      <c r="L3061" s="15">
        <v>0.9329080569141881</v>
      </c>
      <c r="M3061" s="15">
        <v>0.9329080569141881</v>
      </c>
      <c r="N3061" s="15">
        <v>0.9329080569141881</v>
      </c>
      <c r="O3061" s="15">
        <v>0.84318364492065201</v>
      </c>
      <c r="P3061" s="15">
        <v>0.84318364492065201</v>
      </c>
      <c r="Q3061" s="8"/>
      <c r="R3061" s="9" t="s">
        <v>2827</v>
      </c>
    </row>
    <row r="3062" spans="1:18" x14ac:dyDescent="0.25">
      <c r="A3062" s="6" t="str">
        <f>HYPERLINK("proteomic_fractions_linear_files/Yang_linear_img/377834554.jpg", "377834554")</f>
        <v>377834554</v>
      </c>
      <c r="B3062" s="7"/>
      <c r="C3062" s="6" t="str">
        <f>HYPERLINK("http://www.ncbi.nlm.nih.gov/protein/377834554","Gpi1")</f>
        <v>Gpi1</v>
      </c>
      <c r="D3062" s="8"/>
      <c r="E3062" s="8">
        <v>33740</v>
      </c>
      <c r="F3062" s="8"/>
      <c r="G3062" s="15">
        <v>2.1598870659318306</v>
      </c>
      <c r="H3062" s="15">
        <v>2.1598870659318306</v>
      </c>
      <c r="I3062" s="15">
        <v>1.5623696950000316</v>
      </c>
      <c r="J3062" s="15">
        <v>1.5623696950000316</v>
      </c>
      <c r="K3062" s="15">
        <v>1.7286237525174661</v>
      </c>
      <c r="L3062" s="15">
        <v>1.7286237525174661</v>
      </c>
      <c r="M3062" s="15">
        <v>1.7286237525174661</v>
      </c>
      <c r="N3062" s="15">
        <v>1.7286237525174661</v>
      </c>
      <c r="O3062" s="15">
        <v>1.4202933995416251</v>
      </c>
      <c r="P3062" s="15">
        <v>1.4202933995416251</v>
      </c>
      <c r="Q3062" s="8"/>
      <c r="R3062" s="9" t="s">
        <v>8179</v>
      </c>
    </row>
    <row r="3063" spans="1:18" x14ac:dyDescent="0.25">
      <c r="A3063" s="6" t="str">
        <f>HYPERLINK("proteomic_fractions_linear_files/Yang_linear_img/19526970.jpg", "19526970")</f>
        <v>19526970</v>
      </c>
      <c r="B3063" s="7"/>
      <c r="C3063" s="6" t="str">
        <f>HYPERLINK("http://www.ncbi.nlm.nih.gov/protein/19526970","Gpn1")</f>
        <v>Gpn1</v>
      </c>
      <c r="D3063" s="8"/>
      <c r="E3063" s="8">
        <v>41467</v>
      </c>
      <c r="F3063" s="8"/>
      <c r="G3063" s="15" t="s">
        <v>10</v>
      </c>
      <c r="H3063" s="15" t="s">
        <v>10</v>
      </c>
      <c r="I3063" s="15" t="s">
        <v>10</v>
      </c>
      <c r="J3063" s="15" t="s">
        <v>10</v>
      </c>
      <c r="K3063" s="15">
        <v>0.40771889074651274</v>
      </c>
      <c r="L3063" s="15">
        <v>0.40771889074651274</v>
      </c>
      <c r="M3063" s="15" t="s">
        <v>10</v>
      </c>
      <c r="N3063" s="15" t="s">
        <v>10</v>
      </c>
      <c r="O3063" s="15">
        <v>0.98798337081031085</v>
      </c>
      <c r="P3063" s="15">
        <v>0.98798337081031085</v>
      </c>
      <c r="Q3063" s="8"/>
      <c r="R3063" s="9" t="s">
        <v>2828</v>
      </c>
    </row>
    <row r="3064" spans="1:18" x14ac:dyDescent="0.25">
      <c r="A3064" s="6" t="str">
        <f>HYPERLINK("proteomic_fractions_linear_files/Yang_linear_img/21312642.jpg", "21312642")</f>
        <v>21312642</v>
      </c>
      <c r="B3064" s="7"/>
      <c r="C3064" s="6" t="str">
        <f>HYPERLINK("http://www.ncbi.nlm.nih.gov/protein/21312642","Gpn3")</f>
        <v>Gpn3</v>
      </c>
      <c r="D3064" s="8"/>
      <c r="E3064" s="8">
        <v>32659</v>
      </c>
      <c r="F3064" s="8"/>
      <c r="G3064" s="15" t="s">
        <v>10</v>
      </c>
      <c r="H3064" s="15" t="s">
        <v>10</v>
      </c>
      <c r="I3064" s="15" t="s">
        <v>10</v>
      </c>
      <c r="J3064" s="15" t="s">
        <v>10</v>
      </c>
      <c r="K3064" s="15" t="s">
        <v>10</v>
      </c>
      <c r="L3064" s="15" t="s">
        <v>10</v>
      </c>
      <c r="M3064" s="15" t="s">
        <v>10</v>
      </c>
      <c r="N3064" s="15" t="s">
        <v>10</v>
      </c>
      <c r="O3064" s="15">
        <v>0.84600640296006246</v>
      </c>
      <c r="P3064" s="15">
        <v>0.84600640296006246</v>
      </c>
      <c r="Q3064" s="8"/>
      <c r="R3064" s="9" t="s">
        <v>2829</v>
      </c>
    </row>
    <row r="3065" spans="1:18" x14ac:dyDescent="0.25">
      <c r="A3065" s="6" t="str">
        <f>HYPERLINK("proteomic_fractions_linear_files/Yang_linear_img/254692915.jpg", "254692915")</f>
        <v>254692915</v>
      </c>
      <c r="B3065" s="7"/>
      <c r="C3065" s="6" t="str">
        <f>HYPERLINK("http://www.ncbi.nlm.nih.gov/protein/254692915","Gpr107")</f>
        <v>Gpr107</v>
      </c>
      <c r="D3065" s="8"/>
      <c r="E3065" s="8">
        <v>58460</v>
      </c>
      <c r="F3065" s="8"/>
      <c r="G3065" s="15" t="s">
        <v>10</v>
      </c>
      <c r="H3065" s="15" t="s">
        <v>10</v>
      </c>
      <c r="I3065" s="15" t="s">
        <v>10</v>
      </c>
      <c r="J3065" s="15" t="s">
        <v>10</v>
      </c>
      <c r="K3065" s="15">
        <v>1.1285045401817988</v>
      </c>
      <c r="L3065" s="15">
        <v>1.1285045401817988</v>
      </c>
      <c r="M3065" s="15" t="s">
        <v>10</v>
      </c>
      <c r="N3065" s="15" t="s">
        <v>10</v>
      </c>
      <c r="O3065" s="15" t="s">
        <v>10</v>
      </c>
      <c r="P3065" s="15" t="s">
        <v>10</v>
      </c>
      <c r="Q3065" s="8"/>
      <c r="R3065" s="9" t="s">
        <v>2830</v>
      </c>
    </row>
    <row r="3066" spans="1:18" x14ac:dyDescent="0.25">
      <c r="A3066" s="6" t="str">
        <f>HYPERLINK("proteomic_fractions_linear_files/Yang_linear_img/50428577.jpg", "50428577")</f>
        <v>50428577</v>
      </c>
      <c r="B3066" s="7"/>
      <c r="C3066" s="6" t="str">
        <f>HYPERLINK("http://www.ncbi.nlm.nih.gov/protein/50428577","Gpr126")</f>
        <v>Gpr126</v>
      </c>
      <c r="D3066" s="8"/>
      <c r="E3066" s="8">
        <v>126247</v>
      </c>
      <c r="F3066" s="8"/>
      <c r="G3066" s="15" t="s">
        <v>10</v>
      </c>
      <c r="H3066" s="15" t="s">
        <v>10</v>
      </c>
      <c r="I3066" s="15" t="s">
        <v>10</v>
      </c>
      <c r="J3066" s="15" t="s">
        <v>10</v>
      </c>
      <c r="K3066" s="15">
        <v>0.87144098270739256</v>
      </c>
      <c r="L3066" s="15">
        <v>0.87144098270739256</v>
      </c>
      <c r="M3066" s="15" t="s">
        <v>10</v>
      </c>
      <c r="N3066" s="15" t="s">
        <v>10</v>
      </c>
      <c r="O3066" s="15" t="s">
        <v>10</v>
      </c>
      <c r="P3066" s="15" t="s">
        <v>10</v>
      </c>
      <c r="Q3066" s="8"/>
      <c r="R3066" s="9" t="s">
        <v>2831</v>
      </c>
    </row>
    <row r="3067" spans="1:18" x14ac:dyDescent="0.25">
      <c r="A3067" s="6" t="str">
        <f>HYPERLINK("proteomic_fractions_linear_files/Yang_linear_img/226442795.jpg", "226442795")</f>
        <v>226442795</v>
      </c>
      <c r="B3067" s="7"/>
      <c r="C3067" s="6" t="str">
        <f>HYPERLINK("http://www.ncbi.nlm.nih.gov/protein/226442795","Gpr39")</f>
        <v>Gpr39</v>
      </c>
      <c r="D3067" s="8"/>
      <c r="E3067" s="8">
        <v>51454</v>
      </c>
      <c r="F3067" s="8"/>
      <c r="G3067" s="15" t="s">
        <v>10</v>
      </c>
      <c r="H3067" s="15" t="s">
        <v>10</v>
      </c>
      <c r="I3067" s="15" t="s">
        <v>10</v>
      </c>
      <c r="J3067" s="15" t="s">
        <v>10</v>
      </c>
      <c r="K3067" s="15">
        <v>2.1529718396300286</v>
      </c>
      <c r="L3067" s="15">
        <v>2.1529718396300286</v>
      </c>
      <c r="M3067" s="15" t="s">
        <v>10</v>
      </c>
      <c r="N3067" s="15" t="s">
        <v>10</v>
      </c>
      <c r="O3067" s="15" t="s">
        <v>10</v>
      </c>
      <c r="P3067" s="15" t="s">
        <v>10</v>
      </c>
      <c r="Q3067" s="8"/>
      <c r="R3067" s="9" t="s">
        <v>2832</v>
      </c>
    </row>
    <row r="3068" spans="1:18" x14ac:dyDescent="0.25">
      <c r="A3068" s="6" t="str">
        <f>HYPERLINK("proteomic_fractions_linear_files/Yang_linear_img/31982718.jpg", "31982718")</f>
        <v>31982718</v>
      </c>
      <c r="B3068" s="7"/>
      <c r="C3068" s="6" t="str">
        <f>HYPERLINK("http://www.ncbi.nlm.nih.gov/protein/31982718","Gpr56")</f>
        <v>Gpr56</v>
      </c>
      <c r="D3068" s="8"/>
      <c r="E3068" s="8">
        <v>74435</v>
      </c>
      <c r="F3068" s="8"/>
      <c r="G3068" s="15">
        <v>1.2833510970619528</v>
      </c>
      <c r="H3068" s="15">
        <v>1.2833510970619528</v>
      </c>
      <c r="I3068" s="15">
        <v>0.99238054380651686</v>
      </c>
      <c r="J3068" s="15">
        <v>0.99238054380651686</v>
      </c>
      <c r="K3068" s="15">
        <v>1.1229548442316737</v>
      </c>
      <c r="L3068" s="15">
        <v>1.1229548442316737</v>
      </c>
      <c r="M3068" s="15">
        <v>0.31229153209077631</v>
      </c>
      <c r="N3068" s="15">
        <v>0.31229153209077631</v>
      </c>
      <c r="O3068" s="15" t="s">
        <v>10</v>
      </c>
      <c r="P3068" s="15" t="s">
        <v>10</v>
      </c>
      <c r="Q3068" s="8"/>
      <c r="R3068" s="9" t="s">
        <v>2833</v>
      </c>
    </row>
    <row r="3069" spans="1:18" x14ac:dyDescent="0.25">
      <c r="A3069" s="6" t="str">
        <f>HYPERLINK("proteomic_fractions_linear_files/Yang_linear_img/21312914.jpg", "21312914")</f>
        <v>21312914</v>
      </c>
      <c r="B3069" s="7"/>
      <c r="C3069" s="6" t="str">
        <f>HYPERLINK("http://www.ncbi.nlm.nih.gov/protein/21312914","Gpr89")</f>
        <v>Gpr89</v>
      </c>
      <c r="D3069" s="8"/>
      <c r="E3069" s="8">
        <v>52604</v>
      </c>
      <c r="F3069" s="8"/>
      <c r="G3069" s="15" t="s">
        <v>10</v>
      </c>
      <c r="H3069" s="15" t="s">
        <v>10</v>
      </c>
      <c r="I3069" s="15" t="s">
        <v>10</v>
      </c>
      <c r="J3069" s="15" t="s">
        <v>10</v>
      </c>
      <c r="K3069" s="15">
        <v>0.65195050057500348</v>
      </c>
      <c r="L3069" s="15">
        <v>0.65195050057500348</v>
      </c>
      <c r="M3069" s="15" t="s">
        <v>10</v>
      </c>
      <c r="N3069" s="15" t="s">
        <v>10</v>
      </c>
      <c r="O3069" s="15" t="s">
        <v>10</v>
      </c>
      <c r="P3069" s="15" t="s">
        <v>10</v>
      </c>
      <c r="Q3069" s="8"/>
      <c r="R3069" s="9" t="s">
        <v>2834</v>
      </c>
    </row>
    <row r="3070" spans="1:18" x14ac:dyDescent="0.25">
      <c r="A3070" s="6" t="str">
        <f>HYPERLINK("proteomic_fractions_linear_files/Yang_linear_img/153791474.jpg", "153791474")</f>
        <v>153791474</v>
      </c>
      <c r="B3070" s="7"/>
      <c r="C3070" s="6" t="str">
        <f>HYPERLINK("http://www.ncbi.nlm.nih.gov/protein/153791474","Gpr98")</f>
        <v>Gpr98</v>
      </c>
      <c r="D3070" s="8"/>
      <c r="E3070" s="8">
        <v>684555</v>
      </c>
      <c r="F3070" s="8"/>
      <c r="G3070" s="15" t="s">
        <v>10</v>
      </c>
      <c r="H3070" s="15" t="s">
        <v>10</v>
      </c>
      <c r="I3070" s="15" t="s">
        <v>10</v>
      </c>
      <c r="J3070" s="15" t="s">
        <v>10</v>
      </c>
      <c r="K3070" s="15">
        <v>7.754827683211836E-2</v>
      </c>
      <c r="L3070" s="15">
        <v>7.754827683211836E-2</v>
      </c>
      <c r="M3070" s="15" t="s">
        <v>10</v>
      </c>
      <c r="N3070" s="15" t="s">
        <v>10</v>
      </c>
      <c r="O3070" s="15" t="s">
        <v>10</v>
      </c>
      <c r="P3070" s="15" t="s">
        <v>10</v>
      </c>
      <c r="Q3070" s="8"/>
      <c r="R3070" s="9" t="s">
        <v>2835</v>
      </c>
    </row>
    <row r="3071" spans="1:18" x14ac:dyDescent="0.25">
      <c r="A3071" s="6" t="str">
        <f>HYPERLINK("proteomic_fractions_linear_files/Yang_linear_img/225543465.jpg", "225543465")</f>
        <v>225543465</v>
      </c>
      <c r="B3071" s="7"/>
      <c r="C3071" s="6" t="str">
        <f>HYPERLINK("http://www.ncbi.nlm.nih.gov/protein/225543465","Gprc5a")</f>
        <v>Gprc5a</v>
      </c>
      <c r="D3071" s="8"/>
      <c r="E3071" s="8">
        <v>39965</v>
      </c>
      <c r="F3071" s="8"/>
      <c r="G3071" s="15">
        <v>4.6691457909985088</v>
      </c>
      <c r="H3071" s="15">
        <v>4.6691457909985088</v>
      </c>
      <c r="I3071" s="15">
        <v>1.4693301896398463</v>
      </c>
      <c r="J3071" s="15">
        <v>1.1031397311741367</v>
      </c>
      <c r="K3071" s="15">
        <v>1.1031397311741367</v>
      </c>
      <c r="L3071" s="15">
        <v>1.1031397311741367</v>
      </c>
      <c r="M3071" s="15">
        <v>1.2072493896103813</v>
      </c>
      <c r="N3071" s="15">
        <v>1.2072493896103813</v>
      </c>
      <c r="O3071" s="15">
        <v>3.2180407036279242</v>
      </c>
      <c r="P3071" s="15">
        <v>3.2180407036279242</v>
      </c>
      <c r="Q3071" s="8"/>
      <c r="R3071" s="9" t="s">
        <v>2836</v>
      </c>
    </row>
    <row r="3072" spans="1:18" x14ac:dyDescent="0.25">
      <c r="A3072" s="6" t="str">
        <f>HYPERLINK("proteomic_fractions_linear_files/Yang_linear_img/160333231.jpg", "160333231")</f>
        <v>160333231</v>
      </c>
      <c r="B3072" s="7"/>
      <c r="C3072" s="6" t="str">
        <f>HYPERLINK("http://www.ncbi.nlm.nih.gov/protein/160333231","Gprc5c")</f>
        <v>Gprc5c</v>
      </c>
      <c r="D3072" s="8"/>
      <c r="E3072" s="8">
        <v>46129</v>
      </c>
      <c r="F3072" s="8"/>
      <c r="G3072" s="15">
        <v>1.2776784257737794</v>
      </c>
      <c r="H3072" s="15">
        <v>1.2776784257737794</v>
      </c>
      <c r="I3072" s="15">
        <v>1.0497820779220708</v>
      </c>
      <c r="J3072" s="15">
        <v>1.1547949919565452</v>
      </c>
      <c r="K3072" s="15">
        <v>1.1547949919565452</v>
      </c>
      <c r="L3072" s="15">
        <v>1.1547949919565452</v>
      </c>
      <c r="M3072" s="15">
        <v>1.1547949919565452</v>
      </c>
      <c r="N3072" s="15">
        <v>1.1547949919565452</v>
      </c>
      <c r="O3072" s="15">
        <v>0.30186631521601415</v>
      </c>
      <c r="P3072" s="15">
        <v>0.95925194015142323</v>
      </c>
      <c r="Q3072" s="8"/>
      <c r="R3072" s="9" t="s">
        <v>2837</v>
      </c>
    </row>
    <row r="3073" spans="1:18" x14ac:dyDescent="0.25">
      <c r="A3073" s="6" t="str">
        <f>HYPERLINK("proteomic_fractions_linear_files/Yang_linear_img/160333233.jpg", "160333233")</f>
        <v>160333233</v>
      </c>
      <c r="B3073" s="7"/>
      <c r="C3073" s="6" t="str">
        <f>HYPERLINK("http://www.ncbi.nlm.nih.gov/protein/160333233","Gprc5c")</f>
        <v>Gprc5c</v>
      </c>
      <c r="D3073" s="8"/>
      <c r="E3073" s="8">
        <v>46092</v>
      </c>
      <c r="F3073" s="8"/>
      <c r="G3073" s="15">
        <v>1.2776784257737794</v>
      </c>
      <c r="H3073" s="15">
        <v>1.2776784257737794</v>
      </c>
      <c r="I3073" s="15">
        <v>1.0497820779220708</v>
      </c>
      <c r="J3073" s="15">
        <v>1.1547949919565452</v>
      </c>
      <c r="K3073" s="15">
        <v>1.1547949919565452</v>
      </c>
      <c r="L3073" s="15">
        <v>1.1547949919565452</v>
      </c>
      <c r="M3073" s="15">
        <v>1.1547949919565452</v>
      </c>
      <c r="N3073" s="15">
        <v>1.1547949919565452</v>
      </c>
      <c r="O3073" s="15">
        <v>0.30186631521601415</v>
      </c>
      <c r="P3073" s="15">
        <v>0.95925194015142323</v>
      </c>
      <c r="Q3073" s="8"/>
      <c r="R3073" s="9" t="s">
        <v>2838</v>
      </c>
    </row>
    <row r="3074" spans="1:18" x14ac:dyDescent="0.25">
      <c r="A3074" s="6" t="str">
        <f>HYPERLINK("proteomic_fractions_linear_files/Yang_linear_img/295424137.jpg", "295424137")</f>
        <v>295424137</v>
      </c>
      <c r="B3074" s="7"/>
      <c r="C3074" s="6" t="str">
        <f>HYPERLINK("http://www.ncbi.nlm.nih.gov/protein/295424137","Gps1")</f>
        <v>Gps1</v>
      </c>
      <c r="D3074" s="8"/>
      <c r="E3074" s="8">
        <v>58730</v>
      </c>
      <c r="F3074" s="8"/>
      <c r="G3074" s="15" t="s">
        <v>10</v>
      </c>
      <c r="H3074" s="15" t="s">
        <v>10</v>
      </c>
      <c r="I3074" s="15">
        <v>0.99615606077277719</v>
      </c>
      <c r="J3074" s="15">
        <v>0.99615606077277719</v>
      </c>
      <c r="K3074" s="15">
        <v>0.99615606077277719</v>
      </c>
      <c r="L3074" s="15">
        <v>0.99615606077277719</v>
      </c>
      <c r="M3074" s="15">
        <v>0.99615606077277719</v>
      </c>
      <c r="N3074" s="15">
        <v>0.99615606077277719</v>
      </c>
      <c r="O3074" s="15">
        <v>0.90034863779662844</v>
      </c>
      <c r="P3074" s="15">
        <v>0.90034863779662844</v>
      </c>
      <c r="Q3074" s="8"/>
      <c r="R3074" s="9" t="s">
        <v>2839</v>
      </c>
    </row>
    <row r="3075" spans="1:18" x14ac:dyDescent="0.25">
      <c r="A3075" s="6" t="str">
        <f>HYPERLINK("proteomic_fractions_linear_files/Yang_linear_img/295424139.jpg", "295424139")</f>
        <v>295424139</v>
      </c>
      <c r="B3075" s="7"/>
      <c r="C3075" s="6" t="str">
        <f>HYPERLINK("http://www.ncbi.nlm.nih.gov/protein/295424139","Gps1")</f>
        <v>Gps1</v>
      </c>
      <c r="D3075" s="8"/>
      <c r="E3075" s="8">
        <v>55032</v>
      </c>
      <c r="F3075" s="8"/>
      <c r="G3075" s="15" t="s">
        <v>10</v>
      </c>
      <c r="H3075" s="15" t="s">
        <v>10</v>
      </c>
      <c r="I3075" s="15">
        <v>1.0686037742835246</v>
      </c>
      <c r="J3075" s="15">
        <v>1.0686037742835246</v>
      </c>
      <c r="K3075" s="15">
        <v>1.0686037742835246</v>
      </c>
      <c r="L3075" s="15">
        <v>1.0686037742835246</v>
      </c>
      <c r="M3075" s="15">
        <v>1.0686037742835246</v>
      </c>
      <c r="N3075" s="15">
        <v>1.0686037742835246</v>
      </c>
      <c r="O3075" s="15">
        <v>0.96582853872729235</v>
      </c>
      <c r="P3075" s="15">
        <v>0.96582853872729235</v>
      </c>
      <c r="Q3075" s="8"/>
      <c r="R3075" s="9" t="s">
        <v>2840</v>
      </c>
    </row>
    <row r="3076" spans="1:18" x14ac:dyDescent="0.25">
      <c r="A3076" s="6" t="str">
        <f>HYPERLINK("proteomic_fractions_linear_files/Yang_linear_img/33413404.jpg", "33413404")</f>
        <v>33413404</v>
      </c>
      <c r="B3076" s="7"/>
      <c r="C3076" s="6" t="str">
        <f>HYPERLINK("http://www.ncbi.nlm.nih.gov/protein/33413404","Gpt")</f>
        <v>Gpt</v>
      </c>
      <c r="D3076" s="8"/>
      <c r="E3076" s="8">
        <v>55012</v>
      </c>
      <c r="F3076" s="8"/>
      <c r="G3076" s="15" t="s">
        <v>10</v>
      </c>
      <c r="H3076" s="15" t="s">
        <v>10</v>
      </c>
      <c r="I3076" s="15" t="s">
        <v>10</v>
      </c>
      <c r="J3076" s="15" t="s">
        <v>10</v>
      </c>
      <c r="K3076" s="15" t="s">
        <v>10</v>
      </c>
      <c r="L3076" s="15" t="s">
        <v>10</v>
      </c>
      <c r="M3076" s="15" t="s">
        <v>10</v>
      </c>
      <c r="N3076" s="15" t="s">
        <v>10</v>
      </c>
      <c r="O3076" s="15">
        <v>0.87799955608027735</v>
      </c>
      <c r="P3076" s="15">
        <v>0.87799955608027735</v>
      </c>
      <c r="Q3076" s="8"/>
      <c r="R3076" s="9" t="s">
        <v>2841</v>
      </c>
    </row>
    <row r="3077" spans="1:18" x14ac:dyDescent="0.25">
      <c r="A3077" s="6" t="str">
        <f>HYPERLINK("proteomic_fractions_linear_files/Yang_linear_img/84871986.jpg", "84871986")</f>
        <v>84871986</v>
      </c>
      <c r="B3077" s="7"/>
      <c r="C3077" s="6" t="str">
        <f>HYPERLINK("http://www.ncbi.nlm.nih.gov/protein/84871986","Gpx1")</f>
        <v>Gpx1</v>
      </c>
      <c r="D3077" s="8"/>
      <c r="E3077" s="8">
        <v>22198</v>
      </c>
      <c r="F3077" s="8"/>
      <c r="G3077" s="15">
        <v>0.88641590127433068</v>
      </c>
      <c r="H3077" s="15">
        <v>0.88641590127433068</v>
      </c>
      <c r="I3077" s="15">
        <v>0.93624732666619426</v>
      </c>
      <c r="J3077" s="15">
        <v>0.93624732666619426</v>
      </c>
      <c r="K3077" s="15">
        <v>0.93624732666619426</v>
      </c>
      <c r="L3077" s="15">
        <v>0.93624732666619426</v>
      </c>
      <c r="M3077" s="15">
        <v>0.93624732666619426</v>
      </c>
      <c r="N3077" s="15">
        <v>0.93624732666619426</v>
      </c>
      <c r="O3077" s="15">
        <v>0.99071555775812503</v>
      </c>
      <c r="P3077" s="15">
        <v>0.99071555775812503</v>
      </c>
      <c r="Q3077" s="8"/>
      <c r="R3077" s="9" t="s">
        <v>2842</v>
      </c>
    </row>
    <row r="3078" spans="1:18" x14ac:dyDescent="0.25">
      <c r="A3078" s="6" t="str">
        <f>HYPERLINK("proteomic_fractions_linear_files/Yang_linear_img/90903233.jpg", "90903233")</f>
        <v>90903233</v>
      </c>
      <c r="B3078" s="7"/>
      <c r="C3078" s="6" t="str">
        <f>HYPERLINK("http://www.ncbi.nlm.nih.gov/protein/90903233","Gpx4")</f>
        <v>Gpx4</v>
      </c>
      <c r="D3078" s="8"/>
      <c r="E3078" s="8">
        <v>29063</v>
      </c>
      <c r="F3078" s="8"/>
      <c r="G3078" s="15">
        <v>0.60585999190892992</v>
      </c>
      <c r="H3078" s="15">
        <v>0.60585999190892992</v>
      </c>
      <c r="I3078" s="15">
        <v>0.63776893670910639</v>
      </c>
      <c r="J3078" s="15">
        <v>0.63776893670910639</v>
      </c>
      <c r="K3078" s="15">
        <v>0.63776893670910639</v>
      </c>
      <c r="L3078" s="15">
        <v>0.63776893670910639</v>
      </c>
      <c r="M3078" s="15">
        <v>0.67245344234604398</v>
      </c>
      <c r="N3078" s="15">
        <v>0.67245344234604398</v>
      </c>
      <c r="O3078" s="15">
        <v>0.60585999190892992</v>
      </c>
      <c r="P3078" s="15">
        <v>0.60585999190892992</v>
      </c>
      <c r="Q3078" s="8"/>
      <c r="R3078" s="9" t="s">
        <v>2843</v>
      </c>
    </row>
    <row r="3079" spans="1:18" x14ac:dyDescent="0.25">
      <c r="A3079" s="6" t="str">
        <f>HYPERLINK("proteomic_fractions_linear_files/Yang_linear_img/90903235.jpg", "90903235")</f>
        <v>90903235</v>
      </c>
      <c r="B3079" s="7"/>
      <c r="C3079" s="6" t="str">
        <f>HYPERLINK("http://www.ncbi.nlm.nih.gov/protein/90903235","Gpx4")</f>
        <v>Gpx4</v>
      </c>
      <c r="D3079" s="8"/>
      <c r="E3079" s="8">
        <v>19681</v>
      </c>
      <c r="F3079" s="8"/>
      <c r="G3079" s="15">
        <v>0.87849698826794831</v>
      </c>
      <c r="H3079" s="15">
        <v>0.87849698826794831</v>
      </c>
      <c r="I3079" s="15">
        <v>0.92476495822820426</v>
      </c>
      <c r="J3079" s="15">
        <v>0.92476495822820426</v>
      </c>
      <c r="K3079" s="15">
        <v>0.92476495822820426</v>
      </c>
      <c r="L3079" s="15">
        <v>0.92476495822820426</v>
      </c>
      <c r="M3079" s="15">
        <v>0.97505749140176368</v>
      </c>
      <c r="N3079" s="15">
        <v>0.97505749140176368</v>
      </c>
      <c r="O3079" s="15">
        <v>0.87849698826794831</v>
      </c>
      <c r="P3079" s="15">
        <v>0.87849698826794831</v>
      </c>
      <c r="Q3079" s="8"/>
      <c r="R3079" s="9" t="s">
        <v>2844</v>
      </c>
    </row>
    <row r="3080" spans="1:18" x14ac:dyDescent="0.25">
      <c r="A3080" s="6" t="str">
        <f>HYPERLINK("proteomic_fractions_linear_files/Yang_linear_img/27369870.jpg", "27369870")</f>
        <v>27369870</v>
      </c>
      <c r="B3080" s="7"/>
      <c r="C3080" s="6" t="str">
        <f>HYPERLINK("http://www.ncbi.nlm.nih.gov/protein/27369870","Gramd4")</f>
        <v>Gramd4</v>
      </c>
      <c r="D3080" s="8"/>
      <c r="E3080" s="8">
        <v>72133</v>
      </c>
      <c r="F3080" s="8"/>
      <c r="G3080" s="15">
        <v>1.0199466700233646</v>
      </c>
      <c r="H3080" s="15">
        <v>1.0199466700233646</v>
      </c>
      <c r="I3080" s="15" t="s">
        <v>10</v>
      </c>
      <c r="J3080" s="15" t="s">
        <v>10</v>
      </c>
      <c r="K3080" s="15">
        <v>1.0199466700233646</v>
      </c>
      <c r="L3080" s="15">
        <v>1.0199466700233646</v>
      </c>
      <c r="M3080" s="15" t="s">
        <v>10</v>
      </c>
      <c r="N3080" s="15" t="s">
        <v>10</v>
      </c>
      <c r="O3080" s="15" t="s">
        <v>10</v>
      </c>
      <c r="P3080" s="15" t="s">
        <v>10</v>
      </c>
      <c r="Q3080" s="8"/>
      <c r="R3080" s="9" t="s">
        <v>2845</v>
      </c>
    </row>
    <row r="3081" spans="1:18" x14ac:dyDescent="0.25">
      <c r="A3081" s="6" t="str">
        <f>HYPERLINK("proteomic_fractions_linear_files/Yang_linear_img/329663552.jpg", "329663552")</f>
        <v>329663552</v>
      </c>
      <c r="B3081" s="7"/>
      <c r="C3081" s="6" t="str">
        <f>HYPERLINK("http://www.ncbi.nlm.nih.gov/protein/329663552","Gramd4")</f>
        <v>Gramd4</v>
      </c>
      <c r="D3081" s="8"/>
      <c r="E3081" s="8">
        <v>72003</v>
      </c>
      <c r="F3081" s="8"/>
      <c r="G3081" s="15">
        <v>1.0199466700233646</v>
      </c>
      <c r="H3081" s="15">
        <v>1.0199466700233646</v>
      </c>
      <c r="I3081" s="15" t="s">
        <v>10</v>
      </c>
      <c r="J3081" s="15" t="s">
        <v>10</v>
      </c>
      <c r="K3081" s="15">
        <v>1.0199466700233646</v>
      </c>
      <c r="L3081" s="15">
        <v>1.0199466700233646</v>
      </c>
      <c r="M3081" s="15" t="s">
        <v>10</v>
      </c>
      <c r="N3081" s="15" t="s">
        <v>10</v>
      </c>
      <c r="O3081" s="15" t="s">
        <v>10</v>
      </c>
      <c r="P3081" s="15" t="s">
        <v>10</v>
      </c>
      <c r="Q3081" s="8"/>
      <c r="R3081" s="9" t="s">
        <v>2846</v>
      </c>
    </row>
    <row r="3082" spans="1:18" x14ac:dyDescent="0.25">
      <c r="A3082" s="6" t="str">
        <f>HYPERLINK("proteomic_fractions_linear_files/Yang_linear_img/6680083.jpg", "6680083")</f>
        <v>6680083</v>
      </c>
      <c r="B3082" s="7"/>
      <c r="C3082" s="6" t="str">
        <f>HYPERLINK("http://www.ncbi.nlm.nih.gov/protein/6680083","Grb2")</f>
        <v>Grb2</v>
      </c>
      <c r="D3082" s="8"/>
      <c r="E3082" s="8">
        <v>25107</v>
      </c>
      <c r="F3082" s="8"/>
      <c r="G3082" s="15" t="s">
        <v>10</v>
      </c>
      <c r="H3082" s="15" t="s">
        <v>10</v>
      </c>
      <c r="I3082" s="15">
        <v>0.92438293498869784</v>
      </c>
      <c r="J3082" s="15">
        <v>0.92438293498869784</v>
      </c>
      <c r="K3082" s="15">
        <v>0.92438293498869784</v>
      </c>
      <c r="L3082" s="15">
        <v>0.92438293498869784</v>
      </c>
      <c r="M3082" s="15">
        <v>0.92438293498869784</v>
      </c>
      <c r="N3082" s="15">
        <v>0.92438293498869784</v>
      </c>
      <c r="O3082" s="15">
        <v>0.82389764746625094</v>
      </c>
      <c r="P3082" s="15">
        <v>0.82389764746625094</v>
      </c>
      <c r="Q3082" s="8"/>
      <c r="R3082" s="9" t="s">
        <v>2847</v>
      </c>
    </row>
    <row r="3083" spans="1:18" x14ac:dyDescent="0.25">
      <c r="A3083" s="6" t="str">
        <f>HYPERLINK("proteomic_fractions_linear_files/Yang_linear_img/6754066.jpg", "6754066")</f>
        <v>6754066</v>
      </c>
      <c r="B3083" s="7"/>
      <c r="C3083" s="6" t="str">
        <f>HYPERLINK("http://www.ncbi.nlm.nih.gov/protein/6754066","Grb7")</f>
        <v>Grb7</v>
      </c>
      <c r="D3083" s="8"/>
      <c r="E3083" s="8">
        <v>59828</v>
      </c>
      <c r="F3083" s="8"/>
      <c r="G3083" s="15" t="s">
        <v>10</v>
      </c>
      <c r="H3083" s="15" t="s">
        <v>10</v>
      </c>
      <c r="I3083" s="15">
        <v>1.0908877221757389</v>
      </c>
      <c r="J3083" s="15">
        <v>1.0908877221757389</v>
      </c>
      <c r="K3083" s="15">
        <v>1.0908877221757389</v>
      </c>
      <c r="L3083" s="15">
        <v>1.0908877221757389</v>
      </c>
      <c r="M3083" s="15">
        <v>1.0908877221757389</v>
      </c>
      <c r="N3083" s="15">
        <v>1.0908877221757389</v>
      </c>
      <c r="O3083" s="15">
        <v>0.97955345975989749</v>
      </c>
      <c r="P3083" s="15">
        <v>0.97955345975989749</v>
      </c>
      <c r="Q3083" s="8"/>
      <c r="R3083" s="9" t="s">
        <v>2848</v>
      </c>
    </row>
    <row r="3084" spans="1:18" x14ac:dyDescent="0.25">
      <c r="A3084" s="6" t="str">
        <f>HYPERLINK("proteomic_fractions_linear_files/Yang_linear_img/7305107.jpg", "7305107")</f>
        <v>7305107</v>
      </c>
      <c r="B3084" s="7"/>
      <c r="C3084" s="6" t="str">
        <f>HYPERLINK("http://www.ncbi.nlm.nih.gov/protein/7305107","Grcc10")</f>
        <v>Grcc10</v>
      </c>
      <c r="D3084" s="8"/>
      <c r="E3084" s="8">
        <v>13063</v>
      </c>
      <c r="F3084" s="8"/>
      <c r="G3084" s="15" t="s">
        <v>10</v>
      </c>
      <c r="H3084" s="15" t="s">
        <v>10</v>
      </c>
      <c r="I3084" s="15">
        <v>1.068142346148973</v>
      </c>
      <c r="J3084" s="15">
        <v>1.068142346148973</v>
      </c>
      <c r="K3084" s="15">
        <v>1.1167287478361805</v>
      </c>
      <c r="L3084" s="15">
        <v>1.1167287478361805</v>
      </c>
      <c r="M3084" s="15" t="s">
        <v>10</v>
      </c>
      <c r="N3084" s="15" t="s">
        <v>10</v>
      </c>
      <c r="O3084" s="15">
        <v>1.0228510786924256</v>
      </c>
      <c r="P3084" s="15">
        <v>1.0228510786924256</v>
      </c>
      <c r="Q3084" s="8"/>
      <c r="R3084" s="9" t="s">
        <v>2849</v>
      </c>
    </row>
    <row r="3085" spans="1:18" x14ac:dyDescent="0.25">
      <c r="A3085" s="6" t="str">
        <f>HYPERLINK("proteomic_fractions_linear_files/Yang_linear_img/46810275.jpg", "46810275")</f>
        <v>46810275</v>
      </c>
      <c r="B3085" s="7"/>
      <c r="C3085" s="6" t="str">
        <f>HYPERLINK("http://www.ncbi.nlm.nih.gov/protein/46810275","Grhl2")</f>
        <v>Grhl2</v>
      </c>
      <c r="D3085" s="8"/>
      <c r="E3085" s="8">
        <v>71064</v>
      </c>
      <c r="F3085" s="8"/>
      <c r="G3085" s="15" t="s">
        <v>10</v>
      </c>
      <c r="H3085" s="15" t="s">
        <v>10</v>
      </c>
      <c r="I3085" s="15" t="s">
        <v>10</v>
      </c>
      <c r="J3085" s="15" t="s">
        <v>10</v>
      </c>
      <c r="K3085" s="15" t="s">
        <v>10</v>
      </c>
      <c r="L3085" s="15" t="s">
        <v>10</v>
      </c>
      <c r="M3085" s="15">
        <v>0.29010480544586298</v>
      </c>
      <c r="N3085" s="15">
        <v>0.29010480544586298</v>
      </c>
      <c r="O3085" s="15" t="s">
        <v>10</v>
      </c>
      <c r="P3085" s="15" t="s">
        <v>10</v>
      </c>
      <c r="Q3085" s="8"/>
      <c r="R3085" s="9" t="s">
        <v>2850</v>
      </c>
    </row>
    <row r="3086" spans="1:18" x14ac:dyDescent="0.25">
      <c r="A3086" s="6" t="str">
        <f>HYPERLINK("proteomic_fractions_linear_files/Yang_linear_img/17933768.jpg", "17933768")</f>
        <v>17933768</v>
      </c>
      <c r="B3086" s="7"/>
      <c r="C3086" s="6" t="str">
        <f>HYPERLINK("http://www.ncbi.nlm.nih.gov/protein/17933768","Grhpr")</f>
        <v>Grhpr</v>
      </c>
      <c r="D3086" s="8"/>
      <c r="E3086" s="8">
        <v>35198</v>
      </c>
      <c r="F3086" s="8"/>
      <c r="G3086" s="15" t="s">
        <v>10</v>
      </c>
      <c r="H3086" s="15" t="s">
        <v>10</v>
      </c>
      <c r="I3086" s="15">
        <v>0.91668779587810256</v>
      </c>
      <c r="J3086" s="15">
        <v>0.91668779587810256</v>
      </c>
      <c r="K3086" s="15">
        <v>0.98723932944214809</v>
      </c>
      <c r="L3086" s="15">
        <v>0.98723932944214809</v>
      </c>
      <c r="M3086" s="15">
        <v>0.91668779587810256</v>
      </c>
      <c r="N3086" s="15">
        <v>0.91668779587810256</v>
      </c>
      <c r="O3086" s="15">
        <v>0.79766317993377311</v>
      </c>
      <c r="P3086" s="15">
        <v>0.79766317993377311</v>
      </c>
      <c r="Q3086" s="8"/>
      <c r="R3086" s="9" t="s">
        <v>2851</v>
      </c>
    </row>
    <row r="3087" spans="1:18" x14ac:dyDescent="0.25">
      <c r="A3087" s="6" t="str">
        <f>HYPERLINK("proteomic_fractions_linear_files/Yang_linear_img/6680091.jpg", "6680091")</f>
        <v>6680091</v>
      </c>
      <c r="B3087" s="7"/>
      <c r="C3087" s="6" t="str">
        <f>HYPERLINK("http://www.ncbi.nlm.nih.gov/protein/6680091","Grid2")</f>
        <v>Grid2</v>
      </c>
      <c r="D3087" s="8"/>
      <c r="E3087" s="8">
        <v>110353</v>
      </c>
      <c r="F3087" s="8"/>
      <c r="G3087" s="15" t="s">
        <v>10</v>
      </c>
      <c r="H3087" s="15" t="s">
        <v>10</v>
      </c>
      <c r="I3087" s="15" t="s">
        <v>10</v>
      </c>
      <c r="J3087" s="15" t="s">
        <v>10</v>
      </c>
      <c r="K3087" s="15">
        <v>0.29167338959757805</v>
      </c>
      <c r="L3087" s="15">
        <v>0.29167338959757805</v>
      </c>
      <c r="M3087" s="15" t="s">
        <v>10</v>
      </c>
      <c r="N3087" s="15" t="s">
        <v>10</v>
      </c>
      <c r="O3087" s="15" t="s">
        <v>10</v>
      </c>
      <c r="P3087" s="15" t="s">
        <v>10</v>
      </c>
      <c r="Q3087" s="8"/>
      <c r="R3087" s="9" t="s">
        <v>2852</v>
      </c>
    </row>
    <row r="3088" spans="1:18" x14ac:dyDescent="0.25">
      <c r="A3088" s="6" t="str">
        <f>HYPERLINK("proteomic_fractions_linear_files/Yang_linear_img/144922606.jpg", "144922606")</f>
        <v>144922606</v>
      </c>
      <c r="B3088" s="7"/>
      <c r="C3088" s="6" t="str">
        <f>HYPERLINK("http://www.ncbi.nlm.nih.gov/protein/144922606","Grin2d")</f>
        <v>Grin2d</v>
      </c>
      <c r="D3088" s="8"/>
      <c r="E3088" s="8">
        <v>140320</v>
      </c>
      <c r="F3088" s="8"/>
      <c r="G3088" s="15" t="s">
        <v>10</v>
      </c>
      <c r="H3088" s="15" t="s">
        <v>10</v>
      </c>
      <c r="I3088" s="15" t="s">
        <v>10</v>
      </c>
      <c r="J3088" s="15" t="s">
        <v>10</v>
      </c>
      <c r="K3088" s="15">
        <v>0.22917194896952564</v>
      </c>
      <c r="L3088" s="15">
        <v>0.22917194896952564</v>
      </c>
      <c r="M3088" s="15" t="s">
        <v>10</v>
      </c>
      <c r="N3088" s="15" t="s">
        <v>10</v>
      </c>
      <c r="O3088" s="15" t="s">
        <v>10</v>
      </c>
      <c r="P3088" s="15" t="s">
        <v>10</v>
      </c>
      <c r="Q3088" s="8"/>
      <c r="R3088" s="9" t="s">
        <v>2853</v>
      </c>
    </row>
    <row r="3089" spans="1:18" x14ac:dyDescent="0.25">
      <c r="A3089" s="6" t="str">
        <f>HYPERLINK("proteomic_fractions_linear_files/Yang_linear_img/46592839.jpg", "46592839")</f>
        <v>46592839</v>
      </c>
      <c r="B3089" s="7"/>
      <c r="C3089" s="6" t="str">
        <f>HYPERLINK("http://www.ncbi.nlm.nih.gov/protein/46592839","Gripap1")</f>
        <v>Gripap1</v>
      </c>
      <c r="D3089" s="8"/>
      <c r="E3089" s="8">
        <v>92584</v>
      </c>
      <c r="F3089" s="8"/>
      <c r="G3089" s="15" t="s">
        <v>10</v>
      </c>
      <c r="H3089" s="15" t="s">
        <v>10</v>
      </c>
      <c r="I3089" s="15" t="s">
        <v>10</v>
      </c>
      <c r="J3089" s="15" t="s">
        <v>10</v>
      </c>
      <c r="K3089" s="15" t="s">
        <v>10</v>
      </c>
      <c r="L3089" s="15" t="s">
        <v>10</v>
      </c>
      <c r="M3089" s="15" t="s">
        <v>10</v>
      </c>
      <c r="N3089" s="15" t="s">
        <v>10</v>
      </c>
      <c r="O3089" s="15">
        <v>1.0211610879847797</v>
      </c>
      <c r="P3089" s="15">
        <v>1.0211610879847797</v>
      </c>
      <c r="Q3089" s="8"/>
      <c r="R3089" s="9" t="s">
        <v>2854</v>
      </c>
    </row>
    <row r="3090" spans="1:18" x14ac:dyDescent="0.25">
      <c r="A3090" s="6" t="str">
        <f>HYPERLINK("proteomic_fractions_linear_files/Yang_linear_img/75677442.jpg", "75677442")</f>
        <v>75677442</v>
      </c>
      <c r="B3090" s="7"/>
      <c r="C3090" s="6" t="str">
        <f>HYPERLINK("http://www.ncbi.nlm.nih.gov/protein/75677442","Grlf1")</f>
        <v>Grlf1</v>
      </c>
      <c r="D3090" s="8"/>
      <c r="E3090" s="8">
        <v>170263</v>
      </c>
      <c r="F3090" s="8"/>
      <c r="G3090" s="15" t="s">
        <v>10</v>
      </c>
      <c r="H3090" s="15" t="s">
        <v>10</v>
      </c>
      <c r="I3090" s="15" t="s">
        <v>10</v>
      </c>
      <c r="J3090" s="15" t="s">
        <v>10</v>
      </c>
      <c r="K3090" s="15" t="s">
        <v>10</v>
      </c>
      <c r="L3090" s="15" t="s">
        <v>10</v>
      </c>
      <c r="M3090" s="15" t="s">
        <v>10</v>
      </c>
      <c r="N3090" s="15" t="s">
        <v>10</v>
      </c>
      <c r="O3090" s="15">
        <v>1.3727108683991123</v>
      </c>
      <c r="P3090" s="15">
        <v>1.3727108683991123</v>
      </c>
      <c r="Q3090" s="8"/>
      <c r="R3090" s="9" t="s">
        <v>2855</v>
      </c>
    </row>
    <row r="3091" spans="1:18" x14ac:dyDescent="0.25">
      <c r="A3091" s="6" t="str">
        <f>HYPERLINK("proteomic_fractions_linear_files/Yang_linear_img/224967126.jpg", "224967126")</f>
        <v>224967126</v>
      </c>
      <c r="B3091" s="7"/>
      <c r="C3091" s="6" t="str">
        <f>HYPERLINK("http://www.ncbi.nlm.nih.gov/protein/224967126","Grn")</f>
        <v>Grn</v>
      </c>
      <c r="D3091" s="8"/>
      <c r="E3091" s="8">
        <v>61654</v>
      </c>
      <c r="F3091" s="8"/>
      <c r="G3091" s="15">
        <v>0.31453467464573021</v>
      </c>
      <c r="H3091" s="15">
        <v>0.31453467464573021</v>
      </c>
      <c r="I3091" s="15">
        <v>0.20560031196673589</v>
      </c>
      <c r="J3091" s="15">
        <v>0.20560031196673589</v>
      </c>
      <c r="K3091" s="15">
        <v>0.22396533064413951</v>
      </c>
      <c r="L3091" s="15">
        <v>0.22396533064413951</v>
      </c>
      <c r="M3091" s="15">
        <v>0.21446877456454086</v>
      </c>
      <c r="N3091" s="15">
        <v>0.20560031196673589</v>
      </c>
      <c r="O3091" s="15">
        <v>0.20560031196673589</v>
      </c>
      <c r="P3091" s="15">
        <v>0.20560031196673589</v>
      </c>
      <c r="Q3091" s="8"/>
      <c r="R3091" s="9" t="s">
        <v>2856</v>
      </c>
    </row>
    <row r="3092" spans="1:18" x14ac:dyDescent="0.25">
      <c r="A3092" s="6" t="str">
        <f>HYPERLINK("proteomic_fractions_linear_files/Yang_linear_img/13277394.jpg", "13277394")</f>
        <v>13277394</v>
      </c>
      <c r="B3092" s="7"/>
      <c r="C3092" s="6" t="str">
        <f>HYPERLINK("http://www.ncbi.nlm.nih.gov/protein/13277394","Grpel1")</f>
        <v>Grpel1</v>
      </c>
      <c r="D3092" s="8"/>
      <c r="E3092" s="8">
        <v>21302</v>
      </c>
      <c r="F3092" s="8"/>
      <c r="G3092" s="15">
        <v>1.5278129931301709</v>
      </c>
      <c r="H3092" s="15">
        <v>1.5278129931301709</v>
      </c>
      <c r="I3092" s="15">
        <v>1.100455874986545</v>
      </c>
      <c r="J3092" s="15">
        <v>1.100455874986545</v>
      </c>
      <c r="K3092" s="15">
        <v>1.0378924890799406</v>
      </c>
      <c r="L3092" s="15">
        <v>1.0378924890799406</v>
      </c>
      <c r="M3092" s="15" t="s">
        <v>10</v>
      </c>
      <c r="N3092" s="15" t="s">
        <v>10</v>
      </c>
      <c r="O3092" s="15" t="s">
        <v>10</v>
      </c>
      <c r="P3092" s="15" t="s">
        <v>10</v>
      </c>
      <c r="Q3092" s="8"/>
      <c r="R3092" s="9" t="s">
        <v>2857</v>
      </c>
    </row>
    <row r="3093" spans="1:18" x14ac:dyDescent="0.25">
      <c r="A3093" s="6" t="str">
        <f>HYPERLINK("proteomic_fractions_linear_files/Yang_linear_img/29789124.jpg", "29789124")</f>
        <v>29789124</v>
      </c>
      <c r="B3093" s="7"/>
      <c r="C3093" s="6" t="str">
        <f>HYPERLINK("http://www.ncbi.nlm.nih.gov/protein/29789124","Grpel2")</f>
        <v>Grpel2</v>
      </c>
      <c r="D3093" s="8"/>
      <c r="E3093" s="8">
        <v>21521</v>
      </c>
      <c r="F3093" s="8"/>
      <c r="G3093" s="15" t="s">
        <v>10</v>
      </c>
      <c r="H3093" s="15" t="s">
        <v>10</v>
      </c>
      <c r="I3093" s="15">
        <v>1.0504351533962475</v>
      </c>
      <c r="J3093" s="15">
        <v>1.0504351533962475</v>
      </c>
      <c r="K3093" s="15" t="s">
        <v>10</v>
      </c>
      <c r="L3093" s="15" t="s">
        <v>10</v>
      </c>
      <c r="M3093" s="15" t="s">
        <v>10</v>
      </c>
      <c r="N3093" s="15" t="s">
        <v>10</v>
      </c>
      <c r="O3093" s="15" t="s">
        <v>10</v>
      </c>
      <c r="P3093" s="15" t="s">
        <v>10</v>
      </c>
      <c r="Q3093" s="8"/>
      <c r="R3093" s="9" t="s">
        <v>2858</v>
      </c>
    </row>
    <row r="3094" spans="1:18" x14ac:dyDescent="0.25">
      <c r="A3094" s="6" t="str">
        <f>HYPERLINK("proteomic_fractions_linear_files/Yang_linear_img/148596934.jpg", "148596934")</f>
        <v>148596934</v>
      </c>
      <c r="B3094" s="7"/>
      <c r="C3094" s="6" t="str">
        <f>HYPERLINK("http://www.ncbi.nlm.nih.gov/protein/148596934","Grsf1")</f>
        <v>Grsf1</v>
      </c>
      <c r="D3094" s="8"/>
      <c r="E3094" s="8">
        <v>41694</v>
      </c>
      <c r="F3094" s="8"/>
      <c r="G3094" s="15" t="s">
        <v>10</v>
      </c>
      <c r="H3094" s="15" t="s">
        <v>10</v>
      </c>
      <c r="I3094" s="15">
        <v>1.0506092677848922</v>
      </c>
      <c r="J3094" s="15">
        <v>1.0506092677848922</v>
      </c>
      <c r="K3094" s="15" t="s">
        <v>10</v>
      </c>
      <c r="L3094" s="15" t="s">
        <v>10</v>
      </c>
      <c r="M3094" s="15" t="s">
        <v>10</v>
      </c>
      <c r="N3094" s="15" t="s">
        <v>10</v>
      </c>
      <c r="O3094" s="15" t="s">
        <v>10</v>
      </c>
      <c r="P3094" s="15" t="s">
        <v>10</v>
      </c>
      <c r="Q3094" s="8"/>
      <c r="R3094" s="9" t="s">
        <v>2859</v>
      </c>
    </row>
    <row r="3095" spans="1:18" x14ac:dyDescent="0.25">
      <c r="A3095" s="6" t="str">
        <f>HYPERLINK("proteomic_fractions_linear_files/Yang_linear_img/148596982.jpg", "148596982")</f>
        <v>148596982</v>
      </c>
      <c r="B3095" s="7"/>
      <c r="C3095" s="6" t="str">
        <f>HYPERLINK("http://www.ncbi.nlm.nih.gov/protein/148596982","Grsf1")</f>
        <v>Grsf1</v>
      </c>
      <c r="D3095" s="8"/>
      <c r="E3095" s="8">
        <v>41479</v>
      </c>
      <c r="F3095" s="8"/>
      <c r="G3095" s="15" t="s">
        <v>10</v>
      </c>
      <c r="H3095" s="15" t="s">
        <v>10</v>
      </c>
      <c r="I3095" s="15">
        <v>1.0762338840723285</v>
      </c>
      <c r="J3095" s="15">
        <v>1.0762338840723285</v>
      </c>
      <c r="K3095" s="15" t="s">
        <v>10</v>
      </c>
      <c r="L3095" s="15" t="s">
        <v>10</v>
      </c>
      <c r="M3095" s="15" t="s">
        <v>10</v>
      </c>
      <c r="N3095" s="15" t="s">
        <v>10</v>
      </c>
      <c r="O3095" s="15" t="s">
        <v>10</v>
      </c>
      <c r="P3095" s="15" t="s">
        <v>10</v>
      </c>
      <c r="Q3095" s="8"/>
      <c r="R3095" s="9" t="s">
        <v>2860</v>
      </c>
    </row>
    <row r="3096" spans="1:18" x14ac:dyDescent="0.25">
      <c r="A3096" s="6" t="str">
        <f>HYPERLINK("proteomic_fractions_linear_files/Yang_linear_img/163937861.jpg", "163937861")</f>
        <v>163937861</v>
      </c>
      <c r="B3096" s="7"/>
      <c r="C3096" s="6" t="str">
        <f>HYPERLINK("http://www.ncbi.nlm.nih.gov/protein/163937861","Grwd1")</f>
        <v>Grwd1</v>
      </c>
      <c r="D3096" s="8"/>
      <c r="E3096" s="8">
        <v>49093</v>
      </c>
      <c r="F3096" s="8"/>
      <c r="G3096" s="15" t="s">
        <v>10</v>
      </c>
      <c r="H3096" s="15" t="s">
        <v>10</v>
      </c>
      <c r="I3096" s="15">
        <v>1.0840932577551241</v>
      </c>
      <c r="J3096" s="15">
        <v>1.0840932577551241</v>
      </c>
      <c r="K3096" s="15">
        <v>1.1994532160325275</v>
      </c>
      <c r="L3096" s="15">
        <v>1.1994532160325275</v>
      </c>
      <c r="M3096" s="15">
        <v>1.0840932577551241</v>
      </c>
      <c r="N3096" s="15">
        <v>1.0840932577551241</v>
      </c>
      <c r="O3096" s="15" t="s">
        <v>10</v>
      </c>
      <c r="P3096" s="15" t="s">
        <v>10</v>
      </c>
      <c r="Q3096" s="8"/>
      <c r="R3096" s="9" t="s">
        <v>2861</v>
      </c>
    </row>
    <row r="3097" spans="1:18" x14ac:dyDescent="0.25">
      <c r="A3097" s="6" t="str">
        <f>HYPERLINK("proteomic_fractions_linear_files/Yang_linear_img/13878199.jpg", "13878199")</f>
        <v>13878199</v>
      </c>
      <c r="B3097" s="7"/>
      <c r="C3097" s="6" t="str">
        <f>HYPERLINK("http://www.ncbi.nlm.nih.gov/protein/13878199","Gsdmc")</f>
        <v>Gsdmc</v>
      </c>
      <c r="D3097" s="8"/>
      <c r="E3097" s="8">
        <v>52612</v>
      </c>
      <c r="F3097" s="8"/>
      <c r="G3097" s="15" t="s">
        <v>10</v>
      </c>
      <c r="H3097" s="15" t="s">
        <v>10</v>
      </c>
      <c r="I3097" s="15">
        <v>1.0022748986792656</v>
      </c>
      <c r="J3097" s="15">
        <v>1.0022748986792656</v>
      </c>
      <c r="K3097" s="15" t="s">
        <v>10</v>
      </c>
      <c r="L3097" s="15" t="s">
        <v>10</v>
      </c>
      <c r="M3097" s="15" t="s">
        <v>10</v>
      </c>
      <c r="N3097" s="15" t="s">
        <v>10</v>
      </c>
      <c r="O3097" s="15" t="s">
        <v>10</v>
      </c>
      <c r="P3097" s="15" t="s">
        <v>10</v>
      </c>
      <c r="Q3097" s="8"/>
      <c r="R3097" s="9" t="s">
        <v>2862</v>
      </c>
    </row>
    <row r="3098" spans="1:18" x14ac:dyDescent="0.25">
      <c r="A3098" s="6" t="str">
        <f>HYPERLINK("proteomic_fractions_linear_files/Yang_linear_img/269954726;269954702.jpg", "269954726;269954702")</f>
        <v>269954726;269954702</v>
      </c>
      <c r="B3098" s="8"/>
      <c r="C3098" s="6" t="str">
        <f>HYPERLINK("http://www.ncbi.nlm.nih.gov/protein/269954726;269954702","Gsdmc2")</f>
        <v>Gsdmc2</v>
      </c>
      <c r="D3098" s="8"/>
      <c r="E3098" s="8">
        <v>53821</v>
      </c>
      <c r="F3098" s="8"/>
      <c r="G3098" s="15">
        <v>1.2120974690841544</v>
      </c>
      <c r="H3098" s="15">
        <v>1.2120974690841544</v>
      </c>
      <c r="I3098" s="15" t="s">
        <v>10</v>
      </c>
      <c r="J3098" s="15" t="s">
        <v>10</v>
      </c>
      <c r="K3098" s="15">
        <v>0.98371425240742738</v>
      </c>
      <c r="L3098" s="15">
        <v>0.98371425240742738</v>
      </c>
      <c r="M3098" s="15" t="s">
        <v>10</v>
      </c>
      <c r="N3098" s="15" t="s">
        <v>10</v>
      </c>
      <c r="O3098" s="15" t="s">
        <v>10</v>
      </c>
      <c r="P3098" s="15" t="s">
        <v>10</v>
      </c>
      <c r="Q3098" s="8"/>
      <c r="R3098" s="9" t="s">
        <v>2863</v>
      </c>
    </row>
    <row r="3099" spans="1:18" x14ac:dyDescent="0.25">
      <c r="A3099" s="6" t="str">
        <f>HYPERLINK("proteomic_fractions_linear_files/Yang_linear_img/269954702.jpg", "269954702")</f>
        <v>269954702</v>
      </c>
      <c r="B3099" s="7"/>
      <c r="C3099" s="6" t="str">
        <f>HYPERLINK("http://www.ncbi.nlm.nih.gov/protein/269954702","Gsdmc2")</f>
        <v>Gsdmc2</v>
      </c>
      <c r="D3099" s="8"/>
      <c r="E3099" s="8">
        <v>53821</v>
      </c>
      <c r="F3099" s="8"/>
      <c r="G3099" s="15" t="s">
        <v>10</v>
      </c>
      <c r="H3099" s="15" t="s">
        <v>10</v>
      </c>
      <c r="I3099" s="15">
        <v>0.98371425240742738</v>
      </c>
      <c r="J3099" s="15">
        <v>0.98371425240742738</v>
      </c>
      <c r="K3099" s="15" t="s">
        <v>10</v>
      </c>
      <c r="L3099" s="15" t="s">
        <v>10</v>
      </c>
      <c r="M3099" s="15">
        <v>0.98371425240742738</v>
      </c>
      <c r="N3099" s="15">
        <v>0.98371425240742738</v>
      </c>
      <c r="O3099" s="15">
        <v>0.89425880711880101</v>
      </c>
      <c r="P3099" s="15">
        <v>0.89425880711880101</v>
      </c>
      <c r="Q3099" s="8"/>
      <c r="R3099" s="9" t="s">
        <v>2863</v>
      </c>
    </row>
    <row r="3100" spans="1:18" x14ac:dyDescent="0.25">
      <c r="A3100" s="6" t="str">
        <f>HYPERLINK("proteomic_fractions_linear_files/Yang_linear_img/226053537.jpg", "226053537")</f>
        <v>226053537</v>
      </c>
      <c r="B3100" s="7"/>
      <c r="C3100" s="6" t="str">
        <f>HYPERLINK("http://www.ncbi.nlm.nih.gov/protein/226053537","Gsdmc3")</f>
        <v>Gsdmc3</v>
      </c>
      <c r="D3100" s="8"/>
      <c r="E3100" s="8">
        <v>54057</v>
      </c>
      <c r="F3100" s="8"/>
      <c r="G3100" s="15">
        <v>1.2120974690841544</v>
      </c>
      <c r="H3100" s="15">
        <v>1.2120974690841544</v>
      </c>
      <c r="I3100" s="15">
        <v>0.98371425240742738</v>
      </c>
      <c r="J3100" s="15">
        <v>0.98371425240742738</v>
      </c>
      <c r="K3100" s="15">
        <v>0.98371425240742738</v>
      </c>
      <c r="L3100" s="15">
        <v>0.98371425240742738</v>
      </c>
      <c r="M3100" s="15">
        <v>0.98371425240742738</v>
      </c>
      <c r="N3100" s="15">
        <v>0.98371425240742738</v>
      </c>
      <c r="O3100" s="15">
        <v>0.89425880711880101</v>
      </c>
      <c r="P3100" s="15">
        <v>0.89425880711880101</v>
      </c>
      <c r="Q3100" s="8"/>
      <c r="R3100" s="9" t="s">
        <v>2864</v>
      </c>
    </row>
    <row r="3101" spans="1:18" x14ac:dyDescent="0.25">
      <c r="A3101" s="6" t="str">
        <f>HYPERLINK("proteomic_fractions_linear_files/Yang_linear_img/254675345.jpg", "254675345")</f>
        <v>254675345</v>
      </c>
      <c r="B3101" s="7"/>
      <c r="C3101" s="6" t="str">
        <f>HYPERLINK("http://www.ncbi.nlm.nih.gov/protein/254675345","Gsdmc4")</f>
        <v>Gsdmc4</v>
      </c>
      <c r="D3101" s="8"/>
      <c r="E3101" s="8">
        <v>53862</v>
      </c>
      <c r="F3101" s="8"/>
      <c r="G3101" s="15">
        <v>1.2120974690841544</v>
      </c>
      <c r="H3101" s="15">
        <v>1.2120974690841544</v>
      </c>
      <c r="I3101" s="15">
        <v>0.98371425240742738</v>
      </c>
      <c r="J3101" s="15">
        <v>0.98371425240742738</v>
      </c>
      <c r="K3101" s="15">
        <v>0.98371425240742738</v>
      </c>
      <c r="L3101" s="15">
        <v>0.98371425240742738</v>
      </c>
      <c r="M3101" s="15">
        <v>0.98371425240742738</v>
      </c>
      <c r="N3101" s="15">
        <v>0.98371425240742738</v>
      </c>
      <c r="O3101" s="15">
        <v>0.89425880711880101</v>
      </c>
      <c r="P3101" s="15">
        <v>0.89425880711880101</v>
      </c>
      <c r="Q3101" s="8"/>
      <c r="R3101" s="9" t="s">
        <v>2865</v>
      </c>
    </row>
    <row r="3102" spans="1:18" x14ac:dyDescent="0.25">
      <c r="A3102" s="6" t="str">
        <f>HYPERLINK("proteomic_fractions_linear_files/Yang_linear_img/72384361.jpg", "72384361")</f>
        <v>72384361</v>
      </c>
      <c r="B3102" s="7"/>
      <c r="C3102" s="6" t="str">
        <f>HYPERLINK("http://www.ncbi.nlm.nih.gov/protein/72384361","Gsk3a")</f>
        <v>Gsk3a</v>
      </c>
      <c r="D3102" s="8"/>
      <c r="E3102" s="8">
        <v>51530</v>
      </c>
      <c r="F3102" s="8"/>
      <c r="G3102" s="15" t="s">
        <v>10</v>
      </c>
      <c r="H3102" s="15" t="s">
        <v>10</v>
      </c>
      <c r="I3102" s="15">
        <v>1.0215494159615592</v>
      </c>
      <c r="J3102" s="15">
        <v>1.0215494159615592</v>
      </c>
      <c r="K3102" s="15">
        <v>1.1302539920306509</v>
      </c>
      <c r="L3102" s="15">
        <v>1.1302539920306509</v>
      </c>
      <c r="M3102" s="15">
        <v>1.0215494159615592</v>
      </c>
      <c r="N3102" s="15">
        <v>1.0215494159615592</v>
      </c>
      <c r="O3102" s="15">
        <v>0.92865337662337022</v>
      </c>
      <c r="P3102" s="15">
        <v>0.92865337662337022</v>
      </c>
      <c r="Q3102" s="8"/>
      <c r="R3102" s="9" t="s">
        <v>2866</v>
      </c>
    </row>
    <row r="3103" spans="1:18" x14ac:dyDescent="0.25">
      <c r="A3103" s="6" t="str">
        <f>HYPERLINK("proteomic_fractions_linear_files/Yang_linear_img/9790077.jpg", "9790077")</f>
        <v>9790077</v>
      </c>
      <c r="B3103" s="7"/>
      <c r="C3103" s="6" t="str">
        <f>HYPERLINK("http://www.ncbi.nlm.nih.gov/protein/9790077","Gsk3b")</f>
        <v>Gsk3b</v>
      </c>
      <c r="D3103" s="8"/>
      <c r="E3103" s="8">
        <v>46579</v>
      </c>
      <c r="F3103" s="8"/>
      <c r="G3103" s="15" t="s">
        <v>10</v>
      </c>
      <c r="H3103" s="15" t="s">
        <v>10</v>
      </c>
      <c r="I3103" s="15">
        <v>0.93884232440352056</v>
      </c>
      <c r="J3103" s="15">
        <v>0.93884232440352056</v>
      </c>
      <c r="K3103" s="15">
        <v>1.0274462890301117</v>
      </c>
      <c r="L3103" s="15">
        <v>1.0274462890301117</v>
      </c>
      <c r="M3103" s="15">
        <v>0.93884232440352056</v>
      </c>
      <c r="N3103" s="15">
        <v>0.93884232440352056</v>
      </c>
      <c r="O3103" s="15">
        <v>0.86185783411112227</v>
      </c>
      <c r="P3103" s="15">
        <v>0.86185783411112227</v>
      </c>
      <c r="Q3103" s="8"/>
      <c r="R3103" s="9" t="s">
        <v>2867</v>
      </c>
    </row>
    <row r="3104" spans="1:18" x14ac:dyDescent="0.25">
      <c r="A3104" s="6" t="str">
        <f>HYPERLINK("proteomic_fractions_linear_files/Yang_linear_img/115292450.jpg", "115292450")</f>
        <v>115292450</v>
      </c>
      <c r="B3104" s="7"/>
      <c r="C3104" s="6" t="str">
        <f>HYPERLINK("http://www.ncbi.nlm.nih.gov/protein/115292450","Gskip")</f>
        <v>Gskip</v>
      </c>
      <c r="D3104" s="8"/>
      <c r="E3104" s="8">
        <v>16083</v>
      </c>
      <c r="F3104" s="8"/>
      <c r="G3104" s="15" t="s">
        <v>10</v>
      </c>
      <c r="H3104" s="15" t="s">
        <v>10</v>
      </c>
      <c r="I3104" s="15" t="s">
        <v>10</v>
      </c>
      <c r="J3104" s="15" t="s">
        <v>10</v>
      </c>
      <c r="K3104" s="15" t="s">
        <v>10</v>
      </c>
      <c r="L3104" s="15" t="s">
        <v>10</v>
      </c>
      <c r="M3104" s="15" t="s">
        <v>10</v>
      </c>
      <c r="N3104" s="15" t="s">
        <v>10</v>
      </c>
      <c r="O3104" s="15">
        <v>1.0447796575379389</v>
      </c>
      <c r="P3104" s="15">
        <v>1.0447796575379389</v>
      </c>
      <c r="Q3104" s="8"/>
      <c r="R3104" s="9" t="s">
        <v>2868</v>
      </c>
    </row>
    <row r="3105" spans="1:18" x14ac:dyDescent="0.25">
      <c r="A3105" s="6" t="str">
        <f>HYPERLINK("proteomic_fractions_linear_files/Yang_linear_img/329755243;329755239.jpg", "329755243;329755239")</f>
        <v>329755243;329755239</v>
      </c>
      <c r="B3105" s="8"/>
      <c r="C3105" s="6" t="str">
        <f>HYPERLINK("http://www.ncbi.nlm.nih.gov/protein/329755243;329755239","Gsn")</f>
        <v>Gsn</v>
      </c>
      <c r="D3105" s="8"/>
      <c r="E3105" s="8">
        <v>80632</v>
      </c>
      <c r="F3105" s="8"/>
      <c r="G3105" s="15">
        <v>1.0259093638659735</v>
      </c>
      <c r="H3105" s="15">
        <v>1.0259093638659735</v>
      </c>
      <c r="I3105" s="15" t="s">
        <v>10</v>
      </c>
      <c r="J3105" s="15" t="s">
        <v>10</v>
      </c>
      <c r="K3105" s="15">
        <v>1.1724442121306728</v>
      </c>
      <c r="L3105" s="15">
        <v>1.1724442121306728</v>
      </c>
      <c r="M3105" s="15" t="s">
        <v>10</v>
      </c>
      <c r="N3105" s="15" t="s">
        <v>10</v>
      </c>
      <c r="O3105" s="15" t="s">
        <v>10</v>
      </c>
      <c r="P3105" s="15" t="s">
        <v>10</v>
      </c>
      <c r="Q3105" s="8"/>
      <c r="R3105" s="9" t="s">
        <v>2869</v>
      </c>
    </row>
    <row r="3106" spans="1:18" x14ac:dyDescent="0.25">
      <c r="A3106" s="6" t="str">
        <f>HYPERLINK("proteomic_fractions_linear_files/Yang_linear_img/329755239.jpg", "329755239")</f>
        <v>329755239</v>
      </c>
      <c r="B3106" s="7"/>
      <c r="C3106" s="6" t="str">
        <f>HYPERLINK("http://www.ncbi.nlm.nih.gov/protein/329755239","Gsn")</f>
        <v>Gsn</v>
      </c>
      <c r="D3106" s="8"/>
      <c r="E3106" s="8">
        <v>80632</v>
      </c>
      <c r="F3106" s="8"/>
      <c r="G3106" s="15" t="s">
        <v>10</v>
      </c>
      <c r="H3106" s="15" t="s">
        <v>10</v>
      </c>
      <c r="I3106" s="15">
        <v>1.1724442121306728</v>
      </c>
      <c r="J3106" s="15">
        <v>1.1724442121306728</v>
      </c>
      <c r="K3106" s="15" t="s">
        <v>10</v>
      </c>
      <c r="L3106" s="15" t="s">
        <v>10</v>
      </c>
      <c r="M3106" s="15">
        <v>1.1724442121306728</v>
      </c>
      <c r="N3106" s="15">
        <v>1.1724442121306728</v>
      </c>
      <c r="O3106" s="15">
        <v>1.1724442121306728</v>
      </c>
      <c r="P3106" s="15">
        <v>1.1724442121306728</v>
      </c>
      <c r="Q3106" s="8"/>
      <c r="R3106" s="9" t="s">
        <v>2869</v>
      </c>
    </row>
    <row r="3107" spans="1:18" x14ac:dyDescent="0.25">
      <c r="A3107" s="6" t="str">
        <f>HYPERLINK("proteomic_fractions_linear_files/Yang_linear_img/28916693.jpg", "28916693")</f>
        <v>28916693</v>
      </c>
      <c r="B3107" s="7"/>
      <c r="C3107" s="6" t="str">
        <f>HYPERLINK("http://www.ncbi.nlm.nih.gov/protein/28916693","Gsn")</f>
        <v>Gsn</v>
      </c>
      <c r="D3107" s="8"/>
      <c r="E3107" s="8">
        <v>83345</v>
      </c>
      <c r="F3107" s="8"/>
      <c r="G3107" s="15">
        <v>1.001188656302938</v>
      </c>
      <c r="H3107" s="15">
        <v>1.001188656302938</v>
      </c>
      <c r="I3107" s="15">
        <v>1.1441925443684882</v>
      </c>
      <c r="J3107" s="15">
        <v>1.1441925443684882</v>
      </c>
      <c r="K3107" s="15">
        <v>1.1441925443684882</v>
      </c>
      <c r="L3107" s="15">
        <v>1.1441925443684882</v>
      </c>
      <c r="M3107" s="15">
        <v>1.1441925443684882</v>
      </c>
      <c r="N3107" s="15">
        <v>1.1441925443684882</v>
      </c>
      <c r="O3107" s="15">
        <v>1.1441925443684882</v>
      </c>
      <c r="P3107" s="15">
        <v>1.1441925443684882</v>
      </c>
      <c r="Q3107" s="8"/>
      <c r="R3107" s="9" t="s">
        <v>2870</v>
      </c>
    </row>
    <row r="3108" spans="1:18" x14ac:dyDescent="0.25">
      <c r="A3108" s="6" t="str">
        <f>HYPERLINK("proteomic_fractions_linear_files/Yang_linear_img/194018529.jpg", "194018529")</f>
        <v>194018529</v>
      </c>
      <c r="B3108" s="7"/>
      <c r="C3108" s="6" t="str">
        <f>HYPERLINK("http://www.ncbi.nlm.nih.gov/protein/194018529","Gspt1")</f>
        <v>Gspt1</v>
      </c>
      <c r="D3108" s="8"/>
      <c r="E3108" s="8">
        <v>68495</v>
      </c>
      <c r="F3108" s="8"/>
      <c r="G3108" s="15">
        <v>1.6147288797225217</v>
      </c>
      <c r="H3108" s="15">
        <v>1.6147288797225217</v>
      </c>
      <c r="I3108" s="15">
        <v>1.3965879585674192</v>
      </c>
      <c r="J3108" s="15">
        <v>1.3965879585674192</v>
      </c>
      <c r="K3108" s="15">
        <v>1.3965879585674192</v>
      </c>
      <c r="L3108" s="15">
        <v>1.3965879585674192</v>
      </c>
      <c r="M3108" s="15">
        <v>1.3965879585674192</v>
      </c>
      <c r="N3108" s="15">
        <v>1.3965879585674192</v>
      </c>
      <c r="O3108" s="15">
        <v>1.222039095193292</v>
      </c>
      <c r="P3108" s="15">
        <v>1.222039095193292</v>
      </c>
      <c r="Q3108" s="8"/>
      <c r="R3108" s="9" t="s">
        <v>2871</v>
      </c>
    </row>
    <row r="3109" spans="1:18" x14ac:dyDescent="0.25">
      <c r="A3109" s="6" t="str">
        <f>HYPERLINK("proteomic_fractions_linear_files/Yang_linear_img/194018533.jpg", "194018533")</f>
        <v>194018533</v>
      </c>
      <c r="B3109" s="7"/>
      <c r="C3109" s="6" t="str">
        <f>HYPERLINK("http://www.ncbi.nlm.nih.gov/protein/194018533","Gspt1")</f>
        <v>Gspt1</v>
      </c>
      <c r="D3109" s="8"/>
      <c r="E3109" s="8">
        <v>68396</v>
      </c>
      <c r="F3109" s="8"/>
      <c r="G3109" s="15">
        <v>1.6147288797225217</v>
      </c>
      <c r="H3109" s="15">
        <v>1.6147288797225217</v>
      </c>
      <c r="I3109" s="15">
        <v>1.3965879585674192</v>
      </c>
      <c r="J3109" s="15">
        <v>1.3965879585674192</v>
      </c>
      <c r="K3109" s="15">
        <v>1.3965879585674192</v>
      </c>
      <c r="L3109" s="15">
        <v>1.3965879585674192</v>
      </c>
      <c r="M3109" s="15">
        <v>1.3965879585674192</v>
      </c>
      <c r="N3109" s="15">
        <v>1.3965879585674192</v>
      </c>
      <c r="O3109" s="15">
        <v>1.222039095193292</v>
      </c>
      <c r="P3109" s="15">
        <v>1.222039095193292</v>
      </c>
      <c r="Q3109" s="8"/>
      <c r="R3109" s="9" t="s">
        <v>2872</v>
      </c>
    </row>
    <row r="3110" spans="1:18" x14ac:dyDescent="0.25">
      <c r="A3110" s="6" t="str">
        <f>HYPERLINK("proteomic_fractions_linear_files/Yang_linear_img/58331156.jpg", "58331156")</f>
        <v>58331156</v>
      </c>
      <c r="B3110" s="7"/>
      <c r="C3110" s="6" t="str">
        <f>HYPERLINK("http://www.ncbi.nlm.nih.gov/protein/58331156","Gspt2")</f>
        <v>Gspt2</v>
      </c>
      <c r="D3110" s="8"/>
      <c r="E3110" s="8">
        <v>69016</v>
      </c>
      <c r="F3110" s="8"/>
      <c r="G3110" s="15" t="s">
        <v>10</v>
      </c>
      <c r="H3110" s="15" t="s">
        <v>10</v>
      </c>
      <c r="I3110" s="15">
        <v>1.3763475533707901</v>
      </c>
      <c r="J3110" s="15">
        <v>1.3763475533707901</v>
      </c>
      <c r="K3110" s="15">
        <v>1.3763475533707901</v>
      </c>
      <c r="L3110" s="15">
        <v>1.3763475533707901</v>
      </c>
      <c r="M3110" s="15" t="s">
        <v>10</v>
      </c>
      <c r="N3110" s="15" t="s">
        <v>10</v>
      </c>
      <c r="O3110" s="15">
        <v>1.2043283836687515</v>
      </c>
      <c r="P3110" s="15">
        <v>1.2043283836687515</v>
      </c>
      <c r="Q3110" s="8"/>
      <c r="R3110" s="9" t="s">
        <v>2873</v>
      </c>
    </row>
    <row r="3111" spans="1:18" x14ac:dyDescent="0.25">
      <c r="A3111" s="6" t="str">
        <f>HYPERLINK("proteomic_fractions_linear_files/Yang_linear_img/160298213.jpg", "160298213")</f>
        <v>160298213</v>
      </c>
      <c r="B3111" s="7"/>
      <c r="C3111" s="6" t="str">
        <f>HYPERLINK("http://www.ncbi.nlm.nih.gov/protein/160298213","Gsr")</f>
        <v>Gsr</v>
      </c>
      <c r="D3111" s="8"/>
      <c r="E3111" s="8">
        <v>51074</v>
      </c>
      <c r="F3111" s="8"/>
      <c r="G3111" s="15">
        <v>1.2833973202067517</v>
      </c>
      <c r="H3111" s="15">
        <v>1.2833973202067517</v>
      </c>
      <c r="I3111" s="15">
        <v>1.0415797966666878</v>
      </c>
      <c r="J3111" s="15">
        <v>1.0415797966666878</v>
      </c>
      <c r="K3111" s="15">
        <v>1.0415797966666878</v>
      </c>
      <c r="L3111" s="15">
        <v>1.0415797966666878</v>
      </c>
      <c r="M3111" s="15">
        <v>1.0415797966666878</v>
      </c>
      <c r="N3111" s="15">
        <v>1.0415797966666878</v>
      </c>
      <c r="O3111" s="15">
        <v>0.94686226636108339</v>
      </c>
      <c r="P3111" s="15">
        <v>0.94686226636108339</v>
      </c>
      <c r="Q3111" s="8"/>
      <c r="R3111" s="9" t="s">
        <v>2874</v>
      </c>
    </row>
    <row r="3112" spans="1:18" x14ac:dyDescent="0.25">
      <c r="A3112" s="6" t="str">
        <f>HYPERLINK("proteomic_fractions_linear_files/Yang_linear_img/6680117.jpg", "6680117")</f>
        <v>6680117</v>
      </c>
      <c r="B3112" s="7"/>
      <c r="C3112" s="6" t="str">
        <f>HYPERLINK("http://www.ncbi.nlm.nih.gov/protein/6680117","Gss")</f>
        <v>Gss</v>
      </c>
      <c r="D3112" s="8"/>
      <c r="E3112" s="8">
        <v>52116</v>
      </c>
      <c r="F3112" s="8"/>
      <c r="G3112" s="15" t="s">
        <v>10</v>
      </c>
      <c r="H3112" s="15" t="s">
        <v>10</v>
      </c>
      <c r="I3112" s="15">
        <v>1.0215494159615592</v>
      </c>
      <c r="J3112" s="15">
        <v>1.0215494159615592</v>
      </c>
      <c r="K3112" s="15">
        <v>1.0215494159615592</v>
      </c>
      <c r="L3112" s="15">
        <v>1.0215494159615592</v>
      </c>
      <c r="M3112" s="15">
        <v>1.0215494159615592</v>
      </c>
      <c r="N3112" s="15">
        <v>1.0215494159615592</v>
      </c>
      <c r="O3112" s="15">
        <v>0.92865337662337022</v>
      </c>
      <c r="P3112" s="15">
        <v>0.92865337662337022</v>
      </c>
      <c r="Q3112" s="8"/>
      <c r="R3112" s="9" t="s">
        <v>2875</v>
      </c>
    </row>
    <row r="3113" spans="1:18" x14ac:dyDescent="0.25">
      <c r="A3113" s="6" t="str">
        <f>HYPERLINK("proteomic_fractions_linear_files/Yang_linear_img/154350202.jpg", "154350202")</f>
        <v>154350202</v>
      </c>
      <c r="B3113" s="7"/>
      <c r="C3113" s="6" t="str">
        <f>HYPERLINK("http://www.ncbi.nlm.nih.gov/protein/154350202","Gsta1")</f>
        <v>Gsta1</v>
      </c>
      <c r="D3113" s="8"/>
      <c r="E3113" s="8">
        <v>25477</v>
      </c>
      <c r="F3113" s="8"/>
      <c r="G3113" s="15">
        <v>1.2833629142293435</v>
      </c>
      <c r="H3113" s="15">
        <v>1.2833629142293435</v>
      </c>
      <c r="I3113" s="15">
        <v>0.92438293498869784</v>
      </c>
      <c r="J3113" s="15">
        <v>0.92438293498869784</v>
      </c>
      <c r="K3113" s="15">
        <v>0.92438293498869784</v>
      </c>
      <c r="L3113" s="15">
        <v>0.92438293498869784</v>
      </c>
      <c r="M3113" s="15">
        <v>0.92438293498869784</v>
      </c>
      <c r="N3113" s="15">
        <v>0.92438293498869784</v>
      </c>
      <c r="O3113" s="15">
        <v>0.87182969082715001</v>
      </c>
      <c r="P3113" s="15">
        <v>0.87182969082715001</v>
      </c>
      <c r="Q3113" s="8"/>
      <c r="R3113" s="9" t="s">
        <v>2876</v>
      </c>
    </row>
    <row r="3114" spans="1:18" x14ac:dyDescent="0.25">
      <c r="A3114" s="6" t="str">
        <f>HYPERLINK("proteomic_fractions_linear_files/Yang_linear_img/50263046.jpg", "50263046")</f>
        <v>50263046</v>
      </c>
      <c r="B3114" s="7"/>
      <c r="C3114" s="6" t="str">
        <f>HYPERLINK("http://www.ncbi.nlm.nih.gov/protein/50263046","Gsta2")</f>
        <v>Gsta2</v>
      </c>
      <c r="D3114" s="8"/>
      <c r="E3114" s="8">
        <v>25411</v>
      </c>
      <c r="F3114" s="8"/>
      <c r="G3114" s="15">
        <v>1.2833629142293435</v>
      </c>
      <c r="H3114" s="15">
        <v>1.2833629142293435</v>
      </c>
      <c r="I3114" s="15">
        <v>0.92438293498869784</v>
      </c>
      <c r="J3114" s="15">
        <v>0.92438293498869784</v>
      </c>
      <c r="K3114" s="15">
        <v>0.92438293498869784</v>
      </c>
      <c r="L3114" s="15">
        <v>0.92438293498869784</v>
      </c>
      <c r="M3114" s="15">
        <v>0.92438293498869784</v>
      </c>
      <c r="N3114" s="15">
        <v>0.92438293498869784</v>
      </c>
      <c r="O3114" s="15">
        <v>0.82389764746625094</v>
      </c>
      <c r="P3114" s="15">
        <v>0.82389764746625094</v>
      </c>
      <c r="Q3114" s="8"/>
      <c r="R3114" s="9" t="s">
        <v>2877</v>
      </c>
    </row>
    <row r="3115" spans="1:18" x14ac:dyDescent="0.25">
      <c r="A3115" s="6" t="str">
        <f>HYPERLINK("proteomic_fractions_linear_files/Yang_linear_img/31981724.jpg", "31981724")</f>
        <v>31981724</v>
      </c>
      <c r="B3115" s="7"/>
      <c r="C3115" s="6" t="str">
        <f>HYPERLINK("http://www.ncbi.nlm.nih.gov/protein/31981724","Gsta3")</f>
        <v>Gsta3</v>
      </c>
      <c r="D3115" s="8"/>
      <c r="E3115" s="8">
        <v>25229</v>
      </c>
      <c r="F3115" s="8"/>
      <c r="G3115" s="15">
        <v>1.2833629142293435</v>
      </c>
      <c r="H3115" s="15">
        <v>1.2833629142293435</v>
      </c>
      <c r="I3115" s="15">
        <v>0.92438293498869784</v>
      </c>
      <c r="J3115" s="15">
        <v>0.92438293498869784</v>
      </c>
      <c r="K3115" s="15">
        <v>0.92438293498869784</v>
      </c>
      <c r="L3115" s="15">
        <v>0.92438293498869784</v>
      </c>
      <c r="M3115" s="15">
        <v>0.92438293498869784</v>
      </c>
      <c r="N3115" s="15">
        <v>0.92438293498869784</v>
      </c>
      <c r="O3115" s="15">
        <v>0.87182969082715001</v>
      </c>
      <c r="P3115" s="15">
        <v>0.87182969082715001</v>
      </c>
      <c r="Q3115" s="8"/>
      <c r="R3115" s="9" t="s">
        <v>2878</v>
      </c>
    </row>
    <row r="3116" spans="1:18" x14ac:dyDescent="0.25">
      <c r="A3116" s="6" t="str">
        <f>HYPERLINK("proteomic_fractions_linear_files/Yang_linear_img/160298217.jpg", "160298217")</f>
        <v>160298217</v>
      </c>
      <c r="B3116" s="7"/>
      <c r="C3116" s="6" t="str">
        <f>HYPERLINK("http://www.ncbi.nlm.nih.gov/protein/160298217","Gsta4")</f>
        <v>Gsta4</v>
      </c>
      <c r="D3116" s="8"/>
      <c r="E3116" s="8">
        <v>25433</v>
      </c>
      <c r="F3116" s="8"/>
      <c r="G3116" s="15">
        <v>1.2833629142293435</v>
      </c>
      <c r="H3116" s="15">
        <v>1.2833629142293435</v>
      </c>
      <c r="I3116" s="15">
        <v>0.87182969082715001</v>
      </c>
      <c r="J3116" s="15">
        <v>0.87182969082715001</v>
      </c>
      <c r="K3116" s="15">
        <v>0.92438293498869784</v>
      </c>
      <c r="L3116" s="15">
        <v>0.92438293498869784</v>
      </c>
      <c r="M3116" s="15">
        <v>0.92438293498869784</v>
      </c>
      <c r="N3116" s="15">
        <v>0.92438293498869784</v>
      </c>
      <c r="O3116" s="15">
        <v>0.87182969082715001</v>
      </c>
      <c r="P3116" s="15">
        <v>0.87182969082715001</v>
      </c>
      <c r="Q3116" s="8"/>
      <c r="R3116" s="9" t="s">
        <v>2879</v>
      </c>
    </row>
    <row r="3117" spans="1:18" x14ac:dyDescent="0.25">
      <c r="A3117" s="6" t="str">
        <f>HYPERLINK("proteomic_fractions_linear_files/Yang_linear_img/21313138.jpg", "21313138")</f>
        <v>21313138</v>
      </c>
      <c r="B3117" s="7"/>
      <c r="C3117" s="6" t="str">
        <f>HYPERLINK("http://www.ncbi.nlm.nih.gov/protein/21313138","Gstk1")</f>
        <v>Gstk1</v>
      </c>
      <c r="D3117" s="8"/>
      <c r="E3117" s="8">
        <v>25573</v>
      </c>
      <c r="F3117" s="8"/>
      <c r="G3117" s="15">
        <v>1.2340028021435996</v>
      </c>
      <c r="H3117" s="15">
        <v>1.2340028021435996</v>
      </c>
      <c r="I3117" s="15">
        <v>0.8888297451814402</v>
      </c>
      <c r="J3117" s="15">
        <v>0.8888297451814402</v>
      </c>
      <c r="K3117" s="15">
        <v>0.8888297451814402</v>
      </c>
      <c r="L3117" s="15">
        <v>0.8888297451814402</v>
      </c>
      <c r="M3117" s="15" t="s">
        <v>10</v>
      </c>
      <c r="N3117" s="15" t="s">
        <v>10</v>
      </c>
      <c r="O3117" s="15" t="s">
        <v>10</v>
      </c>
      <c r="P3117" s="15" t="s">
        <v>10</v>
      </c>
      <c r="Q3117" s="8"/>
      <c r="R3117" s="9" t="s">
        <v>2880</v>
      </c>
    </row>
    <row r="3118" spans="1:18" x14ac:dyDescent="0.25">
      <c r="A3118" s="6" t="str">
        <f>HYPERLINK("proteomic_fractions_linear_files/Yang_linear_img/6754084.jpg", "6754084")</f>
        <v>6754084</v>
      </c>
      <c r="B3118" s="7"/>
      <c r="C3118" s="6" t="str">
        <f>HYPERLINK("http://www.ncbi.nlm.nih.gov/protein/6754084","Gstm1")</f>
        <v>Gstm1</v>
      </c>
      <c r="D3118" s="8"/>
      <c r="E3118" s="8">
        <v>25839</v>
      </c>
      <c r="F3118" s="8"/>
      <c r="G3118" s="15">
        <v>1.3289760204028918</v>
      </c>
      <c r="H3118" s="15">
        <v>1.3289760204028918</v>
      </c>
      <c r="I3118" s="15">
        <v>0.94441617743372752</v>
      </c>
      <c r="J3118" s="15">
        <v>0.94441617743372752</v>
      </c>
      <c r="K3118" s="15">
        <v>0.94441617743372752</v>
      </c>
      <c r="L3118" s="15">
        <v>0.94441617743372752</v>
      </c>
      <c r="M3118" s="15">
        <v>0.94441617743372752</v>
      </c>
      <c r="N3118" s="15">
        <v>0.94441617743372752</v>
      </c>
      <c r="O3118" s="15">
        <v>0.83829777964149044</v>
      </c>
      <c r="P3118" s="15">
        <v>0.83829777964149044</v>
      </c>
      <c r="Q3118" s="8"/>
      <c r="R3118" s="9" t="s">
        <v>2881</v>
      </c>
    </row>
    <row r="3119" spans="1:18" x14ac:dyDescent="0.25">
      <c r="A3119" s="6" t="str">
        <f>HYPERLINK("proteomic_fractions_linear_files/Yang_linear_img/6680121.jpg", "6680121")</f>
        <v>6680121</v>
      </c>
      <c r="B3119" s="7"/>
      <c r="C3119" s="6" t="str">
        <f>HYPERLINK("http://www.ncbi.nlm.nih.gov/protein/6680121","Gstm2")</f>
        <v>Gstm2</v>
      </c>
      <c r="D3119" s="8"/>
      <c r="E3119" s="8">
        <v>25586</v>
      </c>
      <c r="F3119" s="8"/>
      <c r="G3119" s="15">
        <v>1.3289760204028918</v>
      </c>
      <c r="H3119" s="15">
        <v>1.3289760204028918</v>
      </c>
      <c r="I3119" s="15">
        <v>0.8888297451814402</v>
      </c>
      <c r="J3119" s="15">
        <v>0.8888297451814402</v>
      </c>
      <c r="K3119" s="15">
        <v>0.94441617743372752</v>
      </c>
      <c r="L3119" s="15">
        <v>0.94441617743372752</v>
      </c>
      <c r="M3119" s="15">
        <v>0.8888297451814402</v>
      </c>
      <c r="N3119" s="15">
        <v>0.8888297451814402</v>
      </c>
      <c r="O3119" s="15">
        <v>0.79220927640985661</v>
      </c>
      <c r="P3119" s="15">
        <v>0.79220927640985661</v>
      </c>
      <c r="Q3119" s="8"/>
      <c r="R3119" s="9" t="s">
        <v>2882</v>
      </c>
    </row>
    <row r="3120" spans="1:18" x14ac:dyDescent="0.25">
      <c r="A3120" s="6" t="str">
        <f>HYPERLINK("proteomic_fractions_linear_files/Yang_linear_img/33468899.jpg", "33468899")</f>
        <v>33468899</v>
      </c>
      <c r="B3120" s="7"/>
      <c r="C3120" s="6" t="str">
        <f>HYPERLINK("http://www.ncbi.nlm.nih.gov/protein/33468899","Gstm3")</f>
        <v>Gstm3</v>
      </c>
      <c r="D3120" s="8"/>
      <c r="E3120" s="8">
        <v>25571</v>
      </c>
      <c r="F3120" s="8"/>
      <c r="G3120" s="15">
        <v>1.3289760204028918</v>
      </c>
      <c r="H3120" s="15">
        <v>1.3289760204028918</v>
      </c>
      <c r="I3120" s="15">
        <v>0.8888297451814402</v>
      </c>
      <c r="J3120" s="15">
        <v>0.8888297451814402</v>
      </c>
      <c r="K3120" s="15">
        <v>0.94441617743372752</v>
      </c>
      <c r="L3120" s="15">
        <v>0.94441617743372752</v>
      </c>
      <c r="M3120" s="15">
        <v>0.94441617743372752</v>
      </c>
      <c r="N3120" s="15">
        <v>0.94441617743372752</v>
      </c>
      <c r="O3120" s="15">
        <v>0.79220927640985661</v>
      </c>
      <c r="P3120" s="15">
        <v>0.79220927640985661</v>
      </c>
      <c r="Q3120" s="8"/>
      <c r="R3120" s="9" t="s">
        <v>2883</v>
      </c>
    </row>
    <row r="3121" spans="1:18" x14ac:dyDescent="0.25">
      <c r="A3121" s="6" t="str">
        <f>HYPERLINK("proteomic_fractions_linear_files/Yang_linear_img/238018082.jpg", "238018082")</f>
        <v>238018082</v>
      </c>
      <c r="B3121" s="7"/>
      <c r="C3121" s="6" t="str">
        <f>HYPERLINK("http://www.ncbi.nlm.nih.gov/protein/238018082","Gstm4")</f>
        <v>Gstm4</v>
      </c>
      <c r="D3121" s="8"/>
      <c r="E3121" s="8">
        <v>21371</v>
      </c>
      <c r="F3121" s="8"/>
      <c r="G3121" s="15">
        <v>1.100455874986545</v>
      </c>
      <c r="H3121" s="15">
        <v>1.100455874986545</v>
      </c>
      <c r="I3121" s="15">
        <v>1.1692771720608055</v>
      </c>
      <c r="J3121" s="15">
        <v>1.1692771720608055</v>
      </c>
      <c r="K3121" s="15">
        <v>1.100455874986545</v>
      </c>
      <c r="L3121" s="15">
        <v>1.100455874986545</v>
      </c>
      <c r="M3121" s="15">
        <v>1.100455874986545</v>
      </c>
      <c r="N3121" s="15">
        <v>1.100455874986545</v>
      </c>
      <c r="O3121" s="15">
        <v>0.98083053269791776</v>
      </c>
      <c r="P3121" s="15">
        <v>0.98083053269791776</v>
      </c>
      <c r="Q3121" s="8"/>
      <c r="R3121" s="9" t="s">
        <v>2884</v>
      </c>
    </row>
    <row r="3122" spans="1:18" x14ac:dyDescent="0.25">
      <c r="A3122" s="6" t="str">
        <f>HYPERLINK("proteomic_fractions_linear_files/Yang_linear_img/28076911.jpg", "28076911")</f>
        <v>28076911</v>
      </c>
      <c r="B3122" s="7"/>
      <c r="C3122" s="6" t="str">
        <f>HYPERLINK("http://www.ncbi.nlm.nih.gov/protein/28076911","Gstm4")</f>
        <v>Gstm4</v>
      </c>
      <c r="D3122" s="8"/>
      <c r="E3122" s="8">
        <v>25388</v>
      </c>
      <c r="F3122" s="8"/>
      <c r="G3122" s="15">
        <v>1.3821350612190073</v>
      </c>
      <c r="H3122" s="15">
        <v>0.92438293498869784</v>
      </c>
      <c r="I3122" s="15">
        <v>0.92438293498869784</v>
      </c>
      <c r="J3122" s="15">
        <v>0.92438293498869784</v>
      </c>
      <c r="K3122" s="15">
        <v>0.9821928245310767</v>
      </c>
      <c r="L3122" s="15">
        <v>0.9821928245310767</v>
      </c>
      <c r="M3122" s="15">
        <v>0.9821928245310767</v>
      </c>
      <c r="N3122" s="15">
        <v>0.9821928245310767</v>
      </c>
      <c r="O3122" s="15">
        <v>0.82389764746625094</v>
      </c>
      <c r="P3122" s="15">
        <v>0.82389764746625094</v>
      </c>
      <c r="Q3122" s="8"/>
      <c r="R3122" s="9" t="s">
        <v>2885</v>
      </c>
    </row>
    <row r="3123" spans="1:18" x14ac:dyDescent="0.25">
      <c r="A3123" s="6" t="str">
        <f>HYPERLINK("proteomic_fractions_linear_files/Yang_linear_img/6754086.jpg", "6754086")</f>
        <v>6754086</v>
      </c>
      <c r="B3123" s="7"/>
      <c r="C3123" s="6" t="str">
        <f>HYPERLINK("http://www.ncbi.nlm.nih.gov/protein/6754086","Gstm5")</f>
        <v>Gstm5</v>
      </c>
      <c r="D3123" s="8"/>
      <c r="E3123" s="8">
        <v>26504</v>
      </c>
      <c r="F3123" s="8"/>
      <c r="G3123" s="15">
        <v>1.2797546863138958</v>
      </c>
      <c r="H3123" s="15">
        <v>1.2797546863138958</v>
      </c>
      <c r="I3123" s="15">
        <v>0.96852807834907406</v>
      </c>
      <c r="J3123" s="15">
        <v>0.96852807834907406</v>
      </c>
      <c r="K3123" s="15">
        <v>0.90943780049173761</v>
      </c>
      <c r="L3123" s="15">
        <v>0.90943780049173761</v>
      </c>
      <c r="M3123" s="15">
        <v>0.96852807834907406</v>
      </c>
      <c r="N3123" s="15">
        <v>0.96852807834907406</v>
      </c>
      <c r="O3123" s="15">
        <v>0.76286819209838042</v>
      </c>
      <c r="P3123" s="15">
        <v>0.76286819209838042</v>
      </c>
      <c r="Q3123" s="8"/>
      <c r="R3123" s="9" t="s">
        <v>2886</v>
      </c>
    </row>
    <row r="3124" spans="1:18" x14ac:dyDescent="0.25">
      <c r="A3124" s="6" t="str">
        <f>HYPERLINK("proteomic_fractions_linear_files/Yang_linear_img/113680506.jpg", "113680506")</f>
        <v>113680506</v>
      </c>
      <c r="B3124" s="7"/>
      <c r="C3124" s="6" t="str">
        <f>HYPERLINK("http://www.ncbi.nlm.nih.gov/protein/113680506","Gstm6")</f>
        <v>Gstm6</v>
      </c>
      <c r="D3124" s="8"/>
      <c r="E3124" s="8">
        <v>25490</v>
      </c>
      <c r="F3124" s="8"/>
      <c r="G3124" s="15">
        <v>1.3821350612190073</v>
      </c>
      <c r="H3124" s="15">
        <v>1.3821350612190073</v>
      </c>
      <c r="I3124" s="15">
        <v>0.92438293498869784</v>
      </c>
      <c r="J3124" s="15">
        <v>0.92438293498869784</v>
      </c>
      <c r="K3124" s="15">
        <v>0.9821928245310767</v>
      </c>
      <c r="L3124" s="15">
        <v>0.9821928245310767</v>
      </c>
      <c r="M3124" s="15">
        <v>0.9821928245310767</v>
      </c>
      <c r="N3124" s="15">
        <v>0.9821928245310767</v>
      </c>
      <c r="O3124" s="15">
        <v>0.82389764746625094</v>
      </c>
      <c r="P3124" s="15">
        <v>0.82389764746625094</v>
      </c>
      <c r="Q3124" s="8"/>
      <c r="R3124" s="9" t="s">
        <v>2887</v>
      </c>
    </row>
    <row r="3125" spans="1:18" x14ac:dyDescent="0.25">
      <c r="A3125" s="6" t="str">
        <f>HYPERLINK("proteomic_fractions_linear_files/Yang_linear_img/113679874.jpg", "113679874")</f>
        <v>113679874</v>
      </c>
      <c r="B3125" s="7"/>
      <c r="C3125" s="6" t="str">
        <f>HYPERLINK("http://www.ncbi.nlm.nih.gov/protein/113679874","Gstm7")</f>
        <v>Gstm7</v>
      </c>
      <c r="D3125" s="8"/>
      <c r="E3125" s="8">
        <v>25579</v>
      </c>
      <c r="F3125" s="8"/>
      <c r="G3125" s="15">
        <v>1.3289760204028918</v>
      </c>
      <c r="H3125" s="15">
        <v>1.3289760204028918</v>
      </c>
      <c r="I3125" s="15">
        <v>0.8888297451814402</v>
      </c>
      <c r="J3125" s="15">
        <v>0.8888297451814402</v>
      </c>
      <c r="K3125" s="15">
        <v>0.94441617743372752</v>
      </c>
      <c r="L3125" s="15">
        <v>0.94441617743372752</v>
      </c>
      <c r="M3125" s="15">
        <v>0.94441617743372752</v>
      </c>
      <c r="N3125" s="15">
        <v>0.94441617743372752</v>
      </c>
      <c r="O3125" s="15">
        <v>0.79220927640985661</v>
      </c>
      <c r="P3125" s="15">
        <v>0.79220927640985661</v>
      </c>
      <c r="Q3125" s="8"/>
      <c r="R3125" s="9" t="s">
        <v>2888</v>
      </c>
    </row>
    <row r="3126" spans="1:18" x14ac:dyDescent="0.25">
      <c r="A3126" s="6" t="str">
        <f>HYPERLINK("proteomic_fractions_linear_files/Yang_linear_img/6754090.jpg", "6754090")</f>
        <v>6754090</v>
      </c>
      <c r="B3126" s="7"/>
      <c r="C3126" s="6" t="str">
        <f>HYPERLINK("http://www.ncbi.nlm.nih.gov/protein/6754090","Gsto1")</f>
        <v>Gsto1</v>
      </c>
      <c r="D3126" s="8"/>
      <c r="E3126" s="8">
        <v>27367</v>
      </c>
      <c r="F3126" s="8"/>
      <c r="G3126" s="15">
        <v>0.96852807834907406</v>
      </c>
      <c r="H3126" s="15">
        <v>0.96852807834907406</v>
      </c>
      <c r="I3126" s="15">
        <v>0.96852807834907406</v>
      </c>
      <c r="J3126" s="15">
        <v>0.96852807834907406</v>
      </c>
      <c r="K3126" s="15">
        <v>1.0340078258400762</v>
      </c>
      <c r="L3126" s="15">
        <v>1.0340078258400762</v>
      </c>
      <c r="M3126" s="15">
        <v>0.96852807834907406</v>
      </c>
      <c r="N3126" s="15">
        <v>0.96852807834907406</v>
      </c>
      <c r="O3126" s="15">
        <v>0.855910124989535</v>
      </c>
      <c r="P3126" s="15">
        <v>0.855910124989535</v>
      </c>
      <c r="Q3126" s="8"/>
      <c r="R3126" s="9" t="s">
        <v>2889</v>
      </c>
    </row>
    <row r="3127" spans="1:18" x14ac:dyDescent="0.25">
      <c r="A3127" s="6" t="str">
        <f>HYPERLINK("proteomic_fractions_linear_files/Yang_linear_img/313151238;225007547.jpg", "313151238;225007547")</f>
        <v>313151238;225007547</v>
      </c>
      <c r="B3127" s="8"/>
      <c r="C3127" s="6" t="str">
        <f>HYPERLINK("http://www.ncbi.nlm.nih.gov/protein/313151238;225007547","Gsto2")</f>
        <v>Gsto2</v>
      </c>
      <c r="D3127" s="8"/>
      <c r="E3127" s="8">
        <v>28468</v>
      </c>
      <c r="F3127" s="8"/>
      <c r="G3127" s="15" t="s">
        <v>10</v>
      </c>
      <c r="H3127" s="15" t="s">
        <v>10</v>
      </c>
      <c r="I3127" s="15" t="s">
        <v>10</v>
      </c>
      <c r="J3127" s="15" t="s">
        <v>10</v>
      </c>
      <c r="K3127" s="15" t="s">
        <v>10</v>
      </c>
      <c r="L3127" s="15" t="s">
        <v>10</v>
      </c>
      <c r="M3127" s="15" t="s">
        <v>10</v>
      </c>
      <c r="N3127" s="15" t="s">
        <v>10</v>
      </c>
      <c r="O3127" s="15">
        <v>0.87695787904560418</v>
      </c>
      <c r="P3127" s="15">
        <v>0.87695787904560418</v>
      </c>
      <c r="Q3127" s="8"/>
      <c r="R3127" s="9" t="s">
        <v>2890</v>
      </c>
    </row>
    <row r="3128" spans="1:18" x14ac:dyDescent="0.25">
      <c r="A3128" s="6" t="str">
        <f>HYPERLINK("proteomic_fractions_linear_files/Yang_linear_img/10092608.jpg", "10092608")</f>
        <v>10092608</v>
      </c>
      <c r="B3128" s="7"/>
      <c r="C3128" s="6" t="str">
        <f>HYPERLINK("http://www.ncbi.nlm.nih.gov/protein/10092608","Gstp1")</f>
        <v>Gstp1</v>
      </c>
      <c r="D3128" s="8"/>
      <c r="E3128" s="8">
        <v>23478</v>
      </c>
      <c r="F3128" s="8"/>
      <c r="G3128" s="15">
        <v>1.3949596893797211</v>
      </c>
      <c r="H3128" s="15">
        <v>1.3949596893797211</v>
      </c>
      <c r="I3128" s="15">
        <v>1.0047640597703238</v>
      </c>
      <c r="J3128" s="15">
        <v>1.0047640597703238</v>
      </c>
      <c r="K3128" s="15">
        <v>1.0047640597703238</v>
      </c>
      <c r="L3128" s="15">
        <v>1.0047640597703238</v>
      </c>
      <c r="M3128" s="15">
        <v>1.0047640597703238</v>
      </c>
      <c r="N3128" s="15">
        <v>1.0047640597703238</v>
      </c>
      <c r="O3128" s="15">
        <v>0.94764096829038047</v>
      </c>
      <c r="P3128" s="15">
        <v>0.94764096829038047</v>
      </c>
      <c r="Q3128" s="8"/>
      <c r="R3128" s="9" t="s">
        <v>2891</v>
      </c>
    </row>
    <row r="3129" spans="1:18" x14ac:dyDescent="0.25">
      <c r="A3129" s="6" t="str">
        <f>HYPERLINK("proteomic_fractions_linear_files/Yang_linear_img/32401425.jpg", "32401425")</f>
        <v>32401425</v>
      </c>
      <c r="B3129" s="7"/>
      <c r="C3129" s="6" t="str">
        <f>HYPERLINK("http://www.ncbi.nlm.nih.gov/protein/32401425","Gstp2")</f>
        <v>Gstp2</v>
      </c>
      <c r="D3129" s="8"/>
      <c r="E3129" s="8">
        <v>23406</v>
      </c>
      <c r="F3129" s="8"/>
      <c r="G3129" s="15">
        <v>1.3949596893797211</v>
      </c>
      <c r="H3129" s="15">
        <v>1.3949596893797211</v>
      </c>
      <c r="I3129" s="15">
        <v>1.0047640597703238</v>
      </c>
      <c r="J3129" s="15">
        <v>1.0047640597703238</v>
      </c>
      <c r="K3129" s="15">
        <v>1.0047640597703238</v>
      </c>
      <c r="L3129" s="15">
        <v>1.0047640597703238</v>
      </c>
      <c r="M3129" s="15">
        <v>1.0047640597703238</v>
      </c>
      <c r="N3129" s="15">
        <v>1.0047640597703238</v>
      </c>
      <c r="O3129" s="15">
        <v>0.94764096829038047</v>
      </c>
      <c r="P3129" s="15">
        <v>0.94764096829038047</v>
      </c>
      <c r="Q3129" s="8"/>
      <c r="R3129" s="9" t="s">
        <v>2892</v>
      </c>
    </row>
    <row r="3130" spans="1:18" x14ac:dyDescent="0.25">
      <c r="A3130" s="6" t="str">
        <f>HYPERLINK("proteomic_fractions_linear_files/Yang_linear_img/160298219.jpg", "160298219")</f>
        <v>160298219</v>
      </c>
      <c r="B3130" s="7"/>
      <c r="C3130" s="6" t="str">
        <f>HYPERLINK("http://www.ncbi.nlm.nih.gov/protein/160298219","Gstt1")</f>
        <v>Gstt1</v>
      </c>
      <c r="D3130" s="8"/>
      <c r="E3130" s="8">
        <v>27243</v>
      </c>
      <c r="F3130" s="8"/>
      <c r="G3130" s="15" t="s">
        <v>10</v>
      </c>
      <c r="H3130" s="15" t="s">
        <v>10</v>
      </c>
      <c r="I3130" s="15">
        <v>0.855910124989535</v>
      </c>
      <c r="J3130" s="15">
        <v>0.855910124989535</v>
      </c>
      <c r="K3130" s="15">
        <v>0.855910124989535</v>
      </c>
      <c r="L3130" s="15">
        <v>0.855910124989535</v>
      </c>
      <c r="M3130" s="15">
        <v>0.855910124989535</v>
      </c>
      <c r="N3130" s="15">
        <v>0.855910124989535</v>
      </c>
      <c r="O3130" s="15">
        <v>0.76286819209838042</v>
      </c>
      <c r="P3130" s="15">
        <v>0.76286819209838042</v>
      </c>
      <c r="Q3130" s="8"/>
      <c r="R3130" s="9" t="s">
        <v>2893</v>
      </c>
    </row>
    <row r="3131" spans="1:18" x14ac:dyDescent="0.25">
      <c r="A3131" s="6" t="str">
        <f>HYPERLINK("proteomic_fractions_linear_files/Yang_linear_img/158081796.jpg", "158081796")</f>
        <v>158081796</v>
      </c>
      <c r="B3131" s="7"/>
      <c r="C3131" s="6" t="str">
        <f>HYPERLINK("http://www.ncbi.nlm.nih.gov/protein/158081796","Gstt2")</f>
        <v>Gstt2</v>
      </c>
      <c r="D3131" s="8"/>
      <c r="E3131" s="8">
        <v>27503</v>
      </c>
      <c r="F3131" s="8"/>
      <c r="G3131" s="15">
        <v>1.1458597448476282</v>
      </c>
      <c r="H3131" s="15">
        <v>1.1458597448476282</v>
      </c>
      <c r="I3131" s="15">
        <v>0.82534190623990877</v>
      </c>
      <c r="J3131" s="15">
        <v>0.82534190623990877</v>
      </c>
      <c r="K3131" s="15">
        <v>0.82534190623990877</v>
      </c>
      <c r="L3131" s="15">
        <v>0.82534190623990877</v>
      </c>
      <c r="M3131" s="15">
        <v>0.82534190623990877</v>
      </c>
      <c r="N3131" s="15">
        <v>0.82534190623990877</v>
      </c>
      <c r="O3131" s="15">
        <v>0.73562289952343829</v>
      </c>
      <c r="P3131" s="15">
        <v>0.73562289952343829</v>
      </c>
      <c r="Q3131" s="8"/>
      <c r="R3131" s="9" t="s">
        <v>2894</v>
      </c>
    </row>
    <row r="3132" spans="1:18" x14ac:dyDescent="0.25">
      <c r="A3132" s="6" t="str">
        <f>HYPERLINK("proteomic_fractions_linear_files/Yang_linear_img/21536248.jpg", "21536248")</f>
        <v>21536248</v>
      </c>
      <c r="B3132" s="7"/>
      <c r="C3132" s="6" t="str">
        <f>HYPERLINK("http://www.ncbi.nlm.nih.gov/protein/21536248","Gstt3")</f>
        <v>Gstt3</v>
      </c>
      <c r="D3132" s="8"/>
      <c r="E3132" s="8">
        <v>27272</v>
      </c>
      <c r="F3132" s="8"/>
      <c r="G3132" s="15">
        <v>1.1882989946567994</v>
      </c>
      <c r="H3132" s="15">
        <v>1.1882989946567994</v>
      </c>
      <c r="I3132" s="15">
        <v>0.855910124989535</v>
      </c>
      <c r="J3132" s="15">
        <v>0.855910124989535</v>
      </c>
      <c r="K3132" s="15">
        <v>0.855910124989535</v>
      </c>
      <c r="L3132" s="15">
        <v>0.855910124989535</v>
      </c>
      <c r="M3132" s="15">
        <v>0.855910124989535</v>
      </c>
      <c r="N3132" s="15">
        <v>0.855910124989535</v>
      </c>
      <c r="O3132" s="15">
        <v>0.76286819209838042</v>
      </c>
      <c r="P3132" s="15">
        <v>0.76286819209838042</v>
      </c>
      <c r="Q3132" s="8"/>
      <c r="R3132" s="9" t="s">
        <v>2895</v>
      </c>
    </row>
    <row r="3133" spans="1:18" x14ac:dyDescent="0.25">
      <c r="A3133" s="6" t="str">
        <f>HYPERLINK("proteomic_fractions_linear_files/Yang_linear_img/357527382.jpg", "357527382")</f>
        <v>357527382</v>
      </c>
      <c r="B3133" s="7"/>
      <c r="C3133" s="6" t="str">
        <f>HYPERLINK("http://www.ncbi.nlm.nih.gov/protein/357527382","Gstz1")</f>
        <v>Gstz1</v>
      </c>
      <c r="D3133" s="8"/>
      <c r="E3133" s="8">
        <v>17855</v>
      </c>
      <c r="F3133" s="8"/>
      <c r="G3133" s="15">
        <v>1.7824484919851993</v>
      </c>
      <c r="H3133" s="15">
        <v>1.7824484919851993</v>
      </c>
      <c r="I3133" s="15">
        <v>1.2838651874843026</v>
      </c>
      <c r="J3133" s="15">
        <v>1.2838651874843026</v>
      </c>
      <c r="K3133" s="15">
        <v>1.2838651874843026</v>
      </c>
      <c r="L3133" s="15">
        <v>1.2838651874843026</v>
      </c>
      <c r="M3133" s="15">
        <v>1.2838651874843026</v>
      </c>
      <c r="N3133" s="15">
        <v>1.2838651874843026</v>
      </c>
      <c r="O3133" s="15">
        <v>1.210874570593264</v>
      </c>
      <c r="P3133" s="15">
        <v>1.210874570593264</v>
      </c>
      <c r="Q3133" s="8"/>
      <c r="R3133" s="9" t="s">
        <v>2896</v>
      </c>
    </row>
    <row r="3134" spans="1:18" x14ac:dyDescent="0.25">
      <c r="A3134" s="6" t="str">
        <f>HYPERLINK("proteomic_fractions_linear_files/Yang_linear_img/6754092.jpg", "6754092")</f>
        <v>6754092</v>
      </c>
      <c r="B3134" s="7"/>
      <c r="C3134" s="6" t="str">
        <f>HYPERLINK("http://www.ncbi.nlm.nih.gov/protein/6754092","Gstz1")</f>
        <v>Gstz1</v>
      </c>
      <c r="D3134" s="8"/>
      <c r="E3134" s="8">
        <v>24144</v>
      </c>
      <c r="F3134" s="8"/>
      <c r="G3134" s="15">
        <v>0.90815592794494793</v>
      </c>
      <c r="H3134" s="15">
        <v>0.90815592794494793</v>
      </c>
      <c r="I3134" s="15">
        <v>0.96289889061322687</v>
      </c>
      <c r="J3134" s="15">
        <v>0.96289889061322687</v>
      </c>
      <c r="K3134" s="15">
        <v>0.96289889061322687</v>
      </c>
      <c r="L3134" s="15">
        <v>0.96289889061322687</v>
      </c>
      <c r="M3134" s="15">
        <v>0.96289889061322687</v>
      </c>
      <c r="N3134" s="15">
        <v>0.96289889061322687</v>
      </c>
      <c r="O3134" s="15">
        <v>0.85822671611067802</v>
      </c>
      <c r="P3134" s="15">
        <v>0.85822671611067802</v>
      </c>
      <c r="Q3134" s="8"/>
      <c r="R3134" s="9" t="s">
        <v>2897</v>
      </c>
    </row>
    <row r="3135" spans="1:18" x14ac:dyDescent="0.25">
      <c r="A3135" s="6" t="str">
        <f>HYPERLINK("proteomic_fractions_linear_files/Yang_linear_img/226958572.jpg", "226958572")</f>
        <v>226958572</v>
      </c>
      <c r="B3135" s="7"/>
      <c r="C3135" s="6" t="str">
        <f>HYPERLINK("http://www.ncbi.nlm.nih.gov/protein/226958572","Gtf2a1")</f>
        <v>Gtf2a1</v>
      </c>
      <c r="D3135" s="8"/>
      <c r="E3135" s="8">
        <v>41483</v>
      </c>
      <c r="F3135" s="8"/>
      <c r="G3135" s="15" t="s">
        <v>10</v>
      </c>
      <c r="H3135" s="15" t="s">
        <v>10</v>
      </c>
      <c r="I3135" s="15" t="s">
        <v>10</v>
      </c>
      <c r="J3135" s="15" t="s">
        <v>10</v>
      </c>
      <c r="K3135" s="15" t="s">
        <v>10</v>
      </c>
      <c r="L3135" s="15" t="s">
        <v>10</v>
      </c>
      <c r="M3135" s="15" t="s">
        <v>10</v>
      </c>
      <c r="N3135" s="15" t="s">
        <v>10</v>
      </c>
      <c r="O3135" s="15">
        <v>0.42853511622826751</v>
      </c>
      <c r="P3135" s="15">
        <v>0.42853511622826751</v>
      </c>
      <c r="Q3135" s="8"/>
      <c r="R3135" s="9" t="s">
        <v>2898</v>
      </c>
    </row>
    <row r="3136" spans="1:18" x14ac:dyDescent="0.25">
      <c r="A3136" s="6" t="str">
        <f>HYPERLINK("proteomic_fractions_linear_files/Yang_linear_img/30141908.jpg", "30141908")</f>
        <v>30141908</v>
      </c>
      <c r="B3136" s="7"/>
      <c r="C3136" s="6" t="str">
        <f>HYPERLINK("http://www.ncbi.nlm.nih.gov/protein/30141908","Gtf2a1")</f>
        <v>Gtf2a1</v>
      </c>
      <c r="D3136" s="8"/>
      <c r="E3136" s="8">
        <v>37121</v>
      </c>
      <c r="F3136" s="8"/>
      <c r="G3136" s="15" t="s">
        <v>10</v>
      </c>
      <c r="H3136" s="15" t="s">
        <v>10</v>
      </c>
      <c r="I3136" s="15" t="s">
        <v>10</v>
      </c>
      <c r="J3136" s="15" t="s">
        <v>10</v>
      </c>
      <c r="K3136" s="15" t="s">
        <v>10</v>
      </c>
      <c r="L3136" s="15" t="s">
        <v>10</v>
      </c>
      <c r="M3136" s="15" t="s">
        <v>10</v>
      </c>
      <c r="N3136" s="15" t="s">
        <v>10</v>
      </c>
      <c r="O3136" s="15">
        <v>0.47486323690159371</v>
      </c>
      <c r="P3136" s="15">
        <v>0.47486323690159371</v>
      </c>
      <c r="Q3136" s="8"/>
      <c r="R3136" s="9" t="s">
        <v>2899</v>
      </c>
    </row>
    <row r="3137" spans="1:18" x14ac:dyDescent="0.25">
      <c r="A3137" s="6" t="str">
        <f>HYPERLINK("proteomic_fractions_linear_files/Yang_linear_img/530719548.jpg", "530719548")</f>
        <v>530719548</v>
      </c>
      <c r="B3137" s="7"/>
      <c r="C3137" s="6" t="str">
        <f>HYPERLINK("http://www.ncbi.nlm.nih.gov/protein/530719548","Gtf2a2")</f>
        <v>Gtf2a2</v>
      </c>
      <c r="D3137" s="8"/>
      <c r="E3137" s="8">
        <v>7769</v>
      </c>
      <c r="F3137" s="8"/>
      <c r="G3137" s="15">
        <v>1.5291076615414196</v>
      </c>
      <c r="H3137" s="15">
        <v>1.5291076615414196</v>
      </c>
      <c r="I3137" s="15" t="s">
        <v>10</v>
      </c>
      <c r="J3137" s="15" t="s">
        <v>10</v>
      </c>
      <c r="K3137" s="15" t="s">
        <v>10</v>
      </c>
      <c r="L3137" s="15" t="s">
        <v>10</v>
      </c>
      <c r="M3137" s="15" t="s">
        <v>10</v>
      </c>
      <c r="N3137" s="15" t="s">
        <v>10</v>
      </c>
      <c r="O3137" s="15" t="s">
        <v>10</v>
      </c>
      <c r="P3137" s="15" t="s">
        <v>10</v>
      </c>
      <c r="Q3137" s="8"/>
      <c r="R3137" s="9" t="s">
        <v>2900</v>
      </c>
    </row>
    <row r="3138" spans="1:18" x14ac:dyDescent="0.25">
      <c r="A3138" s="6" t="str">
        <f>HYPERLINK("proteomic_fractions_linear_files/Yang_linear_img/87299617.jpg", "87299617")</f>
        <v>87299617</v>
      </c>
      <c r="B3138" s="7"/>
      <c r="C3138" s="6" t="str">
        <f>HYPERLINK("http://www.ncbi.nlm.nih.gov/protein/87299617","Gtf2a2")</f>
        <v>Gtf2a2</v>
      </c>
      <c r="D3138" s="8"/>
      <c r="E3138" s="8">
        <v>12342</v>
      </c>
      <c r="F3138" s="8"/>
      <c r="G3138" s="15">
        <v>1.0194051076942798</v>
      </c>
      <c r="H3138" s="15">
        <v>1.0194051076942798</v>
      </c>
      <c r="I3138" s="15">
        <v>1.0622682784948021</v>
      </c>
      <c r="J3138" s="15">
        <v>1.0622682784948021</v>
      </c>
      <c r="K3138" s="15">
        <v>1.1080886685834612</v>
      </c>
      <c r="L3138" s="15">
        <v>1.1080886685834612</v>
      </c>
      <c r="M3138" s="15">
        <v>1.1080886685834612</v>
      </c>
      <c r="N3138" s="15">
        <v>1.1080886685834612</v>
      </c>
      <c r="O3138" s="15">
        <v>1.1080886685834612</v>
      </c>
      <c r="P3138" s="15">
        <v>1.1080886685834612</v>
      </c>
      <c r="Q3138" s="8"/>
      <c r="R3138" s="9" t="s">
        <v>2901</v>
      </c>
    </row>
    <row r="3139" spans="1:18" x14ac:dyDescent="0.25">
      <c r="A3139" s="6" t="str">
        <f>HYPERLINK("proteomic_fractions_linear_files/Yang_linear_img/21704076.jpg", "21704076")</f>
        <v>21704076</v>
      </c>
      <c r="B3139" s="7"/>
      <c r="C3139" s="6" t="str">
        <f>HYPERLINK("http://www.ncbi.nlm.nih.gov/protein/21704076","Gtf2b")</f>
        <v>Gtf2b</v>
      </c>
      <c r="D3139" s="8"/>
      <c r="E3139" s="8">
        <v>34688</v>
      </c>
      <c r="F3139" s="8"/>
      <c r="G3139" s="15" t="s">
        <v>10</v>
      </c>
      <c r="H3139" s="15" t="s">
        <v>10</v>
      </c>
      <c r="I3139" s="15">
        <v>0.91668779587810256</v>
      </c>
      <c r="J3139" s="15">
        <v>0.91668779587810256</v>
      </c>
      <c r="K3139" s="15">
        <v>0.91668779587810256</v>
      </c>
      <c r="L3139" s="15">
        <v>0.91668779587810256</v>
      </c>
      <c r="M3139" s="15">
        <v>0.91668779587810256</v>
      </c>
      <c r="N3139" s="15">
        <v>0.91668779587810256</v>
      </c>
      <c r="O3139" s="15">
        <v>0.79766317993377311</v>
      </c>
      <c r="P3139" s="15">
        <v>0.79766317993377311</v>
      </c>
      <c r="Q3139" s="8"/>
      <c r="R3139" s="9" t="s">
        <v>2902</v>
      </c>
    </row>
    <row r="3140" spans="1:18" x14ac:dyDescent="0.25">
      <c r="A3140" s="6" t="str">
        <f>HYPERLINK("proteomic_fractions_linear_files/Yang_linear_img/21312660.jpg", "21312660")</f>
        <v>21312660</v>
      </c>
      <c r="B3140" s="7"/>
      <c r="C3140" s="6" t="str">
        <f>HYPERLINK("http://www.ncbi.nlm.nih.gov/protein/21312660","Gtf2e1")</f>
        <v>Gtf2e1</v>
      </c>
      <c r="D3140" s="8"/>
      <c r="E3140" s="8">
        <v>49462</v>
      </c>
      <c r="F3140" s="8"/>
      <c r="G3140" s="15" t="s">
        <v>10</v>
      </c>
      <c r="H3140" s="15" t="s">
        <v>10</v>
      </c>
      <c r="I3140" s="15">
        <v>1.1994532160325275</v>
      </c>
      <c r="J3140" s="15">
        <v>1.1994532160325275</v>
      </c>
      <c r="K3140" s="15">
        <v>1.1994532160325275</v>
      </c>
      <c r="L3140" s="15">
        <v>1.1994532160325275</v>
      </c>
      <c r="M3140" s="15">
        <v>1.1994532160325275</v>
      </c>
      <c r="N3140" s="15">
        <v>1.1994532160325275</v>
      </c>
      <c r="O3140" s="15">
        <v>1.0840932577551241</v>
      </c>
      <c r="P3140" s="15">
        <v>1.0840932577551241</v>
      </c>
      <c r="Q3140" s="8"/>
      <c r="R3140" s="9" t="s">
        <v>2903</v>
      </c>
    </row>
    <row r="3141" spans="1:18" x14ac:dyDescent="0.25">
      <c r="A3141" s="6" t="str">
        <f>HYPERLINK("proteomic_fractions_linear_files/Yang_linear_img/268838606.jpg", "268838606")</f>
        <v>268838606</v>
      </c>
      <c r="B3141" s="7"/>
      <c r="C3141" s="6" t="str">
        <f>HYPERLINK("http://www.ncbi.nlm.nih.gov/protein/268838606","Gtf2e2")</f>
        <v>Gtf2e2</v>
      </c>
      <c r="D3141" s="8"/>
      <c r="E3141" s="8">
        <v>32916</v>
      </c>
      <c r="F3141" s="8"/>
      <c r="G3141" s="15" t="s">
        <v>10</v>
      </c>
      <c r="H3141" s="15" t="s">
        <v>10</v>
      </c>
      <c r="I3141" s="15">
        <v>0.90561839065797367</v>
      </c>
      <c r="J3141" s="15">
        <v>0.90561839065797367</v>
      </c>
      <c r="K3141" s="15">
        <v>0.9722446319919269</v>
      </c>
      <c r="L3141" s="15">
        <v>0.9722446319919269</v>
      </c>
      <c r="M3141" s="15">
        <v>0.90561839065797367</v>
      </c>
      <c r="N3141" s="15">
        <v>0.90561839065797367</v>
      </c>
      <c r="O3141" s="15" t="s">
        <v>10</v>
      </c>
      <c r="P3141" s="15" t="s">
        <v>10</v>
      </c>
      <c r="Q3141" s="8"/>
      <c r="R3141" s="9" t="s">
        <v>2904</v>
      </c>
    </row>
    <row r="3142" spans="1:18" x14ac:dyDescent="0.25">
      <c r="A3142" s="6" t="str">
        <f>HYPERLINK("proteomic_fractions_linear_files/Yang_linear_img/20270031.jpg", "20270031")</f>
        <v>20270031</v>
      </c>
      <c r="B3142" s="7"/>
      <c r="C3142" s="6" t="str">
        <f>HYPERLINK("http://www.ncbi.nlm.nih.gov/protein/20270031","Gtf2f1")</f>
        <v>Gtf2f1</v>
      </c>
      <c r="D3142" s="8"/>
      <c r="E3142" s="8">
        <v>57110</v>
      </c>
      <c r="F3142" s="8"/>
      <c r="G3142" s="15">
        <v>1.6661049330277984</v>
      </c>
      <c r="H3142" s="15">
        <v>1.6661049330277984</v>
      </c>
      <c r="I3142" s="15">
        <v>105.1421052631579</v>
      </c>
      <c r="J3142" s="15">
        <v>105.1421052631579</v>
      </c>
      <c r="K3142" s="15">
        <v>1.4578712012832256</v>
      </c>
      <c r="L3142" s="15">
        <v>1.4578712012832256</v>
      </c>
      <c r="M3142" s="15">
        <v>1.4578712012832256</v>
      </c>
      <c r="N3142" s="15">
        <v>1.4578712012832256</v>
      </c>
      <c r="O3142" s="15">
        <v>1.2883536884505657</v>
      </c>
      <c r="P3142" s="15">
        <v>1.2883536884505657</v>
      </c>
      <c r="Q3142" s="8"/>
      <c r="R3142" s="9" t="s">
        <v>2905</v>
      </c>
    </row>
    <row r="3143" spans="1:18" x14ac:dyDescent="0.25">
      <c r="A3143" s="6" t="str">
        <f>HYPERLINK("proteomic_fractions_linear_files/Yang_linear_img/39930425.jpg", "39930425")</f>
        <v>39930425</v>
      </c>
      <c r="B3143" s="7"/>
      <c r="C3143" s="6" t="str">
        <f>HYPERLINK("http://www.ncbi.nlm.nih.gov/protein/39930425","Gtf2f2")</f>
        <v>Gtf2f2</v>
      </c>
      <c r="D3143" s="8"/>
      <c r="E3143" s="8">
        <v>28250</v>
      </c>
      <c r="F3143" s="8"/>
      <c r="G3143" s="15">
        <v>0.87695787904560418</v>
      </c>
      <c r="H3143" s="15">
        <v>0.87695787904560418</v>
      </c>
      <c r="I3143" s="15">
        <v>0.93393778983660714</v>
      </c>
      <c r="J3143" s="15">
        <v>0.93393778983660714</v>
      </c>
      <c r="K3143" s="15">
        <v>0.99707897491721642</v>
      </c>
      <c r="L3143" s="15">
        <v>0.99707897491721642</v>
      </c>
      <c r="M3143" s="15">
        <v>0.93393778983660714</v>
      </c>
      <c r="N3143" s="15">
        <v>0.93393778983660714</v>
      </c>
      <c r="O3143" s="15" t="s">
        <v>10</v>
      </c>
      <c r="P3143" s="15" t="s">
        <v>10</v>
      </c>
      <c r="Q3143" s="8"/>
      <c r="R3143" s="9" t="s">
        <v>2906</v>
      </c>
    </row>
    <row r="3144" spans="1:18" x14ac:dyDescent="0.25">
      <c r="A3144" s="6" t="str">
        <f>HYPERLINK("proteomic_fractions_linear_files/Yang_linear_img/6754094.jpg", "6754094")</f>
        <v>6754094</v>
      </c>
      <c r="B3144" s="7"/>
      <c r="C3144" s="6" t="str">
        <f>HYPERLINK("http://www.ncbi.nlm.nih.gov/protein/6754094","Gtf2h4")</f>
        <v>Gtf2h4</v>
      </c>
      <c r="D3144" s="8"/>
      <c r="E3144" s="8">
        <v>52093</v>
      </c>
      <c r="F3144" s="8"/>
      <c r="G3144" s="15" t="s">
        <v>10</v>
      </c>
      <c r="H3144" s="15" t="s">
        <v>10</v>
      </c>
      <c r="I3144" s="15" t="s">
        <v>10</v>
      </c>
      <c r="J3144" s="15" t="s">
        <v>10</v>
      </c>
      <c r="K3144" s="15">
        <v>0.84856902398010514</v>
      </c>
      <c r="L3144" s="15">
        <v>0.84856902398010514</v>
      </c>
      <c r="M3144" s="15" t="s">
        <v>10</v>
      </c>
      <c r="N3144" s="15" t="s">
        <v>10</v>
      </c>
      <c r="O3144" s="15" t="s">
        <v>10</v>
      </c>
      <c r="P3144" s="15" t="s">
        <v>10</v>
      </c>
      <c r="Q3144" s="8"/>
      <c r="R3144" s="9" t="s">
        <v>2907</v>
      </c>
    </row>
    <row r="3145" spans="1:18" x14ac:dyDescent="0.25">
      <c r="A3145" s="6" t="str">
        <f>HYPERLINK("proteomic_fractions_linear_files/Yang_linear_img/124001570.jpg", "124001570")</f>
        <v>124001570</v>
      </c>
      <c r="B3145" s="7"/>
      <c r="C3145" s="6" t="str">
        <f>HYPERLINK("http://www.ncbi.nlm.nih.gov/protein/124001570","Gtf2i")</f>
        <v>Gtf2i</v>
      </c>
      <c r="D3145" s="8"/>
      <c r="E3145" s="8">
        <v>107858</v>
      </c>
      <c r="F3145" s="8"/>
      <c r="G3145" s="15">
        <v>1.1918669272696016</v>
      </c>
      <c r="H3145" s="15">
        <v>1.1918669272696016</v>
      </c>
      <c r="I3145" s="15">
        <v>0.12857268981422823</v>
      </c>
      <c r="J3145" s="15">
        <v>0.12857268981422823</v>
      </c>
      <c r="K3145" s="15">
        <v>0.37506776114095136</v>
      </c>
      <c r="L3145" s="15">
        <v>0.37506776114095136</v>
      </c>
      <c r="M3145" s="15">
        <v>0.34575302243633882</v>
      </c>
      <c r="N3145" s="15">
        <v>0.34575302243633882</v>
      </c>
      <c r="O3145" s="15">
        <v>1.4208599179281651</v>
      </c>
      <c r="P3145" s="15">
        <v>1.4208599179281651</v>
      </c>
      <c r="Q3145" s="8"/>
      <c r="R3145" s="9" t="s">
        <v>2908</v>
      </c>
    </row>
    <row r="3146" spans="1:18" x14ac:dyDescent="0.25">
      <c r="A3146" s="6" t="str">
        <f>HYPERLINK("proteomic_fractions_linear_files/Yang_linear_img/124001572.jpg", "124001572")</f>
        <v>124001572</v>
      </c>
      <c r="B3146" s="7"/>
      <c r="C3146" s="6" t="str">
        <f>HYPERLINK("http://www.ncbi.nlm.nih.gov/protein/124001572","Gtf2i")</f>
        <v>Gtf2i</v>
      </c>
      <c r="D3146" s="8"/>
      <c r="E3146" s="8">
        <v>110168</v>
      </c>
      <c r="F3146" s="8"/>
      <c r="G3146" s="15">
        <v>1.1701966195010634</v>
      </c>
      <c r="H3146" s="15">
        <v>1.1701966195010634</v>
      </c>
      <c r="I3146" s="15">
        <v>0.12623500454487863</v>
      </c>
      <c r="J3146" s="15">
        <v>0.12623500454487863</v>
      </c>
      <c r="K3146" s="15">
        <v>0.36824834730202494</v>
      </c>
      <c r="L3146" s="15">
        <v>0.36824834730202494</v>
      </c>
      <c r="M3146" s="15">
        <v>0.33946660384658722</v>
      </c>
      <c r="N3146" s="15">
        <v>0.33946660384658722</v>
      </c>
      <c r="O3146" s="15">
        <v>1.3950261012385621</v>
      </c>
      <c r="P3146" s="15">
        <v>1.3950261012385621</v>
      </c>
      <c r="Q3146" s="8"/>
      <c r="R3146" s="9" t="s">
        <v>2909</v>
      </c>
    </row>
    <row r="3147" spans="1:18" x14ac:dyDescent="0.25">
      <c r="A3147" s="6" t="str">
        <f>HYPERLINK("proteomic_fractions_linear_files/Yang_linear_img/124001574.jpg", "124001574")</f>
        <v>124001574</v>
      </c>
      <c r="B3147" s="7"/>
      <c r="C3147" s="6" t="str">
        <f>HYPERLINK("http://www.ncbi.nlm.nih.gov/protein/124001574","Gtf2i")</f>
        <v>Gtf2i</v>
      </c>
      <c r="D3147" s="8"/>
      <c r="E3147" s="8">
        <v>112135</v>
      </c>
      <c r="F3147" s="8"/>
      <c r="G3147" s="15">
        <v>1.1493002512956871</v>
      </c>
      <c r="H3147" s="15">
        <v>1.1493002512956871</v>
      </c>
      <c r="I3147" s="15">
        <v>0.12398080803514866</v>
      </c>
      <c r="J3147" s="15">
        <v>0.12398080803514866</v>
      </c>
      <c r="K3147" s="15">
        <v>0.36167248395734591</v>
      </c>
      <c r="L3147" s="15">
        <v>0.36167248395734591</v>
      </c>
      <c r="M3147" s="15">
        <v>0.33340470020646956</v>
      </c>
      <c r="N3147" s="15">
        <v>0.33340470020646956</v>
      </c>
      <c r="O3147" s="15">
        <v>1.3701149208593022</v>
      </c>
      <c r="P3147" s="15">
        <v>1.3701149208593022</v>
      </c>
      <c r="Q3147" s="8"/>
      <c r="R3147" s="9" t="s">
        <v>2910</v>
      </c>
    </row>
    <row r="3148" spans="1:18" x14ac:dyDescent="0.25">
      <c r="A3148" s="6" t="str">
        <f>HYPERLINK("proteomic_fractions_linear_files/Yang_linear_img/124001576.jpg", "124001576")</f>
        <v>124001576</v>
      </c>
      <c r="B3148" s="7"/>
      <c r="C3148" s="6" t="str">
        <f>HYPERLINK("http://www.ncbi.nlm.nih.gov/protein/124001576","Gtf2i")</f>
        <v>Gtf2i</v>
      </c>
      <c r="D3148" s="8"/>
      <c r="E3148" s="8">
        <v>109824</v>
      </c>
      <c r="F3148" s="8"/>
      <c r="G3148" s="15">
        <v>1.1701966195010634</v>
      </c>
      <c r="H3148" s="15">
        <v>1.1701966195010634</v>
      </c>
      <c r="I3148" s="15">
        <v>0.12623500454487863</v>
      </c>
      <c r="J3148" s="15">
        <v>0.12623500454487863</v>
      </c>
      <c r="K3148" s="15">
        <v>0.36824834730202494</v>
      </c>
      <c r="L3148" s="15">
        <v>0.36824834730202494</v>
      </c>
      <c r="M3148" s="15">
        <v>0.33946660384658722</v>
      </c>
      <c r="N3148" s="15">
        <v>0.33946660384658722</v>
      </c>
      <c r="O3148" s="15">
        <v>1.3950261012385621</v>
      </c>
      <c r="P3148" s="15">
        <v>1.3950261012385621</v>
      </c>
      <c r="Q3148" s="8"/>
      <c r="R3148" s="9" t="s">
        <v>2911</v>
      </c>
    </row>
    <row r="3149" spans="1:18" x14ac:dyDescent="0.25">
      <c r="A3149" s="6" t="str">
        <f>HYPERLINK("proteomic_fractions_linear_files/Yang_linear_img/124001578.jpg", "124001578")</f>
        <v>124001578</v>
      </c>
      <c r="B3149" s="7"/>
      <c r="C3149" s="6" t="str">
        <f>HYPERLINK("http://www.ncbi.nlm.nih.gov/protein/124001578","Gtf2i")</f>
        <v>Gtf2i</v>
      </c>
      <c r="D3149" s="8"/>
      <c r="E3149" s="8">
        <v>108220</v>
      </c>
      <c r="F3149" s="8"/>
      <c r="G3149" s="15">
        <v>1.1918669272696016</v>
      </c>
      <c r="H3149" s="15">
        <v>1.1918669272696016</v>
      </c>
      <c r="I3149" s="15">
        <v>0.12857268981422823</v>
      </c>
      <c r="J3149" s="15">
        <v>0.12857268981422823</v>
      </c>
      <c r="K3149" s="15">
        <v>0.37506776114095136</v>
      </c>
      <c r="L3149" s="15">
        <v>0.37506776114095136</v>
      </c>
      <c r="M3149" s="15">
        <v>0.34575302243633882</v>
      </c>
      <c r="N3149" s="15">
        <v>0.34575302243633882</v>
      </c>
      <c r="O3149" s="15">
        <v>1.4208599179281651</v>
      </c>
      <c r="P3149" s="15">
        <v>1.4208599179281651</v>
      </c>
      <c r="Q3149" s="8"/>
      <c r="R3149" s="9" t="s">
        <v>2912</v>
      </c>
    </row>
    <row r="3150" spans="1:18" x14ac:dyDescent="0.25">
      <c r="A3150" s="6" t="str">
        <f>HYPERLINK("proteomic_fractions_linear_files/Yang_linear_img/75677510.jpg", "75677510")</f>
        <v>75677510</v>
      </c>
      <c r="B3150" s="7"/>
      <c r="C3150" s="6" t="str">
        <f>HYPERLINK("http://www.ncbi.nlm.nih.gov/protein/75677510","Gtf3c3")</f>
        <v>Gtf3c3</v>
      </c>
      <c r="D3150" s="8"/>
      <c r="E3150" s="8">
        <v>100490</v>
      </c>
      <c r="F3150" s="8"/>
      <c r="G3150" s="15">
        <v>4.0904355773943983</v>
      </c>
      <c r="H3150" s="15">
        <v>4.0904355773943983</v>
      </c>
      <c r="I3150" s="15" t="s">
        <v>10</v>
      </c>
      <c r="J3150" s="15" t="s">
        <v>10</v>
      </c>
      <c r="K3150" s="15">
        <v>1.2872162814511696</v>
      </c>
      <c r="L3150" s="15">
        <v>1.2872162814511696</v>
      </c>
      <c r="M3150" s="15" t="s">
        <v>10</v>
      </c>
      <c r="N3150" s="15" t="s">
        <v>10</v>
      </c>
      <c r="O3150" s="15" t="s">
        <v>10</v>
      </c>
      <c r="P3150" s="15" t="s">
        <v>10</v>
      </c>
      <c r="Q3150" s="8"/>
      <c r="R3150" s="9" t="s">
        <v>2913</v>
      </c>
    </row>
    <row r="3151" spans="1:18" x14ac:dyDescent="0.25">
      <c r="A3151" s="6" t="str">
        <f>HYPERLINK("proteomic_fractions_linear_files/Yang_linear_img/260436918.jpg", "260436918")</f>
        <v>260436918</v>
      </c>
      <c r="B3151" s="7"/>
      <c r="C3151" s="6" t="str">
        <f>HYPERLINK("http://www.ncbi.nlm.nih.gov/protein/260436918","Gtf3c4")</f>
        <v>Gtf3c4</v>
      </c>
      <c r="D3151" s="8"/>
      <c r="E3151" s="8">
        <v>91482</v>
      </c>
      <c r="F3151" s="8"/>
      <c r="G3151" s="15" t="s">
        <v>10</v>
      </c>
      <c r="H3151" s="15" t="s">
        <v>10</v>
      </c>
      <c r="I3151" s="15">
        <v>1.206610591441005</v>
      </c>
      <c r="J3151" s="15">
        <v>1.206610591441005</v>
      </c>
      <c r="K3151" s="15" t="s">
        <v>10</v>
      </c>
      <c r="L3151" s="15" t="s">
        <v>10</v>
      </c>
      <c r="M3151" s="15" t="s">
        <v>10</v>
      </c>
      <c r="N3151" s="15" t="s">
        <v>10</v>
      </c>
      <c r="O3151" s="15" t="s">
        <v>10</v>
      </c>
      <c r="P3151" s="15" t="s">
        <v>10</v>
      </c>
      <c r="Q3151" s="8"/>
      <c r="R3151" s="9" t="s">
        <v>2914</v>
      </c>
    </row>
    <row r="3152" spans="1:18" x14ac:dyDescent="0.25">
      <c r="A3152" s="6" t="str">
        <f>HYPERLINK("proteomic_fractions_linear_files/Yang_linear_img/260447060.jpg", "260447060")</f>
        <v>260447060</v>
      </c>
      <c r="B3152" s="7"/>
      <c r="C3152" s="6" t="str">
        <f>HYPERLINK("http://www.ncbi.nlm.nih.gov/protein/260447060","Gtf3c4")</f>
        <v>Gtf3c4</v>
      </c>
      <c r="D3152" s="8"/>
      <c r="E3152" s="8">
        <v>76574</v>
      </c>
      <c r="F3152" s="8"/>
      <c r="G3152" s="15" t="s">
        <v>10</v>
      </c>
      <c r="H3152" s="15" t="s">
        <v>10</v>
      </c>
      <c r="I3152" s="15">
        <v>1.4259943353393696</v>
      </c>
      <c r="J3152" s="15">
        <v>1.4259943353393696</v>
      </c>
      <c r="K3152" s="15" t="s">
        <v>10</v>
      </c>
      <c r="L3152" s="15" t="s">
        <v>10</v>
      </c>
      <c r="M3152" s="15" t="s">
        <v>10</v>
      </c>
      <c r="N3152" s="15" t="s">
        <v>10</v>
      </c>
      <c r="O3152" s="15" t="s">
        <v>10</v>
      </c>
      <c r="P3152" s="15" t="s">
        <v>10</v>
      </c>
      <c r="Q3152" s="8"/>
      <c r="R3152" s="9" t="s">
        <v>2915</v>
      </c>
    </row>
    <row r="3153" spans="1:18" x14ac:dyDescent="0.25">
      <c r="A3153" s="6" t="str">
        <f>HYPERLINK("proteomic_fractions_linear_files/Yang_linear_img/225543576.jpg", "225543576")</f>
        <v>225543576</v>
      </c>
      <c r="B3153" s="7"/>
      <c r="C3153" s="6" t="str">
        <f>HYPERLINK("http://www.ncbi.nlm.nih.gov/protein/225543576","Gtl3")</f>
        <v>Gtl3</v>
      </c>
      <c r="D3153" s="8"/>
      <c r="E3153" s="8">
        <v>22617</v>
      </c>
      <c r="F3153" s="8"/>
      <c r="G3153" s="15">
        <v>1.2993655170310057</v>
      </c>
      <c r="H3153" s="15">
        <v>0.84787607947979449</v>
      </c>
      <c r="I3153" s="15">
        <v>0.89554092115896833</v>
      </c>
      <c r="J3153" s="15">
        <v>0.89554092115896833</v>
      </c>
      <c r="K3153" s="15">
        <v>0.89554092115896833</v>
      </c>
      <c r="L3153" s="15">
        <v>0.89554092115896833</v>
      </c>
      <c r="M3153" s="15">
        <v>0.89554092115896833</v>
      </c>
      <c r="N3153" s="15">
        <v>0.89554092115896833</v>
      </c>
      <c r="O3153" s="15">
        <v>0.89554092115896833</v>
      </c>
      <c r="P3153" s="15">
        <v>0.89554092115896833</v>
      </c>
      <c r="Q3153" s="8"/>
      <c r="R3153" s="9" t="s">
        <v>2916</v>
      </c>
    </row>
    <row r="3154" spans="1:18" x14ac:dyDescent="0.25">
      <c r="A3154" s="6" t="str">
        <f>HYPERLINK("proteomic_fractions_linear_files/Yang_linear_img/70778897.jpg", "70778897")</f>
        <v>70778897</v>
      </c>
      <c r="B3154" s="7"/>
      <c r="C3154" s="6" t="str">
        <f>HYPERLINK("http://www.ncbi.nlm.nih.gov/protein/70778897","Gtpbp1")</f>
        <v>Gtpbp1</v>
      </c>
      <c r="D3154" s="8"/>
      <c r="E3154" s="8">
        <v>72170</v>
      </c>
      <c r="F3154" s="8"/>
      <c r="G3154" s="15" t="s">
        <v>10</v>
      </c>
      <c r="H3154" s="15" t="s">
        <v>10</v>
      </c>
      <c r="I3154" s="15">
        <v>1.1541480343492203</v>
      </c>
      <c r="J3154" s="15">
        <v>1.1541480343492203</v>
      </c>
      <c r="K3154" s="15">
        <v>1.3189997386470071</v>
      </c>
      <c r="L3154" s="15">
        <v>1.3189997386470071</v>
      </c>
      <c r="M3154" s="15">
        <v>1.1541480343492203</v>
      </c>
      <c r="N3154" s="15">
        <v>1.1541480343492203</v>
      </c>
      <c r="O3154" s="15">
        <v>1.1541480343492203</v>
      </c>
      <c r="P3154" s="15">
        <v>1.1541480343492203</v>
      </c>
      <c r="Q3154" s="8"/>
      <c r="R3154" s="9" t="s">
        <v>2917</v>
      </c>
    </row>
    <row r="3155" spans="1:18" x14ac:dyDescent="0.25">
      <c r="A3155" s="6" t="str">
        <f>HYPERLINK("proteomic_fractions_linear_files/Yang_linear_img/225543388.jpg", "225543388")</f>
        <v>225543388</v>
      </c>
      <c r="B3155" s="7"/>
      <c r="C3155" s="6" t="str">
        <f>HYPERLINK("http://www.ncbi.nlm.nih.gov/protein/225543388","Gtpbp2")</f>
        <v>Gtpbp2</v>
      </c>
      <c r="D3155" s="8"/>
      <c r="E3155" s="8">
        <v>65624</v>
      </c>
      <c r="F3155" s="8"/>
      <c r="G3155" s="15" t="s">
        <v>10</v>
      </c>
      <c r="H3155" s="15" t="s">
        <v>10</v>
      </c>
      <c r="I3155" s="15" t="s">
        <v>10</v>
      </c>
      <c r="J3155" s="15" t="s">
        <v>10</v>
      </c>
      <c r="K3155" s="15">
        <v>1.1126690945709432</v>
      </c>
      <c r="L3155" s="15">
        <v>1.1126690945709432</v>
      </c>
      <c r="M3155" s="15" t="s">
        <v>10</v>
      </c>
      <c r="N3155" s="15" t="s">
        <v>10</v>
      </c>
      <c r="O3155" s="15" t="s">
        <v>10</v>
      </c>
      <c r="P3155" s="15" t="s">
        <v>10</v>
      </c>
      <c r="Q3155" s="8"/>
      <c r="R3155" s="9" t="s">
        <v>2918</v>
      </c>
    </row>
    <row r="3156" spans="1:18" x14ac:dyDescent="0.25">
      <c r="A3156" s="6" t="str">
        <f>HYPERLINK("proteomic_fractions_linear_files/Yang_linear_img/225543394.jpg", "225543394")</f>
        <v>225543394</v>
      </c>
      <c r="B3156" s="7"/>
      <c r="C3156" s="6" t="str">
        <f>HYPERLINK("http://www.ncbi.nlm.nih.gov/protein/225543394","Gtpbp2")</f>
        <v>Gtpbp2</v>
      </c>
      <c r="D3156" s="8"/>
      <c r="E3156" s="8">
        <v>56422</v>
      </c>
      <c r="F3156" s="8"/>
      <c r="G3156" s="15" t="s">
        <v>10</v>
      </c>
      <c r="H3156" s="15" t="s">
        <v>10</v>
      </c>
      <c r="I3156" s="15" t="s">
        <v>10</v>
      </c>
      <c r="J3156" s="15" t="s">
        <v>10</v>
      </c>
      <c r="K3156" s="15">
        <v>1.3113600043157543</v>
      </c>
      <c r="L3156" s="15">
        <v>1.3113600043157543</v>
      </c>
      <c r="M3156" s="15" t="s">
        <v>10</v>
      </c>
      <c r="N3156" s="15" t="s">
        <v>10</v>
      </c>
      <c r="O3156" s="15" t="s">
        <v>10</v>
      </c>
      <c r="P3156" s="15" t="s">
        <v>10</v>
      </c>
      <c r="Q3156" s="8"/>
      <c r="R3156" s="9" t="s">
        <v>2919</v>
      </c>
    </row>
    <row r="3157" spans="1:18" x14ac:dyDescent="0.25">
      <c r="A3157" s="6" t="str">
        <f>HYPERLINK("proteomic_fractions_linear_files/Yang_linear_img/33414589.jpg", "33414589")</f>
        <v>33414589</v>
      </c>
      <c r="B3157" s="7"/>
      <c r="C3157" s="6" t="str">
        <f>HYPERLINK("http://www.ncbi.nlm.nih.gov/protein/33414589","Gtpbp3")</f>
        <v>Gtpbp3</v>
      </c>
      <c r="D3157" s="8"/>
      <c r="E3157" s="8">
        <v>43743</v>
      </c>
      <c r="F3157" s="8"/>
      <c r="G3157" s="15" t="s">
        <v>10</v>
      </c>
      <c r="H3157" s="15" t="s">
        <v>10</v>
      </c>
      <c r="I3157" s="15">
        <v>1.0974994451003466</v>
      </c>
      <c r="J3157" s="15">
        <v>1.0974994451003466</v>
      </c>
      <c r="K3157" s="15" t="s">
        <v>10</v>
      </c>
      <c r="L3157" s="15" t="s">
        <v>10</v>
      </c>
      <c r="M3157" s="15" t="s">
        <v>10</v>
      </c>
      <c r="N3157" s="15" t="s">
        <v>10</v>
      </c>
      <c r="O3157" s="15" t="s">
        <v>10</v>
      </c>
      <c r="P3157" s="15" t="s">
        <v>10</v>
      </c>
      <c r="Q3157" s="8"/>
      <c r="R3157" s="9" t="s">
        <v>2920</v>
      </c>
    </row>
    <row r="3158" spans="1:18" x14ac:dyDescent="0.25">
      <c r="A3158" s="6" t="str">
        <f>HYPERLINK("proteomic_fractions_linear_files/Yang_linear_img/31560110.jpg", "31560110")</f>
        <v>31560110</v>
      </c>
      <c r="B3158" s="7"/>
      <c r="C3158" s="6" t="str">
        <f>HYPERLINK("http://www.ncbi.nlm.nih.gov/protein/31560110","Gtpbp4")</f>
        <v>Gtpbp4</v>
      </c>
      <c r="D3158" s="8"/>
      <c r="E3158" s="8">
        <v>73982</v>
      </c>
      <c r="F3158" s="8"/>
      <c r="G3158" s="15" t="s">
        <v>10</v>
      </c>
      <c r="H3158" s="15" t="s">
        <v>10</v>
      </c>
      <c r="I3158" s="15" t="s">
        <v>10</v>
      </c>
      <c r="J3158" s="15" t="s">
        <v>10</v>
      </c>
      <c r="K3158" s="15">
        <v>1.1229548442316737</v>
      </c>
      <c r="L3158" s="15">
        <v>1.1229548442316737</v>
      </c>
      <c r="M3158" s="15">
        <v>1.1229548442316737</v>
      </c>
      <c r="N3158" s="15">
        <v>1.1229548442316737</v>
      </c>
      <c r="O3158" s="15" t="s">
        <v>10</v>
      </c>
      <c r="P3158" s="15" t="s">
        <v>10</v>
      </c>
      <c r="Q3158" s="8"/>
      <c r="R3158" s="9" t="s">
        <v>2921</v>
      </c>
    </row>
    <row r="3159" spans="1:18" x14ac:dyDescent="0.25">
      <c r="A3159" s="6" t="str">
        <f>HYPERLINK("proteomic_fractions_linear_files/Yang_linear_img/165972313.jpg", "165972313")</f>
        <v>165972313</v>
      </c>
      <c r="B3159" s="7"/>
      <c r="C3159" s="6" t="str">
        <f>HYPERLINK("http://www.ncbi.nlm.nih.gov/protein/165972313","Gtpbp6")</f>
        <v>Gtpbp6</v>
      </c>
      <c r="D3159" s="8"/>
      <c r="E3159" s="8">
        <v>56317</v>
      </c>
      <c r="F3159" s="8"/>
      <c r="G3159" s="15" t="s">
        <v>10</v>
      </c>
      <c r="H3159" s="15" t="s">
        <v>10</v>
      </c>
      <c r="I3159" s="15">
        <v>0.86232099257884376</v>
      </c>
      <c r="J3159" s="15">
        <v>0.86232099257884376</v>
      </c>
      <c r="K3159" s="15" t="s">
        <v>10</v>
      </c>
      <c r="L3159" s="15" t="s">
        <v>10</v>
      </c>
      <c r="M3159" s="15" t="s">
        <v>10</v>
      </c>
      <c r="N3159" s="15" t="s">
        <v>10</v>
      </c>
      <c r="O3159" s="15" t="s">
        <v>10</v>
      </c>
      <c r="P3159" s="15" t="s">
        <v>10</v>
      </c>
      <c r="Q3159" s="8"/>
      <c r="R3159" s="9" t="s">
        <v>2922</v>
      </c>
    </row>
    <row r="3160" spans="1:18" x14ac:dyDescent="0.25">
      <c r="A3160" s="6" t="str">
        <f>HYPERLINK("proteomic_fractions_linear_files/Yang_linear_img/21313623.jpg", "21313623")</f>
        <v>21313623</v>
      </c>
      <c r="B3160" s="7"/>
      <c r="C3160" s="6" t="str">
        <f>HYPERLINK("http://www.ncbi.nlm.nih.gov/protein/21313623","Gtpbp8")</f>
        <v>Gtpbp8</v>
      </c>
      <c r="D3160" s="8"/>
      <c r="E3160" s="8">
        <v>31741</v>
      </c>
      <c r="F3160" s="8"/>
      <c r="G3160" s="15" t="s">
        <v>10</v>
      </c>
      <c r="H3160" s="15" t="s">
        <v>10</v>
      </c>
      <c r="I3160" s="15">
        <v>0.76733814416490365</v>
      </c>
      <c r="J3160" s="15">
        <v>0.76733814416490365</v>
      </c>
      <c r="K3160" s="15" t="s">
        <v>10</v>
      </c>
      <c r="L3160" s="15" t="s">
        <v>10</v>
      </c>
      <c r="M3160" s="15" t="s">
        <v>10</v>
      </c>
      <c r="N3160" s="15" t="s">
        <v>10</v>
      </c>
      <c r="O3160" s="15" t="s">
        <v>10</v>
      </c>
      <c r="P3160" s="15" t="s">
        <v>10</v>
      </c>
      <c r="Q3160" s="8"/>
      <c r="R3160" s="9" t="s">
        <v>2923</v>
      </c>
    </row>
    <row r="3161" spans="1:18" x14ac:dyDescent="0.25">
      <c r="A3161" s="6" t="str">
        <f>HYPERLINK("proteomic_fractions_linear_files/Yang_linear_img/7305119.jpg", "7305119")</f>
        <v>7305119</v>
      </c>
      <c r="B3161" s="7"/>
      <c r="C3161" s="6" t="str">
        <f>HYPERLINK("http://www.ncbi.nlm.nih.gov/protein/7305119","Gtse1")</f>
        <v>Gtse1</v>
      </c>
      <c r="D3161" s="8"/>
      <c r="E3161" s="8">
        <v>78621</v>
      </c>
      <c r="F3161" s="8"/>
      <c r="G3161" s="15" t="s">
        <v>10</v>
      </c>
      <c r="H3161" s="15" t="s">
        <v>10</v>
      </c>
      <c r="I3161" s="15" t="s">
        <v>10</v>
      </c>
      <c r="J3161" s="15" t="s">
        <v>10</v>
      </c>
      <c r="K3161" s="15" t="s">
        <v>10</v>
      </c>
      <c r="L3161" s="15" t="s">
        <v>10</v>
      </c>
      <c r="M3161" s="15">
        <v>1.3898932129257147</v>
      </c>
      <c r="N3161" s="15">
        <v>1.3898932129257147</v>
      </c>
      <c r="O3161" s="15" t="s">
        <v>10</v>
      </c>
      <c r="P3161" s="15" t="s">
        <v>10</v>
      </c>
      <c r="Q3161" s="8"/>
      <c r="R3161" s="9" t="s">
        <v>2924</v>
      </c>
    </row>
    <row r="3162" spans="1:18" x14ac:dyDescent="0.25">
      <c r="A3162" s="6" t="str">
        <f>HYPERLINK("proteomic_fractions_linear_files/Yang_linear_img/194688157.jpg", "194688157")</f>
        <v>194688157</v>
      </c>
      <c r="B3162" s="7"/>
      <c r="C3162" s="6" t="str">
        <f>HYPERLINK("http://www.ncbi.nlm.nih.gov/protein/194688157","Gucy2d")</f>
        <v>Gucy2d</v>
      </c>
      <c r="D3162" s="8"/>
      <c r="E3162" s="8">
        <v>122398</v>
      </c>
      <c r="F3162" s="8"/>
      <c r="G3162" s="15" t="s">
        <v>10</v>
      </c>
      <c r="H3162" s="15" t="s">
        <v>10</v>
      </c>
      <c r="I3162" s="15" t="s">
        <v>10</v>
      </c>
      <c r="J3162" s="15" t="s">
        <v>10</v>
      </c>
      <c r="K3162" s="15">
        <v>0.11899568624483892</v>
      </c>
      <c r="L3162" s="15">
        <v>0.11899568624483892</v>
      </c>
      <c r="M3162" s="15" t="s">
        <v>10</v>
      </c>
      <c r="N3162" s="15" t="s">
        <v>10</v>
      </c>
      <c r="O3162" s="15" t="s">
        <v>10</v>
      </c>
      <c r="P3162" s="15" t="s">
        <v>10</v>
      </c>
      <c r="Q3162" s="8"/>
      <c r="R3162" s="9" t="s">
        <v>2925</v>
      </c>
    </row>
    <row r="3163" spans="1:18" x14ac:dyDescent="0.25">
      <c r="A3163" s="6" t="str">
        <f>HYPERLINK("proteomic_fractions_linear_files/Yang_linear_img/56119098.jpg", "56119098")</f>
        <v>56119098</v>
      </c>
      <c r="B3163" s="7"/>
      <c r="C3163" s="6" t="str">
        <f>HYPERLINK("http://www.ncbi.nlm.nih.gov/protein/56119098","Gucy2f")</f>
        <v>Gucy2f</v>
      </c>
      <c r="D3163" s="8"/>
      <c r="E3163" s="8">
        <v>118771</v>
      </c>
      <c r="F3163" s="8"/>
      <c r="G3163" s="15">
        <v>0.31379265901785369</v>
      </c>
      <c r="H3163" s="15">
        <v>0.31379265901785369</v>
      </c>
      <c r="I3163" s="15">
        <v>0.21975006819684875</v>
      </c>
      <c r="J3163" s="15">
        <v>0.21975006819684875</v>
      </c>
      <c r="K3163" s="15">
        <v>0.21975006819684875</v>
      </c>
      <c r="L3163" s="15">
        <v>0.21975006819684875</v>
      </c>
      <c r="M3163" s="15">
        <v>0.21975006819684875</v>
      </c>
      <c r="N3163" s="15">
        <v>0.21975006819684875</v>
      </c>
      <c r="O3163" s="15">
        <v>0.18315749807293069</v>
      </c>
      <c r="P3163" s="15">
        <v>0.18315749807293069</v>
      </c>
      <c r="Q3163" s="8"/>
      <c r="R3163" s="9" t="s">
        <v>2926</v>
      </c>
    </row>
    <row r="3164" spans="1:18" x14ac:dyDescent="0.25">
      <c r="A3164" s="6" t="str">
        <f>HYPERLINK("proteomic_fractions_linear_files/Yang_linear_img/226874887.jpg", "226874887")</f>
        <v>226874887</v>
      </c>
      <c r="B3164" s="7"/>
      <c r="C3164" s="6" t="str">
        <f>HYPERLINK("http://www.ncbi.nlm.nih.gov/protein/226874887","Guk1")</f>
        <v>Guk1</v>
      </c>
      <c r="D3164" s="8"/>
      <c r="E3164" s="8">
        <v>23901</v>
      </c>
      <c r="F3164" s="8"/>
      <c r="G3164" s="15" t="s">
        <v>10</v>
      </c>
      <c r="H3164" s="15" t="s">
        <v>10</v>
      </c>
      <c r="I3164" s="15" t="s">
        <v>10</v>
      </c>
      <c r="J3164" s="15" t="s">
        <v>10</v>
      </c>
      <c r="K3164" s="15">
        <v>0.90815592794494793</v>
      </c>
      <c r="L3164" s="15">
        <v>0.90815592794494793</v>
      </c>
      <c r="M3164" s="15" t="s">
        <v>10</v>
      </c>
      <c r="N3164" s="15" t="s">
        <v>10</v>
      </c>
      <c r="O3164" s="15">
        <v>0.90815592794494793</v>
      </c>
      <c r="P3164" s="15">
        <v>0.90815592794494793</v>
      </c>
      <c r="Q3164" s="8"/>
      <c r="R3164" s="9" t="s">
        <v>2927</v>
      </c>
    </row>
    <row r="3165" spans="1:18" x14ac:dyDescent="0.25">
      <c r="A3165" s="6" t="str">
        <f>HYPERLINK("proteomic_fractions_linear_files/Yang_linear_img/226874891.jpg", "226874891")</f>
        <v>226874891</v>
      </c>
      <c r="B3165" s="7"/>
      <c r="C3165" s="6" t="str">
        <f>HYPERLINK("http://www.ncbi.nlm.nih.gov/protein/226874891","Guk1")</f>
        <v>Guk1</v>
      </c>
      <c r="D3165" s="8"/>
      <c r="E3165" s="8">
        <v>22712</v>
      </c>
      <c r="F3165" s="8"/>
      <c r="G3165" s="15" t="s">
        <v>10</v>
      </c>
      <c r="H3165" s="15" t="s">
        <v>10</v>
      </c>
      <c r="I3165" s="15" t="s">
        <v>10</v>
      </c>
      <c r="J3165" s="15" t="s">
        <v>10</v>
      </c>
      <c r="K3165" s="15">
        <v>0.94764096829038047</v>
      </c>
      <c r="L3165" s="15">
        <v>0.94764096829038047</v>
      </c>
      <c r="M3165" s="15" t="s">
        <v>10</v>
      </c>
      <c r="N3165" s="15" t="s">
        <v>10</v>
      </c>
      <c r="O3165" s="15">
        <v>0.94764096829038047</v>
      </c>
      <c r="P3165" s="15">
        <v>0.94764096829038047</v>
      </c>
      <c r="Q3165" s="8"/>
      <c r="R3165" s="9" t="s">
        <v>2928</v>
      </c>
    </row>
    <row r="3166" spans="1:18" x14ac:dyDescent="0.25">
      <c r="A3166" s="6" t="str">
        <f>HYPERLINK("proteomic_fractions_linear_files/Yang_linear_img/6754098.jpg", "6754098")</f>
        <v>6754098</v>
      </c>
      <c r="B3166" s="7"/>
      <c r="C3166" s="6" t="str">
        <f>HYPERLINK("http://www.ncbi.nlm.nih.gov/protein/6754098","Gusb")</f>
        <v>Gusb</v>
      </c>
      <c r="D3166" s="8"/>
      <c r="E3166" s="8">
        <v>71859</v>
      </c>
      <c r="F3166" s="8"/>
      <c r="G3166" s="15">
        <v>1.3189997386470071</v>
      </c>
      <c r="H3166" s="15">
        <v>1.3189997386470071</v>
      </c>
      <c r="I3166" s="15">
        <v>1.0199466700233646</v>
      </c>
      <c r="J3166" s="15">
        <v>1.0199466700233646</v>
      </c>
      <c r="K3166" s="15">
        <v>1.1541480343492203</v>
      </c>
      <c r="L3166" s="15">
        <v>1.1541480343492203</v>
      </c>
      <c r="M3166" s="15">
        <v>1.0199466700233646</v>
      </c>
      <c r="N3166" s="15">
        <v>1.0199466700233646</v>
      </c>
      <c r="O3166" s="15">
        <v>1.0199466700233646</v>
      </c>
      <c r="P3166" s="15">
        <v>1.0199466700233646</v>
      </c>
      <c r="Q3166" s="8"/>
      <c r="R3166" s="9" t="s">
        <v>2929</v>
      </c>
    </row>
    <row r="3167" spans="1:18" x14ac:dyDescent="0.25">
      <c r="A3167" s="6" t="str">
        <f>HYPERLINK("proteomic_fractions_linear_files/Yang_linear_img/115270958.jpg", "115270958")</f>
        <v>115270958</v>
      </c>
      <c r="B3167" s="7"/>
      <c r="C3167" s="6" t="str">
        <f>HYPERLINK("http://www.ncbi.nlm.nih.gov/protein/115270958","Gvin1")</f>
        <v>Gvin1</v>
      </c>
      <c r="D3167" s="8"/>
      <c r="E3167" s="8">
        <v>280653</v>
      </c>
      <c r="F3167" s="8"/>
      <c r="G3167" s="15" t="s">
        <v>10</v>
      </c>
      <c r="H3167" s="15" t="s">
        <v>10</v>
      </c>
      <c r="I3167" s="15" t="s">
        <v>10</v>
      </c>
      <c r="J3167" s="15" t="s">
        <v>10</v>
      </c>
      <c r="K3167" s="15">
        <v>0.66464708768662051</v>
      </c>
      <c r="L3167" s="15">
        <v>0.66464708768662051</v>
      </c>
      <c r="M3167" s="15" t="s">
        <v>10</v>
      </c>
      <c r="N3167" s="15" t="s">
        <v>10</v>
      </c>
      <c r="O3167" s="15" t="s">
        <v>10</v>
      </c>
      <c r="P3167" s="15" t="s">
        <v>10</v>
      </c>
      <c r="Q3167" s="8"/>
      <c r="R3167" s="9" t="s">
        <v>2724</v>
      </c>
    </row>
    <row r="3168" spans="1:18" x14ac:dyDescent="0.25">
      <c r="A3168" s="6" t="str">
        <f>HYPERLINK("proteomic_fractions_linear_files/Yang_linear_img/85701786.jpg", "85701786")</f>
        <v>85701786</v>
      </c>
      <c r="B3168" s="7"/>
      <c r="C3168" s="6" t="str">
        <f>HYPERLINK("http://www.ncbi.nlm.nih.gov/protein/85701786","Gxylt1")</f>
        <v>Gxylt1</v>
      </c>
      <c r="D3168" s="8"/>
      <c r="E3168" s="8">
        <v>42349</v>
      </c>
      <c r="F3168" s="8"/>
      <c r="G3168" s="15" t="s">
        <v>10</v>
      </c>
      <c r="H3168" s="15" t="s">
        <v>10</v>
      </c>
      <c r="I3168" s="15">
        <v>1.2647754673809781</v>
      </c>
      <c r="J3168" s="15">
        <v>1.2647754673809781</v>
      </c>
      <c r="K3168" s="15">
        <v>1.3993620853712823</v>
      </c>
      <c r="L3168" s="15">
        <v>1.3993620853712823</v>
      </c>
      <c r="M3168" s="15" t="s">
        <v>10</v>
      </c>
      <c r="N3168" s="15" t="s">
        <v>10</v>
      </c>
      <c r="O3168" s="15" t="s">
        <v>10</v>
      </c>
      <c r="P3168" s="15" t="s">
        <v>10</v>
      </c>
      <c r="Q3168" s="8"/>
      <c r="R3168" s="9" t="s">
        <v>2930</v>
      </c>
    </row>
    <row r="3169" spans="1:18" x14ac:dyDescent="0.25">
      <c r="A3169" s="6" t="str">
        <f>HYPERLINK("proteomic_fractions_linear_files/Yang_linear_img/46909579.jpg", "46909579")</f>
        <v>46909579</v>
      </c>
      <c r="B3169" s="7"/>
      <c r="C3169" s="6" t="str">
        <f>HYPERLINK("http://www.ncbi.nlm.nih.gov/protein/46909579","Gyk")</f>
        <v>Gyk</v>
      </c>
      <c r="D3169" s="8"/>
      <c r="E3169" s="8">
        <v>60431</v>
      </c>
      <c r="F3169" s="8"/>
      <c r="G3169" s="15" t="s">
        <v>10</v>
      </c>
      <c r="H3169" s="15" t="s">
        <v>10</v>
      </c>
      <c r="I3169" s="15" t="s">
        <v>10</v>
      </c>
      <c r="J3169" s="15" t="s">
        <v>10</v>
      </c>
      <c r="K3169" s="15" t="s">
        <v>10</v>
      </c>
      <c r="L3169" s="15" t="s">
        <v>10</v>
      </c>
      <c r="M3169" s="15" t="s">
        <v>10</v>
      </c>
      <c r="N3169" s="15" t="s">
        <v>10</v>
      </c>
      <c r="O3169" s="15">
        <v>0.80483292640692083</v>
      </c>
      <c r="P3169" s="15">
        <v>0.80483292640692083</v>
      </c>
      <c r="Q3169" s="8"/>
      <c r="R3169" s="9" t="s">
        <v>2931</v>
      </c>
    </row>
    <row r="3170" spans="1:18" x14ac:dyDescent="0.25">
      <c r="A3170" s="6" t="str">
        <f>HYPERLINK("proteomic_fractions_linear_files/Yang_linear_img/6680139.jpg", "6680139")</f>
        <v>6680139</v>
      </c>
      <c r="B3170" s="7"/>
      <c r="C3170" s="6" t="str">
        <f>HYPERLINK("http://www.ncbi.nlm.nih.gov/protein/6680139","Gyk")</f>
        <v>Gyk</v>
      </c>
      <c r="D3170" s="8"/>
      <c r="E3170" s="8">
        <v>57327</v>
      </c>
      <c r="F3170" s="8"/>
      <c r="G3170" s="15" t="s">
        <v>10</v>
      </c>
      <c r="H3170" s="15" t="s">
        <v>10</v>
      </c>
      <c r="I3170" s="15" t="s">
        <v>10</v>
      </c>
      <c r="J3170" s="15" t="s">
        <v>10</v>
      </c>
      <c r="K3170" s="15" t="s">
        <v>10</v>
      </c>
      <c r="L3170" s="15" t="s">
        <v>10</v>
      </c>
      <c r="M3170" s="15" t="s">
        <v>10</v>
      </c>
      <c r="N3170" s="15" t="s">
        <v>10</v>
      </c>
      <c r="O3170" s="15">
        <v>0.84719255411254824</v>
      </c>
      <c r="P3170" s="15">
        <v>0.84719255411254824</v>
      </c>
      <c r="Q3170" s="8"/>
      <c r="R3170" s="9" t="s">
        <v>2932</v>
      </c>
    </row>
    <row r="3171" spans="1:18" x14ac:dyDescent="0.25">
      <c r="A3171" s="6" t="str">
        <f>HYPERLINK("proteomic_fractions_linear_files/Yang_linear_img/49355801.jpg", "49355801")</f>
        <v>49355801</v>
      </c>
      <c r="B3171" s="7"/>
      <c r="C3171" s="6" t="str">
        <f>HYPERLINK("http://www.ncbi.nlm.nih.gov/protein/49355801","Gykl1")</f>
        <v>Gykl1</v>
      </c>
      <c r="D3171" s="8"/>
      <c r="E3171" s="8">
        <v>59786</v>
      </c>
      <c r="F3171" s="8"/>
      <c r="G3171" s="15" t="s">
        <v>10</v>
      </c>
      <c r="H3171" s="15" t="s">
        <v>10</v>
      </c>
      <c r="I3171" s="15" t="s">
        <v>10</v>
      </c>
      <c r="J3171" s="15" t="s">
        <v>10</v>
      </c>
      <c r="K3171" s="15" t="s">
        <v>10</v>
      </c>
      <c r="L3171" s="15" t="s">
        <v>10</v>
      </c>
      <c r="M3171" s="15" t="s">
        <v>10</v>
      </c>
      <c r="N3171" s="15" t="s">
        <v>10</v>
      </c>
      <c r="O3171" s="15">
        <v>0.80483292640692083</v>
      </c>
      <c r="P3171" s="15">
        <v>0.80483292640692083</v>
      </c>
      <c r="Q3171" s="8"/>
      <c r="R3171" s="9" t="s">
        <v>2933</v>
      </c>
    </row>
    <row r="3172" spans="1:18" x14ac:dyDescent="0.25">
      <c r="A3172" s="6" t="str">
        <f>HYPERLINK("proteomic_fractions_linear_files/Yang_linear_img/262231828.jpg", "262231828")</f>
        <v>262231828</v>
      </c>
      <c r="B3172" s="7"/>
      <c r="C3172" s="6" t="str">
        <f>HYPERLINK("http://www.ncbi.nlm.nih.gov/protein/262231828","Gyltl1b")</f>
        <v>Gyltl1b</v>
      </c>
      <c r="D3172" s="8"/>
      <c r="E3172" s="8">
        <v>77003</v>
      </c>
      <c r="F3172" s="8"/>
      <c r="G3172" s="15" t="s">
        <v>10</v>
      </c>
      <c r="H3172" s="15" t="s">
        <v>10</v>
      </c>
      <c r="I3172" s="15">
        <v>1.079203356794076</v>
      </c>
      <c r="J3172" s="15">
        <v>1.079203356794076</v>
      </c>
      <c r="K3172" s="15" t="s">
        <v>10</v>
      </c>
      <c r="L3172" s="15" t="s">
        <v>10</v>
      </c>
      <c r="M3172" s="15" t="s">
        <v>10</v>
      </c>
      <c r="N3172" s="15" t="s">
        <v>10</v>
      </c>
      <c r="O3172" s="15" t="s">
        <v>10</v>
      </c>
      <c r="P3172" s="15" t="s">
        <v>10</v>
      </c>
      <c r="Q3172" s="8"/>
      <c r="R3172" s="9" t="s">
        <v>2934</v>
      </c>
    </row>
    <row r="3173" spans="1:18" x14ac:dyDescent="0.25">
      <c r="A3173" s="6" t="str">
        <f>HYPERLINK("proteomic_fractions_linear_files/Yang_linear_img/262231830.jpg", "262231830")</f>
        <v>262231830</v>
      </c>
      <c r="B3173" s="7"/>
      <c r="C3173" s="6" t="str">
        <f>HYPERLINK("http://www.ncbi.nlm.nih.gov/protein/262231830","Gyltl1b")</f>
        <v>Gyltl1b</v>
      </c>
      <c r="D3173" s="8"/>
      <c r="E3173" s="8">
        <v>72924</v>
      </c>
      <c r="F3173" s="8"/>
      <c r="G3173" s="15" t="s">
        <v>10</v>
      </c>
      <c r="H3173" s="15" t="s">
        <v>10</v>
      </c>
      <c r="I3173" s="15">
        <v>1.1383377873033405</v>
      </c>
      <c r="J3173" s="15">
        <v>1.1383377873033405</v>
      </c>
      <c r="K3173" s="15" t="s">
        <v>10</v>
      </c>
      <c r="L3173" s="15" t="s">
        <v>10</v>
      </c>
      <c r="M3173" s="15" t="s">
        <v>10</v>
      </c>
      <c r="N3173" s="15" t="s">
        <v>10</v>
      </c>
      <c r="O3173" s="15" t="s">
        <v>10</v>
      </c>
      <c r="P3173" s="15" t="s">
        <v>10</v>
      </c>
      <c r="Q3173" s="8"/>
      <c r="R3173" s="9" t="s">
        <v>2935</v>
      </c>
    </row>
    <row r="3174" spans="1:18" x14ac:dyDescent="0.25">
      <c r="A3174" s="6" t="str">
        <f>HYPERLINK("proteomic_fractions_linear_files/Yang_linear_img/31560022.jpg", "31560022")</f>
        <v>31560022</v>
      </c>
      <c r="B3174" s="7"/>
      <c r="C3174" s="6" t="str">
        <f>HYPERLINK("http://www.ncbi.nlm.nih.gov/protein/31560022","Gys1")</f>
        <v>Gys1</v>
      </c>
      <c r="D3174" s="8"/>
      <c r="E3174" s="8">
        <v>83796</v>
      </c>
      <c r="F3174" s="8"/>
      <c r="G3174" s="15" t="s">
        <v>10</v>
      </c>
      <c r="H3174" s="15" t="s">
        <v>10</v>
      </c>
      <c r="I3174" s="15" t="s">
        <v>10</v>
      </c>
      <c r="J3174" s="15" t="s">
        <v>10</v>
      </c>
      <c r="K3174" s="15" t="s">
        <v>10</v>
      </c>
      <c r="L3174" s="15" t="s">
        <v>10</v>
      </c>
      <c r="M3174" s="15">
        <v>1.1305712045545775</v>
      </c>
      <c r="N3174" s="15">
        <v>1.1305712045545775</v>
      </c>
      <c r="O3174" s="15">
        <v>1.1305712045545775</v>
      </c>
      <c r="P3174" s="15">
        <v>1.1305712045545775</v>
      </c>
      <c r="Q3174" s="8"/>
      <c r="R3174" s="9" t="s">
        <v>2936</v>
      </c>
    </row>
    <row r="3175" spans="1:18" x14ac:dyDescent="0.25">
      <c r="A3175" s="6" t="str">
        <f>HYPERLINK("proteomic_fractions_linear_files/Yang_linear_img/37674207.jpg", "37674207")</f>
        <v>37674207</v>
      </c>
      <c r="B3175" s="7"/>
      <c r="C3175" s="6" t="str">
        <f>HYPERLINK("http://www.ncbi.nlm.nih.gov/protein/37674207","Gzf1")</f>
        <v>Gzf1</v>
      </c>
      <c r="D3175" s="8"/>
      <c r="E3175" s="8">
        <v>79402</v>
      </c>
      <c r="F3175" s="8"/>
      <c r="G3175" s="15" t="s">
        <v>10</v>
      </c>
      <c r="H3175" s="15" t="s">
        <v>10</v>
      </c>
      <c r="I3175" s="15" t="s">
        <v>10</v>
      </c>
      <c r="J3175" s="15" t="s">
        <v>10</v>
      </c>
      <c r="K3175" s="15">
        <v>1.3898932129257147</v>
      </c>
      <c r="L3175" s="15">
        <v>1.3898932129257147</v>
      </c>
      <c r="M3175" s="15" t="s">
        <v>10</v>
      </c>
      <c r="N3175" s="15" t="s">
        <v>10</v>
      </c>
      <c r="O3175" s="15" t="s">
        <v>10</v>
      </c>
      <c r="P3175" s="15" t="s">
        <v>10</v>
      </c>
      <c r="Q3175" s="8"/>
      <c r="R3175" s="9" t="s">
        <v>2937</v>
      </c>
    </row>
    <row r="3176" spans="1:18" x14ac:dyDescent="0.25">
      <c r="A3176" s="6" t="str">
        <f>HYPERLINK("proteomic_fractions_linear_files/Yang_linear_img/227116335.jpg", "227116335")</f>
        <v>227116335</v>
      </c>
      <c r="B3176" s="7"/>
      <c r="C3176" s="6" t="str">
        <f>HYPERLINK("http://www.ncbi.nlm.nih.gov/protein/227116335","H13")</f>
        <v>H13</v>
      </c>
      <c r="D3176" s="8"/>
      <c r="E3176" s="8">
        <v>43233</v>
      </c>
      <c r="F3176" s="8"/>
      <c r="G3176" s="15" t="s">
        <v>10</v>
      </c>
      <c r="H3176" s="15" t="s">
        <v>10</v>
      </c>
      <c r="I3176" s="15" t="s">
        <v>10</v>
      </c>
      <c r="J3176" s="15" t="s">
        <v>10</v>
      </c>
      <c r="K3176" s="15">
        <v>0.942030655888901</v>
      </c>
      <c r="L3176" s="15">
        <v>0.942030655888901</v>
      </c>
      <c r="M3176" s="15" t="s">
        <v>10</v>
      </c>
      <c r="N3176" s="15" t="s">
        <v>10</v>
      </c>
      <c r="O3176" s="15" t="s">
        <v>10</v>
      </c>
      <c r="P3176" s="15" t="s">
        <v>10</v>
      </c>
      <c r="Q3176" s="8"/>
      <c r="R3176" s="9" t="s">
        <v>2938</v>
      </c>
    </row>
    <row r="3177" spans="1:18" x14ac:dyDescent="0.25">
      <c r="A3177" s="6" t="str">
        <f>HYPERLINK("proteomic_fractions_linear_files/Yang_linear_img/227116337.jpg", "227116337")</f>
        <v>227116337</v>
      </c>
      <c r="B3177" s="7"/>
      <c r="C3177" s="6" t="str">
        <f>HYPERLINK("http://www.ncbi.nlm.nih.gov/protein/227116337","H13")</f>
        <v>H13</v>
      </c>
      <c r="D3177" s="8"/>
      <c r="E3177" s="8">
        <v>24201</v>
      </c>
      <c r="F3177" s="8"/>
      <c r="G3177" s="15" t="s">
        <v>10</v>
      </c>
      <c r="H3177" s="15" t="s">
        <v>10</v>
      </c>
      <c r="I3177" s="15" t="s">
        <v>10</v>
      </c>
      <c r="J3177" s="15" t="s">
        <v>10</v>
      </c>
      <c r="K3177" s="15">
        <v>1.687804925134281</v>
      </c>
      <c r="L3177" s="15">
        <v>1.687804925134281</v>
      </c>
      <c r="M3177" s="15" t="s">
        <v>10</v>
      </c>
      <c r="N3177" s="15" t="s">
        <v>10</v>
      </c>
      <c r="O3177" s="15" t="s">
        <v>10</v>
      </c>
      <c r="P3177" s="15" t="s">
        <v>10</v>
      </c>
      <c r="Q3177" s="8"/>
      <c r="R3177" s="9" t="s">
        <v>2939</v>
      </c>
    </row>
    <row r="3178" spans="1:18" x14ac:dyDescent="0.25">
      <c r="A3178" s="6" t="str">
        <f>HYPERLINK("proteomic_fractions_linear_files/Yang_linear_img/227116339.jpg", "227116339")</f>
        <v>227116339</v>
      </c>
      <c r="B3178" s="7"/>
      <c r="C3178" s="6" t="str">
        <f>HYPERLINK("http://www.ncbi.nlm.nih.gov/protein/227116339","H13")</f>
        <v>H13</v>
      </c>
      <c r="D3178" s="8"/>
      <c r="E3178" s="8">
        <v>18574</v>
      </c>
      <c r="F3178" s="8"/>
      <c r="G3178" s="15" t="s">
        <v>10</v>
      </c>
      <c r="H3178" s="15" t="s">
        <v>10</v>
      </c>
      <c r="I3178" s="15" t="s">
        <v>10</v>
      </c>
      <c r="J3178" s="15" t="s">
        <v>10</v>
      </c>
      <c r="K3178" s="15">
        <v>2.1319641159590916</v>
      </c>
      <c r="L3178" s="15">
        <v>2.1319641159590916</v>
      </c>
      <c r="M3178" s="15" t="s">
        <v>10</v>
      </c>
      <c r="N3178" s="15" t="s">
        <v>10</v>
      </c>
      <c r="O3178" s="15" t="s">
        <v>10</v>
      </c>
      <c r="P3178" s="15" t="s">
        <v>10</v>
      </c>
      <c r="Q3178" s="8"/>
      <c r="R3178" s="9" t="s">
        <v>2940</v>
      </c>
    </row>
    <row r="3179" spans="1:18" x14ac:dyDescent="0.25">
      <c r="A3179" s="6" t="str">
        <f>HYPERLINK("proteomic_fractions_linear_files/Yang_linear_img/18034682.jpg", "18034682")</f>
        <v>18034682</v>
      </c>
      <c r="B3179" s="7"/>
      <c r="C3179" s="6" t="str">
        <f>HYPERLINK("http://www.ncbi.nlm.nih.gov/protein/18034682","H13")</f>
        <v>H13</v>
      </c>
      <c r="D3179" s="8"/>
      <c r="E3179" s="8">
        <v>41617</v>
      </c>
      <c r="F3179" s="8"/>
      <c r="G3179" s="15" t="s">
        <v>10</v>
      </c>
      <c r="H3179" s="15" t="s">
        <v>10</v>
      </c>
      <c r="I3179" s="15">
        <v>0.96445995721958921</v>
      </c>
      <c r="J3179" s="15">
        <v>0.96445995721958921</v>
      </c>
      <c r="K3179" s="15">
        <v>0.96445995721958921</v>
      </c>
      <c r="L3179" s="15">
        <v>0.96445995721958921</v>
      </c>
      <c r="M3179" s="15">
        <v>0.96445995721958921</v>
      </c>
      <c r="N3179" s="15">
        <v>0.96445995721958921</v>
      </c>
      <c r="O3179" s="15" t="s">
        <v>10</v>
      </c>
      <c r="P3179" s="15" t="s">
        <v>10</v>
      </c>
      <c r="Q3179" s="8"/>
      <c r="R3179" s="9" t="s">
        <v>2941</v>
      </c>
    </row>
    <row r="3180" spans="1:18" x14ac:dyDescent="0.25">
      <c r="A3180" s="6" t="str">
        <f>HYPERLINK("proteomic_fractions_linear_files/Yang_linear_img/31560697.jpg", "31560697")</f>
        <v>31560697</v>
      </c>
      <c r="B3180" s="7"/>
      <c r="C3180" s="6" t="str">
        <f>HYPERLINK("http://www.ncbi.nlm.nih.gov/protein/31560697","H1f0")</f>
        <v>H1f0</v>
      </c>
      <c r="D3180" s="8"/>
      <c r="E3180" s="8">
        <v>20730</v>
      </c>
      <c r="F3180" s="8"/>
      <c r="G3180" s="15">
        <v>1.7781584011011711</v>
      </c>
      <c r="H3180" s="15">
        <v>1.7781584011011711</v>
      </c>
      <c r="I3180" s="15">
        <v>1.2452503864488096</v>
      </c>
      <c r="J3180" s="15">
        <v>1.2452503864488096</v>
      </c>
      <c r="K3180" s="15">
        <v>1.3294386332229553</v>
      </c>
      <c r="L3180" s="15">
        <v>1.3294386332229553</v>
      </c>
      <c r="M3180" s="15">
        <v>1.2452503864488096</v>
      </c>
      <c r="N3180" s="15">
        <v>1.2452503864488096</v>
      </c>
      <c r="O3180" s="15" t="s">
        <v>10</v>
      </c>
      <c r="P3180" s="15" t="s">
        <v>10</v>
      </c>
      <c r="Q3180" s="8"/>
      <c r="R3180" s="9" t="s">
        <v>2942</v>
      </c>
    </row>
    <row r="3181" spans="1:18" x14ac:dyDescent="0.25">
      <c r="A3181" s="6" t="str">
        <f>HYPERLINK("proteomic_fractions_linear_files/Yang_linear_img/257196238.jpg", "257196238")</f>
        <v>257196238</v>
      </c>
      <c r="B3181" s="7"/>
      <c r="C3181" s="6" t="str">
        <f>HYPERLINK("http://www.ncbi.nlm.nih.gov/protein/257196238","H1fnt")</f>
        <v>H1fnt</v>
      </c>
      <c r="D3181" s="8"/>
      <c r="E3181" s="8">
        <v>44269</v>
      </c>
      <c r="F3181" s="8"/>
      <c r="G3181" s="15" t="s">
        <v>10</v>
      </c>
      <c r="H3181" s="15" t="s">
        <v>10</v>
      </c>
      <c r="I3181" s="15">
        <v>0.72918347399394523</v>
      </c>
      <c r="J3181" s="15">
        <v>0.72918347399394523</v>
      </c>
      <c r="K3181" s="15" t="s">
        <v>10</v>
      </c>
      <c r="L3181" s="15" t="s">
        <v>10</v>
      </c>
      <c r="M3181" s="15" t="s">
        <v>10</v>
      </c>
      <c r="N3181" s="15" t="s">
        <v>10</v>
      </c>
      <c r="O3181" s="15" t="s">
        <v>10</v>
      </c>
      <c r="P3181" s="15" t="s">
        <v>10</v>
      </c>
      <c r="Q3181" s="8"/>
      <c r="R3181" s="9" t="s">
        <v>2943</v>
      </c>
    </row>
    <row r="3182" spans="1:18" x14ac:dyDescent="0.25">
      <c r="A3182" s="6" t="str">
        <f>HYPERLINK("proteomic_fractions_linear_files/Yang_linear_img/29244126.jpg", "29244126")</f>
        <v>29244126</v>
      </c>
      <c r="B3182" s="7"/>
      <c r="C3182" s="6" t="str">
        <f>HYPERLINK("http://www.ncbi.nlm.nih.gov/protein/29244126","H2afj")</f>
        <v>H2afj</v>
      </c>
      <c r="D3182" s="8"/>
      <c r="E3182" s="8">
        <v>13914</v>
      </c>
      <c r="F3182" s="8"/>
      <c r="G3182" s="15">
        <v>1.5568387336199108</v>
      </c>
      <c r="H3182" s="15">
        <v>1.5568387336199108</v>
      </c>
      <c r="I3182" s="15">
        <v>1.085452735272449</v>
      </c>
      <c r="J3182" s="15">
        <v>1.085452735272449</v>
      </c>
      <c r="K3182" s="15">
        <v>1.1376744130844125</v>
      </c>
      <c r="L3182" s="15">
        <v>1.1376744130844125</v>
      </c>
      <c r="M3182" s="15">
        <v>1.1376744130844125</v>
      </c>
      <c r="N3182" s="15">
        <v>1.1376744130844125</v>
      </c>
      <c r="O3182" s="15">
        <v>0.94979028735725246</v>
      </c>
      <c r="P3182" s="15">
        <v>0.94979028735725246</v>
      </c>
      <c r="Q3182" s="8"/>
      <c r="R3182" s="9" t="s">
        <v>2944</v>
      </c>
    </row>
    <row r="3183" spans="1:18" x14ac:dyDescent="0.25">
      <c r="A3183" s="6" t="str">
        <f>HYPERLINK("proteomic_fractions_linear_files/Yang_linear_img/256773209.jpg", "256773209")</f>
        <v>256773209</v>
      </c>
      <c r="B3183" s="7"/>
      <c r="C3183" s="6" t="str">
        <f>HYPERLINK("http://www.ncbi.nlm.nih.gov/protein/256773209","H2afv")</f>
        <v>H2afv</v>
      </c>
      <c r="D3183" s="8"/>
      <c r="E3183" s="8">
        <v>13378</v>
      </c>
      <c r="F3183" s="8"/>
      <c r="G3183" s="15">
        <v>1.6765955592829809</v>
      </c>
      <c r="H3183" s="15">
        <v>1.6765955592829809</v>
      </c>
      <c r="I3183" s="15">
        <v>1.1689490995241758</v>
      </c>
      <c r="J3183" s="15">
        <v>1.1689490995241758</v>
      </c>
      <c r="K3183" s="15">
        <v>1.2251878294755212</v>
      </c>
      <c r="L3183" s="15">
        <v>1.2251878294755212</v>
      </c>
      <c r="M3183" s="15">
        <v>1.1689490995241758</v>
      </c>
      <c r="N3183" s="15">
        <v>1.1689490995241758</v>
      </c>
      <c r="O3183" s="15">
        <v>1.0228510786924256</v>
      </c>
      <c r="P3183" s="15">
        <v>1.0228510786924256</v>
      </c>
      <c r="Q3183" s="8"/>
      <c r="R3183" s="9" t="s">
        <v>2945</v>
      </c>
    </row>
    <row r="3184" spans="1:18" x14ac:dyDescent="0.25">
      <c r="A3184" s="6" t="str">
        <f>HYPERLINK("proteomic_fractions_linear_files/Yang_linear_img/7106331.jpg", "7106331")</f>
        <v>7106331</v>
      </c>
      <c r="B3184" s="7"/>
      <c r="C3184" s="6" t="str">
        <f>HYPERLINK("http://www.ncbi.nlm.nih.gov/protein/7106331","H2afx")</f>
        <v>H2afx</v>
      </c>
      <c r="D3184" s="8"/>
      <c r="E3184" s="8">
        <v>15011</v>
      </c>
      <c r="F3184" s="8"/>
      <c r="G3184" s="15">
        <v>1.4530494847119166</v>
      </c>
      <c r="H3184" s="15">
        <v>1.4530494847119166</v>
      </c>
      <c r="I3184" s="15">
        <v>1.0130892195876191</v>
      </c>
      <c r="J3184" s="15">
        <v>1.0130892195876191</v>
      </c>
      <c r="K3184" s="15">
        <v>1.0618294522121183</v>
      </c>
      <c r="L3184" s="15">
        <v>1.0618294522121183</v>
      </c>
      <c r="M3184" s="15">
        <v>1.0618294522121183</v>
      </c>
      <c r="N3184" s="15">
        <v>1.0618294522121183</v>
      </c>
      <c r="O3184" s="15">
        <v>0.88647093486676887</v>
      </c>
      <c r="P3184" s="15">
        <v>0.88647093486676887</v>
      </c>
      <c r="Q3184" s="8"/>
      <c r="R3184" s="9" t="s">
        <v>2946</v>
      </c>
    </row>
    <row r="3185" spans="1:18" x14ac:dyDescent="0.25">
      <c r="A3185" s="6" t="str">
        <f>HYPERLINK("proteomic_fractions_linear_files/Yang_linear_img/283945572.jpg", "283945572")</f>
        <v>283945572</v>
      </c>
      <c r="B3185" s="7"/>
      <c r="C3185" s="6" t="str">
        <f>HYPERLINK("http://www.ncbi.nlm.nih.gov/protein/283945572","H2afy")</f>
        <v>H2afy</v>
      </c>
      <c r="D3185" s="8"/>
      <c r="E3185" s="8">
        <v>39476</v>
      </c>
      <c r="F3185" s="8"/>
      <c r="G3185" s="15">
        <v>1.2382045021644936</v>
      </c>
      <c r="H3185" s="15">
        <v>1.2382045021644936</v>
      </c>
      <c r="I3185" s="15" t="s">
        <v>10</v>
      </c>
      <c r="J3185" s="15" t="s">
        <v>10</v>
      </c>
      <c r="K3185" s="15" t="s">
        <v>10</v>
      </c>
      <c r="L3185" s="15" t="s">
        <v>10</v>
      </c>
      <c r="M3185" s="15">
        <v>0.95746990828524592</v>
      </c>
      <c r="N3185" s="15">
        <v>0.95746990828524592</v>
      </c>
      <c r="O3185" s="15" t="s">
        <v>10</v>
      </c>
      <c r="P3185" s="15" t="s">
        <v>10</v>
      </c>
      <c r="Q3185" s="8"/>
      <c r="R3185" s="9" t="s">
        <v>2947</v>
      </c>
    </row>
    <row r="3186" spans="1:18" x14ac:dyDescent="0.25">
      <c r="A3186" s="6" t="str">
        <f>HYPERLINK("proteomic_fractions_linear_files/Yang_linear_img/283945575.jpg", "283945575")</f>
        <v>283945575</v>
      </c>
      <c r="B3186" s="7"/>
      <c r="C3186" s="6" t="str">
        <f>HYPERLINK("http://www.ncbi.nlm.nih.gov/protein/283945575","H2afy")</f>
        <v>H2afy</v>
      </c>
      <c r="D3186" s="8"/>
      <c r="E3186" s="8">
        <v>39159</v>
      </c>
      <c r="F3186" s="8"/>
      <c r="G3186" s="15">
        <v>1.2382045021644936</v>
      </c>
      <c r="H3186" s="15">
        <v>1.2382045021644936</v>
      </c>
      <c r="I3186" s="15" t="s">
        <v>10</v>
      </c>
      <c r="J3186" s="15" t="s">
        <v>10</v>
      </c>
      <c r="K3186" s="15" t="s">
        <v>10</v>
      </c>
      <c r="L3186" s="15" t="s">
        <v>10</v>
      </c>
      <c r="M3186" s="15">
        <v>0.95746990828524592</v>
      </c>
      <c r="N3186" s="15">
        <v>0.95746990828524592</v>
      </c>
      <c r="O3186" s="15" t="s">
        <v>10</v>
      </c>
      <c r="P3186" s="15" t="s">
        <v>10</v>
      </c>
      <c r="Q3186" s="8"/>
      <c r="R3186" s="9" t="s">
        <v>2948</v>
      </c>
    </row>
    <row r="3187" spans="1:18" x14ac:dyDescent="0.25">
      <c r="A3187" s="6" t="str">
        <f>HYPERLINK("proteomic_fractions_linear_files/Yang_linear_img/283945579.jpg", "283945579")</f>
        <v>283945579</v>
      </c>
      <c r="B3187" s="7"/>
      <c r="C3187" s="6" t="str">
        <f>HYPERLINK("http://www.ncbi.nlm.nih.gov/protein/283945579","H2afy")</f>
        <v>H2afy</v>
      </c>
      <c r="D3187" s="8"/>
      <c r="E3187" s="8">
        <v>39030</v>
      </c>
      <c r="F3187" s="8"/>
      <c r="G3187" s="15">
        <v>1.2382045021644936</v>
      </c>
      <c r="H3187" s="15">
        <v>1.2382045021644936</v>
      </c>
      <c r="I3187" s="15" t="s">
        <v>10</v>
      </c>
      <c r="J3187" s="15" t="s">
        <v>10</v>
      </c>
      <c r="K3187" s="15" t="s">
        <v>10</v>
      </c>
      <c r="L3187" s="15" t="s">
        <v>10</v>
      </c>
      <c r="M3187" s="15">
        <v>0.95746990828524592</v>
      </c>
      <c r="N3187" s="15">
        <v>0.95746990828524592</v>
      </c>
      <c r="O3187" s="15" t="s">
        <v>10</v>
      </c>
      <c r="P3187" s="15" t="s">
        <v>10</v>
      </c>
      <c r="Q3187" s="8"/>
      <c r="R3187" s="9" t="s">
        <v>2949</v>
      </c>
    </row>
    <row r="3188" spans="1:18" x14ac:dyDescent="0.25">
      <c r="A3188" s="6" t="str">
        <f>HYPERLINK("proteomic_fractions_linear_files/Yang_linear_img/41152517.jpg", "41152517")</f>
        <v>41152517</v>
      </c>
      <c r="B3188" s="7"/>
      <c r="C3188" s="6" t="str">
        <f>HYPERLINK("http://www.ncbi.nlm.nih.gov/protein/41152517","H2afy")</f>
        <v>H2afy</v>
      </c>
      <c r="D3188" s="8"/>
      <c r="E3188" s="8">
        <v>39604</v>
      </c>
      <c r="F3188" s="8"/>
      <c r="G3188" s="15">
        <v>1.2072493896103813</v>
      </c>
      <c r="H3188" s="15">
        <v>1.2072493896103813</v>
      </c>
      <c r="I3188" s="15" t="s">
        <v>10</v>
      </c>
      <c r="J3188" s="15" t="s">
        <v>10</v>
      </c>
      <c r="K3188" s="15" t="s">
        <v>10</v>
      </c>
      <c r="L3188" s="15" t="s">
        <v>10</v>
      </c>
      <c r="M3188" s="15">
        <v>0.93353316057811475</v>
      </c>
      <c r="N3188" s="15">
        <v>0.93353316057811475</v>
      </c>
      <c r="O3188" s="15" t="s">
        <v>10</v>
      </c>
      <c r="P3188" s="15" t="s">
        <v>10</v>
      </c>
      <c r="Q3188" s="8"/>
      <c r="R3188" s="9" t="s">
        <v>2950</v>
      </c>
    </row>
    <row r="3189" spans="1:18" x14ac:dyDescent="0.25">
      <c r="A3189" s="6" t="str">
        <f>HYPERLINK("proteomic_fractions_linear_files/Yang_linear_img/46250738.jpg", "46250738")</f>
        <v>46250738</v>
      </c>
      <c r="B3189" s="7"/>
      <c r="C3189" s="6" t="str">
        <f>HYPERLINK("http://www.ncbi.nlm.nih.gov/protein/46250738","H2afy2")</f>
        <v>H2afy2</v>
      </c>
      <c r="D3189" s="8"/>
      <c r="E3189" s="8">
        <v>39961</v>
      </c>
      <c r="F3189" s="8"/>
      <c r="G3189" s="15">
        <v>1.2072493896103813</v>
      </c>
      <c r="H3189" s="15">
        <v>1.2072493896103813</v>
      </c>
      <c r="I3189" s="15" t="s">
        <v>10</v>
      </c>
      <c r="J3189" s="15" t="s">
        <v>10</v>
      </c>
      <c r="K3189" s="15" t="s">
        <v>10</v>
      </c>
      <c r="L3189" s="15" t="s">
        <v>10</v>
      </c>
      <c r="M3189" s="15">
        <v>0.93353316057811475</v>
      </c>
      <c r="N3189" s="15">
        <v>0.93353316057811475</v>
      </c>
      <c r="O3189" s="15" t="s">
        <v>10</v>
      </c>
      <c r="P3189" s="15" t="s">
        <v>10</v>
      </c>
      <c r="Q3189" s="8"/>
      <c r="R3189" s="9" t="s">
        <v>2951</v>
      </c>
    </row>
    <row r="3190" spans="1:18" x14ac:dyDescent="0.25">
      <c r="A3190" s="6" t="str">
        <f>HYPERLINK("proteomic_fractions_linear_files/Yang_linear_img/7949045.jpg", "7949045")</f>
        <v>7949045</v>
      </c>
      <c r="B3190" s="7"/>
      <c r="C3190" s="6" t="str">
        <f>HYPERLINK("http://www.ncbi.nlm.nih.gov/protein/7949045","H2afz")</f>
        <v>H2afz</v>
      </c>
      <c r="D3190" s="8"/>
      <c r="E3190" s="8">
        <v>13422</v>
      </c>
      <c r="F3190" s="8"/>
      <c r="G3190" s="15">
        <v>1.6765955592829809</v>
      </c>
      <c r="H3190" s="15">
        <v>1.6765955592829809</v>
      </c>
      <c r="I3190" s="15">
        <v>1.1689490995241758</v>
      </c>
      <c r="J3190" s="15">
        <v>1.1689490995241758</v>
      </c>
      <c r="K3190" s="15">
        <v>1.2251878294755212</v>
      </c>
      <c r="L3190" s="15">
        <v>1.2251878294755212</v>
      </c>
      <c r="M3190" s="15">
        <v>1.1689490995241758</v>
      </c>
      <c r="N3190" s="15">
        <v>1.1689490995241758</v>
      </c>
      <c r="O3190" s="15">
        <v>1.0228510786924256</v>
      </c>
      <c r="P3190" s="15">
        <v>1.0228510786924256</v>
      </c>
      <c r="Q3190" s="8"/>
      <c r="R3190" s="9" t="s">
        <v>2952</v>
      </c>
    </row>
    <row r="3191" spans="1:18" x14ac:dyDescent="0.25">
      <c r="A3191" s="6" t="str">
        <f>HYPERLINK("proteomic_fractions_linear_files/Yang_linear_img/133778955.jpg", "133778955")</f>
        <v>133778955</v>
      </c>
      <c r="B3191" s="7"/>
      <c r="C3191" s="6" t="str">
        <f>HYPERLINK("http://www.ncbi.nlm.nih.gov/protein/133778955","H2-D1")</f>
        <v>H2-D1</v>
      </c>
      <c r="D3191" s="8"/>
      <c r="E3191" s="8">
        <v>38402</v>
      </c>
      <c r="F3191" s="8"/>
      <c r="G3191" s="15">
        <v>1.5466633575156277</v>
      </c>
      <c r="H3191" s="15">
        <v>1.5466633575156277</v>
      </c>
      <c r="I3191" s="15">
        <v>1.1611997170254071</v>
      </c>
      <c r="J3191" s="15">
        <v>1.1611997170254071</v>
      </c>
      <c r="K3191" s="15">
        <v>1.2707888311688225</v>
      </c>
      <c r="L3191" s="15">
        <v>1.2707888311688225</v>
      </c>
      <c r="M3191" s="15" t="s">
        <v>10</v>
      </c>
      <c r="N3191" s="15" t="s">
        <v>10</v>
      </c>
      <c r="O3191" s="15" t="s">
        <v>10</v>
      </c>
      <c r="P3191" s="15" t="s">
        <v>10</v>
      </c>
      <c r="Q3191" s="8"/>
      <c r="R3191" s="9" t="s">
        <v>2953</v>
      </c>
    </row>
    <row r="3192" spans="1:18" x14ac:dyDescent="0.25">
      <c r="A3192" s="6" t="str">
        <f>HYPERLINK("proteomic_fractions_linear_files/Yang_linear_img/133922588.jpg", "133922588")</f>
        <v>133922588</v>
      </c>
      <c r="B3192" s="7"/>
      <c r="C3192" s="6" t="str">
        <f>HYPERLINK("http://www.ncbi.nlm.nih.gov/protein/133922588","H2-K1")</f>
        <v>H2-K1</v>
      </c>
      <c r="D3192" s="8"/>
      <c r="E3192" s="8">
        <v>39152</v>
      </c>
      <c r="F3192" s="8"/>
      <c r="G3192" s="15">
        <v>1.5070053227075346</v>
      </c>
      <c r="H3192" s="15">
        <v>1.5070053227075346</v>
      </c>
      <c r="I3192" s="15">
        <v>1.1314253653068069</v>
      </c>
      <c r="J3192" s="15">
        <v>1.1314253653068069</v>
      </c>
      <c r="K3192" s="15">
        <v>1.2382045021644936</v>
      </c>
      <c r="L3192" s="15">
        <v>1.2382045021644936</v>
      </c>
      <c r="M3192" s="15" t="s">
        <v>10</v>
      </c>
      <c r="N3192" s="15" t="s">
        <v>10</v>
      </c>
      <c r="O3192" s="15" t="s">
        <v>10</v>
      </c>
      <c r="P3192" s="15" t="s">
        <v>10</v>
      </c>
      <c r="Q3192" s="8"/>
      <c r="R3192" s="9" t="s">
        <v>2954</v>
      </c>
    </row>
    <row r="3193" spans="1:18" x14ac:dyDescent="0.25">
      <c r="A3193" s="6" t="str">
        <f>HYPERLINK("proteomic_fractions_linear_files/Yang_linear_img/6754128;297747288.jpg", "6754128;297747288")</f>
        <v>6754128;297747288</v>
      </c>
      <c r="B3193" s="8"/>
      <c r="C3193" s="6" t="str">
        <f>HYPERLINK("http://www.ncbi.nlm.nih.gov/protein/6754128;297747288","H2-Ke2")</f>
        <v>H2-Ke2</v>
      </c>
      <c r="D3193" s="8"/>
      <c r="E3193" s="8">
        <v>14323</v>
      </c>
      <c r="F3193" s="8"/>
      <c r="G3193" s="15" t="s">
        <v>10</v>
      </c>
      <c r="H3193" s="15" t="s">
        <v>10</v>
      </c>
      <c r="I3193" s="15" t="s">
        <v>10</v>
      </c>
      <c r="J3193" s="15" t="s">
        <v>10</v>
      </c>
      <c r="K3193" s="15">
        <v>1.0369624087050249</v>
      </c>
      <c r="L3193" s="15">
        <v>1.0369624087050249</v>
      </c>
      <c r="M3193" s="15" t="s">
        <v>10</v>
      </c>
      <c r="N3193" s="15" t="s">
        <v>10</v>
      </c>
      <c r="O3193" s="15" t="s">
        <v>10</v>
      </c>
      <c r="P3193" s="15" t="s">
        <v>10</v>
      </c>
      <c r="Q3193" s="8"/>
      <c r="R3193" s="9" t="s">
        <v>2955</v>
      </c>
    </row>
    <row r="3194" spans="1:18" x14ac:dyDescent="0.25">
      <c r="A3194" s="6" t="str">
        <f>HYPERLINK("proteomic_fractions_linear_files/Yang_linear_img/297747288.jpg", "297747288")</f>
        <v>297747288</v>
      </c>
      <c r="B3194" s="7"/>
      <c r="C3194" s="6" t="str">
        <f>HYPERLINK("http://www.ncbi.nlm.nih.gov/protein/297747288","H2-Ke2")</f>
        <v>H2-Ke2</v>
      </c>
      <c r="D3194" s="8"/>
      <c r="E3194" s="8">
        <v>14323</v>
      </c>
      <c r="F3194" s="8"/>
      <c r="G3194" s="15" t="s">
        <v>10</v>
      </c>
      <c r="H3194" s="15" t="s">
        <v>10</v>
      </c>
      <c r="I3194" s="15" t="s">
        <v>10</v>
      </c>
      <c r="J3194" s="15" t="s">
        <v>10</v>
      </c>
      <c r="K3194" s="15" t="s">
        <v>10</v>
      </c>
      <c r="L3194" s="15" t="s">
        <v>10</v>
      </c>
      <c r="M3194" s="15" t="s">
        <v>10</v>
      </c>
      <c r="N3194" s="15" t="s">
        <v>10</v>
      </c>
      <c r="O3194" s="15">
        <v>0.94979028735725246</v>
      </c>
      <c r="P3194" s="15">
        <v>0.94979028735725246</v>
      </c>
      <c r="Q3194" s="8"/>
      <c r="R3194" s="9" t="s">
        <v>2955</v>
      </c>
    </row>
    <row r="3195" spans="1:18" x14ac:dyDescent="0.25">
      <c r="A3195" s="6" t="str">
        <f>HYPERLINK("proteomic_fractions_linear_files/Yang_linear_img/157951743.jpg", "157951743")</f>
        <v>157951743</v>
      </c>
      <c r="B3195" s="7"/>
      <c r="C3195" s="6" t="str">
        <f>HYPERLINK("http://www.ncbi.nlm.nih.gov/protein/157951743","H2-Ke6")</f>
        <v>H2-Ke6</v>
      </c>
      <c r="D3195" s="8"/>
      <c r="E3195" s="8">
        <v>26457</v>
      </c>
      <c r="F3195" s="8"/>
      <c r="G3195" s="15">
        <v>0.94441617743372752</v>
      </c>
      <c r="H3195" s="15">
        <v>0.94441617743372752</v>
      </c>
      <c r="I3195" s="15">
        <v>1.0057791582855768</v>
      </c>
      <c r="J3195" s="15">
        <v>1.0057791582855768</v>
      </c>
      <c r="K3195" s="15">
        <v>1.0737773576031562</v>
      </c>
      <c r="L3195" s="15">
        <v>1.0737773576031562</v>
      </c>
      <c r="M3195" s="15">
        <v>1.0737773576031562</v>
      </c>
      <c r="N3195" s="15">
        <v>1.0737773576031562</v>
      </c>
      <c r="O3195" s="15" t="s">
        <v>10</v>
      </c>
      <c r="P3195" s="15" t="s">
        <v>10</v>
      </c>
      <c r="Q3195" s="8"/>
      <c r="R3195" s="9" t="s">
        <v>2956</v>
      </c>
    </row>
    <row r="3196" spans="1:18" x14ac:dyDescent="0.25">
      <c r="A3196" s="6" t="str">
        <f>HYPERLINK("proteomic_fractions_linear_files/Yang_linear_img/392357527.jpg", "392357527")</f>
        <v>392357527</v>
      </c>
      <c r="B3196" s="7"/>
      <c r="C3196" s="6" t="str">
        <f>HYPERLINK("http://www.ncbi.nlm.nih.gov/protein/392357527","H2-L")</f>
        <v>H2-L</v>
      </c>
      <c r="D3196" s="8"/>
      <c r="E3196" s="8">
        <v>40397</v>
      </c>
      <c r="F3196" s="8"/>
      <c r="G3196" s="15">
        <v>1.4693301896398463</v>
      </c>
      <c r="H3196" s="15">
        <v>1.4693301896398463</v>
      </c>
      <c r="I3196" s="15">
        <v>1.1031397311741367</v>
      </c>
      <c r="J3196" s="15">
        <v>1.1031397311741367</v>
      </c>
      <c r="K3196" s="15">
        <v>1.2072493896103813</v>
      </c>
      <c r="L3196" s="15">
        <v>1.2072493896103813</v>
      </c>
      <c r="M3196" s="15" t="s">
        <v>10</v>
      </c>
      <c r="N3196" s="15" t="s">
        <v>10</v>
      </c>
      <c r="O3196" s="15" t="s">
        <v>10</v>
      </c>
      <c r="P3196" s="15" t="s">
        <v>10</v>
      </c>
      <c r="Q3196" s="8"/>
      <c r="R3196" s="9" t="s">
        <v>2957</v>
      </c>
    </row>
    <row r="3197" spans="1:18" x14ac:dyDescent="0.25">
      <c r="A3197" s="6" t="str">
        <f>HYPERLINK("proteomic_fractions_linear_files/Yang_linear_img/160333390.jpg", "160333390")</f>
        <v>160333390</v>
      </c>
      <c r="B3197" s="7"/>
      <c r="C3197" s="6" t="str">
        <f>HYPERLINK("http://www.ncbi.nlm.nih.gov/protein/160333390","H2-Q1")</f>
        <v>H2-Q1</v>
      </c>
      <c r="D3197" s="8"/>
      <c r="E3197" s="8">
        <v>39172</v>
      </c>
      <c r="F3197" s="8"/>
      <c r="G3197" s="15" t="s">
        <v>10</v>
      </c>
      <c r="H3197" s="15" t="s">
        <v>10</v>
      </c>
      <c r="I3197" s="15" t="s">
        <v>10</v>
      </c>
      <c r="J3197" s="15" t="s">
        <v>10</v>
      </c>
      <c r="K3197" s="15">
        <v>1.2382045021644936</v>
      </c>
      <c r="L3197" s="15">
        <v>1.2382045021644936</v>
      </c>
      <c r="M3197" s="15" t="s">
        <v>10</v>
      </c>
      <c r="N3197" s="15" t="s">
        <v>10</v>
      </c>
      <c r="O3197" s="15" t="s">
        <v>10</v>
      </c>
      <c r="P3197" s="15" t="s">
        <v>10</v>
      </c>
      <c r="Q3197" s="8"/>
      <c r="R3197" s="9" t="s">
        <v>2958</v>
      </c>
    </row>
    <row r="3198" spans="1:18" x14ac:dyDescent="0.25">
      <c r="A3198" s="6" t="str">
        <f>HYPERLINK("proteomic_fractions_linear_files/Yang_linear_img/6754132.jpg", "6754132")</f>
        <v>6754132</v>
      </c>
      <c r="B3198" s="7"/>
      <c r="C3198" s="6" t="str">
        <f>HYPERLINK("http://www.ncbi.nlm.nih.gov/protein/6754132","H2-Q10")</f>
        <v>H2-Q10</v>
      </c>
      <c r="D3198" s="8"/>
      <c r="E3198" s="8">
        <v>34845</v>
      </c>
      <c r="F3198" s="8"/>
      <c r="G3198" s="15" t="s">
        <v>10</v>
      </c>
      <c r="H3198" s="15" t="s">
        <v>10</v>
      </c>
      <c r="I3198" s="15" t="s">
        <v>10</v>
      </c>
      <c r="J3198" s="15" t="s">
        <v>10</v>
      </c>
      <c r="K3198" s="15">
        <v>1.37971358812615</v>
      </c>
      <c r="L3198" s="15">
        <v>1.37971358812615</v>
      </c>
      <c r="M3198" s="15" t="s">
        <v>10</v>
      </c>
      <c r="N3198" s="15" t="s">
        <v>10</v>
      </c>
      <c r="O3198" s="15" t="s">
        <v>10</v>
      </c>
      <c r="P3198" s="15" t="s">
        <v>10</v>
      </c>
      <c r="Q3198" s="8"/>
      <c r="R3198" s="9" t="s">
        <v>2959</v>
      </c>
    </row>
    <row r="3199" spans="1:18" x14ac:dyDescent="0.25">
      <c r="A3199" s="6" t="str">
        <f>HYPERLINK("proteomic_fractions_linear_files/Yang_linear_img/72535146.jpg", "72535146")</f>
        <v>72535146</v>
      </c>
      <c r="B3199" s="7"/>
      <c r="C3199" s="6" t="str">
        <f>HYPERLINK("http://www.ncbi.nlm.nih.gov/protein/72535146","H2-Q2")</f>
        <v>H2-Q2</v>
      </c>
      <c r="D3199" s="8"/>
      <c r="E3199" s="8">
        <v>38083</v>
      </c>
      <c r="F3199" s="8"/>
      <c r="G3199" s="15">
        <v>1.5466633575156277</v>
      </c>
      <c r="H3199" s="15">
        <v>1.5466633575156277</v>
      </c>
      <c r="I3199" s="15" t="s">
        <v>10</v>
      </c>
      <c r="J3199" s="15" t="s">
        <v>10</v>
      </c>
      <c r="K3199" s="15">
        <v>1.2707888311688225</v>
      </c>
      <c r="L3199" s="15">
        <v>1.2707888311688225</v>
      </c>
      <c r="M3199" s="15" t="s">
        <v>10</v>
      </c>
      <c r="N3199" s="15" t="s">
        <v>10</v>
      </c>
      <c r="O3199" s="15" t="s">
        <v>10</v>
      </c>
      <c r="P3199" s="15" t="s">
        <v>10</v>
      </c>
      <c r="Q3199" s="8"/>
      <c r="R3199" s="9" t="s">
        <v>2960</v>
      </c>
    </row>
    <row r="3200" spans="1:18" x14ac:dyDescent="0.25">
      <c r="A3200" s="6" t="str">
        <f>HYPERLINK("proteomic_fractions_linear_files/Yang_linear_img/219521935.jpg", "219521935")</f>
        <v>219521935</v>
      </c>
      <c r="B3200" s="7"/>
      <c r="C3200" s="6" t="str">
        <f>HYPERLINK("http://www.ncbi.nlm.nih.gov/protein/219521935","H2-Q4")</f>
        <v>H2-Q4</v>
      </c>
      <c r="D3200" s="8"/>
      <c r="E3200" s="8">
        <v>37378</v>
      </c>
      <c r="F3200" s="8"/>
      <c r="G3200" s="15">
        <v>1.5884650698809148</v>
      </c>
      <c r="H3200" s="15">
        <v>1.5884650698809148</v>
      </c>
      <c r="I3200" s="15">
        <v>1.1925834931612289</v>
      </c>
      <c r="J3200" s="15">
        <v>1.1925834931612289</v>
      </c>
      <c r="K3200" s="15">
        <v>1.3051344752544662</v>
      </c>
      <c r="L3200" s="15">
        <v>1.3051344752544662</v>
      </c>
      <c r="M3200" s="15" t="s">
        <v>10</v>
      </c>
      <c r="N3200" s="15" t="s">
        <v>10</v>
      </c>
      <c r="O3200" s="15" t="s">
        <v>10</v>
      </c>
      <c r="P3200" s="15" t="s">
        <v>10</v>
      </c>
      <c r="Q3200" s="8"/>
      <c r="R3200" s="9" t="s">
        <v>2961</v>
      </c>
    </row>
    <row r="3201" spans="1:18" x14ac:dyDescent="0.25">
      <c r="A3201" s="6" t="str">
        <f>HYPERLINK("proteomic_fractions_linear_files/Yang_linear_img/46559400.jpg", "46559400")</f>
        <v>46559400</v>
      </c>
      <c r="B3201" s="7"/>
      <c r="C3201" s="6" t="str">
        <f>HYPERLINK("http://www.ncbi.nlm.nih.gov/protein/46559400","H2-Q6")</f>
        <v>H2-Q6</v>
      </c>
      <c r="D3201" s="8"/>
      <c r="E3201" s="8">
        <v>35226</v>
      </c>
      <c r="F3201" s="8"/>
      <c r="G3201" s="15">
        <v>1.6792345024455386</v>
      </c>
      <c r="H3201" s="15">
        <v>1.6792345024455386</v>
      </c>
      <c r="I3201" s="15" t="s">
        <v>10</v>
      </c>
      <c r="J3201" s="15" t="s">
        <v>10</v>
      </c>
      <c r="K3201" s="15">
        <v>1.37971358812615</v>
      </c>
      <c r="L3201" s="15">
        <v>1.37971358812615</v>
      </c>
      <c r="M3201" s="15" t="s">
        <v>10</v>
      </c>
      <c r="N3201" s="15" t="s">
        <v>10</v>
      </c>
      <c r="O3201" s="15" t="s">
        <v>10</v>
      </c>
      <c r="P3201" s="15" t="s">
        <v>10</v>
      </c>
      <c r="Q3201" s="8"/>
      <c r="R3201" s="9" t="s">
        <v>2962</v>
      </c>
    </row>
    <row r="3202" spans="1:18" x14ac:dyDescent="0.25">
      <c r="A3202" s="6" t="str">
        <f>HYPERLINK("proteomic_fractions_linear_files/Yang_linear_img/310616733.jpg", "310616733")</f>
        <v>310616733</v>
      </c>
      <c r="B3202" s="7"/>
      <c r="C3202" s="6" t="str">
        <f>HYPERLINK("http://www.ncbi.nlm.nih.gov/protein/310616733","H2-Q7")</f>
        <v>H2-Q7</v>
      </c>
      <c r="D3202" s="8"/>
      <c r="E3202" s="8">
        <v>35713</v>
      </c>
      <c r="F3202" s="8"/>
      <c r="G3202" s="15">
        <v>1.6325890995998291</v>
      </c>
      <c r="H3202" s="15">
        <v>1.6325890995998291</v>
      </c>
      <c r="I3202" s="15" t="s">
        <v>10</v>
      </c>
      <c r="J3202" s="15" t="s">
        <v>10</v>
      </c>
      <c r="K3202" s="15">
        <v>1.3413882106782014</v>
      </c>
      <c r="L3202" s="15">
        <v>1.3413882106782014</v>
      </c>
      <c r="M3202" s="15" t="s">
        <v>10</v>
      </c>
      <c r="N3202" s="15" t="s">
        <v>10</v>
      </c>
      <c r="O3202" s="15" t="s">
        <v>10</v>
      </c>
      <c r="P3202" s="15" t="s">
        <v>10</v>
      </c>
      <c r="Q3202" s="8"/>
      <c r="R3202" s="9" t="s">
        <v>2963</v>
      </c>
    </row>
    <row r="3203" spans="1:18" x14ac:dyDescent="0.25">
      <c r="A3203" s="6" t="str">
        <f>HYPERLINK("proteomic_fractions_linear_files/Yang_linear_img/310616735.jpg", "310616735")</f>
        <v>310616735</v>
      </c>
      <c r="B3203" s="7"/>
      <c r="C3203" s="6" t="str">
        <f>HYPERLINK("http://www.ncbi.nlm.nih.gov/protein/310616735","H2-Q7")</f>
        <v>H2-Q7</v>
      </c>
      <c r="D3203" s="8"/>
      <c r="E3203" s="8">
        <v>32971</v>
      </c>
      <c r="F3203" s="8"/>
      <c r="G3203" s="15">
        <v>1.781006290472541</v>
      </c>
      <c r="H3203" s="15">
        <v>1.781006290472541</v>
      </c>
      <c r="I3203" s="15" t="s">
        <v>10</v>
      </c>
      <c r="J3203" s="15" t="s">
        <v>10</v>
      </c>
      <c r="K3203" s="15">
        <v>1.4633325934671289</v>
      </c>
      <c r="L3203" s="15">
        <v>1.4633325934671289</v>
      </c>
      <c r="M3203" s="15" t="s">
        <v>10</v>
      </c>
      <c r="N3203" s="15" t="s">
        <v>10</v>
      </c>
      <c r="O3203" s="15" t="s">
        <v>10</v>
      </c>
      <c r="P3203" s="15" t="s">
        <v>10</v>
      </c>
      <c r="Q3203" s="8"/>
      <c r="R3203" s="9" t="s">
        <v>2964</v>
      </c>
    </row>
    <row r="3204" spans="1:18" x14ac:dyDescent="0.25">
      <c r="A3204" s="6" t="str">
        <f>HYPERLINK("proteomic_fractions_linear_files/Yang_linear_img/310616737.jpg", "310616737")</f>
        <v>310616737</v>
      </c>
      <c r="B3204" s="7"/>
      <c r="C3204" s="6" t="str">
        <f>HYPERLINK("http://www.ncbi.nlm.nih.gov/protein/310616737","H2-Q7")</f>
        <v>H2-Q7</v>
      </c>
      <c r="D3204" s="8"/>
      <c r="E3204" s="8">
        <v>22166</v>
      </c>
      <c r="F3204" s="8"/>
      <c r="G3204" s="15">
        <v>2.6715094357088116</v>
      </c>
      <c r="H3204" s="15">
        <v>2.6715094357088116</v>
      </c>
      <c r="I3204" s="15" t="s">
        <v>10</v>
      </c>
      <c r="J3204" s="15" t="s">
        <v>10</v>
      </c>
      <c r="K3204" s="15">
        <v>2.1949988902006932</v>
      </c>
      <c r="L3204" s="15">
        <v>2.1949988902006932</v>
      </c>
      <c r="M3204" s="15" t="s">
        <v>10</v>
      </c>
      <c r="N3204" s="15" t="s">
        <v>10</v>
      </c>
      <c r="O3204" s="15" t="s">
        <v>10</v>
      </c>
      <c r="P3204" s="15" t="s">
        <v>10</v>
      </c>
      <c r="Q3204" s="8"/>
      <c r="R3204" s="9" t="s">
        <v>2965</v>
      </c>
    </row>
    <row r="3205" spans="1:18" x14ac:dyDescent="0.25">
      <c r="A3205" s="6" t="str">
        <f>HYPERLINK("proteomic_fractions_linear_files/Yang_linear_img/389595436.jpg", "389595436")</f>
        <v>389595436</v>
      </c>
      <c r="B3205" s="7"/>
      <c r="C3205" s="6" t="str">
        <f>HYPERLINK("http://www.ncbi.nlm.nih.gov/protein/389595436","H2-Q8")</f>
        <v>H2-Q8</v>
      </c>
      <c r="D3205" s="8"/>
      <c r="E3205" s="8">
        <v>35200</v>
      </c>
      <c r="F3205" s="8"/>
      <c r="G3205" s="15">
        <v>1.6792345024455386</v>
      </c>
      <c r="H3205" s="15">
        <v>1.6792345024455386</v>
      </c>
      <c r="I3205" s="15" t="s">
        <v>10</v>
      </c>
      <c r="J3205" s="15" t="s">
        <v>10</v>
      </c>
      <c r="K3205" s="15">
        <v>1.37971358812615</v>
      </c>
      <c r="L3205" s="15">
        <v>1.37971358812615</v>
      </c>
      <c r="M3205" s="15" t="s">
        <v>10</v>
      </c>
      <c r="N3205" s="15" t="s">
        <v>10</v>
      </c>
      <c r="O3205" s="15" t="s">
        <v>10</v>
      </c>
      <c r="P3205" s="15" t="s">
        <v>10</v>
      </c>
      <c r="Q3205" s="8"/>
      <c r="R3205" s="9" t="s">
        <v>2966</v>
      </c>
    </row>
    <row r="3206" spans="1:18" x14ac:dyDescent="0.25">
      <c r="A3206" s="6" t="str">
        <f>HYPERLINK("proteomic_fractions_linear_files/Yang_linear_img/319803125.jpg", "319803125")</f>
        <v>319803125</v>
      </c>
      <c r="B3206" s="7"/>
      <c r="C3206" s="6" t="str">
        <f>HYPERLINK("http://www.ncbi.nlm.nih.gov/protein/319803125","H2-Q9")</f>
        <v>H2-Q9</v>
      </c>
      <c r="D3206" s="8"/>
      <c r="E3206" s="8">
        <v>35714</v>
      </c>
      <c r="F3206" s="8"/>
      <c r="G3206" s="15">
        <v>1.6325890995998291</v>
      </c>
      <c r="H3206" s="15">
        <v>1.6325890995998291</v>
      </c>
      <c r="I3206" s="15" t="s">
        <v>10</v>
      </c>
      <c r="J3206" s="15" t="s">
        <v>10</v>
      </c>
      <c r="K3206" s="15">
        <v>1.3413882106782014</v>
      </c>
      <c r="L3206" s="15">
        <v>1.3413882106782014</v>
      </c>
      <c r="M3206" s="15" t="s">
        <v>10</v>
      </c>
      <c r="N3206" s="15" t="s">
        <v>10</v>
      </c>
      <c r="O3206" s="15" t="s">
        <v>10</v>
      </c>
      <c r="P3206" s="15" t="s">
        <v>10</v>
      </c>
      <c r="Q3206" s="8"/>
      <c r="R3206" s="9" t="s">
        <v>2967</v>
      </c>
    </row>
    <row r="3207" spans="1:18" x14ac:dyDescent="0.25">
      <c r="A3207" s="6" t="str">
        <f>HYPERLINK("proteomic_fractions_linear_files/Yang_linear_img/407260856.jpg", "407260856")</f>
        <v>407260856</v>
      </c>
      <c r="B3207" s="7"/>
      <c r="C3207" s="6" t="str">
        <f>HYPERLINK("http://www.ncbi.nlm.nih.gov/protein/407260856","H2-T23")</f>
        <v>H2-T23</v>
      </c>
      <c r="D3207" s="8"/>
      <c r="E3207" s="8">
        <v>39234</v>
      </c>
      <c r="F3207" s="8"/>
      <c r="G3207" s="15" t="s">
        <v>10</v>
      </c>
      <c r="H3207" s="15" t="s">
        <v>10</v>
      </c>
      <c r="I3207" s="15" t="s">
        <v>10</v>
      </c>
      <c r="J3207" s="15" t="s">
        <v>10</v>
      </c>
      <c r="K3207" s="15">
        <v>1.2382045021644936</v>
      </c>
      <c r="L3207" s="15">
        <v>1.2382045021644936</v>
      </c>
      <c r="M3207" s="15" t="s">
        <v>10</v>
      </c>
      <c r="N3207" s="15" t="s">
        <v>10</v>
      </c>
      <c r="O3207" s="15" t="s">
        <v>10</v>
      </c>
      <c r="P3207" s="15" t="s">
        <v>10</v>
      </c>
      <c r="Q3207" s="8"/>
      <c r="R3207" s="9" t="s">
        <v>8180</v>
      </c>
    </row>
    <row r="3208" spans="1:18" x14ac:dyDescent="0.25">
      <c r="A3208" s="6" t="str">
        <f>HYPERLINK("proteomic_fractions_linear_files/Yang_linear_img/6754148.jpg", "6754148")</f>
        <v>6754148</v>
      </c>
      <c r="B3208" s="7"/>
      <c r="C3208" s="6" t="str">
        <f>HYPERLINK("http://www.ncbi.nlm.nih.gov/protein/6754148","H2-T23")</f>
        <v>H2-T23</v>
      </c>
      <c r="D3208" s="8"/>
      <c r="E3208" s="8">
        <v>38711</v>
      </c>
      <c r="F3208" s="8"/>
      <c r="G3208" s="15">
        <v>1.5070053227075346</v>
      </c>
      <c r="H3208" s="15">
        <v>1.5070053227075346</v>
      </c>
      <c r="I3208" s="15" t="s">
        <v>10</v>
      </c>
      <c r="J3208" s="15" t="s">
        <v>10</v>
      </c>
      <c r="K3208" s="15">
        <v>1.2382045021644936</v>
      </c>
      <c r="L3208" s="15">
        <v>1.2382045021644936</v>
      </c>
      <c r="M3208" s="15" t="s">
        <v>10</v>
      </c>
      <c r="N3208" s="15" t="s">
        <v>10</v>
      </c>
      <c r="O3208" s="15" t="s">
        <v>10</v>
      </c>
      <c r="P3208" s="15" t="s">
        <v>10</v>
      </c>
      <c r="Q3208" s="8"/>
      <c r="R3208" s="9" t="s">
        <v>2968</v>
      </c>
    </row>
    <row r="3209" spans="1:18" x14ac:dyDescent="0.25">
      <c r="A3209" s="6" t="str">
        <f>HYPERLINK("proteomic_fractions_linear_files/Yang_linear_img/6680159.jpg", "6680159")</f>
        <v>6680159</v>
      </c>
      <c r="B3209" s="7"/>
      <c r="C3209" s="6" t="str">
        <f>HYPERLINK("http://www.ncbi.nlm.nih.gov/protein/6680159","H3f3a")</f>
        <v>H3f3a</v>
      </c>
      <c r="D3209" s="8"/>
      <c r="E3209" s="8">
        <v>15197</v>
      </c>
      <c r="F3209" s="8"/>
      <c r="G3209" s="15" t="s">
        <v>10</v>
      </c>
      <c r="H3209" s="15" t="s">
        <v>10</v>
      </c>
      <c r="I3209" s="15">
        <v>1.0618294522121183</v>
      </c>
      <c r="J3209" s="15">
        <v>1.0618294522121183</v>
      </c>
      <c r="K3209" s="15">
        <v>1.1144316347071348</v>
      </c>
      <c r="L3209" s="15">
        <v>1.1144316347071348</v>
      </c>
      <c r="M3209" s="15">
        <v>1.1144316347071348</v>
      </c>
      <c r="N3209" s="15">
        <v>1.1144316347071348</v>
      </c>
      <c r="O3209" s="15">
        <v>1.0130892195876191</v>
      </c>
      <c r="P3209" s="15">
        <v>1.0130892195876191</v>
      </c>
      <c r="Q3209" s="8"/>
      <c r="R3209" s="9" t="s">
        <v>2969</v>
      </c>
    </row>
    <row r="3210" spans="1:18" x14ac:dyDescent="0.25">
      <c r="A3210" s="6" t="str">
        <f>HYPERLINK("proteomic_fractions_linear_files/Yang_linear_img/6680161.jpg", "6680161")</f>
        <v>6680161</v>
      </c>
      <c r="B3210" s="7"/>
      <c r="C3210" s="6" t="str">
        <f>HYPERLINK("http://www.ncbi.nlm.nih.gov/protein/6680161","H3f3b")</f>
        <v>H3f3b</v>
      </c>
      <c r="D3210" s="8"/>
      <c r="E3210" s="8">
        <v>15197</v>
      </c>
      <c r="F3210" s="8"/>
      <c r="G3210" s="15">
        <v>399.54</v>
      </c>
      <c r="H3210" s="15">
        <v>399.54</v>
      </c>
      <c r="I3210" s="15" t="s">
        <v>10</v>
      </c>
      <c r="J3210" s="15" t="s">
        <v>10</v>
      </c>
      <c r="K3210" s="15" t="s">
        <v>10</v>
      </c>
      <c r="L3210" s="15" t="s">
        <v>10</v>
      </c>
      <c r="M3210" s="15" t="s">
        <v>10</v>
      </c>
      <c r="N3210" s="15" t="s">
        <v>10</v>
      </c>
      <c r="O3210" s="15" t="s">
        <v>10</v>
      </c>
      <c r="P3210" s="15" t="s">
        <v>10</v>
      </c>
      <c r="Q3210" s="8"/>
      <c r="R3210" s="9" t="s">
        <v>2969</v>
      </c>
    </row>
    <row r="3211" spans="1:18" x14ac:dyDescent="0.25">
      <c r="A3211" s="6" t="str">
        <f>HYPERLINK("proteomic_fractions_linear_files/Yang_linear_img/82886797.jpg", "82886797")</f>
        <v>82886797</v>
      </c>
      <c r="B3211" s="7"/>
      <c r="C3211" s="6" t="str">
        <f>HYPERLINK("http://www.ncbi.nlm.nih.gov/protein/82886797","H3f3c")</f>
        <v>H3f3c</v>
      </c>
      <c r="D3211" s="8"/>
      <c r="E3211" s="8">
        <v>15184</v>
      </c>
      <c r="F3211" s="8"/>
      <c r="G3211" s="15">
        <v>399.54</v>
      </c>
      <c r="H3211" s="15">
        <v>399.54</v>
      </c>
      <c r="I3211" s="15">
        <v>1.0618294522121183</v>
      </c>
      <c r="J3211" s="15">
        <v>1.0618294522121183</v>
      </c>
      <c r="K3211" s="15">
        <v>1.1144316347071348</v>
      </c>
      <c r="L3211" s="15">
        <v>1.1144316347071348</v>
      </c>
      <c r="M3211" s="15">
        <v>1.1144316347071348</v>
      </c>
      <c r="N3211" s="15">
        <v>1.1144316347071348</v>
      </c>
      <c r="O3211" s="15">
        <v>1.0130892195876191</v>
      </c>
      <c r="P3211" s="15">
        <v>1.0130892195876191</v>
      </c>
      <c r="Q3211" s="8"/>
      <c r="R3211" s="9" t="s">
        <v>8181</v>
      </c>
    </row>
    <row r="3212" spans="1:18" x14ac:dyDescent="0.25">
      <c r="A3212" s="6" t="str">
        <f>HYPERLINK("proteomic_fractions_linear_files/Yang_linear_img/31982147.jpg", "31982147")</f>
        <v>31982147</v>
      </c>
      <c r="B3212" s="7"/>
      <c r="C3212" s="6" t="str">
        <f>HYPERLINK("http://www.ncbi.nlm.nih.gov/protein/31982147","H6pd")</f>
        <v>H6pd</v>
      </c>
      <c r="D3212" s="8"/>
      <c r="E3212" s="8">
        <v>87311</v>
      </c>
      <c r="F3212" s="8"/>
      <c r="G3212" s="15">
        <v>1.2620869404727755</v>
      </c>
      <c r="H3212" s="15">
        <v>1.2620869404727755</v>
      </c>
      <c r="I3212" s="15">
        <v>1.0915859906044196</v>
      </c>
      <c r="J3212" s="15">
        <v>1.0915859906044196</v>
      </c>
      <c r="K3212" s="15">
        <v>1.0915859906044196</v>
      </c>
      <c r="L3212" s="15">
        <v>1.0915859906044196</v>
      </c>
      <c r="M3212" s="15">
        <v>0.46560135865773272</v>
      </c>
      <c r="N3212" s="15">
        <v>0.46560135865773272</v>
      </c>
      <c r="O3212" s="15">
        <v>0.46560135865773272</v>
      </c>
      <c r="P3212" s="15">
        <v>0.46560135865773272</v>
      </c>
      <c r="Q3212" s="8"/>
      <c r="R3212" s="9" t="s">
        <v>2970</v>
      </c>
    </row>
    <row r="3213" spans="1:18" x14ac:dyDescent="0.25">
      <c r="A3213" s="6" t="str">
        <f>HYPERLINK("proteomic_fractions_linear_files/Yang_linear_img/283436216.jpg", "283436216")</f>
        <v>283436216</v>
      </c>
      <c r="B3213" s="7"/>
      <c r="C3213" s="6" t="str">
        <f>HYPERLINK("http://www.ncbi.nlm.nih.gov/protein/283436216","Hace1")</f>
        <v>Hace1</v>
      </c>
      <c r="D3213" s="8"/>
      <c r="E3213" s="8">
        <v>101983</v>
      </c>
      <c r="F3213" s="8"/>
      <c r="G3213" s="15" t="s">
        <v>10</v>
      </c>
      <c r="H3213" s="15" t="s">
        <v>10</v>
      </c>
      <c r="I3213" s="15" t="s">
        <v>10</v>
      </c>
      <c r="J3213" s="15" t="s">
        <v>10</v>
      </c>
      <c r="K3213" s="15" t="s">
        <v>10</v>
      </c>
      <c r="L3213" s="15" t="s">
        <v>10</v>
      </c>
      <c r="M3213" s="15" t="s">
        <v>10</v>
      </c>
      <c r="N3213" s="15" t="s">
        <v>10</v>
      </c>
      <c r="O3213" s="15">
        <v>1.0764859198150143</v>
      </c>
      <c r="P3213" s="15">
        <v>1.0764859198150143</v>
      </c>
      <c r="Q3213" s="8"/>
      <c r="R3213" s="9" t="s">
        <v>2971</v>
      </c>
    </row>
    <row r="3214" spans="1:18" x14ac:dyDescent="0.25">
      <c r="A3214" s="6" t="str">
        <f>HYPERLINK("proteomic_fractions_linear_files/Yang_linear_img/31560355.jpg", "31560355")</f>
        <v>31560355</v>
      </c>
      <c r="B3214" s="7"/>
      <c r="C3214" s="6" t="str">
        <f>HYPERLINK("http://www.ncbi.nlm.nih.gov/protein/31560355","Hacl1")</f>
        <v>Hacl1</v>
      </c>
      <c r="D3214" s="8"/>
      <c r="E3214" s="8">
        <v>63529</v>
      </c>
      <c r="F3214" s="8"/>
      <c r="G3214" s="15" t="s">
        <v>10</v>
      </c>
      <c r="H3214" s="15" t="s">
        <v>10</v>
      </c>
      <c r="I3214" s="15" t="s">
        <v>10</v>
      </c>
      <c r="J3214" s="15" t="s">
        <v>10</v>
      </c>
      <c r="K3214" s="15">
        <v>1.0227072395397552</v>
      </c>
      <c r="L3214" s="15">
        <v>1.0227072395397552</v>
      </c>
      <c r="M3214" s="15" t="s">
        <v>10</v>
      </c>
      <c r="N3214" s="15" t="s">
        <v>10</v>
      </c>
      <c r="O3214" s="15" t="s">
        <v>10</v>
      </c>
      <c r="P3214" s="15" t="s">
        <v>10</v>
      </c>
      <c r="Q3214" s="8"/>
      <c r="R3214" s="9" t="s">
        <v>2972</v>
      </c>
    </row>
    <row r="3215" spans="1:18" x14ac:dyDescent="0.25">
      <c r="A3215" s="6" t="str">
        <f>HYPERLINK("proteomic_fractions_linear_files/Yang_linear_img/111038118.jpg", "111038118")</f>
        <v>111038118</v>
      </c>
      <c r="B3215" s="7"/>
      <c r="C3215" s="6" t="str">
        <f>HYPERLINK("http://www.ncbi.nlm.nih.gov/protein/111038118","Hadh")</f>
        <v>Hadh</v>
      </c>
      <c r="D3215" s="8"/>
      <c r="E3215" s="8">
        <v>32995</v>
      </c>
      <c r="F3215" s="8"/>
      <c r="G3215" s="15">
        <v>0.90561839065797367</v>
      </c>
      <c r="H3215" s="15">
        <v>0.90561839065797367</v>
      </c>
      <c r="I3215" s="15">
        <v>0.90561839065797367</v>
      </c>
      <c r="J3215" s="15">
        <v>0.90561839065797367</v>
      </c>
      <c r="K3215" s="15">
        <v>0.90561839065797367</v>
      </c>
      <c r="L3215" s="15">
        <v>0.90561839065797367</v>
      </c>
      <c r="M3215" s="15" t="s">
        <v>10</v>
      </c>
      <c r="N3215" s="15" t="s">
        <v>10</v>
      </c>
      <c r="O3215" s="15">
        <v>0.84600640296006246</v>
      </c>
      <c r="P3215" s="15">
        <v>0.84600640296006246</v>
      </c>
      <c r="Q3215" s="8"/>
      <c r="R3215" s="9" t="s">
        <v>2973</v>
      </c>
    </row>
    <row r="3216" spans="1:18" x14ac:dyDescent="0.25">
      <c r="A3216" s="6" t="str">
        <f>HYPERLINK("proteomic_fractions_linear_files/Yang_linear_img/33859811.jpg", "33859811")</f>
        <v>33859811</v>
      </c>
      <c r="B3216" s="7"/>
      <c r="C3216" s="6" t="str">
        <f>HYPERLINK("http://www.ncbi.nlm.nih.gov/protein/33859811","Hadha")</f>
        <v>Hadha</v>
      </c>
      <c r="D3216" s="8"/>
      <c r="E3216" s="8">
        <v>78766</v>
      </c>
      <c r="F3216" s="8"/>
      <c r="G3216" s="15">
        <v>0.92957164862888919</v>
      </c>
      <c r="H3216" s="15">
        <v>1.2021263440833483</v>
      </c>
      <c r="I3216" s="15">
        <v>1.0518817528246058</v>
      </c>
      <c r="J3216" s="15">
        <v>1.0518817528246058</v>
      </c>
      <c r="K3216" s="15">
        <v>1.0518817528246058</v>
      </c>
      <c r="L3216" s="15">
        <v>1.0518817528246058</v>
      </c>
      <c r="M3216" s="15">
        <v>1.0518817528246058</v>
      </c>
      <c r="N3216" s="15">
        <v>1.0518817528246058</v>
      </c>
      <c r="O3216" s="15">
        <v>1.0518817528246058</v>
      </c>
      <c r="P3216" s="15">
        <v>1.0518817528246058</v>
      </c>
      <c r="Q3216" s="8"/>
      <c r="R3216" s="9" t="s">
        <v>2974</v>
      </c>
    </row>
    <row r="3217" spans="1:18" x14ac:dyDescent="0.25">
      <c r="A3217" s="6" t="str">
        <f>HYPERLINK("proteomic_fractions_linear_files/Yang_linear_img/21704100.jpg", "21704100")</f>
        <v>21704100</v>
      </c>
      <c r="B3217" s="7"/>
      <c r="C3217" s="6" t="str">
        <f>HYPERLINK("http://www.ncbi.nlm.nih.gov/protein/21704100","Hadhb")</f>
        <v>Hadhb</v>
      </c>
      <c r="D3217" s="8"/>
      <c r="E3217" s="8">
        <v>47579</v>
      </c>
      <c r="F3217" s="8"/>
      <c r="G3217" s="15">
        <v>1.2244418246998718</v>
      </c>
      <c r="H3217" s="15">
        <v>1.2244418246998718</v>
      </c>
      <c r="I3217" s="15">
        <v>1.006041158008651</v>
      </c>
      <c r="J3217" s="15">
        <v>1.006041158008651</v>
      </c>
      <c r="K3217" s="15">
        <v>1.006041158008651</v>
      </c>
      <c r="L3217" s="15">
        <v>1.006041158008651</v>
      </c>
      <c r="M3217" s="15" t="s">
        <v>10</v>
      </c>
      <c r="N3217" s="15" t="s">
        <v>10</v>
      </c>
      <c r="O3217" s="15">
        <v>0.91928310931178059</v>
      </c>
      <c r="P3217" s="15">
        <v>0.91928310931178059</v>
      </c>
      <c r="Q3217" s="8"/>
      <c r="R3217" s="9" t="s">
        <v>2975</v>
      </c>
    </row>
    <row r="3218" spans="1:18" x14ac:dyDescent="0.25">
      <c r="A3218" s="6" t="str">
        <f>HYPERLINK("proteomic_fractions_linear_files/Yang_linear_img/227499238.jpg", "227499238")</f>
        <v>227499238</v>
      </c>
      <c r="B3218" s="7"/>
      <c r="C3218" s="6" t="str">
        <f>HYPERLINK("http://www.ncbi.nlm.nih.gov/protein/227499238","Hagh")</f>
        <v>Hagh</v>
      </c>
      <c r="D3218" s="8"/>
      <c r="E3218" s="8">
        <v>30819</v>
      </c>
      <c r="F3218" s="8"/>
      <c r="G3218" s="15">
        <v>1.2045589168749868</v>
      </c>
      <c r="H3218" s="15">
        <v>1.2045589168749868</v>
      </c>
      <c r="I3218" s="15">
        <v>0.84355671340080651</v>
      </c>
      <c r="J3218" s="15">
        <v>0.84355671340080651</v>
      </c>
      <c r="K3218" s="15">
        <v>0.84355671340080651</v>
      </c>
      <c r="L3218" s="15">
        <v>0.84355671340080651</v>
      </c>
      <c r="M3218" s="15">
        <v>0.84355671340080651</v>
      </c>
      <c r="N3218" s="15">
        <v>0.84355671340080651</v>
      </c>
      <c r="O3218" s="15">
        <v>0.74547010886185305</v>
      </c>
      <c r="P3218" s="15">
        <v>0.74547010886185305</v>
      </c>
      <c r="Q3218" s="8"/>
      <c r="R3218" s="9" t="s">
        <v>2976</v>
      </c>
    </row>
    <row r="3219" spans="1:18" x14ac:dyDescent="0.25">
      <c r="A3219" s="6" t="str">
        <f>HYPERLINK("proteomic_fractions_linear_files/Yang_linear_img/227499240.jpg", "227499240")</f>
        <v>227499240</v>
      </c>
      <c r="B3219" s="7"/>
      <c r="C3219" s="6" t="str">
        <f>HYPERLINK("http://www.ncbi.nlm.nih.gov/protein/227499240","Hagh")</f>
        <v>Hagh</v>
      </c>
      <c r="D3219" s="8"/>
      <c r="E3219" s="8">
        <v>28789</v>
      </c>
      <c r="F3219" s="8"/>
      <c r="G3219" s="15">
        <v>1.2876319456249858</v>
      </c>
      <c r="H3219" s="15">
        <v>1.2876319456249858</v>
      </c>
      <c r="I3219" s="15">
        <v>0.90173303846293107</v>
      </c>
      <c r="J3219" s="15">
        <v>0.90173303846293107</v>
      </c>
      <c r="K3219" s="15">
        <v>0.90173303846293107</v>
      </c>
      <c r="L3219" s="15">
        <v>0.90173303846293107</v>
      </c>
      <c r="M3219" s="15">
        <v>0.90173303846293107</v>
      </c>
      <c r="N3219" s="15">
        <v>0.90173303846293107</v>
      </c>
      <c r="O3219" s="15">
        <v>0.79688184050749811</v>
      </c>
      <c r="P3219" s="15">
        <v>0.79688184050749811</v>
      </c>
      <c r="Q3219" s="8"/>
      <c r="R3219" s="9" t="s">
        <v>2977</v>
      </c>
    </row>
    <row r="3220" spans="1:18" x14ac:dyDescent="0.25">
      <c r="A3220" s="6" t="str">
        <f>HYPERLINK("proteomic_fractions_linear_files/Yang_linear_img/406855413.jpg", "406855413")</f>
        <v>406855413</v>
      </c>
      <c r="B3220" s="7"/>
      <c r="C3220" s="6" t="str">
        <f>HYPERLINK("http://www.ncbi.nlm.nih.gov/protein/406855413","Haghl")</f>
        <v>Haghl</v>
      </c>
      <c r="D3220" s="8"/>
      <c r="E3220" s="8">
        <v>24946</v>
      </c>
      <c r="F3220" s="8"/>
      <c r="G3220" s="15" t="s">
        <v>10</v>
      </c>
      <c r="H3220" s="15" t="s">
        <v>10</v>
      </c>
      <c r="I3220" s="15" t="s">
        <v>10</v>
      </c>
      <c r="J3220" s="15" t="s">
        <v>10</v>
      </c>
      <c r="K3220" s="15">
        <v>12.071332985459952</v>
      </c>
      <c r="L3220" s="15">
        <v>12.071332985459952</v>
      </c>
      <c r="M3220" s="15" t="s">
        <v>10</v>
      </c>
      <c r="N3220" s="15" t="s">
        <v>10</v>
      </c>
      <c r="O3220" s="15" t="s">
        <v>10</v>
      </c>
      <c r="P3220" s="15" t="s">
        <v>10</v>
      </c>
      <c r="Q3220" s="8"/>
      <c r="R3220" s="9" t="s">
        <v>2978</v>
      </c>
    </row>
    <row r="3221" spans="1:18" x14ac:dyDescent="0.25">
      <c r="A3221" s="6" t="str">
        <f>HYPERLINK("proteomic_fractions_linear_files/Yang_linear_img/251823891.jpg", "251823891")</f>
        <v>251823891</v>
      </c>
      <c r="B3221" s="7"/>
      <c r="C3221" s="6" t="str">
        <f>HYPERLINK("http://www.ncbi.nlm.nih.gov/protein/251823891","Hars")</f>
        <v>Hars</v>
      </c>
      <c r="D3221" s="8"/>
      <c r="E3221" s="8">
        <v>57301</v>
      </c>
      <c r="F3221" s="8"/>
      <c r="G3221" s="15" t="s">
        <v>10</v>
      </c>
      <c r="H3221" s="15" t="s">
        <v>10</v>
      </c>
      <c r="I3221" s="15">
        <v>0.93193981807019433</v>
      </c>
      <c r="J3221" s="15">
        <v>0.93193981807019433</v>
      </c>
      <c r="K3221" s="15">
        <v>1.0311089050104185</v>
      </c>
      <c r="L3221" s="15">
        <v>1.0311089050104185</v>
      </c>
      <c r="M3221" s="15">
        <v>0.93193981807019433</v>
      </c>
      <c r="N3221" s="15">
        <v>0.93193981807019433</v>
      </c>
      <c r="O3221" s="15">
        <v>0.84719255411254824</v>
      </c>
      <c r="P3221" s="15">
        <v>0.84719255411254824</v>
      </c>
      <c r="Q3221" s="8"/>
      <c r="R3221" s="9" t="s">
        <v>2979</v>
      </c>
    </row>
    <row r="3222" spans="1:18" x14ac:dyDescent="0.25">
      <c r="A3222" s="6" t="str">
        <f>HYPERLINK("proteomic_fractions_linear_files/Yang_linear_img/18079343.jpg", "18079343")</f>
        <v>18079343</v>
      </c>
      <c r="B3222" s="7"/>
      <c r="C3222" s="6" t="str">
        <f>HYPERLINK("http://www.ncbi.nlm.nih.gov/protein/18079343","Hars2")</f>
        <v>Hars2</v>
      </c>
      <c r="D3222" s="8"/>
      <c r="E3222" s="8">
        <v>53575</v>
      </c>
      <c r="F3222" s="8"/>
      <c r="G3222" s="15" t="s">
        <v>10</v>
      </c>
      <c r="H3222" s="15" t="s">
        <v>10</v>
      </c>
      <c r="I3222" s="15">
        <v>0.89425880711880101</v>
      </c>
      <c r="J3222" s="15">
        <v>0.89425880711880101</v>
      </c>
      <c r="K3222" s="15" t="s">
        <v>10</v>
      </c>
      <c r="L3222" s="15" t="s">
        <v>10</v>
      </c>
      <c r="M3222" s="15" t="s">
        <v>10</v>
      </c>
      <c r="N3222" s="15" t="s">
        <v>10</v>
      </c>
      <c r="O3222" s="15">
        <v>0.89425880711880101</v>
      </c>
      <c r="P3222" s="15">
        <v>0.89425880711880101</v>
      </c>
      <c r="Q3222" s="8"/>
      <c r="R3222" s="9" t="s">
        <v>2980</v>
      </c>
    </row>
    <row r="3223" spans="1:18" x14ac:dyDescent="0.25">
      <c r="A3223" s="6" t="str">
        <f>HYPERLINK("proteomic_fractions_linear_files/Yang_linear_img/6680169.jpg", "6680169")</f>
        <v>6680169</v>
      </c>
      <c r="B3223" s="7"/>
      <c r="C3223" s="6" t="str">
        <f>HYPERLINK("http://www.ncbi.nlm.nih.gov/protein/6680169","Has1")</f>
        <v>Has1</v>
      </c>
      <c r="D3223" s="8"/>
      <c r="E3223" s="8">
        <v>65414</v>
      </c>
      <c r="F3223" s="8"/>
      <c r="G3223" s="15" t="s">
        <v>10</v>
      </c>
      <c r="H3223" s="15" t="s">
        <v>10</v>
      </c>
      <c r="I3223" s="15" t="s">
        <v>10</v>
      </c>
      <c r="J3223" s="15" t="s">
        <v>10</v>
      </c>
      <c r="K3223" s="15" t="s">
        <v>10</v>
      </c>
      <c r="L3223" s="15" t="s">
        <v>10</v>
      </c>
      <c r="M3223" s="15">
        <v>0.81723953276924732</v>
      </c>
      <c r="N3223" s="15">
        <v>0.81723953276924732</v>
      </c>
      <c r="O3223" s="15" t="s">
        <v>10</v>
      </c>
      <c r="P3223" s="15" t="s">
        <v>10</v>
      </c>
      <c r="Q3223" s="8"/>
      <c r="R3223" s="9" t="s">
        <v>2981</v>
      </c>
    </row>
    <row r="3224" spans="1:18" x14ac:dyDescent="0.25">
      <c r="A3224" s="6" t="str">
        <f>HYPERLINK("proteomic_fractions_linear_files/Yang_linear_img/28076885.jpg", "28076885")</f>
        <v>28076885</v>
      </c>
      <c r="B3224" s="7"/>
      <c r="C3224" s="6" t="str">
        <f>HYPERLINK("http://www.ncbi.nlm.nih.gov/protein/28076885","Hat1")</f>
        <v>Hat1</v>
      </c>
      <c r="D3224" s="8"/>
      <c r="E3224" s="8">
        <v>49147</v>
      </c>
      <c r="F3224" s="8"/>
      <c r="G3224" s="15" t="s">
        <v>10</v>
      </c>
      <c r="H3224" s="15" t="s">
        <v>10</v>
      </c>
      <c r="I3224" s="15">
        <v>0.90052222952990757</v>
      </c>
      <c r="J3224" s="15">
        <v>0.90052222952990757</v>
      </c>
      <c r="K3224" s="15">
        <v>0.90052222952990757</v>
      </c>
      <c r="L3224" s="15">
        <v>0.90052222952990757</v>
      </c>
      <c r="M3224" s="15">
        <v>0.90052222952990757</v>
      </c>
      <c r="N3224" s="15">
        <v>0.90052222952990757</v>
      </c>
      <c r="O3224" s="15">
        <v>0.82667996333107641</v>
      </c>
      <c r="P3224" s="15">
        <v>0.82667996333107641</v>
      </c>
      <c r="Q3224" s="8"/>
      <c r="R3224" s="9" t="s">
        <v>2982</v>
      </c>
    </row>
    <row r="3225" spans="1:18" x14ac:dyDescent="0.25">
      <c r="A3225" s="6" t="str">
        <f>HYPERLINK("proteomic_fractions_linear_files/Yang_linear_img/22122693.jpg", "22122693")</f>
        <v>22122693</v>
      </c>
      <c r="B3225" s="7"/>
      <c r="C3225" s="6" t="str">
        <f>HYPERLINK("http://www.ncbi.nlm.nih.gov/protein/22122693","Haus3")</f>
        <v>Haus3</v>
      </c>
      <c r="D3225" s="8"/>
      <c r="E3225" s="8">
        <v>66178</v>
      </c>
      <c r="F3225" s="8"/>
      <c r="G3225" s="15" t="s">
        <v>10</v>
      </c>
      <c r="H3225" s="15" t="s">
        <v>10</v>
      </c>
      <c r="I3225" s="15" t="s">
        <v>10</v>
      </c>
      <c r="J3225" s="15" t="s">
        <v>10</v>
      </c>
      <c r="K3225" s="15">
        <v>1.1126690945709432</v>
      </c>
      <c r="L3225" s="15">
        <v>1.1126690945709432</v>
      </c>
      <c r="M3225" s="15" t="s">
        <v>10</v>
      </c>
      <c r="N3225" s="15" t="s">
        <v>10</v>
      </c>
      <c r="O3225" s="15" t="s">
        <v>10</v>
      </c>
      <c r="P3225" s="15" t="s">
        <v>10</v>
      </c>
      <c r="Q3225" s="8"/>
      <c r="R3225" s="9" t="s">
        <v>2983</v>
      </c>
    </row>
    <row r="3226" spans="1:18" x14ac:dyDescent="0.25">
      <c r="A3226" s="6" t="str">
        <f>HYPERLINK("proteomic_fractions_linear_files/Yang_linear_img/226442837.jpg", "226442837")</f>
        <v>226442837</v>
      </c>
      <c r="B3226" s="7"/>
      <c r="C3226" s="6" t="str">
        <f>HYPERLINK("http://www.ncbi.nlm.nih.gov/protein/226442837","Haus5")</f>
        <v>Haus5</v>
      </c>
      <c r="D3226" s="8"/>
      <c r="E3226" s="8">
        <v>69441</v>
      </c>
      <c r="F3226" s="8"/>
      <c r="G3226" s="15" t="s">
        <v>10</v>
      </c>
      <c r="H3226" s="15" t="s">
        <v>10</v>
      </c>
      <c r="I3226" s="15" t="s">
        <v>10</v>
      </c>
      <c r="J3226" s="15" t="s">
        <v>10</v>
      </c>
      <c r="K3226" s="15">
        <v>1.2043283836687515</v>
      </c>
      <c r="L3226" s="15">
        <v>1.2043283836687515</v>
      </c>
      <c r="M3226" s="15" t="s">
        <v>10</v>
      </c>
      <c r="N3226" s="15" t="s">
        <v>10</v>
      </c>
      <c r="O3226" s="15" t="s">
        <v>10</v>
      </c>
      <c r="P3226" s="15" t="s">
        <v>10</v>
      </c>
      <c r="Q3226" s="8"/>
      <c r="R3226" s="9" t="s">
        <v>2984</v>
      </c>
    </row>
    <row r="3227" spans="1:18" x14ac:dyDescent="0.25">
      <c r="A3227" s="6" t="str">
        <f>HYPERLINK("proteomic_fractions_linear_files/Yang_linear_img/498752597.jpg", "498752597")</f>
        <v>498752597</v>
      </c>
      <c r="B3227" s="7"/>
      <c r="C3227" s="6" t="str">
        <f>HYPERLINK("http://www.ncbi.nlm.nih.gov/protein/498752597","Hbb-b1")</f>
        <v>Hbb-b1</v>
      </c>
      <c r="D3227" s="8"/>
      <c r="E3227" s="8">
        <v>15709</v>
      </c>
      <c r="F3227" s="8"/>
      <c r="G3227" s="15">
        <v>374.56875000000002</v>
      </c>
      <c r="H3227" s="15">
        <v>374.56875000000002</v>
      </c>
      <c r="I3227" s="15" t="s">
        <v>10</v>
      </c>
      <c r="J3227" s="15" t="s">
        <v>10</v>
      </c>
      <c r="K3227" s="15" t="s">
        <v>10</v>
      </c>
      <c r="L3227" s="15" t="s">
        <v>10</v>
      </c>
      <c r="M3227" s="15" t="s">
        <v>10</v>
      </c>
      <c r="N3227" s="15" t="s">
        <v>10</v>
      </c>
      <c r="O3227" s="15" t="s">
        <v>10</v>
      </c>
      <c r="P3227" s="15" t="s">
        <v>10</v>
      </c>
      <c r="Q3227" s="8"/>
      <c r="R3227" s="9" t="s">
        <v>2985</v>
      </c>
    </row>
    <row r="3228" spans="1:18" x14ac:dyDescent="0.25">
      <c r="A3228" s="6" t="str">
        <f>HYPERLINK("proteomic_fractions_linear_files/Yang_linear_img/31982300;319402143.jpg", "31982300;319402143")</f>
        <v>31982300;319402143</v>
      </c>
      <c r="B3228" s="8"/>
      <c r="C3228" s="6" t="str">
        <f>HYPERLINK("http://www.ncbi.nlm.nih.gov/protein/31982300;319402143","Hbb-bt")</f>
        <v>Hbb-bt</v>
      </c>
      <c r="D3228" s="8"/>
      <c r="E3228" s="8">
        <v>15617</v>
      </c>
      <c r="F3228" s="8"/>
      <c r="G3228" s="15">
        <v>374.56875000000002</v>
      </c>
      <c r="H3228" s="15">
        <v>374.56875000000002</v>
      </c>
      <c r="I3228" s="15" t="s">
        <v>10</v>
      </c>
      <c r="J3228" s="15" t="s">
        <v>10</v>
      </c>
      <c r="K3228" s="15" t="s">
        <v>10</v>
      </c>
      <c r="L3228" s="15" t="s">
        <v>10</v>
      </c>
      <c r="M3228" s="15" t="s">
        <v>10</v>
      </c>
      <c r="N3228" s="15" t="s">
        <v>10</v>
      </c>
      <c r="O3228" s="15" t="s">
        <v>10</v>
      </c>
      <c r="P3228" s="15" t="s">
        <v>10</v>
      </c>
      <c r="Q3228" s="8"/>
      <c r="R3228" s="9" t="s">
        <v>2986</v>
      </c>
    </row>
    <row r="3229" spans="1:18" x14ac:dyDescent="0.25">
      <c r="A3229" s="6" t="str">
        <f>HYPERLINK("proteomic_fractions_linear_files/Yang_linear_img/6754178.jpg", "6754178")</f>
        <v>6754178</v>
      </c>
      <c r="B3229" s="7"/>
      <c r="C3229" s="6" t="str">
        <f>HYPERLINK("http://www.ncbi.nlm.nih.gov/protein/6754178","Hbegf")</f>
        <v>Hbegf</v>
      </c>
      <c r="D3229" s="8"/>
      <c r="E3229" s="8">
        <v>20410</v>
      </c>
      <c r="F3229" s="8"/>
      <c r="G3229" s="15" t="s">
        <v>10</v>
      </c>
      <c r="H3229" s="15" t="s">
        <v>10</v>
      </c>
      <c r="I3229" s="15" t="s">
        <v>10</v>
      </c>
      <c r="J3229" s="15" t="s">
        <v>10</v>
      </c>
      <c r="K3229" s="15">
        <v>15.089166231824938</v>
      </c>
      <c r="L3229" s="15">
        <v>15.089166231824938</v>
      </c>
      <c r="M3229" s="15" t="s">
        <v>10</v>
      </c>
      <c r="N3229" s="15" t="s">
        <v>10</v>
      </c>
      <c r="O3229" s="15" t="s">
        <v>10</v>
      </c>
      <c r="P3229" s="15" t="s">
        <v>10</v>
      </c>
      <c r="Q3229" s="8"/>
      <c r="R3229" s="9" t="s">
        <v>2987</v>
      </c>
    </row>
    <row r="3230" spans="1:18" x14ac:dyDescent="0.25">
      <c r="A3230" s="6" t="str">
        <f>HYPERLINK("proteomic_fractions_linear_files/Yang_linear_img/223634002.jpg", "223634002")</f>
        <v>223634002</v>
      </c>
      <c r="B3230" s="7"/>
      <c r="C3230" s="6" t="str">
        <f>HYPERLINK("http://www.ncbi.nlm.nih.gov/protein/223634002","Hbs1l")</f>
        <v>Hbs1l</v>
      </c>
      <c r="D3230" s="8"/>
      <c r="E3230" s="8">
        <v>67399</v>
      </c>
      <c r="F3230" s="8"/>
      <c r="G3230" s="15" t="s">
        <v>10</v>
      </c>
      <c r="H3230" s="15" t="s">
        <v>10</v>
      </c>
      <c r="I3230" s="15" t="s">
        <v>10</v>
      </c>
      <c r="J3230" s="15" t="s">
        <v>10</v>
      </c>
      <c r="K3230" s="15" t="s">
        <v>10</v>
      </c>
      <c r="L3230" s="15" t="s">
        <v>10</v>
      </c>
      <c r="M3230" s="15">
        <v>1.2402784846737889</v>
      </c>
      <c r="N3230" s="15">
        <v>1.2402784846737889</v>
      </c>
      <c r="O3230" s="15" t="s">
        <v>10</v>
      </c>
      <c r="P3230" s="15" t="s">
        <v>10</v>
      </c>
      <c r="Q3230" s="8"/>
      <c r="R3230" s="9" t="s">
        <v>2988</v>
      </c>
    </row>
    <row r="3231" spans="1:18" x14ac:dyDescent="0.25">
      <c r="A3231" s="6" t="str">
        <f>HYPERLINK("proteomic_fractions_linear_files/Yang_linear_img/110611222.jpg", "110611222")</f>
        <v>110611222</v>
      </c>
      <c r="B3231" s="7"/>
      <c r="C3231" s="6" t="str">
        <f>HYPERLINK("http://www.ncbi.nlm.nih.gov/protein/110611222","Hbs1l")</f>
        <v>Hbs1l</v>
      </c>
      <c r="D3231" s="8"/>
      <c r="E3231" s="8">
        <v>74970</v>
      </c>
      <c r="F3231" s="8"/>
      <c r="G3231" s="15" t="s">
        <v>10</v>
      </c>
      <c r="H3231" s="15" t="s">
        <v>10</v>
      </c>
      <c r="I3231" s="15" t="s">
        <v>10</v>
      </c>
      <c r="J3231" s="15" t="s">
        <v>10</v>
      </c>
      <c r="K3231" s="15">
        <v>1.1079821129752514</v>
      </c>
      <c r="L3231" s="15">
        <v>1.1079821129752514</v>
      </c>
      <c r="M3231" s="15">
        <v>1.1079821129752514</v>
      </c>
      <c r="N3231" s="15">
        <v>1.1079821129752514</v>
      </c>
      <c r="O3231" s="15">
        <v>0.97914880322242992</v>
      </c>
      <c r="P3231" s="15">
        <v>0.97914880322242992</v>
      </c>
      <c r="Q3231" s="8"/>
      <c r="R3231" s="9" t="s">
        <v>2989</v>
      </c>
    </row>
    <row r="3232" spans="1:18" x14ac:dyDescent="0.25">
      <c r="A3232" s="6" t="str">
        <f>HYPERLINK("proteomic_fractions_linear_files/Yang_linear_img/110611224.jpg", "110611224")</f>
        <v>110611224</v>
      </c>
      <c r="B3232" s="7"/>
      <c r="C3232" s="6" t="str">
        <f>HYPERLINK("http://www.ncbi.nlm.nih.gov/protein/110611224","Hbs1l")</f>
        <v>Hbs1l</v>
      </c>
      <c r="D3232" s="8"/>
      <c r="E3232" s="8">
        <v>74697</v>
      </c>
      <c r="F3232" s="8"/>
      <c r="G3232" s="15" t="s">
        <v>10</v>
      </c>
      <c r="H3232" s="15" t="s">
        <v>10</v>
      </c>
      <c r="I3232" s="15" t="s">
        <v>10</v>
      </c>
      <c r="J3232" s="15" t="s">
        <v>10</v>
      </c>
      <c r="K3232" s="15">
        <v>1.1079821129752514</v>
      </c>
      <c r="L3232" s="15">
        <v>1.1079821129752514</v>
      </c>
      <c r="M3232" s="15">
        <v>1.1079821129752514</v>
      </c>
      <c r="N3232" s="15">
        <v>1.1079821129752514</v>
      </c>
      <c r="O3232" s="15">
        <v>0.97914880322242992</v>
      </c>
      <c r="P3232" s="15">
        <v>0.97914880322242992</v>
      </c>
      <c r="Q3232" s="8"/>
      <c r="R3232" s="9" t="s">
        <v>2990</v>
      </c>
    </row>
    <row r="3233" spans="1:18" x14ac:dyDescent="0.25">
      <c r="A3233" s="6" t="str">
        <f>HYPERLINK("proteomic_fractions_linear_files/Yang_linear_img/225543251.jpg", "225543251")</f>
        <v>225543251</v>
      </c>
      <c r="B3233" s="7"/>
      <c r="C3233" s="6" t="str">
        <f>HYPERLINK("http://www.ncbi.nlm.nih.gov/protein/225543251","Hccs")</f>
        <v>Hccs</v>
      </c>
      <c r="D3233" s="8"/>
      <c r="E3233" s="8">
        <v>30847</v>
      </c>
      <c r="F3233" s="8"/>
      <c r="G3233" s="15" t="s">
        <v>10</v>
      </c>
      <c r="H3233" s="15" t="s">
        <v>10</v>
      </c>
      <c r="I3233" s="15">
        <v>0.96404538360364944</v>
      </c>
      <c r="J3233" s="15">
        <v>0.96404538360364944</v>
      </c>
      <c r="K3233" s="15" t="s">
        <v>10</v>
      </c>
      <c r="L3233" s="15" t="s">
        <v>10</v>
      </c>
      <c r="M3233" s="15" t="s">
        <v>10</v>
      </c>
      <c r="N3233" s="15" t="s">
        <v>10</v>
      </c>
      <c r="O3233" s="15" t="s">
        <v>10</v>
      </c>
      <c r="P3233" s="15" t="s">
        <v>10</v>
      </c>
      <c r="Q3233" s="8"/>
      <c r="R3233" s="9" t="s">
        <v>2991</v>
      </c>
    </row>
    <row r="3234" spans="1:18" x14ac:dyDescent="0.25">
      <c r="A3234" s="6" t="str">
        <f>HYPERLINK("proteomic_fractions_linear_files/Yang_linear_img/34328130.jpg", "34328130")</f>
        <v>34328130</v>
      </c>
      <c r="B3234" s="7"/>
      <c r="C3234" s="6" t="str">
        <f>HYPERLINK("http://www.ncbi.nlm.nih.gov/protein/34328130","Hcfc1")</f>
        <v>Hcfc1</v>
      </c>
      <c r="D3234" s="8"/>
      <c r="E3234" s="8">
        <v>210307</v>
      </c>
      <c r="F3234" s="8"/>
      <c r="G3234" s="15" t="s">
        <v>10</v>
      </c>
      <c r="H3234" s="15" t="s">
        <v>10</v>
      </c>
      <c r="I3234" s="15" t="s">
        <v>10</v>
      </c>
      <c r="J3234" s="15" t="s">
        <v>10</v>
      </c>
      <c r="K3234" s="15" t="s">
        <v>10</v>
      </c>
      <c r="L3234" s="15" t="s">
        <v>10</v>
      </c>
      <c r="M3234" s="15">
        <v>0.34969600115086785</v>
      </c>
      <c r="N3234" s="15">
        <v>0.34969600115086785</v>
      </c>
      <c r="O3234" s="15">
        <v>0.45222848182183101</v>
      </c>
      <c r="P3234" s="15">
        <v>0.45222848182183101</v>
      </c>
      <c r="Q3234" s="8"/>
      <c r="R3234" s="9" t="s">
        <v>2992</v>
      </c>
    </row>
    <row r="3235" spans="1:18" x14ac:dyDescent="0.25">
      <c r="A3235" s="6" t="str">
        <f>HYPERLINK("proteomic_fractions_linear_files/Yang_linear_img/287323109.jpg", "287323109")</f>
        <v>287323109</v>
      </c>
      <c r="B3235" s="7"/>
      <c r="C3235" s="6" t="str">
        <f>HYPERLINK("http://www.ncbi.nlm.nih.gov/protein/287323109","Hck")</f>
        <v>Hck</v>
      </c>
      <c r="D3235" s="8"/>
      <c r="E3235" s="8">
        <v>56811</v>
      </c>
      <c r="F3235" s="8"/>
      <c r="G3235" s="15">
        <v>1.2883536884505657</v>
      </c>
      <c r="H3235" s="15">
        <v>1.2883536884505657</v>
      </c>
      <c r="I3235" s="15">
        <v>0.48979318066108879</v>
      </c>
      <c r="J3235" s="15">
        <v>0.48979318066108879</v>
      </c>
      <c r="K3235" s="15">
        <v>1.0311089050104185</v>
      </c>
      <c r="L3235" s="15">
        <v>1.0311089050104185</v>
      </c>
      <c r="M3235" s="15">
        <v>1.0311089050104185</v>
      </c>
      <c r="N3235" s="15">
        <v>1.0311089050104185</v>
      </c>
      <c r="O3235" s="15">
        <v>0.4587764581653509</v>
      </c>
      <c r="P3235" s="15">
        <v>0.4587764581653509</v>
      </c>
      <c r="Q3235" s="8"/>
      <c r="R3235" s="9" t="s">
        <v>2993</v>
      </c>
    </row>
    <row r="3236" spans="1:18" x14ac:dyDescent="0.25">
      <c r="A3236" s="6" t="str">
        <f>HYPERLINK("proteomic_fractions_linear_files/Yang_linear_img/34734056.jpg", "34734056")</f>
        <v>34734056</v>
      </c>
      <c r="B3236" s="7"/>
      <c r="C3236" s="6" t="str">
        <f>HYPERLINK("http://www.ncbi.nlm.nih.gov/protein/34734056","Hck")</f>
        <v>Hck</v>
      </c>
      <c r="D3236" s="8"/>
      <c r="E3236" s="8">
        <v>58998</v>
      </c>
      <c r="F3236" s="8"/>
      <c r="G3236" s="15">
        <v>1.244680682062411</v>
      </c>
      <c r="H3236" s="15">
        <v>1.244680682062411</v>
      </c>
      <c r="I3236" s="15">
        <v>0.47319002199461119</v>
      </c>
      <c r="J3236" s="15">
        <v>0.47319002199461119</v>
      </c>
      <c r="K3236" s="15">
        <v>0.99615606077277719</v>
      </c>
      <c r="L3236" s="15">
        <v>0.99615606077277719</v>
      </c>
      <c r="M3236" s="15">
        <v>0.99615606077277719</v>
      </c>
      <c r="N3236" s="15">
        <v>0.99615606077277719</v>
      </c>
      <c r="O3236" s="15">
        <v>0.44322471382076273</v>
      </c>
      <c r="P3236" s="15">
        <v>0.44322471382076273</v>
      </c>
      <c r="Q3236" s="8"/>
      <c r="R3236" s="9" t="s">
        <v>2994</v>
      </c>
    </row>
    <row r="3237" spans="1:18" x14ac:dyDescent="0.25">
      <c r="A3237" s="6" t="str">
        <f>HYPERLINK("proteomic_fractions_linear_files/Yang_linear_img/6680191.jpg", "6680191")</f>
        <v>6680191</v>
      </c>
      <c r="B3237" s="7"/>
      <c r="C3237" s="6" t="str">
        <f>HYPERLINK("http://www.ncbi.nlm.nih.gov/protein/6680191","Hcn3")</f>
        <v>Hcn3</v>
      </c>
      <c r="D3237" s="8"/>
      <c r="E3237" s="8">
        <v>86511</v>
      </c>
      <c r="F3237" s="8"/>
      <c r="G3237" s="15" t="s">
        <v>10</v>
      </c>
      <c r="H3237" s="15" t="s">
        <v>10</v>
      </c>
      <c r="I3237" s="15" t="s">
        <v>10</v>
      </c>
      <c r="J3237" s="15" t="s">
        <v>10</v>
      </c>
      <c r="K3237" s="15" t="s">
        <v>10</v>
      </c>
      <c r="L3237" s="15" t="s">
        <v>10</v>
      </c>
      <c r="M3237" s="15">
        <v>0.15283981635633948</v>
      </c>
      <c r="N3237" s="15">
        <v>0.15283981635633948</v>
      </c>
      <c r="O3237" s="15" t="s">
        <v>10</v>
      </c>
      <c r="P3237" s="15" t="s">
        <v>10</v>
      </c>
      <c r="Q3237" s="8"/>
      <c r="R3237" s="9" t="s">
        <v>2995</v>
      </c>
    </row>
    <row r="3238" spans="1:18" x14ac:dyDescent="0.25">
      <c r="A3238" s="6" t="str">
        <f>HYPERLINK("proteomic_fractions_linear_files/Yang_linear_img/6680193.jpg", "6680193")</f>
        <v>6680193</v>
      </c>
      <c r="B3238" s="7"/>
      <c r="C3238" s="6" t="str">
        <f>HYPERLINK("http://www.ncbi.nlm.nih.gov/protein/6680193","Hdac1")</f>
        <v>Hdac1</v>
      </c>
      <c r="D3238" s="8"/>
      <c r="E3238" s="8">
        <v>54944</v>
      </c>
      <c r="F3238" s="8"/>
      <c r="G3238" s="15">
        <v>1.5108846995117065</v>
      </c>
      <c r="H3238" s="15">
        <v>1.5108846995117065</v>
      </c>
      <c r="I3238" s="15">
        <v>1.1900593332826241</v>
      </c>
      <c r="J3238" s="15">
        <v>1.1900593332826241</v>
      </c>
      <c r="K3238" s="15">
        <v>1.1900593332826241</v>
      </c>
      <c r="L3238" s="15">
        <v>1.1900593332826241</v>
      </c>
      <c r="M3238" s="15">
        <v>1.1900593332826241</v>
      </c>
      <c r="N3238" s="15">
        <v>1.1900593332826241</v>
      </c>
      <c r="O3238" s="15">
        <v>1.0686037742835246</v>
      </c>
      <c r="P3238" s="15">
        <v>1.0686037742835246</v>
      </c>
      <c r="Q3238" s="8"/>
      <c r="R3238" s="9" t="s">
        <v>2996</v>
      </c>
    </row>
    <row r="3239" spans="1:18" x14ac:dyDescent="0.25">
      <c r="A3239" s="6" t="str">
        <f>HYPERLINK("proteomic_fractions_linear_files/Yang_linear_img/259089444.jpg", "259089444")</f>
        <v>259089444</v>
      </c>
      <c r="B3239" s="7"/>
      <c r="C3239" s="6" t="str">
        <f>HYPERLINK("http://www.ncbi.nlm.nih.gov/protein/259089444","Hdac10")</f>
        <v>Hdac10</v>
      </c>
      <c r="D3239" s="8"/>
      <c r="E3239" s="8">
        <v>71978</v>
      </c>
      <c r="F3239" s="8"/>
      <c r="G3239" s="15" t="s">
        <v>10</v>
      </c>
      <c r="H3239" s="15" t="s">
        <v>10</v>
      </c>
      <c r="I3239" s="15" t="s">
        <v>10</v>
      </c>
      <c r="J3239" s="15" t="s">
        <v>10</v>
      </c>
      <c r="K3239" s="15" t="s">
        <v>10</v>
      </c>
      <c r="L3239" s="15" t="s">
        <v>10</v>
      </c>
      <c r="M3239" s="15" t="s">
        <v>10</v>
      </c>
      <c r="N3239" s="15" t="s">
        <v>10</v>
      </c>
      <c r="O3239" s="15">
        <v>0.90907310181311574</v>
      </c>
      <c r="P3239" s="15">
        <v>0.90907310181311574</v>
      </c>
      <c r="Q3239" s="8"/>
      <c r="R3239" s="9" t="s">
        <v>2997</v>
      </c>
    </row>
    <row r="3240" spans="1:18" x14ac:dyDescent="0.25">
      <c r="A3240" s="6" t="str">
        <f>HYPERLINK("proteomic_fractions_linear_files/Yang_linear_img/87162464.jpg", "87162464")</f>
        <v>87162464</v>
      </c>
      <c r="B3240" s="7"/>
      <c r="C3240" s="6" t="str">
        <f>HYPERLINK("http://www.ncbi.nlm.nih.gov/protein/87162464","Hdac2")</f>
        <v>Hdac2</v>
      </c>
      <c r="D3240" s="8"/>
      <c r="E3240" s="8">
        <v>55199</v>
      </c>
      <c r="F3240" s="8"/>
      <c r="G3240" s="15">
        <v>1.5108846995117065</v>
      </c>
      <c r="H3240" s="15">
        <v>1.5108846995117065</v>
      </c>
      <c r="I3240" s="15">
        <v>1.1900593332826241</v>
      </c>
      <c r="J3240" s="15">
        <v>1.1900593332826241</v>
      </c>
      <c r="K3240" s="15">
        <v>1.1900593332826241</v>
      </c>
      <c r="L3240" s="15">
        <v>1.1900593332826241</v>
      </c>
      <c r="M3240" s="15">
        <v>1.1900593332826241</v>
      </c>
      <c r="N3240" s="15">
        <v>1.1900593332826241</v>
      </c>
      <c r="O3240" s="15">
        <v>1.0686037742835246</v>
      </c>
      <c r="P3240" s="15">
        <v>1.0686037742835246</v>
      </c>
      <c r="Q3240" s="8"/>
      <c r="R3240" s="9" t="s">
        <v>2998</v>
      </c>
    </row>
    <row r="3241" spans="1:18" x14ac:dyDescent="0.25">
      <c r="A3241" s="6" t="str">
        <f>HYPERLINK("proteomic_fractions_linear_files/Yang_linear_img/89257352.jpg", "89257352")</f>
        <v>89257352</v>
      </c>
      <c r="B3241" s="7"/>
      <c r="C3241" s="6" t="str">
        <f>HYPERLINK("http://www.ncbi.nlm.nih.gov/protein/89257352","Hdac3")</f>
        <v>Hdac3</v>
      </c>
      <c r="D3241" s="8"/>
      <c r="E3241" s="8">
        <v>48690</v>
      </c>
      <c r="F3241" s="8"/>
      <c r="G3241" s="15" t="s">
        <v>10</v>
      </c>
      <c r="H3241" s="15" t="s">
        <v>10</v>
      </c>
      <c r="I3241" s="15">
        <v>0.9855097058043929</v>
      </c>
      <c r="J3241" s="15">
        <v>0.9855097058043929</v>
      </c>
      <c r="K3241" s="15" t="s">
        <v>10</v>
      </c>
      <c r="L3241" s="15" t="s">
        <v>10</v>
      </c>
      <c r="M3241" s="15">
        <v>0.9855097058043929</v>
      </c>
      <c r="N3241" s="15">
        <v>0.9855097058043929</v>
      </c>
      <c r="O3241" s="15" t="s">
        <v>10</v>
      </c>
      <c r="P3241" s="15" t="s">
        <v>10</v>
      </c>
      <c r="Q3241" s="8"/>
      <c r="R3241" s="9" t="s">
        <v>2999</v>
      </c>
    </row>
    <row r="3242" spans="1:18" x14ac:dyDescent="0.25">
      <c r="A3242" s="6" t="str">
        <f>HYPERLINK("proteomic_fractions_linear_files/Yang_linear_img/46402201.jpg", "46402201")</f>
        <v>46402201</v>
      </c>
      <c r="B3242" s="7"/>
      <c r="C3242" s="6" t="str">
        <f>HYPERLINK("http://www.ncbi.nlm.nih.gov/protein/46402201","Hdac4")</f>
        <v>Hdac4</v>
      </c>
      <c r="D3242" s="8"/>
      <c r="E3242" s="8">
        <v>118432</v>
      </c>
      <c r="F3242" s="8"/>
      <c r="G3242" s="15" t="s">
        <v>10</v>
      </c>
      <c r="H3242" s="15" t="s">
        <v>10</v>
      </c>
      <c r="I3242" s="15" t="s">
        <v>10</v>
      </c>
      <c r="J3242" s="15" t="s">
        <v>10</v>
      </c>
      <c r="K3242" s="15" t="s">
        <v>10</v>
      </c>
      <c r="L3242" s="15" t="s">
        <v>10</v>
      </c>
      <c r="M3242" s="15" t="s">
        <v>10</v>
      </c>
      <c r="N3242" s="15" t="s">
        <v>10</v>
      </c>
      <c r="O3242" s="15">
        <v>1.3004480604766258</v>
      </c>
      <c r="P3242" s="15">
        <v>1.3004480604766258</v>
      </c>
      <c r="Q3242" s="8"/>
      <c r="R3242" s="9" t="s">
        <v>3000</v>
      </c>
    </row>
    <row r="3243" spans="1:18" x14ac:dyDescent="0.25">
      <c r="A3243" s="6" t="str">
        <f>HYPERLINK("proteomic_fractions_linear_files/Yang_linear_img/194353997.jpg", "194353997")</f>
        <v>194353997</v>
      </c>
      <c r="B3243" s="7"/>
      <c r="C3243" s="6" t="str">
        <f>HYPERLINK("http://www.ncbi.nlm.nih.gov/protein/194353997","Hdac6")</f>
        <v>Hdac6</v>
      </c>
      <c r="D3243" s="8"/>
      <c r="E3243" s="8">
        <v>125656</v>
      </c>
      <c r="F3243" s="8"/>
      <c r="G3243" s="15">
        <v>1.217879929652713</v>
      </c>
      <c r="H3243" s="15">
        <v>1.217879929652713</v>
      </c>
      <c r="I3243" s="15">
        <v>1.217879929652713</v>
      </c>
      <c r="J3243" s="15">
        <v>1.217879929652713</v>
      </c>
      <c r="K3243" s="15">
        <v>1.217879929652713</v>
      </c>
      <c r="L3243" s="15">
        <v>1.217879929652713</v>
      </c>
      <c r="M3243" s="15">
        <v>1.217879929652713</v>
      </c>
      <c r="N3243" s="15">
        <v>1.217879929652713</v>
      </c>
      <c r="O3243" s="15">
        <v>1.217879929652713</v>
      </c>
      <c r="P3243" s="15">
        <v>1.217879929652713</v>
      </c>
      <c r="Q3243" s="8"/>
      <c r="R3243" s="9" t="s">
        <v>3001</v>
      </c>
    </row>
    <row r="3244" spans="1:18" x14ac:dyDescent="0.25">
      <c r="A3244" s="6" t="str">
        <f>HYPERLINK("proteomic_fractions_linear_files/Yang_linear_img/58037203.jpg", "58037203")</f>
        <v>58037203</v>
      </c>
      <c r="B3244" s="7"/>
      <c r="C3244" s="6" t="str">
        <f>HYPERLINK("http://www.ncbi.nlm.nih.gov/protein/58037203","Hdac8")</f>
        <v>Hdac8</v>
      </c>
      <c r="D3244" s="8"/>
      <c r="E3244" s="8">
        <v>41641</v>
      </c>
      <c r="F3244" s="8"/>
      <c r="G3244" s="15" t="s">
        <v>10</v>
      </c>
      <c r="H3244" s="15" t="s">
        <v>10</v>
      </c>
      <c r="I3244" s="15" t="s">
        <v>10</v>
      </c>
      <c r="J3244" s="15" t="s">
        <v>10</v>
      </c>
      <c r="K3244" s="15" t="s">
        <v>10</v>
      </c>
      <c r="L3244" s="15" t="s">
        <v>10</v>
      </c>
      <c r="M3244" s="15" t="s">
        <v>10</v>
      </c>
      <c r="N3244" s="15" t="s">
        <v>10</v>
      </c>
      <c r="O3244" s="15">
        <v>0.88907920055058554</v>
      </c>
      <c r="P3244" s="15">
        <v>0.88907920055058554</v>
      </c>
      <c r="Q3244" s="8"/>
      <c r="R3244" s="9" t="s">
        <v>3002</v>
      </c>
    </row>
    <row r="3245" spans="1:18" x14ac:dyDescent="0.25">
      <c r="A3245" s="6" t="str">
        <f>HYPERLINK("proteomic_fractions_linear_files/Yang_linear_img/75832031.jpg", "75832031")</f>
        <v>75832031</v>
      </c>
      <c r="B3245" s="7"/>
      <c r="C3245" s="6" t="str">
        <f>HYPERLINK("http://www.ncbi.nlm.nih.gov/protein/75832031","Hddc2")</f>
        <v>Hddc2</v>
      </c>
      <c r="D3245" s="8"/>
      <c r="E3245" s="8">
        <v>22622</v>
      </c>
      <c r="F3245" s="8"/>
      <c r="G3245" s="15" t="s">
        <v>10</v>
      </c>
      <c r="H3245" s="15" t="s">
        <v>10</v>
      </c>
      <c r="I3245" s="15">
        <v>1.0047640597703238</v>
      </c>
      <c r="J3245" s="15">
        <v>1.0047640597703238</v>
      </c>
      <c r="K3245" s="15">
        <v>1.0047640597703238</v>
      </c>
      <c r="L3245" s="15">
        <v>1.0047640597703238</v>
      </c>
      <c r="M3245" s="15">
        <v>1.0047640597703238</v>
      </c>
      <c r="N3245" s="15">
        <v>1.0047640597703238</v>
      </c>
      <c r="O3245" s="15">
        <v>0.89554092115896833</v>
      </c>
      <c r="P3245" s="15">
        <v>0.89554092115896833</v>
      </c>
      <c r="Q3245" s="8"/>
      <c r="R3245" s="9" t="s">
        <v>3003</v>
      </c>
    </row>
    <row r="3246" spans="1:18" x14ac:dyDescent="0.25">
      <c r="A3246" s="6" t="str">
        <f>HYPERLINK("proteomic_fractions_linear_files/Yang_linear_img/21312092.jpg", "21312092")</f>
        <v>21312092</v>
      </c>
      <c r="B3246" s="7"/>
      <c r="C3246" s="6" t="str">
        <f>HYPERLINK("http://www.ncbi.nlm.nih.gov/protein/21312092","Hddc3")</f>
        <v>Hddc3</v>
      </c>
      <c r="D3246" s="8"/>
      <c r="E3246" s="8">
        <v>20131</v>
      </c>
      <c r="F3246" s="8"/>
      <c r="G3246" s="15" t="s">
        <v>10</v>
      </c>
      <c r="H3246" s="15" t="s">
        <v>10</v>
      </c>
      <c r="I3246" s="15" t="s">
        <v>10</v>
      </c>
      <c r="J3246" s="15" t="s">
        <v>10</v>
      </c>
      <c r="K3246" s="15" t="s">
        <v>10</v>
      </c>
      <c r="L3246" s="15" t="s">
        <v>10</v>
      </c>
      <c r="M3246" s="15" t="s">
        <v>10</v>
      </c>
      <c r="N3246" s="15" t="s">
        <v>10</v>
      </c>
      <c r="O3246" s="15">
        <v>1.0298720593328137</v>
      </c>
      <c r="P3246" s="15">
        <v>1.0298720593328137</v>
      </c>
      <c r="Q3246" s="8"/>
      <c r="R3246" s="9" t="s">
        <v>3004</v>
      </c>
    </row>
    <row r="3247" spans="1:18" x14ac:dyDescent="0.25">
      <c r="A3247" s="6" t="str">
        <f>HYPERLINK("proteomic_fractions_linear_files/Yang_linear_img/188497724.jpg", "188497724")</f>
        <v>188497724</v>
      </c>
      <c r="B3247" s="7"/>
      <c r="C3247" s="6" t="str">
        <f>HYPERLINK("http://www.ncbi.nlm.nih.gov/protein/188497724","Hdgf")</f>
        <v>Hdgf</v>
      </c>
      <c r="D3247" s="8"/>
      <c r="E3247" s="8">
        <v>26138</v>
      </c>
      <c r="F3247" s="8"/>
      <c r="G3247" s="15">
        <v>1.6971380479602103</v>
      </c>
      <c r="H3247" s="15">
        <v>1.6971380479602103</v>
      </c>
      <c r="I3247" s="15">
        <v>1.3289760204028918</v>
      </c>
      <c r="J3247" s="15">
        <v>1.3289760204028918</v>
      </c>
      <c r="K3247" s="15">
        <v>1.4362048624278689</v>
      </c>
      <c r="L3247" s="15">
        <v>1.4362048624278689</v>
      </c>
      <c r="M3247" s="15">
        <v>1.4362048624278689</v>
      </c>
      <c r="N3247" s="15">
        <v>1.4362048624278689</v>
      </c>
      <c r="O3247" s="15">
        <v>1.2340028021435996</v>
      </c>
      <c r="P3247" s="15">
        <v>1.2340028021435996</v>
      </c>
      <c r="Q3247" s="8"/>
      <c r="R3247" s="9" t="s">
        <v>3005</v>
      </c>
    </row>
    <row r="3248" spans="1:18" x14ac:dyDescent="0.25">
      <c r="A3248" s="6" t="str">
        <f>HYPERLINK("proteomic_fractions_linear_files/Yang_linear_img/6680201.jpg", "6680201")</f>
        <v>6680201</v>
      </c>
      <c r="B3248" s="7"/>
      <c r="C3248" s="6" t="str">
        <f>HYPERLINK("http://www.ncbi.nlm.nih.gov/protein/6680201","Hdgfrp2")</f>
        <v>Hdgfrp2</v>
      </c>
      <c r="D3248" s="8"/>
      <c r="E3248" s="8">
        <v>74160</v>
      </c>
      <c r="F3248" s="8"/>
      <c r="G3248" s="15" t="s">
        <v>10</v>
      </c>
      <c r="H3248" s="15" t="s">
        <v>10</v>
      </c>
      <c r="I3248" s="15">
        <v>80.987837837837844</v>
      </c>
      <c r="J3248" s="15">
        <v>80.987837837837844</v>
      </c>
      <c r="K3248" s="15">
        <v>2.0736874477870519</v>
      </c>
      <c r="L3248" s="15">
        <v>2.0736874477870519</v>
      </c>
      <c r="M3248" s="15">
        <v>80.987837837837844</v>
      </c>
      <c r="N3248" s="15">
        <v>80.987837837837844</v>
      </c>
      <c r="O3248" s="15">
        <v>2.0736874477870519</v>
      </c>
      <c r="P3248" s="15">
        <v>2.0736874477870519</v>
      </c>
      <c r="Q3248" s="8"/>
      <c r="R3248" s="9" t="s">
        <v>3006</v>
      </c>
    </row>
    <row r="3249" spans="1:18" x14ac:dyDescent="0.25">
      <c r="A3249" s="6" t="str">
        <f>HYPERLINK("proteomic_fractions_linear_files/Yang_linear_img/21313310.jpg", "21313310")</f>
        <v>21313310</v>
      </c>
      <c r="B3249" s="7"/>
      <c r="C3249" s="6" t="str">
        <f>HYPERLINK("http://www.ncbi.nlm.nih.gov/protein/21313310","Hdhd2")</f>
        <v>Hdhd2</v>
      </c>
      <c r="D3249" s="8"/>
      <c r="E3249" s="8">
        <v>28599</v>
      </c>
      <c r="F3249" s="8"/>
      <c r="G3249" s="15" t="s">
        <v>10</v>
      </c>
      <c r="H3249" s="15" t="s">
        <v>10</v>
      </c>
      <c r="I3249" s="15">
        <v>0.96269694129938133</v>
      </c>
      <c r="J3249" s="15">
        <v>0.96269694129938133</v>
      </c>
      <c r="K3249" s="15">
        <v>0.96269694129938133</v>
      </c>
      <c r="L3249" s="15">
        <v>0.96269694129938133</v>
      </c>
      <c r="M3249" s="15" t="s">
        <v>10</v>
      </c>
      <c r="N3249" s="15" t="s">
        <v>10</v>
      </c>
      <c r="O3249" s="15">
        <v>0.84671795218196266</v>
      </c>
      <c r="P3249" s="15">
        <v>0.84671795218196266</v>
      </c>
      <c r="Q3249" s="8"/>
      <c r="R3249" s="9" t="s">
        <v>3007</v>
      </c>
    </row>
    <row r="3250" spans="1:18" x14ac:dyDescent="0.25">
      <c r="A3250" s="6" t="str">
        <f>HYPERLINK("proteomic_fractions_linear_files/Yang_linear_img/21312204.jpg", "21312204")</f>
        <v>21312204</v>
      </c>
      <c r="B3250" s="7"/>
      <c r="C3250" s="6" t="str">
        <f>HYPERLINK("http://www.ncbi.nlm.nih.gov/protein/21312204","Hdhd3")</f>
        <v>Hdhd3</v>
      </c>
      <c r="D3250" s="8"/>
      <c r="E3250" s="8">
        <v>27896</v>
      </c>
      <c r="F3250" s="8"/>
      <c r="G3250" s="15">
        <v>1.3336188008258782</v>
      </c>
      <c r="H3250" s="15">
        <v>1.3336188008258782</v>
      </c>
      <c r="I3250" s="15">
        <v>0.93393778983660714</v>
      </c>
      <c r="J3250" s="15">
        <v>0.93393778983660714</v>
      </c>
      <c r="K3250" s="15" t="s">
        <v>10</v>
      </c>
      <c r="L3250" s="15" t="s">
        <v>10</v>
      </c>
      <c r="M3250" s="15" t="s">
        <v>10</v>
      </c>
      <c r="N3250" s="15" t="s">
        <v>10</v>
      </c>
      <c r="O3250" s="15" t="s">
        <v>10</v>
      </c>
      <c r="P3250" s="15" t="s">
        <v>10</v>
      </c>
      <c r="Q3250" s="8"/>
      <c r="R3250" s="9" t="s">
        <v>3008</v>
      </c>
    </row>
    <row r="3251" spans="1:18" x14ac:dyDescent="0.25">
      <c r="A3251" s="6" t="str">
        <f>HYPERLINK("proteomic_fractions_linear_files/Yang_linear_img/19527028.jpg", "19527028")</f>
        <v>19527028</v>
      </c>
      <c r="B3251" s="7"/>
      <c r="C3251" s="6" t="str">
        <f>HYPERLINK("http://www.ncbi.nlm.nih.gov/protein/19527028","Hdlbp")</f>
        <v>Hdlbp</v>
      </c>
      <c r="D3251" s="8"/>
      <c r="E3251" s="8">
        <v>141612</v>
      </c>
      <c r="F3251" s="8"/>
      <c r="G3251" s="15">
        <v>4.1795268004880572</v>
      </c>
      <c r="H3251" s="15">
        <v>4.1795268004880572</v>
      </c>
      <c r="I3251" s="15">
        <v>1.0806540220862102</v>
      </c>
      <c r="J3251" s="15">
        <v>1.0806540220862102</v>
      </c>
      <c r="K3251" s="15">
        <v>1.3152523354925378</v>
      </c>
      <c r="L3251" s="15">
        <v>1.3152523354925378</v>
      </c>
      <c r="M3251" s="15">
        <v>1.3152523354925378</v>
      </c>
      <c r="N3251" s="15">
        <v>1.3152523354925378</v>
      </c>
      <c r="O3251" s="15">
        <v>1.3152523354925378</v>
      </c>
      <c r="P3251" s="15">
        <v>1.3152523354925378</v>
      </c>
      <c r="Q3251" s="8"/>
      <c r="R3251" s="9" t="s">
        <v>3009</v>
      </c>
    </row>
    <row r="3252" spans="1:18" x14ac:dyDescent="0.25">
      <c r="A3252" s="6" t="str">
        <f>HYPERLINK("proteomic_fractions_linear_files/Yang_linear_img/46519149.jpg", "46519149")</f>
        <v>46519149</v>
      </c>
      <c r="B3252" s="7"/>
      <c r="C3252" s="6" t="str">
        <f>HYPERLINK("http://www.ncbi.nlm.nih.gov/protein/46519149","Heatr1")</f>
        <v>Heatr1</v>
      </c>
      <c r="D3252" s="8"/>
      <c r="E3252" s="8">
        <v>241942</v>
      </c>
      <c r="F3252" s="8"/>
      <c r="G3252" s="15">
        <v>0.96430102325557465</v>
      </c>
      <c r="H3252" s="15">
        <v>0.96430102325557465</v>
      </c>
      <c r="I3252" s="15">
        <v>0.96430102325557465</v>
      </c>
      <c r="J3252" s="15">
        <v>0.96430102325557465</v>
      </c>
      <c r="K3252" s="15" t="s">
        <v>10</v>
      </c>
      <c r="L3252" s="15" t="s">
        <v>10</v>
      </c>
      <c r="M3252" s="15" t="s">
        <v>10</v>
      </c>
      <c r="N3252" s="15" t="s">
        <v>10</v>
      </c>
      <c r="O3252" s="15" t="s">
        <v>10</v>
      </c>
      <c r="P3252" s="15" t="s">
        <v>10</v>
      </c>
      <c r="Q3252" s="8"/>
      <c r="R3252" s="9" t="s">
        <v>3010</v>
      </c>
    </row>
    <row r="3253" spans="1:18" x14ac:dyDescent="0.25">
      <c r="A3253" s="6" t="str">
        <f>HYPERLINK("proteomic_fractions_linear_files/Yang_linear_img/124486915.jpg", "124486915")</f>
        <v>124486915</v>
      </c>
      <c r="B3253" s="7"/>
      <c r="C3253" s="6" t="str">
        <f>HYPERLINK("http://www.ncbi.nlm.nih.gov/protein/124486915","Heatr2")</f>
        <v>Heatr2</v>
      </c>
      <c r="D3253" s="8"/>
      <c r="E3253" s="8">
        <v>93720</v>
      </c>
      <c r="F3253" s="8"/>
      <c r="G3253" s="15" t="s">
        <v>10</v>
      </c>
      <c r="H3253" s="15" t="s">
        <v>10</v>
      </c>
      <c r="I3253" s="15" t="s">
        <v>10</v>
      </c>
      <c r="J3253" s="15" t="s">
        <v>10</v>
      </c>
      <c r="K3253" s="15" t="s">
        <v>10</v>
      </c>
      <c r="L3253" s="15" t="s">
        <v>10</v>
      </c>
      <c r="M3253" s="15">
        <v>1.0102976721551544</v>
      </c>
      <c r="N3253" s="15">
        <v>1.0102976721551544</v>
      </c>
      <c r="O3253" s="15">
        <v>1.0102976721551544</v>
      </c>
      <c r="P3253" s="15">
        <v>1.0102976721551544</v>
      </c>
      <c r="Q3253" s="8"/>
      <c r="R3253" s="9" t="s">
        <v>3011</v>
      </c>
    </row>
    <row r="3254" spans="1:18" x14ac:dyDescent="0.25">
      <c r="A3254" s="6" t="str">
        <f>HYPERLINK("proteomic_fractions_linear_files/Yang_linear_img/40789301.jpg", "40789301")</f>
        <v>40789301</v>
      </c>
      <c r="B3254" s="7"/>
      <c r="C3254" s="6" t="str">
        <f>HYPERLINK("http://www.ncbi.nlm.nih.gov/protein/40789301","Heatr3")</f>
        <v>Heatr3</v>
      </c>
      <c r="D3254" s="8"/>
      <c r="E3254" s="8">
        <v>74175</v>
      </c>
      <c r="F3254" s="8"/>
      <c r="G3254" s="15" t="s">
        <v>10</v>
      </c>
      <c r="H3254" s="15" t="s">
        <v>10</v>
      </c>
      <c r="I3254" s="15" t="s">
        <v>10</v>
      </c>
      <c r="J3254" s="15" t="s">
        <v>10</v>
      </c>
      <c r="K3254" s="15">
        <v>1.1229548442316737</v>
      </c>
      <c r="L3254" s="15">
        <v>1.1229548442316737</v>
      </c>
      <c r="M3254" s="15">
        <v>1.1229548442316737</v>
      </c>
      <c r="N3254" s="15">
        <v>1.1229548442316737</v>
      </c>
      <c r="O3254" s="15">
        <v>0.99238054380651686</v>
      </c>
      <c r="P3254" s="15">
        <v>0.99238054380651686</v>
      </c>
      <c r="Q3254" s="8"/>
      <c r="R3254" s="9" t="s">
        <v>3012</v>
      </c>
    </row>
    <row r="3255" spans="1:18" x14ac:dyDescent="0.25">
      <c r="A3255" s="6" t="str">
        <f>HYPERLINK("proteomic_fractions_linear_files/Yang_linear_img/38505263.jpg", "38505263")</f>
        <v>38505263</v>
      </c>
      <c r="B3255" s="7"/>
      <c r="C3255" s="6" t="str">
        <f>HYPERLINK("http://www.ncbi.nlm.nih.gov/protein/38505263","Heatr5a")</f>
        <v>Heatr5a</v>
      </c>
      <c r="D3255" s="8"/>
      <c r="E3255" s="8">
        <v>219763</v>
      </c>
      <c r="F3255" s="8"/>
      <c r="G3255" s="15" t="s">
        <v>10</v>
      </c>
      <c r="H3255" s="15" t="s">
        <v>10</v>
      </c>
      <c r="I3255" s="15" t="s">
        <v>10</v>
      </c>
      <c r="J3255" s="15" t="s">
        <v>10</v>
      </c>
      <c r="K3255" s="15" t="s">
        <v>10</v>
      </c>
      <c r="L3255" s="15" t="s">
        <v>10</v>
      </c>
      <c r="M3255" s="15">
        <v>2.69769457122411</v>
      </c>
      <c r="N3255" s="15">
        <v>1.3717423847113581</v>
      </c>
      <c r="O3255" s="15">
        <v>1.060731125581132</v>
      </c>
      <c r="P3255" s="15">
        <v>1.060731125581132</v>
      </c>
      <c r="Q3255" s="8"/>
      <c r="R3255" s="9" t="s">
        <v>3013</v>
      </c>
    </row>
    <row r="3256" spans="1:18" x14ac:dyDescent="0.25">
      <c r="A3256" s="6" t="str">
        <f>HYPERLINK("proteomic_fractions_linear_files/Yang_linear_img/124487157.jpg", "124487157")</f>
        <v>124487157</v>
      </c>
      <c r="B3256" s="7"/>
      <c r="C3256" s="6" t="str">
        <f>HYPERLINK("http://www.ncbi.nlm.nih.gov/protein/124487157","Heatr5b")</f>
        <v>Heatr5b</v>
      </c>
      <c r="D3256" s="8"/>
      <c r="E3256" s="8">
        <v>224190</v>
      </c>
      <c r="F3256" s="8"/>
      <c r="G3256" s="15" t="s">
        <v>10</v>
      </c>
      <c r="H3256" s="15" t="s">
        <v>10</v>
      </c>
      <c r="I3256" s="15">
        <v>1.041789498338612</v>
      </c>
      <c r="J3256" s="15">
        <v>1.041789498338612</v>
      </c>
      <c r="K3256" s="15">
        <v>1.041789498338612</v>
      </c>
      <c r="L3256" s="15">
        <v>1.041789498338612</v>
      </c>
      <c r="M3256" s="15">
        <v>1.041789498338612</v>
      </c>
      <c r="N3256" s="15">
        <v>1.041789498338612</v>
      </c>
      <c r="O3256" s="15">
        <v>1.041789498338612</v>
      </c>
      <c r="P3256" s="15">
        <v>1.041789498338612</v>
      </c>
      <c r="Q3256" s="8"/>
      <c r="R3256" s="9" t="s">
        <v>3014</v>
      </c>
    </row>
    <row r="3257" spans="1:18" x14ac:dyDescent="0.25">
      <c r="A3257" s="6" t="str">
        <f>HYPERLINK("proteomic_fractions_linear_files/Yang_linear_img/124249080.jpg", "124249080")</f>
        <v>124249080</v>
      </c>
      <c r="B3257" s="7"/>
      <c r="C3257" s="6" t="str">
        <f>HYPERLINK("http://www.ncbi.nlm.nih.gov/protein/124249080","Heatr6")</f>
        <v>Heatr6</v>
      </c>
      <c r="D3257" s="8"/>
      <c r="E3257" s="8">
        <v>128792</v>
      </c>
      <c r="F3257" s="8"/>
      <c r="G3257" s="15" t="s">
        <v>10</v>
      </c>
      <c r="H3257" s="15" t="s">
        <v>10</v>
      </c>
      <c r="I3257" s="15" t="s">
        <v>10</v>
      </c>
      <c r="J3257" s="15" t="s">
        <v>10</v>
      </c>
      <c r="K3257" s="15">
        <v>3.1708802925537967</v>
      </c>
      <c r="L3257" s="15">
        <v>3.1708802925537967</v>
      </c>
      <c r="M3257" s="15">
        <v>46.458139534883721</v>
      </c>
      <c r="N3257" s="15">
        <v>46.458139534883721</v>
      </c>
      <c r="O3257" s="15">
        <v>1.1895571405910219</v>
      </c>
      <c r="P3257" s="15">
        <v>1.1895571405910219</v>
      </c>
      <c r="Q3257" s="8"/>
      <c r="R3257" s="9" t="s">
        <v>3015</v>
      </c>
    </row>
    <row r="3258" spans="1:18" x14ac:dyDescent="0.25">
      <c r="A3258" s="6" t="str">
        <f>HYPERLINK("proteomic_fractions_linear_files/Yang_linear_img/124001580.jpg", "124001580")</f>
        <v>124001580</v>
      </c>
      <c r="B3258" s="7"/>
      <c r="C3258" s="6" t="str">
        <f>HYPERLINK("http://www.ncbi.nlm.nih.gov/protein/124001580","Hebp1")</f>
        <v>Hebp1</v>
      </c>
      <c r="D3258" s="8"/>
      <c r="E3258" s="8">
        <v>20936</v>
      </c>
      <c r="F3258" s="8"/>
      <c r="G3258" s="15" t="s">
        <v>10</v>
      </c>
      <c r="H3258" s="15" t="s">
        <v>10</v>
      </c>
      <c r="I3258" s="15" t="s">
        <v>10</v>
      </c>
      <c r="J3258" s="15" t="s">
        <v>10</v>
      </c>
      <c r="K3258" s="15" t="s">
        <v>10</v>
      </c>
      <c r="L3258" s="15" t="s">
        <v>10</v>
      </c>
      <c r="M3258" s="15" t="s">
        <v>10</v>
      </c>
      <c r="N3258" s="15" t="s">
        <v>10</v>
      </c>
      <c r="O3258" s="15">
        <v>1.0378924890799406</v>
      </c>
      <c r="P3258" s="15">
        <v>1.0378924890799406</v>
      </c>
      <c r="Q3258" s="8"/>
      <c r="R3258" s="9" t="s">
        <v>3016</v>
      </c>
    </row>
    <row r="3259" spans="1:18" x14ac:dyDescent="0.25">
      <c r="A3259" s="6" t="str">
        <f>HYPERLINK("proteomic_fractions_linear_files/Yang_linear_img/9507129.jpg", "9507129")</f>
        <v>9507129</v>
      </c>
      <c r="B3259" s="7"/>
      <c r="C3259" s="6" t="str">
        <f>HYPERLINK("http://www.ncbi.nlm.nih.gov/protein/9507129","Hebp2")</f>
        <v>Hebp2</v>
      </c>
      <c r="D3259" s="8"/>
      <c r="E3259" s="8">
        <v>22931</v>
      </c>
      <c r="F3259" s="8"/>
      <c r="G3259" s="15" t="s">
        <v>10</v>
      </c>
      <c r="H3259" s="15" t="s">
        <v>10</v>
      </c>
      <c r="I3259" s="15" t="s">
        <v>10</v>
      </c>
      <c r="J3259" s="15" t="s">
        <v>10</v>
      </c>
      <c r="K3259" s="15" t="s">
        <v>10</v>
      </c>
      <c r="L3259" s="15" t="s">
        <v>10</v>
      </c>
      <c r="M3259" s="15" t="s">
        <v>10</v>
      </c>
      <c r="N3259" s="15" t="s">
        <v>10</v>
      </c>
      <c r="O3259" s="15">
        <v>1.0676008962294312</v>
      </c>
      <c r="P3259" s="15">
        <v>1.0676008962294312</v>
      </c>
      <c r="Q3259" s="8"/>
      <c r="R3259" s="9" t="s">
        <v>3017</v>
      </c>
    </row>
    <row r="3260" spans="1:18" x14ac:dyDescent="0.25">
      <c r="A3260" s="6" t="str">
        <f>HYPERLINK("proteomic_fractions_linear_files/Yang_linear_img/205277432.jpg", "205277432")</f>
        <v>205277432</v>
      </c>
      <c r="B3260" s="7"/>
      <c r="C3260" s="6" t="str">
        <f>HYPERLINK("http://www.ncbi.nlm.nih.gov/protein/205277432","Hectd1")</f>
        <v>Hectd1</v>
      </c>
      <c r="D3260" s="8"/>
      <c r="E3260" s="8">
        <v>289099</v>
      </c>
      <c r="F3260" s="8"/>
      <c r="G3260" s="15" t="s">
        <v>10</v>
      </c>
      <c r="H3260" s="15" t="s">
        <v>10</v>
      </c>
      <c r="I3260" s="15" t="s">
        <v>10</v>
      </c>
      <c r="J3260" s="15" t="s">
        <v>10</v>
      </c>
      <c r="K3260" s="15">
        <v>1.0442329572197189</v>
      </c>
      <c r="L3260" s="15">
        <v>1.0442329572197189</v>
      </c>
      <c r="M3260" s="15">
        <v>1.4153756323164006</v>
      </c>
      <c r="N3260" s="15">
        <v>1.4153756323164006</v>
      </c>
      <c r="O3260" s="15">
        <v>1.0442329572197189</v>
      </c>
      <c r="P3260" s="15">
        <v>1.0442329572197189</v>
      </c>
      <c r="Q3260" s="8"/>
      <c r="R3260" s="9" t="s">
        <v>3018</v>
      </c>
    </row>
    <row r="3261" spans="1:18" x14ac:dyDescent="0.25">
      <c r="A3261" s="6" t="str">
        <f>HYPERLINK("proteomic_fractions_linear_files/Yang_linear_img/30424882.jpg", "30424882")</f>
        <v>30424882</v>
      </c>
      <c r="B3261" s="7"/>
      <c r="C3261" s="6" t="str">
        <f>HYPERLINK("http://www.ncbi.nlm.nih.gov/protein/30424882","Hectd3")</f>
        <v>Hectd3</v>
      </c>
      <c r="D3261" s="8"/>
      <c r="E3261" s="8">
        <v>97216</v>
      </c>
      <c r="F3261" s="8"/>
      <c r="G3261" s="15" t="s">
        <v>10</v>
      </c>
      <c r="H3261" s="15" t="s">
        <v>10</v>
      </c>
      <c r="I3261" s="15" t="s">
        <v>10</v>
      </c>
      <c r="J3261" s="15" t="s">
        <v>10</v>
      </c>
      <c r="K3261" s="15">
        <v>1.1319748847539326</v>
      </c>
      <c r="L3261" s="15">
        <v>1.1319748847539326</v>
      </c>
      <c r="M3261" s="15">
        <v>1.1319748847539326</v>
      </c>
      <c r="N3261" s="15">
        <v>1.1319748847539326</v>
      </c>
      <c r="O3261" s="15" t="s">
        <v>10</v>
      </c>
      <c r="P3261" s="15" t="s">
        <v>10</v>
      </c>
      <c r="Q3261" s="8"/>
      <c r="R3261" s="9" t="s">
        <v>3019</v>
      </c>
    </row>
    <row r="3262" spans="1:18" x14ac:dyDescent="0.25">
      <c r="A3262" s="6" t="str">
        <f>HYPERLINK("proteomic_fractions_linear_files/Yang_linear_img/163644255.jpg", "163644255")</f>
        <v>163644255</v>
      </c>
      <c r="B3262" s="7"/>
      <c r="C3262" s="6" t="str">
        <f>HYPERLINK("http://www.ncbi.nlm.nih.gov/protein/163644255","Hecw1")</f>
        <v>Hecw1</v>
      </c>
      <c r="D3262" s="8"/>
      <c r="E3262" s="8">
        <v>179337</v>
      </c>
      <c r="F3262" s="8"/>
      <c r="G3262" s="15" t="s">
        <v>10</v>
      </c>
      <c r="H3262" s="15" t="s">
        <v>10</v>
      </c>
      <c r="I3262" s="15" t="s">
        <v>10</v>
      </c>
      <c r="J3262" s="15" t="s">
        <v>10</v>
      </c>
      <c r="K3262" s="15" t="s">
        <v>10</v>
      </c>
      <c r="L3262" s="15" t="s">
        <v>10</v>
      </c>
      <c r="M3262" s="15" t="s">
        <v>10</v>
      </c>
      <c r="N3262" s="15" t="s">
        <v>10</v>
      </c>
      <c r="O3262" s="15">
        <v>0.15596766088090536</v>
      </c>
      <c r="P3262" s="15">
        <v>0.15596766088090536</v>
      </c>
      <c r="Q3262" s="8"/>
      <c r="R3262" s="9" t="s">
        <v>3020</v>
      </c>
    </row>
    <row r="3263" spans="1:18" x14ac:dyDescent="0.25">
      <c r="A3263" s="6" t="str">
        <f>HYPERLINK("proteomic_fractions_linear_files/Yang_linear_img/165932362.jpg", "165932362")</f>
        <v>165932362</v>
      </c>
      <c r="B3263" s="7"/>
      <c r="C3263" s="6" t="str">
        <f>HYPERLINK("http://www.ncbi.nlm.nih.gov/protein/165932362","Helb")</f>
        <v>Helb</v>
      </c>
      <c r="D3263" s="8"/>
      <c r="E3263" s="8">
        <v>121341</v>
      </c>
      <c r="F3263" s="8"/>
      <c r="G3263" s="15" t="s">
        <v>10</v>
      </c>
      <c r="H3263" s="15" t="s">
        <v>10</v>
      </c>
      <c r="I3263" s="15" t="s">
        <v>10</v>
      </c>
      <c r="J3263" s="15" t="s">
        <v>10</v>
      </c>
      <c r="K3263" s="15">
        <v>1.5435192697515732</v>
      </c>
      <c r="L3263" s="15">
        <v>1.5435192697515732</v>
      </c>
      <c r="M3263" s="15">
        <v>1.2682055465805111</v>
      </c>
      <c r="N3263" s="15">
        <v>1.2682055465805111</v>
      </c>
      <c r="O3263" s="15">
        <v>1.5435192697515732</v>
      </c>
      <c r="P3263" s="15">
        <v>1.5435192697515732</v>
      </c>
      <c r="Q3263" s="8"/>
      <c r="R3263" s="9" t="s">
        <v>3021</v>
      </c>
    </row>
    <row r="3264" spans="1:18" x14ac:dyDescent="0.25">
      <c r="A3264" s="6" t="str">
        <f>HYPERLINK("proteomic_fractions_linear_files/Yang_linear_img/12232371.jpg", "12232371")</f>
        <v>12232371</v>
      </c>
      <c r="B3264" s="7"/>
      <c r="C3264" s="6" t="str">
        <f>HYPERLINK("http://www.ncbi.nlm.nih.gov/protein/12232371","Hells")</f>
        <v>Hells</v>
      </c>
      <c r="D3264" s="8"/>
      <c r="E3264" s="8">
        <v>94995</v>
      </c>
      <c r="F3264" s="8"/>
      <c r="G3264" s="15">
        <v>1.354964506790705</v>
      </c>
      <c r="H3264" s="15">
        <v>1.354964506790705</v>
      </c>
      <c r="I3264" s="15">
        <v>1.1558059349592786</v>
      </c>
      <c r="J3264" s="15">
        <v>1.1558059349592786</v>
      </c>
      <c r="K3264" s="15">
        <v>1.1558059349592786</v>
      </c>
      <c r="L3264" s="15">
        <v>1.1558059349592786</v>
      </c>
      <c r="M3264" s="15">
        <v>1.1558059349592786</v>
      </c>
      <c r="N3264" s="15">
        <v>1.1558059349592786</v>
      </c>
      <c r="O3264" s="15">
        <v>1.1558059349592786</v>
      </c>
      <c r="P3264" s="15">
        <v>1.1558059349592786</v>
      </c>
      <c r="Q3264" s="8"/>
      <c r="R3264" s="9" t="s">
        <v>3022</v>
      </c>
    </row>
    <row r="3265" spans="1:18" x14ac:dyDescent="0.25">
      <c r="A3265" s="6" t="str">
        <f>HYPERLINK("proteomic_fractions_linear_files/Yang_linear_img/50355943.jpg", "50355943")</f>
        <v>50355943</v>
      </c>
      <c r="B3265" s="7"/>
      <c r="C3265" s="6" t="str">
        <f>HYPERLINK("http://www.ncbi.nlm.nih.gov/protein/50355943","Helz")</f>
        <v>Helz</v>
      </c>
      <c r="D3265" s="8"/>
      <c r="E3265" s="8">
        <v>219837</v>
      </c>
      <c r="F3265" s="8"/>
      <c r="G3265" s="15" t="s">
        <v>10</v>
      </c>
      <c r="H3265" s="15" t="s">
        <v>10</v>
      </c>
      <c r="I3265" s="15" t="s">
        <v>10</v>
      </c>
      <c r="J3265" s="15" t="s">
        <v>10</v>
      </c>
      <c r="K3265" s="15">
        <v>1.3717423847113581</v>
      </c>
      <c r="L3265" s="15">
        <v>1.060731125581132</v>
      </c>
      <c r="M3265" s="15" t="s">
        <v>10</v>
      </c>
      <c r="N3265" s="15" t="s">
        <v>10</v>
      </c>
      <c r="O3265" s="15" t="s">
        <v>10</v>
      </c>
      <c r="P3265" s="15" t="s">
        <v>10</v>
      </c>
      <c r="Q3265" s="8"/>
      <c r="R3265" s="9" t="s">
        <v>3023</v>
      </c>
    </row>
    <row r="3266" spans="1:18" x14ac:dyDescent="0.25">
      <c r="A3266" s="6" t="str">
        <f>HYPERLINK("proteomic_fractions_linear_files/Yang_linear_img/125347767.jpg", "125347767")</f>
        <v>125347767</v>
      </c>
      <c r="B3266" s="7"/>
      <c r="C3266" s="6" t="str">
        <f>HYPERLINK("http://www.ncbi.nlm.nih.gov/protein/125347767","Helz2")</f>
        <v>Helz2</v>
      </c>
      <c r="D3266" s="8"/>
      <c r="E3266" s="8">
        <v>331434</v>
      </c>
      <c r="F3266" s="8"/>
      <c r="G3266" s="15" t="s">
        <v>10</v>
      </c>
      <c r="H3266" s="15" t="s">
        <v>10</v>
      </c>
      <c r="I3266" s="15" t="s">
        <v>10</v>
      </c>
      <c r="J3266" s="15" t="s">
        <v>10</v>
      </c>
      <c r="K3266" s="15">
        <v>0.91173209859969417</v>
      </c>
      <c r="L3266" s="15">
        <v>0.91173209859969417</v>
      </c>
      <c r="M3266" s="15" t="s">
        <v>10</v>
      </c>
      <c r="N3266" s="15" t="s">
        <v>10</v>
      </c>
      <c r="O3266" s="15" t="s">
        <v>10</v>
      </c>
      <c r="P3266" s="15" t="s">
        <v>10</v>
      </c>
      <c r="Q3266" s="8"/>
      <c r="R3266" s="9" t="s">
        <v>3024</v>
      </c>
    </row>
    <row r="3267" spans="1:18" x14ac:dyDescent="0.25">
      <c r="A3267" s="6" t="str">
        <f>HYPERLINK("proteomic_fractions_linear_files/Yang_linear_img/257196144.jpg", "257196144")</f>
        <v>257196144</v>
      </c>
      <c r="B3267" s="7"/>
      <c r="C3267" s="6" t="str">
        <f>HYPERLINK("http://www.ncbi.nlm.nih.gov/protein/257196144","Herc1")</f>
        <v>Herc1</v>
      </c>
      <c r="D3267" s="8"/>
      <c r="E3267" s="8">
        <v>532531</v>
      </c>
      <c r="F3267" s="8"/>
      <c r="G3267" s="15" t="s">
        <v>10</v>
      </c>
      <c r="H3267" s="15" t="s">
        <v>10</v>
      </c>
      <c r="I3267" s="15" t="s">
        <v>10</v>
      </c>
      <c r="J3267" s="15" t="s">
        <v>10</v>
      </c>
      <c r="K3267" s="15" t="s">
        <v>10</v>
      </c>
      <c r="L3267" s="15" t="s">
        <v>10</v>
      </c>
      <c r="M3267" s="15">
        <v>1.113494944970552</v>
      </c>
      <c r="N3267" s="15">
        <v>1.113494944970552</v>
      </c>
      <c r="O3267" s="15" t="s">
        <v>10</v>
      </c>
      <c r="P3267" s="15" t="s">
        <v>10</v>
      </c>
      <c r="Q3267" s="8"/>
      <c r="R3267" s="9" t="s">
        <v>3025</v>
      </c>
    </row>
    <row r="3268" spans="1:18" x14ac:dyDescent="0.25">
      <c r="A3268" s="6" t="str">
        <f>HYPERLINK("proteomic_fractions_linear_files/Yang_linear_img/134288898.jpg", "134288898")</f>
        <v>134288898</v>
      </c>
      <c r="B3268" s="7"/>
      <c r="C3268" s="6" t="str">
        <f>HYPERLINK("http://www.ncbi.nlm.nih.gov/protein/134288898","Herc2")</f>
        <v>Herc2</v>
      </c>
      <c r="D3268" s="8"/>
      <c r="E3268" s="8">
        <v>527328</v>
      </c>
      <c r="F3268" s="8"/>
      <c r="G3268" s="15" t="s">
        <v>10</v>
      </c>
      <c r="H3268" s="15" t="s">
        <v>10</v>
      </c>
      <c r="I3268" s="15" t="s">
        <v>10</v>
      </c>
      <c r="J3268" s="15" t="s">
        <v>10</v>
      </c>
      <c r="K3268" s="15">
        <v>0.77617373385092936</v>
      </c>
      <c r="L3268" s="15">
        <v>0.77617373385092936</v>
      </c>
      <c r="M3268" s="15">
        <v>11.372106261859583</v>
      </c>
      <c r="N3268" s="15">
        <v>11.372106261859583</v>
      </c>
      <c r="O3268" s="15" t="s">
        <v>10</v>
      </c>
      <c r="P3268" s="15" t="s">
        <v>10</v>
      </c>
      <c r="Q3268" s="8"/>
      <c r="R3268" s="9" t="s">
        <v>3026</v>
      </c>
    </row>
    <row r="3269" spans="1:18" x14ac:dyDescent="0.25">
      <c r="A3269" s="6" t="str">
        <f>HYPERLINK("proteomic_fractions_linear_files/Yang_linear_img/312433980.jpg", "312433980")</f>
        <v>312433980</v>
      </c>
      <c r="B3269" s="7"/>
      <c r="C3269" s="6" t="str">
        <f>HYPERLINK("http://www.ncbi.nlm.nih.gov/protein/312433980","Herc4")</f>
        <v>Herc4</v>
      </c>
      <c r="D3269" s="8"/>
      <c r="E3269" s="8">
        <v>118281</v>
      </c>
      <c r="F3269" s="8"/>
      <c r="G3269" s="15" t="s">
        <v>10</v>
      </c>
      <c r="H3269" s="15" t="s">
        <v>10</v>
      </c>
      <c r="I3269" s="15" t="s">
        <v>10</v>
      </c>
      <c r="J3269" s="15" t="s">
        <v>10</v>
      </c>
      <c r="K3269" s="15" t="s">
        <v>10</v>
      </c>
      <c r="L3269" s="15" t="s">
        <v>10</v>
      </c>
      <c r="M3269" s="15" t="s">
        <v>10</v>
      </c>
      <c r="N3269" s="15" t="s">
        <v>10</v>
      </c>
      <c r="O3269" s="15">
        <v>1.0908612554670929</v>
      </c>
      <c r="P3269" s="15">
        <v>1.0908612554670929</v>
      </c>
      <c r="Q3269" s="8"/>
      <c r="R3269" s="9" t="s">
        <v>3027</v>
      </c>
    </row>
    <row r="3270" spans="1:18" x14ac:dyDescent="0.25">
      <c r="A3270" s="6" t="str">
        <f>HYPERLINK("proteomic_fractions_linear_files/Yang_linear_img/32451488.jpg", "32451488")</f>
        <v>32451488</v>
      </c>
      <c r="B3270" s="7"/>
      <c r="C3270" s="6" t="str">
        <f>HYPERLINK("http://www.ncbi.nlm.nih.gov/protein/32451488","Herc4")</f>
        <v>Herc4</v>
      </c>
      <c r="D3270" s="8"/>
      <c r="E3270" s="8">
        <v>117456</v>
      </c>
      <c r="F3270" s="8"/>
      <c r="G3270" s="15" t="s">
        <v>10</v>
      </c>
      <c r="H3270" s="15" t="s">
        <v>10</v>
      </c>
      <c r="I3270" s="15" t="s">
        <v>10</v>
      </c>
      <c r="J3270" s="15" t="s">
        <v>10</v>
      </c>
      <c r="K3270" s="15" t="s">
        <v>10</v>
      </c>
      <c r="L3270" s="15" t="s">
        <v>10</v>
      </c>
      <c r="M3270" s="15" t="s">
        <v>10</v>
      </c>
      <c r="N3270" s="15" t="s">
        <v>10</v>
      </c>
      <c r="O3270" s="15">
        <v>1.1001848559411707</v>
      </c>
      <c r="P3270" s="15">
        <v>1.1001848559411707</v>
      </c>
      <c r="Q3270" s="8"/>
      <c r="R3270" s="9" t="s">
        <v>3028</v>
      </c>
    </row>
    <row r="3271" spans="1:18" x14ac:dyDescent="0.25">
      <c r="A3271" s="6" t="str">
        <f>HYPERLINK("proteomic_fractions_linear_files/Yang_linear_img/11612515.jpg", "11612515")</f>
        <v>11612515</v>
      </c>
      <c r="B3271" s="7"/>
      <c r="C3271" s="6" t="str">
        <f>HYPERLINK("http://www.ncbi.nlm.nih.gov/protein/11612515","Herpud1")</f>
        <v>Herpud1</v>
      </c>
      <c r="D3271" s="8"/>
      <c r="E3271" s="8">
        <v>43776</v>
      </c>
      <c r="F3271" s="8"/>
      <c r="G3271" s="15" t="s">
        <v>10</v>
      </c>
      <c r="H3271" s="15" t="s">
        <v>10</v>
      </c>
      <c r="I3271" s="15">
        <v>1.2072856734091155</v>
      </c>
      <c r="J3271" s="15">
        <v>1.2072856734091155</v>
      </c>
      <c r="K3271" s="15">
        <v>1.3357547178544058</v>
      </c>
      <c r="L3271" s="15">
        <v>1.3357547178544058</v>
      </c>
      <c r="M3271" s="15" t="s">
        <v>10</v>
      </c>
      <c r="N3271" s="15" t="s">
        <v>10</v>
      </c>
      <c r="O3271" s="15" t="s">
        <v>10</v>
      </c>
      <c r="P3271" s="15" t="s">
        <v>10</v>
      </c>
      <c r="Q3271" s="8"/>
      <c r="R3271" s="9" t="s">
        <v>3029</v>
      </c>
    </row>
    <row r="3272" spans="1:18" x14ac:dyDescent="0.25">
      <c r="A3272" s="6" t="str">
        <f>HYPERLINK("proteomic_fractions_linear_files/Yang_linear_img/67514549.jpg", "67514549")</f>
        <v>67514549</v>
      </c>
      <c r="B3272" s="7"/>
      <c r="C3272" s="6" t="str">
        <f>HYPERLINK("http://www.ncbi.nlm.nih.gov/protein/67514549","Hexa")</f>
        <v>Hexa</v>
      </c>
      <c r="D3272" s="8"/>
      <c r="E3272" s="8">
        <v>50429</v>
      </c>
      <c r="F3272" s="8"/>
      <c r="G3272" s="15" t="s">
        <v>10</v>
      </c>
      <c r="H3272" s="15" t="s">
        <v>10</v>
      </c>
      <c r="I3272" s="15">
        <v>1.0624113926000216</v>
      </c>
      <c r="J3272" s="15">
        <v>1.0624113926000216</v>
      </c>
      <c r="K3272" s="15">
        <v>1.1754641517118771</v>
      </c>
      <c r="L3272" s="15">
        <v>1.1754641517118771</v>
      </c>
      <c r="M3272" s="15">
        <v>1.1754641517118771</v>
      </c>
      <c r="N3272" s="15">
        <v>1.1754641517118771</v>
      </c>
      <c r="O3272" s="15" t="s">
        <v>10</v>
      </c>
      <c r="P3272" s="15" t="s">
        <v>10</v>
      </c>
      <c r="Q3272" s="8"/>
      <c r="R3272" s="9" t="s">
        <v>3030</v>
      </c>
    </row>
    <row r="3273" spans="1:18" x14ac:dyDescent="0.25">
      <c r="A3273" s="6" t="str">
        <f>HYPERLINK("proteomic_fractions_linear_files/Yang_linear_img/6754186.jpg", "6754186")</f>
        <v>6754186</v>
      </c>
      <c r="B3273" s="7"/>
      <c r="C3273" s="6" t="str">
        <f>HYPERLINK("http://www.ncbi.nlm.nih.gov/protein/6754186","Hexb")</f>
        <v>Hexb</v>
      </c>
      <c r="D3273" s="8"/>
      <c r="E3273" s="8">
        <v>57951</v>
      </c>
      <c r="F3273" s="8"/>
      <c r="G3273" s="15" t="s">
        <v>10</v>
      </c>
      <c r="H3273" s="15" t="s">
        <v>10</v>
      </c>
      <c r="I3273" s="15">
        <v>0.83258578593819399</v>
      </c>
      <c r="J3273" s="15">
        <v>0.83258578593819399</v>
      </c>
      <c r="K3273" s="15">
        <v>0.91587189017243242</v>
      </c>
      <c r="L3273" s="15">
        <v>0.91587189017243242</v>
      </c>
      <c r="M3273" s="15">
        <v>0.39844092025374905</v>
      </c>
      <c r="N3273" s="15">
        <v>0.39844092025374905</v>
      </c>
      <c r="O3273" s="15">
        <v>0.22925972453450921</v>
      </c>
      <c r="P3273" s="15">
        <v>0.22925972453450921</v>
      </c>
      <c r="Q3273" s="8"/>
      <c r="R3273" s="9" t="s">
        <v>3031</v>
      </c>
    </row>
    <row r="3274" spans="1:18" x14ac:dyDescent="0.25">
      <c r="A3274" s="6" t="str">
        <f>HYPERLINK("proteomic_fractions_linear_files/Yang_linear_img/20270289.jpg", "20270289")</f>
        <v>20270289</v>
      </c>
      <c r="B3274" s="7"/>
      <c r="C3274" s="6" t="str">
        <f>HYPERLINK("http://www.ncbi.nlm.nih.gov/protein/20270289","Hexim1")</f>
        <v>Hexim1</v>
      </c>
      <c r="D3274" s="8"/>
      <c r="E3274" s="8">
        <v>40112</v>
      </c>
      <c r="F3274" s="8"/>
      <c r="G3274" s="15" t="s">
        <v>10</v>
      </c>
      <c r="H3274" s="15" t="s">
        <v>10</v>
      </c>
      <c r="I3274" s="15" t="s">
        <v>10</v>
      </c>
      <c r="J3274" s="15" t="s">
        <v>10</v>
      </c>
      <c r="K3274" s="15">
        <v>1.4693301896398463</v>
      </c>
      <c r="L3274" s="15">
        <v>1.4693301896398463</v>
      </c>
      <c r="M3274" s="15">
        <v>0.80210182139333974</v>
      </c>
      <c r="N3274" s="15">
        <v>0.8638344132618796</v>
      </c>
      <c r="O3274" s="15">
        <v>1.3280142407500271</v>
      </c>
      <c r="P3274" s="15">
        <v>1.3280142407500271</v>
      </c>
      <c r="Q3274" s="8"/>
      <c r="R3274" s="9" t="s">
        <v>3032</v>
      </c>
    </row>
    <row r="3275" spans="1:18" x14ac:dyDescent="0.25">
      <c r="A3275" s="6" t="str">
        <f>HYPERLINK("proteomic_fractions_linear_files/Yang_linear_img/226693388.jpg", "226693388")</f>
        <v>226693388</v>
      </c>
      <c r="B3275" s="7"/>
      <c r="C3275" s="6" t="str">
        <f>HYPERLINK("http://www.ncbi.nlm.nih.gov/protein/226693388","Hgs")</f>
        <v>Hgs</v>
      </c>
      <c r="D3275" s="8"/>
      <c r="E3275" s="8">
        <v>86012</v>
      </c>
      <c r="F3275" s="8"/>
      <c r="G3275" s="15" t="s">
        <v>10</v>
      </c>
      <c r="H3275" s="15" t="s">
        <v>10</v>
      </c>
      <c r="I3275" s="15">
        <v>1.2767623700131565</v>
      </c>
      <c r="J3275" s="15">
        <v>1.2767623700131565</v>
      </c>
      <c r="K3275" s="15">
        <v>1.4967631179664764</v>
      </c>
      <c r="L3275" s="15">
        <v>1.4967631179664764</v>
      </c>
      <c r="M3275" s="15" t="s">
        <v>10</v>
      </c>
      <c r="N3275" s="15" t="s">
        <v>10</v>
      </c>
      <c r="O3275" s="15">
        <v>1.2767623700131565</v>
      </c>
      <c r="P3275" s="15">
        <v>1.2767623700131565</v>
      </c>
      <c r="Q3275" s="8"/>
      <c r="R3275" s="9" t="s">
        <v>3033</v>
      </c>
    </row>
    <row r="3276" spans="1:18" x14ac:dyDescent="0.25">
      <c r="A3276" s="6" t="str">
        <f>HYPERLINK("proteomic_fractions_linear_files/Yang_linear_img/226874952.jpg", "226874952")</f>
        <v>226874952</v>
      </c>
      <c r="B3276" s="7"/>
      <c r="C3276" s="6" t="str">
        <f>HYPERLINK("http://www.ncbi.nlm.nih.gov/protein/226874952","Hgs")</f>
        <v>Hgs</v>
      </c>
      <c r="D3276" s="8"/>
      <c r="E3276" s="8">
        <v>85884</v>
      </c>
      <c r="F3276" s="8"/>
      <c r="G3276" s="15" t="s">
        <v>10</v>
      </c>
      <c r="H3276" s="15" t="s">
        <v>10</v>
      </c>
      <c r="I3276" s="15">
        <v>1.2767623700131565</v>
      </c>
      <c r="J3276" s="15">
        <v>1.2767623700131565</v>
      </c>
      <c r="K3276" s="15">
        <v>1.4967631179664764</v>
      </c>
      <c r="L3276" s="15">
        <v>1.4967631179664764</v>
      </c>
      <c r="M3276" s="15" t="s">
        <v>10</v>
      </c>
      <c r="N3276" s="15" t="s">
        <v>10</v>
      </c>
      <c r="O3276" s="15">
        <v>1.2767623700131565</v>
      </c>
      <c r="P3276" s="15">
        <v>1.2767623700131565</v>
      </c>
      <c r="Q3276" s="8"/>
      <c r="R3276" s="9" t="s">
        <v>3034</v>
      </c>
    </row>
    <row r="3277" spans="1:18" x14ac:dyDescent="0.25">
      <c r="A3277" s="6" t="str">
        <f>HYPERLINK("proteomic_fractions_linear_files/Yang_linear_img/115292433.jpg", "115292433")</f>
        <v>115292433</v>
      </c>
      <c r="B3277" s="7"/>
      <c r="C3277" s="6" t="str">
        <f>HYPERLINK("http://www.ncbi.nlm.nih.gov/protein/115292433","Hgsnat")</f>
        <v>Hgsnat</v>
      </c>
      <c r="D3277" s="8"/>
      <c r="E3277" s="8">
        <v>72373</v>
      </c>
      <c r="F3277" s="8"/>
      <c r="G3277" s="15" t="s">
        <v>10</v>
      </c>
      <c r="H3277" s="15" t="s">
        <v>10</v>
      </c>
      <c r="I3277" s="15">
        <v>0.47990800736771089</v>
      </c>
      <c r="J3277" s="15">
        <v>0.47990800736771089</v>
      </c>
      <c r="K3277" s="15">
        <v>0.56260164171142701</v>
      </c>
      <c r="L3277" s="15">
        <v>0.56260164171142701</v>
      </c>
      <c r="M3277" s="15" t="s">
        <v>10</v>
      </c>
      <c r="N3277" s="15" t="s">
        <v>10</v>
      </c>
      <c r="O3277" s="15" t="s">
        <v>10</v>
      </c>
      <c r="P3277" s="15" t="s">
        <v>10</v>
      </c>
      <c r="Q3277" s="8"/>
      <c r="R3277" s="9" t="s">
        <v>3035</v>
      </c>
    </row>
    <row r="3278" spans="1:18" x14ac:dyDescent="0.25">
      <c r="A3278" s="6" t="str">
        <f>HYPERLINK("proteomic_fractions_linear_files/Yang_linear_img/160358774.jpg", "160358774")</f>
        <v>160358774</v>
      </c>
      <c r="B3278" s="7"/>
      <c r="C3278" s="6" t="str">
        <f>HYPERLINK("http://www.ncbi.nlm.nih.gov/protein/160358774","Hhip")</f>
        <v>Hhip</v>
      </c>
      <c r="D3278" s="8"/>
      <c r="E3278" s="8">
        <v>76670</v>
      </c>
      <c r="F3278" s="8"/>
      <c r="G3278" s="15" t="s">
        <v>10</v>
      </c>
      <c r="H3278" s="15" t="s">
        <v>10</v>
      </c>
      <c r="I3278" s="15" t="s">
        <v>10</v>
      </c>
      <c r="J3278" s="15" t="s">
        <v>10</v>
      </c>
      <c r="K3278" s="15">
        <v>1.2333504049686299</v>
      </c>
      <c r="L3278" s="15">
        <v>1.2333504049686299</v>
      </c>
      <c r="M3278" s="15">
        <v>0.4849522912094103</v>
      </c>
      <c r="N3278" s="15">
        <v>0.4849522912094103</v>
      </c>
      <c r="O3278" s="15" t="s">
        <v>10</v>
      </c>
      <c r="P3278" s="15" t="s">
        <v>10</v>
      </c>
      <c r="Q3278" s="8"/>
      <c r="R3278" s="9" t="s">
        <v>3036</v>
      </c>
    </row>
    <row r="3279" spans="1:18" x14ac:dyDescent="0.25">
      <c r="A3279" s="6" t="str">
        <f>HYPERLINK("proteomic_fractions_linear_files/Yang_linear_img/21704140.jpg", "21704140")</f>
        <v>21704140</v>
      </c>
      <c r="B3279" s="7"/>
      <c r="C3279" s="6" t="str">
        <f>HYPERLINK("http://www.ncbi.nlm.nih.gov/protein/21704140","Hibadh")</f>
        <v>Hibadh</v>
      </c>
      <c r="D3279" s="8"/>
      <c r="E3279" s="8">
        <v>31742</v>
      </c>
      <c r="F3279" s="8"/>
      <c r="G3279" s="15">
        <v>1.2658536938507108</v>
      </c>
      <c r="H3279" s="15">
        <v>1.2658536938507108</v>
      </c>
      <c r="I3279" s="15">
        <v>0.87244410305256437</v>
      </c>
      <c r="J3279" s="15">
        <v>0.87244410305256437</v>
      </c>
      <c r="K3279" s="15" t="s">
        <v>10</v>
      </c>
      <c r="L3279" s="15" t="s">
        <v>10</v>
      </c>
      <c r="M3279" s="15" t="s">
        <v>10</v>
      </c>
      <c r="N3279" s="15" t="s">
        <v>10</v>
      </c>
      <c r="O3279" s="15">
        <v>0.81719556610703126</v>
      </c>
      <c r="P3279" s="15">
        <v>0.81719556610703126</v>
      </c>
      <c r="Q3279" s="8"/>
      <c r="R3279" s="9" t="s">
        <v>3037</v>
      </c>
    </row>
    <row r="3280" spans="1:18" x14ac:dyDescent="0.25">
      <c r="A3280" s="6" t="str">
        <f>HYPERLINK("proteomic_fractions_linear_files/Yang_linear_img/22122625.jpg", "22122625")</f>
        <v>22122625</v>
      </c>
      <c r="B3280" s="7"/>
      <c r="C3280" s="6" t="str">
        <f>HYPERLINK("http://www.ncbi.nlm.nih.gov/protein/22122625","Hibch")</f>
        <v>Hibch</v>
      </c>
      <c r="D3280" s="8"/>
      <c r="E3280" s="8">
        <v>39239</v>
      </c>
      <c r="F3280" s="8"/>
      <c r="G3280" s="15">
        <v>0.8859840136019278</v>
      </c>
      <c r="H3280" s="15">
        <v>0.8859840136019278</v>
      </c>
      <c r="I3280" s="15">
        <v>0.8859840136019278</v>
      </c>
      <c r="J3280" s="15">
        <v>0.8859840136019278</v>
      </c>
      <c r="K3280" s="15">
        <v>0.95746990828524592</v>
      </c>
      <c r="L3280" s="15">
        <v>0.95746990828524592</v>
      </c>
      <c r="M3280" s="15" t="s">
        <v>10</v>
      </c>
      <c r="N3280" s="15" t="s">
        <v>10</v>
      </c>
      <c r="O3280" s="15">
        <v>0.82266853476239965</v>
      </c>
      <c r="P3280" s="15">
        <v>0.82266853476239965</v>
      </c>
      <c r="Q3280" s="8"/>
      <c r="R3280" s="9" t="s">
        <v>3038</v>
      </c>
    </row>
    <row r="3281" spans="1:18" x14ac:dyDescent="0.25">
      <c r="A3281" s="6" t="str">
        <f>HYPERLINK("proteomic_fractions_linear_files/Yang_linear_img/70887767.jpg", "70887767")</f>
        <v>70887767</v>
      </c>
      <c r="B3281" s="7"/>
      <c r="C3281" s="6" t="str">
        <f>HYPERLINK("http://www.ncbi.nlm.nih.gov/protein/70887767","Hic2")</f>
        <v>Hic2</v>
      </c>
      <c r="D3281" s="8"/>
      <c r="E3281" s="8">
        <v>66636</v>
      </c>
      <c r="F3281" s="8"/>
      <c r="G3281" s="15" t="s">
        <v>10</v>
      </c>
      <c r="H3281" s="15" t="s">
        <v>10</v>
      </c>
      <c r="I3281" s="15">
        <v>0.97691437806782588</v>
      </c>
      <c r="J3281" s="15">
        <v>0.97691437806782588</v>
      </c>
      <c r="K3281" s="15">
        <v>0.41668972086092626</v>
      </c>
      <c r="L3281" s="15">
        <v>0.41668972086092626</v>
      </c>
      <c r="M3281" s="15">
        <v>0.39030235993171641</v>
      </c>
      <c r="N3281" s="15">
        <v>0.39030235993171641</v>
      </c>
      <c r="O3281" s="15" t="s">
        <v>10</v>
      </c>
      <c r="P3281" s="15" t="s">
        <v>10</v>
      </c>
      <c r="Q3281" s="8"/>
      <c r="R3281" s="9" t="s">
        <v>3039</v>
      </c>
    </row>
    <row r="3282" spans="1:18" x14ac:dyDescent="0.25">
      <c r="A3282" s="6" t="str">
        <f>HYPERLINK("proteomic_fractions_linear_files/Yang_linear_img/29825825.jpg", "29825825")</f>
        <v>29825825</v>
      </c>
      <c r="B3282" s="7"/>
      <c r="C3282" s="6" t="str">
        <f>HYPERLINK("http://www.ncbi.nlm.nih.gov/protein/29825825","Hid1")</f>
        <v>Hid1</v>
      </c>
      <c r="D3282" s="8"/>
      <c r="E3282" s="8">
        <v>88649</v>
      </c>
      <c r="F3282" s="8"/>
      <c r="G3282" s="15" t="s">
        <v>10</v>
      </c>
      <c r="H3282" s="15" t="s">
        <v>10</v>
      </c>
      <c r="I3282" s="15">
        <v>1.0670559683436462</v>
      </c>
      <c r="J3282" s="15">
        <v>1.0670559683436462</v>
      </c>
      <c r="K3282" s="15">
        <v>1.2337254361924883</v>
      </c>
      <c r="L3282" s="15">
        <v>1.2337254361924883</v>
      </c>
      <c r="M3282" s="15" t="s">
        <v>10</v>
      </c>
      <c r="N3282" s="15" t="s">
        <v>10</v>
      </c>
      <c r="O3282" s="15">
        <v>1.0670559683436462</v>
      </c>
      <c r="P3282" s="15">
        <v>1.0670559683436462</v>
      </c>
      <c r="Q3282" s="8"/>
      <c r="R3282" s="9" t="s">
        <v>3040</v>
      </c>
    </row>
    <row r="3283" spans="1:18" x14ac:dyDescent="0.25">
      <c r="A3283" s="6" t="str">
        <f>HYPERLINK("proteomic_fractions_linear_files/Yang_linear_img/70909332.jpg", "70909332")</f>
        <v>70909332</v>
      </c>
      <c r="B3283" s="7"/>
      <c r="C3283" s="6" t="str">
        <f>HYPERLINK("http://www.ncbi.nlm.nih.gov/protein/70909332","Hif1an")</f>
        <v>Hif1an</v>
      </c>
      <c r="D3283" s="8"/>
      <c r="E3283" s="8">
        <v>40110</v>
      </c>
      <c r="F3283" s="8"/>
      <c r="G3283" s="15" t="s">
        <v>10</v>
      </c>
      <c r="H3283" s="15" t="s">
        <v>10</v>
      </c>
      <c r="I3283" s="15" t="s">
        <v>10</v>
      </c>
      <c r="J3283" s="15" t="s">
        <v>10</v>
      </c>
      <c r="K3283" s="15" t="s">
        <v>10</v>
      </c>
      <c r="L3283" s="15" t="s">
        <v>10</v>
      </c>
      <c r="M3283" s="15" t="s">
        <v>10</v>
      </c>
      <c r="N3283" s="15" t="s">
        <v>10</v>
      </c>
      <c r="O3283" s="15">
        <v>0.8638344132618796</v>
      </c>
      <c r="P3283" s="15">
        <v>0.8638344132618796</v>
      </c>
      <c r="Q3283" s="8"/>
      <c r="R3283" s="9" t="s">
        <v>3041</v>
      </c>
    </row>
    <row r="3284" spans="1:18" x14ac:dyDescent="0.25">
      <c r="A3284" s="6" t="str">
        <f>HYPERLINK("proteomic_fractions_linear_files/Yang_linear_img/9789977.jpg", "9789977")</f>
        <v>9789977</v>
      </c>
      <c r="B3284" s="7"/>
      <c r="C3284" s="6" t="str">
        <f>HYPERLINK("http://www.ncbi.nlm.nih.gov/protein/9789977","Higd1a")</f>
        <v>Higd1a</v>
      </c>
      <c r="D3284" s="8"/>
      <c r="E3284" s="8">
        <v>10294</v>
      </c>
      <c r="F3284" s="8"/>
      <c r="G3284" s="15" t="s">
        <v>10</v>
      </c>
      <c r="H3284" s="15" t="s">
        <v>10</v>
      </c>
      <c r="I3284" s="15">
        <v>1.3885850499936649</v>
      </c>
      <c r="J3284" s="15">
        <v>1.3885850499936649</v>
      </c>
      <c r="K3284" s="15" t="s">
        <v>10</v>
      </c>
      <c r="L3284" s="15" t="s">
        <v>10</v>
      </c>
      <c r="M3284" s="15" t="s">
        <v>10</v>
      </c>
      <c r="N3284" s="15" t="s">
        <v>10</v>
      </c>
      <c r="O3284" s="15" t="s">
        <v>10</v>
      </c>
      <c r="P3284" s="15" t="s">
        <v>10</v>
      </c>
      <c r="Q3284" s="8"/>
      <c r="R3284" s="9" t="s">
        <v>3042</v>
      </c>
    </row>
    <row r="3285" spans="1:18" x14ac:dyDescent="0.25">
      <c r="A3285" s="6" t="str">
        <f>HYPERLINK("proteomic_fractions_linear_files/Yang_linear_img/12963711.jpg", "12963711")</f>
        <v>12963711</v>
      </c>
      <c r="B3285" s="7"/>
      <c r="C3285" s="6" t="str">
        <f>HYPERLINK("http://www.ncbi.nlm.nih.gov/protein/12963711","Hilpda")</f>
        <v>Hilpda</v>
      </c>
      <c r="D3285" s="8"/>
      <c r="E3285" s="8">
        <v>6876</v>
      </c>
      <c r="F3285" s="8"/>
      <c r="G3285" s="15" t="s">
        <v>10</v>
      </c>
      <c r="H3285" s="15" t="s">
        <v>10</v>
      </c>
      <c r="I3285" s="15" t="s">
        <v>10</v>
      </c>
      <c r="J3285" s="15" t="s">
        <v>10</v>
      </c>
      <c r="K3285" s="15">
        <v>1.821031334562518</v>
      </c>
      <c r="L3285" s="15">
        <v>1.821031334562518</v>
      </c>
      <c r="M3285" s="15" t="s">
        <v>10</v>
      </c>
      <c r="N3285" s="15" t="s">
        <v>10</v>
      </c>
      <c r="O3285" s="15" t="s">
        <v>10</v>
      </c>
      <c r="P3285" s="15" t="s">
        <v>10</v>
      </c>
      <c r="Q3285" s="8"/>
      <c r="R3285" s="9" t="s">
        <v>3043</v>
      </c>
    </row>
    <row r="3286" spans="1:18" x14ac:dyDescent="0.25">
      <c r="A3286" s="6" t="str">
        <f>HYPERLINK("proteomic_fractions_linear_files/Yang_linear_img/299758486.jpg", "299758486")</f>
        <v>299758486</v>
      </c>
      <c r="B3286" s="7"/>
      <c r="C3286" s="6" t="str">
        <f>HYPERLINK("http://www.ncbi.nlm.nih.gov/protein/299758486","Hilpda")</f>
        <v>Hilpda</v>
      </c>
      <c r="D3286" s="8"/>
      <c r="E3286" s="8">
        <v>10080</v>
      </c>
      <c r="F3286" s="8"/>
      <c r="G3286" s="15" t="s">
        <v>10</v>
      </c>
      <c r="H3286" s="15" t="s">
        <v>10</v>
      </c>
      <c r="I3286" s="15" t="s">
        <v>10</v>
      </c>
      <c r="J3286" s="15" t="s">
        <v>10</v>
      </c>
      <c r="K3286" s="15">
        <v>1.2747219341937626</v>
      </c>
      <c r="L3286" s="15">
        <v>1.2747219341937626</v>
      </c>
      <c r="M3286" s="15" t="s">
        <v>10</v>
      </c>
      <c r="N3286" s="15" t="s">
        <v>10</v>
      </c>
      <c r="O3286" s="15" t="s">
        <v>10</v>
      </c>
      <c r="P3286" s="15" t="s">
        <v>10</v>
      </c>
      <c r="Q3286" s="8"/>
      <c r="R3286" s="9" t="s">
        <v>3044</v>
      </c>
    </row>
    <row r="3287" spans="1:18" x14ac:dyDescent="0.25">
      <c r="A3287" s="6" t="str">
        <f>HYPERLINK("proteomic_fractions_linear_files/Yang_linear_img/33468857.jpg", "33468857")</f>
        <v>33468857</v>
      </c>
      <c r="B3287" s="7"/>
      <c r="C3287" s="6" t="str">
        <f>HYPERLINK("http://www.ncbi.nlm.nih.gov/protein/33468857","Hint1")</f>
        <v>Hint1</v>
      </c>
      <c r="D3287" s="8"/>
      <c r="E3287" s="8">
        <v>13646</v>
      </c>
      <c r="F3287" s="8"/>
      <c r="G3287" s="15">
        <v>1.5568387336199108</v>
      </c>
      <c r="H3287" s="15">
        <v>1.5568387336199108</v>
      </c>
      <c r="I3287" s="15">
        <v>1.085452735272449</v>
      </c>
      <c r="J3287" s="15">
        <v>1.085452735272449</v>
      </c>
      <c r="K3287" s="15">
        <v>1.085452735272449</v>
      </c>
      <c r="L3287" s="15">
        <v>1.085452735272449</v>
      </c>
      <c r="M3287" s="15">
        <v>1.085452735272449</v>
      </c>
      <c r="N3287" s="15">
        <v>1.085452735272449</v>
      </c>
      <c r="O3287" s="15">
        <v>0.99184646428118928</v>
      </c>
      <c r="P3287" s="15">
        <v>0.99184646428118928</v>
      </c>
      <c r="Q3287" s="8"/>
      <c r="R3287" s="9" t="s">
        <v>3045</v>
      </c>
    </row>
    <row r="3288" spans="1:18" x14ac:dyDescent="0.25">
      <c r="A3288" s="6" t="str">
        <f>HYPERLINK("proteomic_fractions_linear_files/Yang_linear_img/110625719.jpg", "110625719")</f>
        <v>110625719</v>
      </c>
      <c r="B3288" s="7"/>
      <c r="C3288" s="6" t="str">
        <f>HYPERLINK("http://www.ncbi.nlm.nih.gov/protein/110625719","Hint2")</f>
        <v>Hint2</v>
      </c>
      <c r="D3288" s="8"/>
      <c r="E3288" s="8">
        <v>15598</v>
      </c>
      <c r="F3288" s="8"/>
      <c r="G3288" s="15">
        <v>0.90734210761689671</v>
      </c>
      <c r="H3288" s="15">
        <v>1.4443483359198404</v>
      </c>
      <c r="I3288" s="15">
        <v>0.94977114336339286</v>
      </c>
      <c r="J3288" s="15">
        <v>0.94977114336339286</v>
      </c>
      <c r="K3288" s="15" t="s">
        <v>10</v>
      </c>
      <c r="L3288" s="15" t="s">
        <v>10</v>
      </c>
      <c r="M3288" s="15" t="s">
        <v>10</v>
      </c>
      <c r="N3288" s="15" t="s">
        <v>10</v>
      </c>
      <c r="O3288" s="15" t="s">
        <v>10</v>
      </c>
      <c r="P3288" s="15" t="s">
        <v>10</v>
      </c>
      <c r="Q3288" s="8"/>
      <c r="R3288" s="9" t="s">
        <v>3046</v>
      </c>
    </row>
    <row r="3289" spans="1:18" x14ac:dyDescent="0.25">
      <c r="A3289" s="6" t="str">
        <f>HYPERLINK("proteomic_fractions_linear_files/Yang_linear_img/13385270.jpg", "13385270")</f>
        <v>13385270</v>
      </c>
      <c r="B3289" s="7"/>
      <c r="C3289" s="6" t="str">
        <f>HYPERLINK("http://www.ncbi.nlm.nih.gov/protein/13385270","Hint3")</f>
        <v>Hint3</v>
      </c>
      <c r="D3289" s="8"/>
      <c r="E3289" s="8">
        <v>18656</v>
      </c>
      <c r="F3289" s="8"/>
      <c r="G3289" s="15" t="s">
        <v>10</v>
      </c>
      <c r="H3289" s="15" t="s">
        <v>10</v>
      </c>
      <c r="I3289" s="15">
        <v>0.97343679813495176</v>
      </c>
      <c r="J3289" s="15">
        <v>0.97343679813495176</v>
      </c>
      <c r="K3289" s="15">
        <v>0.97343679813495176</v>
      </c>
      <c r="L3289" s="15">
        <v>0.97343679813495176</v>
      </c>
      <c r="M3289" s="15">
        <v>0.97343679813495176</v>
      </c>
      <c r="N3289" s="15">
        <v>0.97343679813495176</v>
      </c>
      <c r="O3289" s="15" t="s">
        <v>10</v>
      </c>
      <c r="P3289" s="15" t="s">
        <v>10</v>
      </c>
      <c r="Q3289" s="8"/>
      <c r="R3289" s="9" t="s">
        <v>3047</v>
      </c>
    </row>
    <row r="3290" spans="1:18" x14ac:dyDescent="0.25">
      <c r="A3290" s="6" t="str">
        <f>HYPERLINK("proteomic_fractions_linear_files/Yang_linear_img/225007582.jpg", "225007582")</f>
        <v>225007582</v>
      </c>
      <c r="B3290" s="7"/>
      <c r="C3290" s="6" t="str">
        <f>HYPERLINK("http://www.ncbi.nlm.nih.gov/protein/225007582","Hip1")</f>
        <v>Hip1</v>
      </c>
      <c r="D3290" s="8"/>
      <c r="E3290" s="8">
        <v>115072</v>
      </c>
      <c r="F3290" s="8"/>
      <c r="G3290" s="15" t="s">
        <v>10</v>
      </c>
      <c r="H3290" s="15" t="s">
        <v>10</v>
      </c>
      <c r="I3290" s="15" t="s">
        <v>10</v>
      </c>
      <c r="J3290" s="15" t="s">
        <v>10</v>
      </c>
      <c r="K3290" s="15">
        <v>1.1193185056097128</v>
      </c>
      <c r="L3290" s="15">
        <v>1.1193185056097128</v>
      </c>
      <c r="M3290" s="15" t="s">
        <v>10</v>
      </c>
      <c r="N3290" s="15" t="s">
        <v>10</v>
      </c>
      <c r="O3290" s="15" t="s">
        <v>10</v>
      </c>
      <c r="P3290" s="15" t="s">
        <v>10</v>
      </c>
      <c r="Q3290" s="8"/>
      <c r="R3290" s="9" t="s">
        <v>3048</v>
      </c>
    </row>
    <row r="3291" spans="1:18" x14ac:dyDescent="0.25">
      <c r="A3291" s="6" t="str">
        <f>HYPERLINK("proteomic_fractions_linear_files/Yang_linear_img/255308928.jpg", "255308928")</f>
        <v>255308928</v>
      </c>
      <c r="B3291" s="7"/>
      <c r="C3291" s="6" t="str">
        <f>HYPERLINK("http://www.ncbi.nlm.nih.gov/protein/255308928","Hip1r")</f>
        <v>Hip1r</v>
      </c>
      <c r="D3291" s="8"/>
      <c r="E3291" s="8">
        <v>119296</v>
      </c>
      <c r="F3291" s="8"/>
      <c r="G3291" s="15">
        <v>4.9873345014227244</v>
      </c>
      <c r="H3291" s="15">
        <v>4.9873345014227244</v>
      </c>
      <c r="I3291" s="15">
        <v>1.2895199255146372</v>
      </c>
      <c r="J3291" s="15">
        <v>1.2895199255146372</v>
      </c>
      <c r="K3291" s="15">
        <v>1.2895199255146372</v>
      </c>
      <c r="L3291" s="15">
        <v>1.2895199255146372</v>
      </c>
      <c r="M3291" s="15">
        <v>1.2895199255146372</v>
      </c>
      <c r="N3291" s="15">
        <v>1.2895199255146372</v>
      </c>
      <c r="O3291" s="15">
        <v>1.0816943541606467</v>
      </c>
      <c r="P3291" s="15">
        <v>1.0816943541606467</v>
      </c>
      <c r="Q3291" s="8"/>
      <c r="R3291" s="9" t="s">
        <v>3049</v>
      </c>
    </row>
    <row r="3292" spans="1:18" x14ac:dyDescent="0.25">
      <c r="A3292" s="6" t="str">
        <f>HYPERLINK("proteomic_fractions_linear_files/Yang_linear_img/27370102.jpg", "27370102")</f>
        <v>27370102</v>
      </c>
      <c r="B3292" s="7"/>
      <c r="C3292" s="6" t="str">
        <f>HYPERLINK("http://www.ncbi.nlm.nih.gov/protein/27370102","Hirip3")</f>
        <v>Hirip3</v>
      </c>
      <c r="D3292" s="8"/>
      <c r="E3292" s="8">
        <v>65084</v>
      </c>
      <c r="F3292" s="8"/>
      <c r="G3292" s="15" t="s">
        <v>10</v>
      </c>
      <c r="H3292" s="15" t="s">
        <v>10</v>
      </c>
      <c r="I3292" s="15" t="s">
        <v>10</v>
      </c>
      <c r="J3292" s="15" t="s">
        <v>10</v>
      </c>
      <c r="K3292" s="15" t="s">
        <v>10</v>
      </c>
      <c r="L3292" s="15" t="s">
        <v>10</v>
      </c>
      <c r="M3292" s="15">
        <v>1.6892548280174071</v>
      </c>
      <c r="N3292" s="15">
        <v>1.6892548280174071</v>
      </c>
      <c r="O3292" s="15">
        <v>1.6892548280174071</v>
      </c>
      <c r="P3292" s="15">
        <v>1.6892548280174071</v>
      </c>
      <c r="Q3292" s="8"/>
      <c r="R3292" s="9" t="s">
        <v>3050</v>
      </c>
    </row>
    <row r="3293" spans="1:18" x14ac:dyDescent="0.25">
      <c r="A3293" s="6" t="str">
        <f>HYPERLINK("proteomic_fractions_linear_files/Yang_linear_img/21426823.jpg", "21426823")</f>
        <v>21426823</v>
      </c>
      <c r="B3293" s="7"/>
      <c r="C3293" s="6" t="str">
        <f>HYPERLINK("http://www.ncbi.nlm.nih.gov/protein/21426823","Hist1h1a")</f>
        <v>Hist1h1a</v>
      </c>
      <c r="D3293" s="8"/>
      <c r="E3293" s="8">
        <v>21654</v>
      </c>
      <c r="F3293" s="8"/>
      <c r="G3293" s="15">
        <v>2.0057086021347938</v>
      </c>
      <c r="H3293" s="15">
        <v>2.0057086021347938</v>
      </c>
      <c r="I3293" s="15">
        <v>1.2690096044400936</v>
      </c>
      <c r="J3293" s="15">
        <v>1.2690096044400936</v>
      </c>
      <c r="K3293" s="15">
        <v>1.4583669479878905</v>
      </c>
      <c r="L3293" s="15">
        <v>1.4583669479878905</v>
      </c>
      <c r="M3293" s="15">
        <v>1.2690096044400936</v>
      </c>
      <c r="N3293" s="15">
        <v>1.2690096044400936</v>
      </c>
      <c r="O3293" s="15">
        <v>272.41363636363639</v>
      </c>
      <c r="P3293" s="15">
        <v>272.41363636363639</v>
      </c>
      <c r="Q3293" s="8"/>
      <c r="R3293" s="9" t="s">
        <v>3051</v>
      </c>
    </row>
    <row r="3294" spans="1:18" x14ac:dyDescent="0.25">
      <c r="A3294" s="6" t="str">
        <f>HYPERLINK("proteomic_fractions_linear_files/Yang_linear_img/21426893.jpg", "21426893")</f>
        <v>21426893</v>
      </c>
      <c r="B3294" s="7"/>
      <c r="C3294" s="6" t="str">
        <f>HYPERLINK("http://www.ncbi.nlm.nih.gov/protein/21426893","Hist1h1b")</f>
        <v>Hist1h1b</v>
      </c>
      <c r="D3294" s="8"/>
      <c r="E3294" s="8">
        <v>22445</v>
      </c>
      <c r="F3294" s="8"/>
      <c r="G3294" s="15">
        <v>2.0057086021347938</v>
      </c>
      <c r="H3294" s="15">
        <v>2.0057086021347938</v>
      </c>
      <c r="I3294" s="15">
        <v>1.3584275859869606</v>
      </c>
      <c r="J3294" s="15">
        <v>1.3584275859869606</v>
      </c>
      <c r="K3294" s="15">
        <v>1.4583669479878905</v>
      </c>
      <c r="L3294" s="15">
        <v>1.4583669479878905</v>
      </c>
      <c r="M3294" s="15">
        <v>1.3584275859869606</v>
      </c>
      <c r="N3294" s="15">
        <v>1.3584275859869606</v>
      </c>
      <c r="O3294" s="15" t="s">
        <v>10</v>
      </c>
      <c r="P3294" s="15" t="s">
        <v>10</v>
      </c>
      <c r="Q3294" s="8"/>
      <c r="R3294" s="9" t="s">
        <v>3052</v>
      </c>
    </row>
    <row r="3295" spans="1:18" x14ac:dyDescent="0.25">
      <c r="A3295" s="6" t="str">
        <f>HYPERLINK("proteomic_fractions_linear_files/Yang_linear_img/9845257.jpg", "9845257")</f>
        <v>9845257</v>
      </c>
      <c r="B3295" s="7"/>
      <c r="C3295" s="6" t="str">
        <f>HYPERLINK("http://www.ncbi.nlm.nih.gov/protein/9845257","Hist1h1c")</f>
        <v>Hist1h1c</v>
      </c>
      <c r="D3295" s="8"/>
      <c r="E3295" s="8">
        <v>21136</v>
      </c>
      <c r="F3295" s="8"/>
      <c r="G3295" s="15">
        <v>1.9289199144391784</v>
      </c>
      <c r="H3295" s="15">
        <v>1.9289199144391784</v>
      </c>
      <c r="I3295" s="15">
        <v>1.4231146138911015</v>
      </c>
      <c r="J3295" s="15">
        <v>1.4231146138911015</v>
      </c>
      <c r="K3295" s="15">
        <v>1.5278129931301709</v>
      </c>
      <c r="L3295" s="15">
        <v>1.5278129931301709</v>
      </c>
      <c r="M3295" s="15">
        <v>1.3294386332229553</v>
      </c>
      <c r="N3295" s="15">
        <v>1.3294386332229553</v>
      </c>
      <c r="O3295" s="15">
        <v>285.3857142857143</v>
      </c>
      <c r="P3295" s="15">
        <v>285.3857142857143</v>
      </c>
      <c r="Q3295" s="8"/>
      <c r="R3295" s="9" t="s">
        <v>3053</v>
      </c>
    </row>
    <row r="3296" spans="1:18" x14ac:dyDescent="0.25">
      <c r="A3296" s="6" t="str">
        <f>HYPERLINK("proteomic_fractions_linear_files/Yang_linear_img/254588110.jpg", "254588110")</f>
        <v>254588110</v>
      </c>
      <c r="B3296" s="7"/>
      <c r="C3296" s="6" t="str">
        <f>HYPERLINK("http://www.ncbi.nlm.nih.gov/protein/254588110","Hist1h1d")</f>
        <v>Hist1h1d</v>
      </c>
      <c r="D3296" s="8"/>
      <c r="E3296" s="8">
        <v>21968</v>
      </c>
      <c r="F3296" s="8"/>
      <c r="G3296" s="15">
        <v>1.8412417365101248</v>
      </c>
      <c r="H3296" s="15">
        <v>1.8412417365101248</v>
      </c>
      <c r="I3296" s="15">
        <v>1.3584275859869606</v>
      </c>
      <c r="J3296" s="15">
        <v>1.3584275859869606</v>
      </c>
      <c r="K3296" s="15">
        <v>1.4583669479878905</v>
      </c>
      <c r="L3296" s="15">
        <v>1.4583669479878905</v>
      </c>
      <c r="M3296" s="15">
        <v>1.2690096044400936</v>
      </c>
      <c r="N3296" s="15">
        <v>1.2690096044400936</v>
      </c>
      <c r="O3296" s="15">
        <v>272.41363636363639</v>
      </c>
      <c r="P3296" s="15">
        <v>272.41363636363639</v>
      </c>
      <c r="Q3296" s="8"/>
      <c r="R3296" s="9" t="s">
        <v>3054</v>
      </c>
    </row>
    <row r="3297" spans="1:18" x14ac:dyDescent="0.25">
      <c r="A3297" s="6" t="str">
        <f>HYPERLINK("proteomic_fractions_linear_files/Yang_linear_img/13430890.jpg", "13430890")</f>
        <v>13430890</v>
      </c>
      <c r="B3297" s="7"/>
      <c r="C3297" s="6" t="str">
        <f>HYPERLINK("http://www.ncbi.nlm.nih.gov/protein/13430890","Hist1h1e")</f>
        <v>Hist1h1e</v>
      </c>
      <c r="D3297" s="8"/>
      <c r="E3297" s="8">
        <v>21846</v>
      </c>
      <c r="F3297" s="8"/>
      <c r="G3297" s="15">
        <v>2.0057086021347938</v>
      </c>
      <c r="H3297" s="15">
        <v>2.0057086021347938</v>
      </c>
      <c r="I3297" s="15">
        <v>1.2690096044400936</v>
      </c>
      <c r="J3297" s="15">
        <v>1.2690096044400936</v>
      </c>
      <c r="K3297" s="15">
        <v>1.4583669479878905</v>
      </c>
      <c r="L3297" s="15">
        <v>1.4583669479878905</v>
      </c>
      <c r="M3297" s="15">
        <v>1.3584275859869606</v>
      </c>
      <c r="N3297" s="15">
        <v>1.3584275859869606</v>
      </c>
      <c r="O3297" s="15">
        <v>272.41363636363639</v>
      </c>
      <c r="P3297" s="15">
        <v>272.41363636363639</v>
      </c>
      <c r="Q3297" s="8"/>
      <c r="R3297" s="9" t="s">
        <v>3055</v>
      </c>
    </row>
    <row r="3298" spans="1:18" x14ac:dyDescent="0.25">
      <c r="A3298" s="6" t="str">
        <f>HYPERLINK("proteomic_fractions_linear_files/Yang_linear_img/112807207.jpg", "112807207")</f>
        <v>112807207</v>
      </c>
      <c r="B3298" s="7"/>
      <c r="C3298" s="6" t="str">
        <f>HYPERLINK("http://www.ncbi.nlm.nih.gov/protein/112807207","Hist1h1t")</f>
        <v>Hist1h1t</v>
      </c>
      <c r="D3298" s="8"/>
      <c r="E3298" s="8">
        <v>21538</v>
      </c>
      <c r="F3298" s="8"/>
      <c r="G3298" s="15">
        <v>1.5706080241125084</v>
      </c>
      <c r="H3298" s="15">
        <v>1.5706080241125084</v>
      </c>
      <c r="I3298" s="15">
        <v>1.1886480961556818</v>
      </c>
      <c r="J3298" s="15">
        <v>1.1886480961556818</v>
      </c>
      <c r="K3298" s="15">
        <v>1.4583669479878905</v>
      </c>
      <c r="L3298" s="15">
        <v>1.4583669479878905</v>
      </c>
      <c r="M3298" s="15">
        <v>1.3584275859869606</v>
      </c>
      <c r="N3298" s="15">
        <v>1.3584275859869606</v>
      </c>
      <c r="O3298" s="15" t="s">
        <v>10</v>
      </c>
      <c r="P3298" s="15" t="s">
        <v>10</v>
      </c>
      <c r="Q3298" s="8"/>
      <c r="R3298" s="9" t="s">
        <v>3056</v>
      </c>
    </row>
    <row r="3299" spans="1:18" x14ac:dyDescent="0.25">
      <c r="A3299" s="6" t="str">
        <f>HYPERLINK("proteomic_fractions_linear_files/Yang_linear_img/28316756.jpg", "28316756")</f>
        <v>28316756</v>
      </c>
      <c r="B3299" s="7"/>
      <c r="C3299" s="6" t="str">
        <f>HYPERLINK("http://www.ncbi.nlm.nih.gov/protein/28316756","Hist1h2aa")</f>
        <v>Hist1h2aa</v>
      </c>
      <c r="D3299" s="8"/>
      <c r="E3299" s="8">
        <v>13925</v>
      </c>
      <c r="F3299" s="8"/>
      <c r="G3299" s="15">
        <v>1.5568387336199108</v>
      </c>
      <c r="H3299" s="15">
        <v>1.5568387336199108</v>
      </c>
      <c r="I3299" s="15">
        <v>1.085452735272449</v>
      </c>
      <c r="J3299" s="15">
        <v>1.085452735272449</v>
      </c>
      <c r="K3299" s="15">
        <v>1.1376744130844125</v>
      </c>
      <c r="L3299" s="15">
        <v>1.1376744130844125</v>
      </c>
      <c r="M3299" s="15">
        <v>1.1376744130844125</v>
      </c>
      <c r="N3299" s="15">
        <v>1.1376744130844125</v>
      </c>
      <c r="O3299" s="15">
        <v>0.94979028735725246</v>
      </c>
      <c r="P3299" s="15">
        <v>0.94979028735725246</v>
      </c>
      <c r="Q3299" s="8"/>
      <c r="R3299" s="9" t="s">
        <v>3057</v>
      </c>
    </row>
    <row r="3300" spans="1:18" x14ac:dyDescent="0.25">
      <c r="A3300" s="6" t="str">
        <f>HYPERLINK("proteomic_fractions_linear_files/Yang_linear_img/30061379.jpg", "30061379")</f>
        <v>30061379</v>
      </c>
      <c r="B3300" s="7"/>
      <c r="C3300" s="6" t="str">
        <f>HYPERLINK("http://www.ncbi.nlm.nih.gov/protein/30061379","Hist1h2af")</f>
        <v>Hist1h2af</v>
      </c>
      <c r="D3300" s="8"/>
      <c r="E3300" s="8">
        <v>14030</v>
      </c>
      <c r="F3300" s="8"/>
      <c r="G3300" s="15">
        <v>1.5568387336199108</v>
      </c>
      <c r="H3300" s="15">
        <v>1.5568387336199108</v>
      </c>
      <c r="I3300" s="15">
        <v>1.085452735272449</v>
      </c>
      <c r="J3300" s="15">
        <v>1.085452735272449</v>
      </c>
      <c r="K3300" s="15">
        <v>1.1376744130844125</v>
      </c>
      <c r="L3300" s="15">
        <v>1.1376744130844125</v>
      </c>
      <c r="M3300" s="15">
        <v>1.1376744130844125</v>
      </c>
      <c r="N3300" s="15">
        <v>1.1376744130844125</v>
      </c>
      <c r="O3300" s="15">
        <v>0.94979028735725246</v>
      </c>
      <c r="P3300" s="15">
        <v>0.94979028735725246</v>
      </c>
      <c r="Q3300" s="8"/>
      <c r="R3300" s="9" t="s">
        <v>3058</v>
      </c>
    </row>
    <row r="3301" spans="1:18" x14ac:dyDescent="0.25">
      <c r="A3301" s="6" t="str">
        <f>HYPERLINK("proteomic_fractions_linear_files/Yang_linear_img/30061327.jpg", "30061327")</f>
        <v>30061327</v>
      </c>
      <c r="B3301" s="7"/>
      <c r="C3301" s="6" t="str">
        <f>HYPERLINK("http://www.ncbi.nlm.nih.gov/protein/30061327","Hist1h2ah")</f>
        <v>Hist1h2ah</v>
      </c>
      <c r="D3301" s="8"/>
      <c r="E3301" s="8">
        <v>13819</v>
      </c>
      <c r="F3301" s="8"/>
      <c r="G3301" s="15">
        <v>1.5568387336199108</v>
      </c>
      <c r="H3301" s="15">
        <v>1.5568387336199108</v>
      </c>
      <c r="I3301" s="15">
        <v>1.085452735272449</v>
      </c>
      <c r="J3301" s="15">
        <v>1.085452735272449</v>
      </c>
      <c r="K3301" s="15">
        <v>1.1376744130844125</v>
      </c>
      <c r="L3301" s="15">
        <v>1.1376744130844125</v>
      </c>
      <c r="M3301" s="15">
        <v>1.085452735272449</v>
      </c>
      <c r="N3301" s="15">
        <v>1.085452735272449</v>
      </c>
      <c r="O3301" s="15">
        <v>0.94979028735725246</v>
      </c>
      <c r="P3301" s="15">
        <v>0.94979028735725246</v>
      </c>
      <c r="Q3301" s="8"/>
      <c r="R3301" s="9" t="s">
        <v>3059</v>
      </c>
    </row>
    <row r="3302" spans="1:18" x14ac:dyDescent="0.25">
      <c r="A3302" s="6" t="str">
        <f>HYPERLINK("proteomic_fractions_linear_files/Yang_linear_img/30061371.jpg", "30061371")</f>
        <v>30061371</v>
      </c>
      <c r="B3302" s="7"/>
      <c r="C3302" s="6" t="str">
        <f>HYPERLINK("http://www.ncbi.nlm.nih.gov/protein/30061371","Hist1h2ak")</f>
        <v>Hist1h2ak</v>
      </c>
      <c r="D3302" s="8"/>
      <c r="E3302" s="8">
        <v>14018</v>
      </c>
      <c r="F3302" s="8"/>
      <c r="G3302" s="15">
        <v>1.5568387336199108</v>
      </c>
      <c r="H3302" s="15">
        <v>1.5568387336199108</v>
      </c>
      <c r="I3302" s="15">
        <v>1.085452735272449</v>
      </c>
      <c r="J3302" s="15">
        <v>1.085452735272449</v>
      </c>
      <c r="K3302" s="15">
        <v>1.1376744130844125</v>
      </c>
      <c r="L3302" s="15">
        <v>1.1376744130844125</v>
      </c>
      <c r="M3302" s="15">
        <v>1.1376744130844125</v>
      </c>
      <c r="N3302" s="15">
        <v>1.1376744130844125</v>
      </c>
      <c r="O3302" s="15">
        <v>0.94979028735725246</v>
      </c>
      <c r="P3302" s="15">
        <v>0.94979028735725246</v>
      </c>
      <c r="Q3302" s="8"/>
      <c r="R3302" s="9" t="s">
        <v>3060</v>
      </c>
    </row>
    <row r="3303" spans="1:18" x14ac:dyDescent="0.25">
      <c r="A3303" s="6" t="str">
        <f>HYPERLINK("proteomic_fractions_linear_files/Yang_linear_img/407262045.jpg", "407262045")</f>
        <v>407262045</v>
      </c>
      <c r="B3303" s="7"/>
      <c r="C3303" s="6" t="str">
        <f>HYPERLINK("http://www.ncbi.nlm.nih.gov/protein/407262045","Hist1h2al")</f>
        <v>Hist1h2al</v>
      </c>
      <c r="D3303" s="8"/>
      <c r="E3303" s="8">
        <v>15739</v>
      </c>
      <c r="F3303" s="8"/>
      <c r="G3303" s="15">
        <v>1.3622338919174219</v>
      </c>
      <c r="H3303" s="15">
        <v>1.3622338919174219</v>
      </c>
      <c r="I3303" s="15">
        <v>0.94977114336339286</v>
      </c>
      <c r="J3303" s="15">
        <v>0.94977114336339286</v>
      </c>
      <c r="K3303" s="15">
        <v>0.99546511144886096</v>
      </c>
      <c r="L3303" s="15">
        <v>0.99546511144886096</v>
      </c>
      <c r="M3303" s="15">
        <v>0.99546511144886096</v>
      </c>
      <c r="N3303" s="15">
        <v>0.99546511144886096</v>
      </c>
      <c r="O3303" s="15">
        <v>0.83106650143759586</v>
      </c>
      <c r="P3303" s="15">
        <v>0.83106650143759586</v>
      </c>
      <c r="Q3303" s="8"/>
      <c r="R3303" s="9" t="s">
        <v>8182</v>
      </c>
    </row>
    <row r="3304" spans="1:18" x14ac:dyDescent="0.25">
      <c r="A3304" s="6" t="str">
        <f>HYPERLINK("proteomic_fractions_linear_files/Yang_linear_img/294712564;30061365.jpg", "294712564;30061365")</f>
        <v>294712564;30061365</v>
      </c>
      <c r="B3304" s="8"/>
      <c r="C3304" s="6" t="str">
        <f>HYPERLINK("http://www.ncbi.nlm.nih.gov/protein/294712564;30061365","Hist1h2ao")</f>
        <v>Hist1h2ao</v>
      </c>
      <c r="D3304" s="8"/>
      <c r="E3304" s="8">
        <v>14004</v>
      </c>
      <c r="F3304" s="8"/>
      <c r="G3304" s="15" t="s">
        <v>10</v>
      </c>
      <c r="H3304" s="15" t="s">
        <v>10</v>
      </c>
      <c r="I3304" s="15">
        <v>1.085452735272449</v>
      </c>
      <c r="J3304" s="15">
        <v>1.085452735272449</v>
      </c>
      <c r="K3304" s="15" t="s">
        <v>10</v>
      </c>
      <c r="L3304" s="15" t="s">
        <v>10</v>
      </c>
      <c r="M3304" s="15">
        <v>1.1376744130844125</v>
      </c>
      <c r="N3304" s="15">
        <v>1.1376744130844125</v>
      </c>
      <c r="O3304" s="15">
        <v>0.94979028735725246</v>
      </c>
      <c r="P3304" s="15">
        <v>0.94979028735725246</v>
      </c>
      <c r="Q3304" s="8"/>
      <c r="R3304" s="9" t="s">
        <v>3061</v>
      </c>
    </row>
    <row r="3305" spans="1:18" x14ac:dyDescent="0.25">
      <c r="A3305" s="6" t="str">
        <f>HYPERLINK("proteomic_fractions_linear_files/Yang_linear_img/30061375;30061365.jpg", "30061375;30061365")</f>
        <v>30061375;30061365</v>
      </c>
      <c r="B3305" s="8"/>
      <c r="C3305" s="6" t="str">
        <f>HYPERLINK("http://www.ncbi.nlm.nih.gov/protein/30061375;30061365","Hist1h2ap")</f>
        <v>Hist1h2ap</v>
      </c>
      <c r="D3305" s="8"/>
      <c r="E3305" s="8">
        <v>14004</v>
      </c>
      <c r="F3305" s="8"/>
      <c r="G3305" s="15">
        <v>1.5568387336199108</v>
      </c>
      <c r="H3305" s="15">
        <v>1.5568387336199108</v>
      </c>
      <c r="I3305" s="15" t="s">
        <v>10</v>
      </c>
      <c r="J3305" s="15" t="s">
        <v>10</v>
      </c>
      <c r="K3305" s="15" t="s">
        <v>10</v>
      </c>
      <c r="L3305" s="15" t="s">
        <v>10</v>
      </c>
      <c r="M3305" s="15" t="s">
        <v>10</v>
      </c>
      <c r="N3305" s="15" t="s">
        <v>10</v>
      </c>
      <c r="O3305" s="15" t="s">
        <v>10</v>
      </c>
      <c r="P3305" s="15" t="s">
        <v>10</v>
      </c>
      <c r="Q3305" s="8"/>
      <c r="R3305" s="9" t="s">
        <v>3061</v>
      </c>
    </row>
    <row r="3306" spans="1:18" x14ac:dyDescent="0.25">
      <c r="A3306" s="6" t="str">
        <f>HYPERLINK("proteomic_fractions_linear_files/Yang_linear_img/30061375;294712564;30061365.jpg", "30061375;294712564;30061365")</f>
        <v>30061375;294712564;30061365</v>
      </c>
      <c r="B3306" s="8"/>
      <c r="C3306" s="6" t="str">
        <f>HYPERLINK("http://www.ncbi.nlm.nih.gov/protein/30061375;294712564;30061365","Hist1h2ap")</f>
        <v>Hist1h2ap</v>
      </c>
      <c r="D3306" s="8"/>
      <c r="E3306" s="8">
        <v>14004</v>
      </c>
      <c r="F3306" s="8"/>
      <c r="G3306" s="15" t="s">
        <v>10</v>
      </c>
      <c r="H3306" s="15" t="s">
        <v>10</v>
      </c>
      <c r="I3306" s="15" t="s">
        <v>10</v>
      </c>
      <c r="J3306" s="15" t="s">
        <v>10</v>
      </c>
      <c r="K3306" s="15">
        <v>1.1376744130844125</v>
      </c>
      <c r="L3306" s="15">
        <v>1.1376744130844125</v>
      </c>
      <c r="M3306" s="15" t="s">
        <v>10</v>
      </c>
      <c r="N3306" s="15" t="s">
        <v>10</v>
      </c>
      <c r="O3306" s="15" t="s">
        <v>10</v>
      </c>
      <c r="P3306" s="15" t="s">
        <v>10</v>
      </c>
      <c r="Q3306" s="8"/>
      <c r="R3306" s="9" t="s">
        <v>3061</v>
      </c>
    </row>
    <row r="3307" spans="1:18" x14ac:dyDescent="0.25">
      <c r="A3307" s="6" t="str">
        <f>HYPERLINK("proteomic_fractions_linear_files/Yang_linear_img/28316750.jpg", "28316750")</f>
        <v>28316750</v>
      </c>
      <c r="B3307" s="7"/>
      <c r="C3307" s="6" t="str">
        <f>HYPERLINK("http://www.ncbi.nlm.nih.gov/protein/28316750","Hist1h2ba")</f>
        <v>Hist1h2ba</v>
      </c>
      <c r="D3307" s="8"/>
      <c r="E3307" s="8">
        <v>14105</v>
      </c>
      <c r="F3307" s="8"/>
      <c r="G3307" s="15">
        <v>1.7539157580912084</v>
      </c>
      <c r="H3307" s="15">
        <v>1.7539157580912084</v>
      </c>
      <c r="I3307" s="15">
        <v>0.99184646428118928</v>
      </c>
      <c r="J3307" s="15">
        <v>0.99184646428118928</v>
      </c>
      <c r="K3307" s="15">
        <v>1.1940338943290729</v>
      </c>
      <c r="L3307" s="15">
        <v>1.1940338943290729</v>
      </c>
      <c r="M3307" s="15">
        <v>1.1940338943290729</v>
      </c>
      <c r="N3307" s="15">
        <v>1.1940338943290729</v>
      </c>
      <c r="O3307" s="15">
        <v>1.085452735272449</v>
      </c>
      <c r="P3307" s="15">
        <v>1.085452735272449</v>
      </c>
      <c r="Q3307" s="8"/>
      <c r="R3307" s="9" t="s">
        <v>3062</v>
      </c>
    </row>
    <row r="3308" spans="1:18" x14ac:dyDescent="0.25">
      <c r="A3308" s="6" t="str">
        <f>HYPERLINK("proteomic_fractions_linear_files/Yang_linear_img/28316760.jpg", "28316760")</f>
        <v>28316760</v>
      </c>
      <c r="B3308" s="7"/>
      <c r="C3308" s="6" t="str">
        <f>HYPERLINK("http://www.ncbi.nlm.nih.gov/protein/28316760","Hist1h2bb")</f>
        <v>Hist1h2bb</v>
      </c>
      <c r="D3308" s="8"/>
      <c r="E3308" s="8">
        <v>13821</v>
      </c>
      <c r="F3308" s="8"/>
      <c r="G3308" s="15">
        <v>1.7539157580912084</v>
      </c>
      <c r="H3308" s="15">
        <v>1.7539157580912084</v>
      </c>
      <c r="I3308" s="15">
        <v>0.99184646428118928</v>
      </c>
      <c r="J3308" s="15">
        <v>0.99184646428118928</v>
      </c>
      <c r="K3308" s="15">
        <v>1.1940338943290729</v>
      </c>
      <c r="L3308" s="15">
        <v>1.1940338943290729</v>
      </c>
      <c r="M3308" s="15">
        <v>1.1940338943290729</v>
      </c>
      <c r="N3308" s="15">
        <v>1.1940338943290729</v>
      </c>
      <c r="O3308" s="15">
        <v>1.085452735272449</v>
      </c>
      <c r="P3308" s="15">
        <v>1.085452735272449</v>
      </c>
      <c r="Q3308" s="8"/>
      <c r="R3308" s="9" t="s">
        <v>3063</v>
      </c>
    </row>
    <row r="3309" spans="1:18" x14ac:dyDescent="0.25">
      <c r="A3309" s="6" t="str">
        <f>HYPERLINK("proteomic_fractions_linear_files/Yang_linear_img/30089706;68131547.jpg", "30089706;68131547")</f>
        <v>30089706;68131547</v>
      </c>
      <c r="B3309" s="8"/>
      <c r="C3309" s="6" t="str">
        <f>HYPERLINK("http://www.ncbi.nlm.nih.gov/protein/30089706;68131547","Hist1h2be")</f>
        <v>Hist1h2be</v>
      </c>
      <c r="D3309" s="8"/>
      <c r="E3309" s="8">
        <v>13775</v>
      </c>
      <c r="F3309" s="8"/>
      <c r="G3309" s="15">
        <v>1.7539157580912084</v>
      </c>
      <c r="H3309" s="15">
        <v>1.7539157580912084</v>
      </c>
      <c r="I3309" s="15">
        <v>0.99184646428118928</v>
      </c>
      <c r="J3309" s="15">
        <v>0.99184646428118928</v>
      </c>
      <c r="K3309" s="15">
        <v>1.1940338943290729</v>
      </c>
      <c r="L3309" s="15">
        <v>1.1940338943290729</v>
      </c>
      <c r="M3309" s="15">
        <v>1.1940338943290729</v>
      </c>
      <c r="N3309" s="15">
        <v>1.1940338943290729</v>
      </c>
      <c r="O3309" s="15">
        <v>1.085452735272449</v>
      </c>
      <c r="P3309" s="15">
        <v>1.085452735272449</v>
      </c>
      <c r="Q3309" s="8"/>
      <c r="R3309" s="9" t="s">
        <v>3064</v>
      </c>
    </row>
    <row r="3310" spans="1:18" x14ac:dyDescent="0.25">
      <c r="A3310" s="6" t="str">
        <f>HYPERLINK("proteomic_fractions_linear_files/Yang_linear_img/30061383.jpg", "30061383")</f>
        <v>30061383</v>
      </c>
      <c r="B3310" s="7"/>
      <c r="C3310" s="6" t="str">
        <f>HYPERLINK("http://www.ncbi.nlm.nih.gov/protein/30061383","Hist1h2bf")</f>
        <v>Hist1h2bf</v>
      </c>
      <c r="D3310" s="8"/>
      <c r="E3310" s="8">
        <v>13805</v>
      </c>
      <c r="F3310" s="8"/>
      <c r="G3310" s="15">
        <v>1.7539157580912084</v>
      </c>
      <c r="H3310" s="15">
        <v>1.7539157580912084</v>
      </c>
      <c r="I3310" s="15">
        <v>0.99184646428118928</v>
      </c>
      <c r="J3310" s="15">
        <v>0.99184646428118928</v>
      </c>
      <c r="K3310" s="15">
        <v>1.1940338943290729</v>
      </c>
      <c r="L3310" s="15">
        <v>1.1940338943290729</v>
      </c>
      <c r="M3310" s="15">
        <v>1.1940338943290729</v>
      </c>
      <c r="N3310" s="15">
        <v>1.1940338943290729</v>
      </c>
      <c r="O3310" s="15">
        <v>1.085452735272449</v>
      </c>
      <c r="P3310" s="15">
        <v>1.085452735272449</v>
      </c>
      <c r="Q3310" s="8"/>
      <c r="R3310" s="9" t="s">
        <v>3065</v>
      </c>
    </row>
    <row r="3311" spans="1:18" x14ac:dyDescent="0.25">
      <c r="A3311" s="6" t="str">
        <f>HYPERLINK("proteomic_fractions_linear_files/Yang_linear_img/30061387.jpg", "30061387")</f>
        <v>30061387</v>
      </c>
      <c r="B3311" s="7"/>
      <c r="C3311" s="6" t="str">
        <f>HYPERLINK("http://www.ncbi.nlm.nih.gov/protein/30061387","Hist1h2bh")</f>
        <v>Hist1h2bh</v>
      </c>
      <c r="D3311" s="8"/>
      <c r="E3311" s="8">
        <v>13789</v>
      </c>
      <c r="F3311" s="8"/>
      <c r="G3311" s="15">
        <v>1.7539157580912084</v>
      </c>
      <c r="H3311" s="15">
        <v>1.7539157580912084</v>
      </c>
      <c r="I3311" s="15">
        <v>0.99184646428118928</v>
      </c>
      <c r="J3311" s="15">
        <v>0.99184646428118928</v>
      </c>
      <c r="K3311" s="15">
        <v>1.1940338943290729</v>
      </c>
      <c r="L3311" s="15">
        <v>1.1940338943290729</v>
      </c>
      <c r="M3311" s="15">
        <v>1.1940338943290729</v>
      </c>
      <c r="N3311" s="15">
        <v>1.1940338943290729</v>
      </c>
      <c r="O3311" s="15">
        <v>1.085452735272449</v>
      </c>
      <c r="P3311" s="15">
        <v>1.085452735272449</v>
      </c>
      <c r="Q3311" s="8"/>
      <c r="R3311" s="9" t="s">
        <v>3066</v>
      </c>
    </row>
    <row r="3312" spans="1:18" x14ac:dyDescent="0.25">
      <c r="A3312" s="6" t="str">
        <f>HYPERLINK("proteomic_fractions_linear_files/Yang_linear_img/30089704.jpg", "30089704")</f>
        <v>30089704</v>
      </c>
      <c r="B3312" s="7"/>
      <c r="C3312" s="6" t="str">
        <f>HYPERLINK("http://www.ncbi.nlm.nih.gov/protein/30089704","Hist1h2bk")</f>
        <v>Hist1h2bk</v>
      </c>
      <c r="D3312" s="8"/>
      <c r="E3312" s="8">
        <v>13789</v>
      </c>
      <c r="F3312" s="8"/>
      <c r="G3312" s="15">
        <v>1.7539157580912084</v>
      </c>
      <c r="H3312" s="15">
        <v>1.7539157580912084</v>
      </c>
      <c r="I3312" s="15">
        <v>0.99184646428118928</v>
      </c>
      <c r="J3312" s="15">
        <v>0.99184646428118928</v>
      </c>
      <c r="K3312" s="15">
        <v>1.1940338943290729</v>
      </c>
      <c r="L3312" s="15">
        <v>1.1940338943290729</v>
      </c>
      <c r="M3312" s="15">
        <v>1.1940338943290729</v>
      </c>
      <c r="N3312" s="15">
        <v>1.1940338943290729</v>
      </c>
      <c r="O3312" s="15">
        <v>1.085452735272449</v>
      </c>
      <c r="P3312" s="15">
        <v>1.085452735272449</v>
      </c>
      <c r="Q3312" s="8"/>
      <c r="R3312" s="9" t="s">
        <v>3067</v>
      </c>
    </row>
    <row r="3313" spans="1:18" x14ac:dyDescent="0.25">
      <c r="A3313" s="6" t="str">
        <f>HYPERLINK("proteomic_fractions_linear_files/Yang_linear_img/30061385.jpg", "30061385")</f>
        <v>30061385</v>
      </c>
      <c r="B3313" s="7"/>
      <c r="C3313" s="6" t="str">
        <f>HYPERLINK("http://www.ncbi.nlm.nih.gov/protein/30061385","Hist1h2bm")</f>
        <v>Hist1h2bm</v>
      </c>
      <c r="D3313" s="8"/>
      <c r="E3313" s="8">
        <v>13805</v>
      </c>
      <c r="F3313" s="8"/>
      <c r="G3313" s="15">
        <v>1.7539157580912084</v>
      </c>
      <c r="H3313" s="15">
        <v>1.7539157580912084</v>
      </c>
      <c r="I3313" s="15">
        <v>0.99184646428118928</v>
      </c>
      <c r="J3313" s="15">
        <v>0.99184646428118928</v>
      </c>
      <c r="K3313" s="15">
        <v>1.1940338943290729</v>
      </c>
      <c r="L3313" s="15">
        <v>1.1940338943290729</v>
      </c>
      <c r="M3313" s="15">
        <v>1.1940338943290729</v>
      </c>
      <c r="N3313" s="15">
        <v>1.1940338943290729</v>
      </c>
      <c r="O3313" s="15">
        <v>1.085452735272449</v>
      </c>
      <c r="P3313" s="15">
        <v>1.085452735272449</v>
      </c>
      <c r="Q3313" s="8"/>
      <c r="R3313" s="9" t="s">
        <v>3068</v>
      </c>
    </row>
    <row r="3314" spans="1:18" x14ac:dyDescent="0.25">
      <c r="A3314" s="6" t="str">
        <f>HYPERLINK("proteomic_fractions_linear_files/Yang_linear_img/160420308.jpg", "160420308")</f>
        <v>160420308</v>
      </c>
      <c r="B3314" s="7"/>
      <c r="C3314" s="6" t="str">
        <f>HYPERLINK("http://www.ncbi.nlm.nih.gov/protein/160420308","Hist1h2bp")</f>
        <v>Hist1h2bp</v>
      </c>
      <c r="D3314" s="8"/>
      <c r="E3314" s="8">
        <v>15434</v>
      </c>
      <c r="F3314" s="8"/>
      <c r="G3314" s="15">
        <v>1.6369880408851278</v>
      </c>
      <c r="H3314" s="15">
        <v>1.6369880408851278</v>
      </c>
      <c r="I3314" s="15">
        <v>0.92572336666244337</v>
      </c>
      <c r="J3314" s="15">
        <v>0.92572336666244337</v>
      </c>
      <c r="K3314" s="15">
        <v>1.1144316347071348</v>
      </c>
      <c r="L3314" s="15">
        <v>1.1144316347071348</v>
      </c>
      <c r="M3314" s="15">
        <v>1.1144316347071348</v>
      </c>
      <c r="N3314" s="15">
        <v>1.1144316347071348</v>
      </c>
      <c r="O3314" s="15">
        <v>1.0130892195876191</v>
      </c>
      <c r="P3314" s="15">
        <v>1.0130892195876191</v>
      </c>
      <c r="Q3314" s="8"/>
      <c r="R3314" s="9" t="s">
        <v>3069</v>
      </c>
    </row>
    <row r="3315" spans="1:18" x14ac:dyDescent="0.25">
      <c r="A3315" s="6" t="str">
        <f>HYPERLINK("proteomic_fractions_linear_files/Yang_linear_img/160420310;160420312.jpg", "160420310;160420312")</f>
        <v>160420310;160420312</v>
      </c>
      <c r="B3315" s="8"/>
      <c r="C3315" s="6" t="str">
        <f>HYPERLINK("http://www.ncbi.nlm.nih.gov/protein/160420310;160420312","Hist1h2bq")</f>
        <v>Hist1h2bq</v>
      </c>
      <c r="D3315" s="8"/>
      <c r="E3315" s="8">
        <v>14757</v>
      </c>
      <c r="F3315" s="8"/>
      <c r="G3315" s="15">
        <v>1.6369880408851278</v>
      </c>
      <c r="H3315" s="15">
        <v>1.6369880408851278</v>
      </c>
      <c r="I3315" s="15" t="s">
        <v>10</v>
      </c>
      <c r="J3315" s="15" t="s">
        <v>10</v>
      </c>
      <c r="K3315" s="15">
        <v>1.1144316347071348</v>
      </c>
      <c r="L3315" s="15">
        <v>1.1144316347071348</v>
      </c>
      <c r="M3315" s="15" t="s">
        <v>10</v>
      </c>
      <c r="N3315" s="15" t="s">
        <v>10</v>
      </c>
      <c r="O3315" s="15" t="s">
        <v>10</v>
      </c>
      <c r="P3315" s="15" t="s">
        <v>10</v>
      </c>
      <c r="Q3315" s="8"/>
      <c r="R3315" s="9" t="s">
        <v>3070</v>
      </c>
    </row>
    <row r="3316" spans="1:18" x14ac:dyDescent="0.25">
      <c r="A3316" s="6" t="str">
        <f>HYPERLINK("proteomic_fractions_linear_files/Yang_linear_img/160420312.jpg", "160420312")</f>
        <v>160420312</v>
      </c>
      <c r="B3316" s="7"/>
      <c r="C3316" s="6" t="str">
        <f>HYPERLINK("http://www.ncbi.nlm.nih.gov/protein/160420312","Hist1h2br")</f>
        <v>Hist1h2br</v>
      </c>
      <c r="D3316" s="8"/>
      <c r="E3316" s="8">
        <v>14757</v>
      </c>
      <c r="F3316" s="8"/>
      <c r="G3316" s="15" t="s">
        <v>10</v>
      </c>
      <c r="H3316" s="15" t="s">
        <v>10</v>
      </c>
      <c r="I3316" s="15">
        <v>0.92572336666244337</v>
      </c>
      <c r="J3316" s="15">
        <v>0.92572336666244337</v>
      </c>
      <c r="K3316" s="15" t="s">
        <v>10</v>
      </c>
      <c r="L3316" s="15" t="s">
        <v>10</v>
      </c>
      <c r="M3316" s="15">
        <v>1.1144316347071348</v>
      </c>
      <c r="N3316" s="15">
        <v>1.1144316347071348</v>
      </c>
      <c r="O3316" s="15">
        <v>1.0130892195876191</v>
      </c>
      <c r="P3316" s="15">
        <v>1.0130892195876191</v>
      </c>
      <c r="Q3316" s="8"/>
      <c r="R3316" s="9" t="s">
        <v>3071</v>
      </c>
    </row>
    <row r="3317" spans="1:18" x14ac:dyDescent="0.25">
      <c r="A3317" s="6" t="str">
        <f>HYPERLINK("proteomic_fractions_linear_files/Yang_linear_img/30089712.jpg", "30089712")</f>
        <v>30089712</v>
      </c>
      <c r="B3317" s="7"/>
      <c r="C3317" s="6" t="str">
        <f>HYPERLINK("http://www.ncbi.nlm.nih.gov/protein/30089712","Hist1h3c")</f>
        <v>Hist1h3c</v>
      </c>
      <c r="D3317" s="8"/>
      <c r="E3317" s="8">
        <v>15257</v>
      </c>
      <c r="F3317" s="8"/>
      <c r="G3317" s="15">
        <v>399.54</v>
      </c>
      <c r="H3317" s="15">
        <v>399.54</v>
      </c>
      <c r="I3317" s="15" t="s">
        <v>10</v>
      </c>
      <c r="J3317" s="15" t="s">
        <v>10</v>
      </c>
      <c r="K3317" s="15" t="s">
        <v>10</v>
      </c>
      <c r="L3317" s="15" t="s">
        <v>10</v>
      </c>
      <c r="M3317" s="15" t="s">
        <v>10</v>
      </c>
      <c r="N3317" s="15" t="s">
        <v>10</v>
      </c>
      <c r="O3317" s="15" t="s">
        <v>10</v>
      </c>
      <c r="P3317" s="15" t="s">
        <v>10</v>
      </c>
      <c r="Q3317" s="8"/>
      <c r="R3317" s="9" t="s">
        <v>3072</v>
      </c>
    </row>
    <row r="3318" spans="1:18" x14ac:dyDescent="0.25">
      <c r="A3318" s="6" t="str">
        <f>HYPERLINK("proteomic_fractions_linear_files/Yang_linear_img/30089712;21489953.jpg", "30089712;21489953")</f>
        <v>30089712;21489953</v>
      </c>
      <c r="B3318" s="8"/>
      <c r="C3318" s="6" t="str">
        <f>HYPERLINK("http://www.ncbi.nlm.nih.gov/protein/30089712;21489953","Hist1h3c")</f>
        <v>Hist1h3c</v>
      </c>
      <c r="D3318" s="8"/>
      <c r="E3318" s="8">
        <v>15257</v>
      </c>
      <c r="F3318" s="8"/>
      <c r="G3318" s="15" t="s">
        <v>10</v>
      </c>
      <c r="H3318" s="15" t="s">
        <v>10</v>
      </c>
      <c r="I3318" s="15" t="s">
        <v>10</v>
      </c>
      <c r="J3318" s="15" t="s">
        <v>10</v>
      </c>
      <c r="K3318" s="15">
        <v>1.1144316347071348</v>
      </c>
      <c r="L3318" s="15">
        <v>1.1144316347071348</v>
      </c>
      <c r="M3318" s="15" t="s">
        <v>10</v>
      </c>
      <c r="N3318" s="15" t="s">
        <v>10</v>
      </c>
      <c r="O3318" s="15" t="s">
        <v>10</v>
      </c>
      <c r="P3318" s="15" t="s">
        <v>10</v>
      </c>
      <c r="Q3318" s="8"/>
      <c r="R3318" s="9" t="s">
        <v>3072</v>
      </c>
    </row>
    <row r="3319" spans="1:18" x14ac:dyDescent="0.25">
      <c r="A3319" s="6" t="str">
        <f>HYPERLINK("proteomic_fractions_linear_files/Yang_linear_img/21489955.jpg", "21489955")</f>
        <v>21489955</v>
      </c>
      <c r="B3319" s="7"/>
      <c r="C3319" s="6" t="str">
        <f>HYPERLINK("http://www.ncbi.nlm.nih.gov/protein/21489955","Hist1h3g")</f>
        <v>Hist1h3g</v>
      </c>
      <c r="D3319" s="8"/>
      <c r="E3319" s="8">
        <v>15273</v>
      </c>
      <c r="F3319" s="8"/>
      <c r="G3319" s="15">
        <v>399.54</v>
      </c>
      <c r="H3319" s="15">
        <v>399.54</v>
      </c>
      <c r="I3319" s="15">
        <v>1.0618294522121183</v>
      </c>
      <c r="J3319" s="15">
        <v>1.0618294522121183</v>
      </c>
      <c r="K3319" s="15" t="s">
        <v>10</v>
      </c>
      <c r="L3319" s="15" t="s">
        <v>10</v>
      </c>
      <c r="M3319" s="15">
        <v>1.1144316347071348</v>
      </c>
      <c r="N3319" s="15">
        <v>1.1144316347071348</v>
      </c>
      <c r="O3319" s="15">
        <v>1.0130892195876191</v>
      </c>
      <c r="P3319" s="15">
        <v>1.0130892195876191</v>
      </c>
      <c r="Q3319" s="8"/>
      <c r="R3319" s="9" t="s">
        <v>3073</v>
      </c>
    </row>
    <row r="3320" spans="1:18" x14ac:dyDescent="0.25">
      <c r="A3320" s="6" t="str">
        <f>HYPERLINK("proteomic_fractions_linear_files/Yang_linear_img/30061345;21489955.jpg", "30061345;21489955")</f>
        <v>30061345;21489955</v>
      </c>
      <c r="B3320" s="8"/>
      <c r="C3320" s="6" t="str">
        <f>HYPERLINK("http://www.ncbi.nlm.nih.gov/protein/30061345;21489955","Hist1h3i")</f>
        <v>Hist1h3i</v>
      </c>
      <c r="D3320" s="8"/>
      <c r="E3320" s="8">
        <v>15273</v>
      </c>
      <c r="F3320" s="8"/>
      <c r="G3320" s="15" t="s">
        <v>10</v>
      </c>
      <c r="H3320" s="15" t="s">
        <v>10</v>
      </c>
      <c r="I3320" s="15" t="s">
        <v>10</v>
      </c>
      <c r="J3320" s="15" t="s">
        <v>10</v>
      </c>
      <c r="K3320" s="15">
        <v>1.1144316347071348</v>
      </c>
      <c r="L3320" s="15">
        <v>1.1144316347071348</v>
      </c>
      <c r="M3320" s="15" t="s">
        <v>10</v>
      </c>
      <c r="N3320" s="15" t="s">
        <v>10</v>
      </c>
      <c r="O3320" s="15" t="s">
        <v>10</v>
      </c>
      <c r="P3320" s="15" t="s">
        <v>10</v>
      </c>
      <c r="Q3320" s="8"/>
      <c r="R3320" s="9" t="s">
        <v>3073</v>
      </c>
    </row>
    <row r="3321" spans="1:18" x14ac:dyDescent="0.25">
      <c r="A3321" s="6" t="str">
        <f>HYPERLINK("proteomic_fractions_linear_files/Yang_linear_img/306482623.jpg", "306482623")</f>
        <v>306482623</v>
      </c>
      <c r="B3321" s="7"/>
      <c r="C3321" s="6" t="str">
        <f>HYPERLINK("http://www.ncbi.nlm.nih.gov/protein/306482623","Hist1h4m")</f>
        <v>Hist1h4m</v>
      </c>
      <c r="D3321" s="8"/>
      <c r="E3321" s="8">
        <v>11236</v>
      </c>
      <c r="F3321" s="8"/>
      <c r="G3321" s="15">
        <v>16.978711967267305</v>
      </c>
      <c r="H3321" s="15">
        <v>16.978711967267305</v>
      </c>
      <c r="I3321" s="15" t="s">
        <v>10</v>
      </c>
      <c r="J3321" s="15" t="s">
        <v>10</v>
      </c>
      <c r="K3321" s="15" t="s">
        <v>10</v>
      </c>
      <c r="L3321" s="15" t="s">
        <v>10</v>
      </c>
      <c r="M3321" s="15" t="s">
        <v>10</v>
      </c>
      <c r="N3321" s="15" t="s">
        <v>10</v>
      </c>
      <c r="O3321" s="15" t="s">
        <v>10</v>
      </c>
      <c r="P3321" s="15" t="s">
        <v>10</v>
      </c>
      <c r="Q3321" s="8"/>
      <c r="R3321" s="9" t="s">
        <v>3074</v>
      </c>
    </row>
    <row r="3322" spans="1:18" x14ac:dyDescent="0.25">
      <c r="A3322" s="6" t="str">
        <f>HYPERLINK("proteomic_fractions_linear_files/Yang_linear_img/306482623;30089708.jpg", "306482623;30089708")</f>
        <v>306482623;30089708</v>
      </c>
      <c r="B3322" s="8"/>
      <c r="C3322" s="6" t="str">
        <f>HYPERLINK("http://www.ncbi.nlm.nih.gov/protein/306482623;30089708","Hist1h4m")</f>
        <v>Hist1h4m</v>
      </c>
      <c r="D3322" s="8"/>
      <c r="E3322" s="8">
        <v>11236</v>
      </c>
      <c r="F3322" s="8"/>
      <c r="G3322" s="15" t="s">
        <v>10</v>
      </c>
      <c r="H3322" s="15" t="s">
        <v>10</v>
      </c>
      <c r="I3322" s="15" t="s">
        <v>10</v>
      </c>
      <c r="J3322" s="15" t="s">
        <v>10</v>
      </c>
      <c r="K3322" s="15">
        <v>1.3197703383518498</v>
      </c>
      <c r="L3322" s="15">
        <v>1.3197703383518498</v>
      </c>
      <c r="M3322" s="15" t="s">
        <v>10</v>
      </c>
      <c r="N3322" s="15" t="s">
        <v>10</v>
      </c>
      <c r="O3322" s="15" t="s">
        <v>10</v>
      </c>
      <c r="P3322" s="15" t="s">
        <v>10</v>
      </c>
      <c r="Q3322" s="8"/>
      <c r="R3322" s="9" t="s">
        <v>3074</v>
      </c>
    </row>
    <row r="3323" spans="1:18" x14ac:dyDescent="0.25">
      <c r="A3323" s="6" t="str">
        <f>HYPERLINK("proteomic_fractions_linear_files/Yang_linear_img/30089708;306482623.jpg", "30089708;306482623")</f>
        <v>30089708;306482623</v>
      </c>
      <c r="B3323" s="8"/>
      <c r="C3323" s="6" t="str">
        <f>HYPERLINK("http://www.ncbi.nlm.nih.gov/protein/30089708;306482623","Hist1h4n")</f>
        <v>Hist1h4n</v>
      </c>
      <c r="D3323" s="8"/>
      <c r="E3323" s="8">
        <v>11236</v>
      </c>
      <c r="F3323" s="8"/>
      <c r="G3323" s="15" t="s">
        <v>10</v>
      </c>
      <c r="H3323" s="15" t="s">
        <v>10</v>
      </c>
      <c r="I3323" s="15">
        <v>1.2623500454487864</v>
      </c>
      <c r="J3323" s="15">
        <v>1.2623500454487864</v>
      </c>
      <c r="K3323" s="15" t="s">
        <v>10</v>
      </c>
      <c r="L3323" s="15" t="s">
        <v>10</v>
      </c>
      <c r="M3323" s="15">
        <v>1.3197703383518498</v>
      </c>
      <c r="N3323" s="15">
        <v>1.3197703383518498</v>
      </c>
      <c r="O3323" s="15">
        <v>1.2088240020910486</v>
      </c>
      <c r="P3323" s="15">
        <v>1.2088240020910486</v>
      </c>
      <c r="Q3323" s="8"/>
      <c r="R3323" s="9" t="s">
        <v>3074</v>
      </c>
    </row>
    <row r="3324" spans="1:18" x14ac:dyDescent="0.25">
      <c r="A3324" s="6" t="str">
        <f>HYPERLINK("proteomic_fractions_linear_files/Yang_linear_img/20799907.jpg", "20799907")</f>
        <v>20799907</v>
      </c>
      <c r="B3324" s="7"/>
      <c r="C3324" s="6" t="str">
        <f>HYPERLINK("http://www.ncbi.nlm.nih.gov/protein/20799907","Hist2h2aa1")</f>
        <v>Hist2h2aa1</v>
      </c>
      <c r="D3324" s="8"/>
      <c r="E3324" s="8">
        <v>13964</v>
      </c>
      <c r="F3324" s="8"/>
      <c r="G3324" s="15">
        <v>1.5568387336199108</v>
      </c>
      <c r="H3324" s="15">
        <v>1.5568387336199108</v>
      </c>
      <c r="I3324" s="15" t="s">
        <v>10</v>
      </c>
      <c r="J3324" s="15" t="s">
        <v>10</v>
      </c>
      <c r="K3324" s="15" t="s">
        <v>10</v>
      </c>
      <c r="L3324" s="15" t="s">
        <v>10</v>
      </c>
      <c r="M3324" s="15" t="s">
        <v>10</v>
      </c>
      <c r="N3324" s="15" t="s">
        <v>10</v>
      </c>
      <c r="O3324" s="15" t="s">
        <v>10</v>
      </c>
      <c r="P3324" s="15" t="s">
        <v>10</v>
      </c>
      <c r="Q3324" s="8"/>
      <c r="R3324" s="9" t="s">
        <v>3075</v>
      </c>
    </row>
    <row r="3325" spans="1:18" x14ac:dyDescent="0.25">
      <c r="A3325" s="6" t="str">
        <f>HYPERLINK("proteomic_fractions_linear_files/Yang_linear_img/30061399;20799907.jpg", "30061399;20799907")</f>
        <v>30061399;20799907</v>
      </c>
      <c r="B3325" s="8"/>
      <c r="C3325" s="6" t="str">
        <f>HYPERLINK("http://www.ncbi.nlm.nih.gov/protein/30061399;20799907","Hist2h2aa2")</f>
        <v>Hist2h2aa2</v>
      </c>
      <c r="D3325" s="8"/>
      <c r="E3325" s="8">
        <v>13964</v>
      </c>
      <c r="F3325" s="8"/>
      <c r="G3325" s="15" t="s">
        <v>10</v>
      </c>
      <c r="H3325" s="15" t="s">
        <v>10</v>
      </c>
      <c r="I3325" s="15">
        <v>1.085452735272449</v>
      </c>
      <c r="J3325" s="15">
        <v>1.085452735272449</v>
      </c>
      <c r="K3325" s="15">
        <v>1.1376744130844125</v>
      </c>
      <c r="L3325" s="15">
        <v>1.1376744130844125</v>
      </c>
      <c r="M3325" s="15">
        <v>1.1376744130844125</v>
      </c>
      <c r="N3325" s="15">
        <v>1.1376744130844125</v>
      </c>
      <c r="O3325" s="15">
        <v>0.94979028735725246</v>
      </c>
      <c r="P3325" s="15">
        <v>0.94979028735725246</v>
      </c>
      <c r="Q3325" s="8"/>
      <c r="R3325" s="9" t="s">
        <v>3075</v>
      </c>
    </row>
    <row r="3326" spans="1:18" x14ac:dyDescent="0.25">
      <c r="A3326" s="6" t="str">
        <f>HYPERLINK("proteomic_fractions_linear_files/Yang_linear_img/119433657.jpg", "119433657")</f>
        <v>119433657</v>
      </c>
      <c r="B3326" s="7"/>
      <c r="C3326" s="6" t="str">
        <f>HYPERLINK("http://www.ncbi.nlm.nih.gov/protein/119433657","Hist2h2ab")</f>
        <v>Hist2h2ab</v>
      </c>
      <c r="D3326" s="8"/>
      <c r="E3326" s="8">
        <v>13882</v>
      </c>
      <c r="F3326" s="8"/>
      <c r="G3326" s="15">
        <v>428.07857142857148</v>
      </c>
      <c r="H3326" s="15">
        <v>428.07857142857148</v>
      </c>
      <c r="I3326" s="15">
        <v>1.1376744130844125</v>
      </c>
      <c r="J3326" s="15">
        <v>1.1376744130844125</v>
      </c>
      <c r="K3326" s="15">
        <v>1.1376744130844125</v>
      </c>
      <c r="L3326" s="15">
        <v>1.1376744130844125</v>
      </c>
      <c r="M3326" s="15">
        <v>1.0369624087050249</v>
      </c>
      <c r="N3326" s="15">
        <v>1.0369624087050249</v>
      </c>
      <c r="O3326" s="15">
        <v>0.94979028735725246</v>
      </c>
      <c r="P3326" s="15">
        <v>0.94979028735725246</v>
      </c>
      <c r="Q3326" s="8"/>
      <c r="R3326" s="9" t="s">
        <v>3076</v>
      </c>
    </row>
    <row r="3327" spans="1:18" x14ac:dyDescent="0.25">
      <c r="A3327" s="6" t="str">
        <f>HYPERLINK("proteomic_fractions_linear_files/Yang_linear_img/30089710.jpg", "30089710")</f>
        <v>30089710</v>
      </c>
      <c r="B3327" s="7"/>
      <c r="C3327" s="6" t="str">
        <f>HYPERLINK("http://www.ncbi.nlm.nih.gov/protein/30089710","Hist2h2ac")</f>
        <v>Hist2h2ac</v>
      </c>
      <c r="D3327" s="8"/>
      <c r="E3327" s="8">
        <v>13857</v>
      </c>
      <c r="F3327" s="8"/>
      <c r="G3327" s="15">
        <v>1.5568387336199108</v>
      </c>
      <c r="H3327" s="15">
        <v>1.5568387336199108</v>
      </c>
      <c r="I3327" s="15">
        <v>1.085452735272449</v>
      </c>
      <c r="J3327" s="15">
        <v>1.085452735272449</v>
      </c>
      <c r="K3327" s="15">
        <v>1.1376744130844125</v>
      </c>
      <c r="L3327" s="15">
        <v>1.1376744130844125</v>
      </c>
      <c r="M3327" s="15">
        <v>1.1376744130844125</v>
      </c>
      <c r="N3327" s="15">
        <v>1.1376744130844125</v>
      </c>
      <c r="O3327" s="15">
        <v>0.94979028735725246</v>
      </c>
      <c r="P3327" s="15">
        <v>0.94979028735725246</v>
      </c>
      <c r="Q3327" s="8"/>
      <c r="R3327" s="9" t="s">
        <v>3077</v>
      </c>
    </row>
    <row r="3328" spans="1:18" x14ac:dyDescent="0.25">
      <c r="A3328" s="6" t="str">
        <f>HYPERLINK("proteomic_fractions_linear_files/Yang_linear_img/68226433.jpg", "68226433")</f>
        <v>68226433</v>
      </c>
      <c r="B3328" s="7"/>
      <c r="C3328" s="6" t="str">
        <f>HYPERLINK("http://www.ncbi.nlm.nih.gov/protein/68226433","Hist2h2bb")</f>
        <v>Hist2h2bb</v>
      </c>
      <c r="D3328" s="8"/>
      <c r="E3328" s="8">
        <v>13789</v>
      </c>
      <c r="F3328" s="8"/>
      <c r="G3328" s="15">
        <v>1.7539157580912084</v>
      </c>
      <c r="H3328" s="15">
        <v>1.7539157580912084</v>
      </c>
      <c r="I3328" s="15">
        <v>0.99184646428118928</v>
      </c>
      <c r="J3328" s="15">
        <v>0.99184646428118928</v>
      </c>
      <c r="K3328" s="15">
        <v>1.1940338943290729</v>
      </c>
      <c r="L3328" s="15">
        <v>1.1940338943290729</v>
      </c>
      <c r="M3328" s="15">
        <v>1.1940338943290729</v>
      </c>
      <c r="N3328" s="15">
        <v>1.1940338943290729</v>
      </c>
      <c r="O3328" s="15">
        <v>1.085452735272449</v>
      </c>
      <c r="P3328" s="15">
        <v>1.085452735272449</v>
      </c>
      <c r="Q3328" s="8"/>
      <c r="R3328" s="9" t="s">
        <v>3078</v>
      </c>
    </row>
    <row r="3329" spans="1:18" x14ac:dyDescent="0.25">
      <c r="A3329" s="6" t="str">
        <f>HYPERLINK("proteomic_fractions_linear_files/Yang_linear_img/68226431.jpg", "68226431")</f>
        <v>68226431</v>
      </c>
      <c r="B3329" s="7"/>
      <c r="C3329" s="6" t="str">
        <f>HYPERLINK("http://www.ncbi.nlm.nih.gov/protein/68226431","Hist2h2be")</f>
        <v>Hist2h2be</v>
      </c>
      <c r="D3329" s="8"/>
      <c r="E3329" s="8">
        <v>13862</v>
      </c>
      <c r="F3329" s="8"/>
      <c r="G3329" s="15">
        <v>1.7539157580912084</v>
      </c>
      <c r="H3329" s="15">
        <v>1.7539157580912084</v>
      </c>
      <c r="I3329" s="15">
        <v>0.99184646428118928</v>
      </c>
      <c r="J3329" s="15">
        <v>0.99184646428118928</v>
      </c>
      <c r="K3329" s="15">
        <v>1.1940338943290729</v>
      </c>
      <c r="L3329" s="15">
        <v>1.1940338943290729</v>
      </c>
      <c r="M3329" s="15">
        <v>1.1940338943290729</v>
      </c>
      <c r="N3329" s="15">
        <v>1.1940338943290729</v>
      </c>
      <c r="O3329" s="15">
        <v>1.085452735272449</v>
      </c>
      <c r="P3329" s="15">
        <v>1.085452735272449</v>
      </c>
      <c r="Q3329" s="8"/>
      <c r="R3329" s="9" t="s">
        <v>3079</v>
      </c>
    </row>
    <row r="3330" spans="1:18" x14ac:dyDescent="0.25">
      <c r="A3330" s="6" t="str">
        <f>HYPERLINK("proteomic_fractions_linear_files/Yang_linear_img/21489953.jpg", "21489953")</f>
        <v>21489953</v>
      </c>
      <c r="B3330" s="7"/>
      <c r="C3330" s="6" t="str">
        <f>HYPERLINK("http://www.ncbi.nlm.nih.gov/protein/21489953","Hist2h3c2")</f>
        <v>Hist2h3c2</v>
      </c>
      <c r="D3330" s="8"/>
      <c r="E3330" s="8">
        <v>15257</v>
      </c>
      <c r="F3330" s="8"/>
      <c r="G3330" s="15" t="s">
        <v>10</v>
      </c>
      <c r="H3330" s="15" t="s">
        <v>10</v>
      </c>
      <c r="I3330" s="15">
        <v>1.0618294522121183</v>
      </c>
      <c r="J3330" s="15">
        <v>1.0618294522121183</v>
      </c>
      <c r="K3330" s="15" t="s">
        <v>10</v>
      </c>
      <c r="L3330" s="15" t="s">
        <v>10</v>
      </c>
      <c r="M3330" s="15">
        <v>1.1144316347071348</v>
      </c>
      <c r="N3330" s="15">
        <v>1.1144316347071348</v>
      </c>
      <c r="O3330" s="15">
        <v>1.0130892195876191</v>
      </c>
      <c r="P3330" s="15">
        <v>1.0130892195876191</v>
      </c>
      <c r="Q3330" s="8"/>
      <c r="R3330" s="9" t="s">
        <v>3072</v>
      </c>
    </row>
    <row r="3331" spans="1:18" x14ac:dyDescent="0.25">
      <c r="A3331" s="6" t="str">
        <f>HYPERLINK("proteomic_fractions_linear_files/Yang_linear_img/30061353.jpg", "30061353")</f>
        <v>30061353</v>
      </c>
      <c r="B3331" s="7"/>
      <c r="C3331" s="6" t="str">
        <f>HYPERLINK("http://www.ncbi.nlm.nih.gov/protein/30061353","Hist3h2a")</f>
        <v>Hist3h2a</v>
      </c>
      <c r="D3331" s="8"/>
      <c r="E3331" s="8">
        <v>13990</v>
      </c>
      <c r="F3331" s="8"/>
      <c r="G3331" s="15">
        <v>1.5568387336199108</v>
      </c>
      <c r="H3331" s="15">
        <v>1.5568387336199108</v>
      </c>
      <c r="I3331" s="15">
        <v>1.085452735272449</v>
      </c>
      <c r="J3331" s="15">
        <v>1.085452735272449</v>
      </c>
      <c r="K3331" s="15">
        <v>1.1376744130844125</v>
      </c>
      <c r="L3331" s="15">
        <v>1.1376744130844125</v>
      </c>
      <c r="M3331" s="15">
        <v>1.1376744130844125</v>
      </c>
      <c r="N3331" s="15">
        <v>1.1376744130844125</v>
      </c>
      <c r="O3331" s="15">
        <v>0.94979028735725246</v>
      </c>
      <c r="P3331" s="15">
        <v>0.94979028735725246</v>
      </c>
      <c r="Q3331" s="8"/>
      <c r="R3331" s="9" t="s">
        <v>3080</v>
      </c>
    </row>
    <row r="3332" spans="1:18" x14ac:dyDescent="0.25">
      <c r="A3332" s="6" t="str">
        <f>HYPERLINK("proteomic_fractions_linear_files/Yang_linear_img/13386452.jpg", "13386452")</f>
        <v>13386452</v>
      </c>
      <c r="B3332" s="7"/>
      <c r="C3332" s="6" t="str">
        <f>HYPERLINK("http://www.ncbi.nlm.nih.gov/protein/13386452","Hist3h2ba")</f>
        <v>Hist3h2ba</v>
      </c>
      <c r="D3332" s="8"/>
      <c r="E3332" s="8">
        <v>13863</v>
      </c>
      <c r="F3332" s="8"/>
      <c r="G3332" s="15">
        <v>1.7539157580912084</v>
      </c>
      <c r="H3332" s="15">
        <v>1.7539157580912084</v>
      </c>
      <c r="I3332" s="15">
        <v>0.99184646428118928</v>
      </c>
      <c r="J3332" s="15">
        <v>0.99184646428118928</v>
      </c>
      <c r="K3332" s="15">
        <v>1.1940338943290729</v>
      </c>
      <c r="L3332" s="15">
        <v>1.1940338943290729</v>
      </c>
      <c r="M3332" s="15">
        <v>1.1940338943290729</v>
      </c>
      <c r="N3332" s="15">
        <v>1.1940338943290729</v>
      </c>
      <c r="O3332" s="15">
        <v>1.085452735272449</v>
      </c>
      <c r="P3332" s="15">
        <v>1.085452735272449</v>
      </c>
      <c r="Q3332" s="8"/>
      <c r="R3332" s="9" t="s">
        <v>3081</v>
      </c>
    </row>
    <row r="3333" spans="1:18" x14ac:dyDescent="0.25">
      <c r="A3333" s="6" t="str">
        <f>HYPERLINK("proteomic_fractions_linear_files/Yang_linear_img/46049029.jpg", "46049029")</f>
        <v>46049029</v>
      </c>
      <c r="B3333" s="7"/>
      <c r="C3333" s="6" t="str">
        <f>HYPERLINK("http://www.ncbi.nlm.nih.gov/protein/46049029","Hist3h2bb-ps")</f>
        <v>Hist3h2bb-ps</v>
      </c>
      <c r="D3333" s="8"/>
      <c r="E3333" s="8">
        <v>17014</v>
      </c>
      <c r="F3333" s="8"/>
      <c r="G3333" s="15">
        <v>1.4444012125457011</v>
      </c>
      <c r="H3333" s="15">
        <v>1.4444012125457011</v>
      </c>
      <c r="I3333" s="15">
        <v>0.81681473529039117</v>
      </c>
      <c r="J3333" s="15">
        <v>0.81681473529039117</v>
      </c>
      <c r="K3333" s="15">
        <v>0.98332203062394252</v>
      </c>
      <c r="L3333" s="15">
        <v>0.98332203062394252</v>
      </c>
      <c r="M3333" s="15">
        <v>0.98332203062394252</v>
      </c>
      <c r="N3333" s="15">
        <v>0.98332203062394252</v>
      </c>
      <c r="O3333" s="15">
        <v>0.89390225257731093</v>
      </c>
      <c r="P3333" s="15">
        <v>0.89390225257731093</v>
      </c>
      <c r="Q3333" s="8"/>
      <c r="R3333" s="9" t="s">
        <v>3082</v>
      </c>
    </row>
    <row r="3334" spans="1:18" x14ac:dyDescent="0.25">
      <c r="A3334" s="6" t="str">
        <f>HYPERLINK("proteomic_fractions_linear_files/Yang_linear_img/225735582.jpg", "225735582")</f>
        <v>225735582</v>
      </c>
      <c r="B3334" s="7"/>
      <c r="C3334" s="6" t="str">
        <f>HYPERLINK("http://www.ncbi.nlm.nih.gov/protein/225735582","Hk1")</f>
        <v>Hk1</v>
      </c>
      <c r="D3334" s="8"/>
      <c r="E3334" s="8">
        <v>105445</v>
      </c>
      <c r="F3334" s="8"/>
      <c r="G3334" s="15">
        <v>1.2259202680487331</v>
      </c>
      <c r="H3334" s="15">
        <v>1.2259202680487331</v>
      </c>
      <c r="I3334" s="15">
        <v>1.0457291792488712</v>
      </c>
      <c r="J3334" s="15">
        <v>1.0457291792488712</v>
      </c>
      <c r="K3334" s="15">
        <v>1.2259202680487331</v>
      </c>
      <c r="L3334" s="15">
        <v>1.2259202680487331</v>
      </c>
      <c r="M3334" s="15">
        <v>1.2259202680487331</v>
      </c>
      <c r="N3334" s="15">
        <v>1.2259202680487331</v>
      </c>
      <c r="O3334" s="15">
        <v>1.2259202680487331</v>
      </c>
      <c r="P3334" s="15">
        <v>1.2259202680487331</v>
      </c>
      <c r="Q3334" s="8"/>
      <c r="R3334" s="9" t="s">
        <v>3083</v>
      </c>
    </row>
    <row r="3335" spans="1:18" x14ac:dyDescent="0.25">
      <c r="A3335" s="6" t="str">
        <f>HYPERLINK("proteomic_fractions_linear_files/Yang_linear_img/225735584.jpg", "225735584")</f>
        <v>225735584</v>
      </c>
      <c r="B3335" s="7"/>
      <c r="C3335" s="6" t="str">
        <f>HYPERLINK("http://www.ncbi.nlm.nih.gov/protein/225735584","Hk1")</f>
        <v>Hk1</v>
      </c>
      <c r="D3335" s="8"/>
      <c r="E3335" s="8">
        <v>102171</v>
      </c>
      <c r="F3335" s="8"/>
      <c r="G3335" s="15">
        <v>1.2619767465207545</v>
      </c>
      <c r="H3335" s="15">
        <v>1.2619767465207545</v>
      </c>
      <c r="I3335" s="15">
        <v>1.0764859198150143</v>
      </c>
      <c r="J3335" s="15">
        <v>1.0764859198150143</v>
      </c>
      <c r="K3335" s="15">
        <v>1.2619767465207545</v>
      </c>
      <c r="L3335" s="15">
        <v>1.2619767465207545</v>
      </c>
      <c r="M3335" s="15">
        <v>1.2619767465207545</v>
      </c>
      <c r="N3335" s="15">
        <v>1.2619767465207545</v>
      </c>
      <c r="O3335" s="15">
        <v>1.2619767465207545</v>
      </c>
      <c r="P3335" s="15">
        <v>1.2619767465207545</v>
      </c>
      <c r="Q3335" s="8"/>
      <c r="R3335" s="9" t="s">
        <v>3084</v>
      </c>
    </row>
    <row r="3336" spans="1:18" x14ac:dyDescent="0.25">
      <c r="A3336" s="6" t="str">
        <f>HYPERLINK("proteomic_fractions_linear_files/Yang_linear_img/7305143.jpg", "7305143")</f>
        <v>7305143</v>
      </c>
      <c r="B3336" s="7"/>
      <c r="C3336" s="6" t="str">
        <f>HYPERLINK("http://www.ncbi.nlm.nih.gov/protein/7305143","Hk2")</f>
        <v>Hk2</v>
      </c>
      <c r="D3336" s="8"/>
      <c r="E3336" s="8">
        <v>102405</v>
      </c>
      <c r="F3336" s="8"/>
      <c r="G3336" s="15">
        <v>1.2619767465207545</v>
      </c>
      <c r="H3336" s="15">
        <v>1.2619767465207545</v>
      </c>
      <c r="I3336" s="15">
        <v>1.0764859198150143</v>
      </c>
      <c r="J3336" s="15">
        <v>1.0764859198150143</v>
      </c>
      <c r="K3336" s="15">
        <v>1.2619767465207545</v>
      </c>
      <c r="L3336" s="15">
        <v>1.2619767465207545</v>
      </c>
      <c r="M3336" s="15">
        <v>1.2619767465207545</v>
      </c>
      <c r="N3336" s="15">
        <v>1.2619767465207545</v>
      </c>
      <c r="O3336" s="15">
        <v>1.0764859198150143</v>
      </c>
      <c r="P3336" s="15">
        <v>1.0764859198150143</v>
      </c>
      <c r="Q3336" s="8"/>
      <c r="R3336" s="9" t="s">
        <v>3085</v>
      </c>
    </row>
    <row r="3337" spans="1:18" x14ac:dyDescent="0.25">
      <c r="A3337" s="6" t="str">
        <f>HYPERLINK("proteomic_fractions_linear_files/Yang_linear_img/329755310.jpg", "329755310")</f>
        <v>329755310</v>
      </c>
      <c r="B3337" s="7"/>
      <c r="C3337" s="6" t="str">
        <f>HYPERLINK("http://www.ncbi.nlm.nih.gov/protein/329755310","Hk3")</f>
        <v>Hk3</v>
      </c>
      <c r="D3337" s="8"/>
      <c r="E3337" s="8">
        <v>95294</v>
      </c>
      <c r="F3337" s="8"/>
      <c r="G3337" s="15">
        <v>1.354964506790705</v>
      </c>
      <c r="H3337" s="15">
        <v>1.354964506790705</v>
      </c>
      <c r="I3337" s="15">
        <v>1.1558059349592786</v>
      </c>
      <c r="J3337" s="15">
        <v>1.1558059349592786</v>
      </c>
      <c r="K3337" s="15">
        <v>1.354964506790705</v>
      </c>
      <c r="L3337" s="15">
        <v>1.354964506790705</v>
      </c>
      <c r="M3337" s="15">
        <v>1.1558059349592786</v>
      </c>
      <c r="N3337" s="15">
        <v>1.1558059349592786</v>
      </c>
      <c r="O3337" s="15">
        <v>1.1558059349592786</v>
      </c>
      <c r="P3337" s="15">
        <v>1.1558059349592786</v>
      </c>
      <c r="Q3337" s="8"/>
      <c r="R3337" s="9" t="s">
        <v>3086</v>
      </c>
    </row>
    <row r="3338" spans="1:18" x14ac:dyDescent="0.25">
      <c r="A3338" s="6" t="str">
        <f>HYPERLINK("proteomic_fractions_linear_files/Yang_linear_img/329755312.jpg", "329755312")</f>
        <v>329755312</v>
      </c>
      <c r="B3338" s="7"/>
      <c r="C3338" s="6" t="str">
        <f>HYPERLINK("http://www.ncbi.nlm.nih.gov/protein/329755312","Hk3")</f>
        <v>Hk3</v>
      </c>
      <c r="D3338" s="8"/>
      <c r="E3338" s="8">
        <v>94101</v>
      </c>
      <c r="F3338" s="8"/>
      <c r="G3338" s="15">
        <v>1.3693790228203933</v>
      </c>
      <c r="H3338" s="15">
        <v>1.3693790228203933</v>
      </c>
      <c r="I3338" s="15">
        <v>1.1681017427779943</v>
      </c>
      <c r="J3338" s="15">
        <v>1.1681017427779943</v>
      </c>
      <c r="K3338" s="15">
        <v>1.3693790228203933</v>
      </c>
      <c r="L3338" s="15">
        <v>1.3693790228203933</v>
      </c>
      <c r="M3338" s="15">
        <v>1.1681017427779943</v>
      </c>
      <c r="N3338" s="15">
        <v>1.1681017427779943</v>
      </c>
      <c r="O3338" s="15">
        <v>1.1681017427779943</v>
      </c>
      <c r="P3338" s="15">
        <v>1.1681017427779943</v>
      </c>
      <c r="Q3338" s="8"/>
      <c r="R3338" s="9" t="s">
        <v>3087</v>
      </c>
    </row>
    <row r="3339" spans="1:18" x14ac:dyDescent="0.25">
      <c r="A3339" s="6" t="str">
        <f>HYPERLINK("proteomic_fractions_linear_files/Yang_linear_img/84370288.jpg", "84370288")</f>
        <v>84370288</v>
      </c>
      <c r="B3339" s="7"/>
      <c r="C3339" s="6" t="str">
        <f>HYPERLINK("http://www.ncbi.nlm.nih.gov/protein/84370288","Hk3")</f>
        <v>Hk3</v>
      </c>
      <c r="D3339" s="8"/>
      <c r="E3339" s="8">
        <v>99970</v>
      </c>
      <c r="F3339" s="8"/>
      <c r="G3339" s="15">
        <v>1.2872162814511696</v>
      </c>
      <c r="H3339" s="15">
        <v>1.2872162814511696</v>
      </c>
      <c r="I3339" s="15">
        <v>1.0980156382113146</v>
      </c>
      <c r="J3339" s="15">
        <v>1.0980156382113146</v>
      </c>
      <c r="K3339" s="15">
        <v>1.2872162814511696</v>
      </c>
      <c r="L3339" s="15">
        <v>1.2872162814511696</v>
      </c>
      <c r="M3339" s="15">
        <v>1.0980156382113146</v>
      </c>
      <c r="N3339" s="15">
        <v>1.0980156382113146</v>
      </c>
      <c r="O3339" s="15">
        <v>1.0980156382113146</v>
      </c>
      <c r="P3339" s="15">
        <v>1.0980156382113146</v>
      </c>
      <c r="Q3339" s="8"/>
      <c r="R3339" s="9" t="s">
        <v>3088</v>
      </c>
    </row>
    <row r="3340" spans="1:18" x14ac:dyDescent="0.25">
      <c r="A3340" s="6" t="str">
        <f>HYPERLINK("proteomic_fractions_linear_files/Yang_linear_img/21703836.jpg", "21703836")</f>
        <v>21703836</v>
      </c>
      <c r="B3340" s="7"/>
      <c r="C3340" s="6" t="str">
        <f>HYPERLINK("http://www.ncbi.nlm.nih.gov/protein/21703836","Hkdc1")</f>
        <v>Hkdc1</v>
      </c>
      <c r="D3340" s="8"/>
      <c r="E3340" s="8">
        <v>102129</v>
      </c>
      <c r="F3340" s="8"/>
      <c r="G3340" s="15">
        <v>1.2619767465207545</v>
      </c>
      <c r="H3340" s="15">
        <v>1.2619767465207545</v>
      </c>
      <c r="I3340" s="15">
        <v>1.0764859198150143</v>
      </c>
      <c r="J3340" s="15">
        <v>1.0764859198150143</v>
      </c>
      <c r="K3340" s="15">
        <v>1.2619767465207545</v>
      </c>
      <c r="L3340" s="15">
        <v>1.2619767465207545</v>
      </c>
      <c r="M3340" s="15">
        <v>1.2619767465207545</v>
      </c>
      <c r="N3340" s="15">
        <v>1.2619767465207545</v>
      </c>
      <c r="O3340" s="15">
        <v>1.0764859198150143</v>
      </c>
      <c r="P3340" s="15">
        <v>1.0764859198150143</v>
      </c>
      <c r="Q3340" s="8"/>
      <c r="R3340" s="9" t="s">
        <v>3089</v>
      </c>
    </row>
    <row r="3341" spans="1:18" x14ac:dyDescent="0.25">
      <c r="A3341" s="6" t="str">
        <f>HYPERLINK("proteomic_fractions_linear_files/Yang_linear_img/20982837.jpg", "20982837")</f>
        <v>20982837</v>
      </c>
      <c r="B3341" s="7"/>
      <c r="C3341" s="6" t="str">
        <f>HYPERLINK("http://www.ncbi.nlm.nih.gov/protein/20982837","Hlcs")</f>
        <v>Hlcs</v>
      </c>
      <c r="D3341" s="8"/>
      <c r="E3341" s="8">
        <v>78386</v>
      </c>
      <c r="F3341" s="8"/>
      <c r="G3341" s="15" t="s">
        <v>10</v>
      </c>
      <c r="H3341" s="15" t="s">
        <v>10</v>
      </c>
      <c r="I3341" s="15">
        <v>1.2175382202895451</v>
      </c>
      <c r="J3341" s="15">
        <v>1.2175382202895451</v>
      </c>
      <c r="K3341" s="15" t="s">
        <v>10</v>
      </c>
      <c r="L3341" s="15" t="s">
        <v>10</v>
      </c>
      <c r="M3341" s="15" t="s">
        <v>10</v>
      </c>
      <c r="N3341" s="15" t="s">
        <v>10</v>
      </c>
      <c r="O3341" s="15" t="s">
        <v>10</v>
      </c>
      <c r="P3341" s="15" t="s">
        <v>10</v>
      </c>
      <c r="Q3341" s="8"/>
      <c r="R3341" s="9" t="s">
        <v>3090</v>
      </c>
    </row>
    <row r="3342" spans="1:18" x14ac:dyDescent="0.25">
      <c r="A3342" s="6" t="str">
        <f>HYPERLINK("proteomic_fractions_linear_files/Yang_linear_img/67763824.jpg", "67763824")</f>
        <v>67763824</v>
      </c>
      <c r="B3342" s="7"/>
      <c r="C3342" s="6" t="str">
        <f>HYPERLINK("http://www.ncbi.nlm.nih.gov/protein/67763824","Hltf")</f>
        <v>Hltf</v>
      </c>
      <c r="D3342" s="8"/>
      <c r="E3342" s="8">
        <v>113186</v>
      </c>
      <c r="F3342" s="8"/>
      <c r="G3342" s="15" t="s">
        <v>10</v>
      </c>
      <c r="H3342" s="15" t="s">
        <v>10</v>
      </c>
      <c r="I3342" s="15" t="s">
        <v>10</v>
      </c>
      <c r="J3342" s="15" t="s">
        <v>10</v>
      </c>
      <c r="K3342" s="15">
        <v>1.3579900100552376</v>
      </c>
      <c r="L3342" s="15">
        <v>1.3579900100552376</v>
      </c>
      <c r="M3342" s="15" t="s">
        <v>10</v>
      </c>
      <c r="N3342" s="15" t="s">
        <v>10</v>
      </c>
      <c r="O3342" s="15" t="s">
        <v>10</v>
      </c>
      <c r="P3342" s="15" t="s">
        <v>10</v>
      </c>
      <c r="Q3342" s="8"/>
      <c r="R3342" s="9" t="s">
        <v>3091</v>
      </c>
    </row>
    <row r="3343" spans="1:18" x14ac:dyDescent="0.25">
      <c r="A3343" s="6" t="str">
        <f>HYPERLINK("proteomic_fractions_linear_files/Yang_linear_img/159110431.jpg", "159110431")</f>
        <v>159110431</v>
      </c>
      <c r="B3343" s="7"/>
      <c r="C3343" s="6" t="str">
        <f>HYPERLINK("http://www.ncbi.nlm.nih.gov/protein/159110431","Hmbs")</f>
        <v>Hmbs</v>
      </c>
      <c r="D3343" s="8"/>
      <c r="E3343" s="8">
        <v>39213</v>
      </c>
      <c r="F3343" s="8"/>
      <c r="G3343" s="15" t="s">
        <v>10</v>
      </c>
      <c r="H3343" s="15" t="s">
        <v>10</v>
      </c>
      <c r="I3343" s="15">
        <v>1.038649184698019</v>
      </c>
      <c r="J3343" s="15">
        <v>1.038649184698019</v>
      </c>
      <c r="K3343" s="15">
        <v>1.1314253653068069</v>
      </c>
      <c r="L3343" s="15">
        <v>1.1314253653068069</v>
      </c>
      <c r="M3343" s="15" t="s">
        <v>10</v>
      </c>
      <c r="N3343" s="15" t="s">
        <v>10</v>
      </c>
      <c r="O3343" s="15">
        <v>0.95746990828524592</v>
      </c>
      <c r="P3343" s="15">
        <v>0.95746990828524592</v>
      </c>
      <c r="Q3343" s="8"/>
      <c r="R3343" s="9" t="s">
        <v>3092</v>
      </c>
    </row>
    <row r="3344" spans="1:18" x14ac:dyDescent="0.25">
      <c r="A3344" s="6" t="str">
        <f>HYPERLINK("proteomic_fractions_linear_files/Yang_linear_img/159110463.jpg", "159110463")</f>
        <v>159110463</v>
      </c>
      <c r="B3344" s="7"/>
      <c r="C3344" s="6" t="str">
        <f>HYPERLINK("http://www.ncbi.nlm.nih.gov/protein/159110463","Hmbs")</f>
        <v>Hmbs</v>
      </c>
      <c r="D3344" s="8"/>
      <c r="E3344" s="8">
        <v>37650</v>
      </c>
      <c r="F3344" s="8"/>
      <c r="G3344" s="15" t="s">
        <v>10</v>
      </c>
      <c r="H3344" s="15" t="s">
        <v>10</v>
      </c>
      <c r="I3344" s="15">
        <v>1.0659820579795458</v>
      </c>
      <c r="J3344" s="15">
        <v>1.0659820579795458</v>
      </c>
      <c r="K3344" s="15">
        <v>1.1611997170254071</v>
      </c>
      <c r="L3344" s="15">
        <v>1.1611997170254071</v>
      </c>
      <c r="M3344" s="15" t="s">
        <v>10</v>
      </c>
      <c r="N3344" s="15" t="s">
        <v>10</v>
      </c>
      <c r="O3344" s="15">
        <v>0.98266648481906815</v>
      </c>
      <c r="P3344" s="15">
        <v>0.98266648481906815</v>
      </c>
      <c r="Q3344" s="8"/>
      <c r="R3344" s="9" t="s">
        <v>3093</v>
      </c>
    </row>
    <row r="3345" spans="1:18" x14ac:dyDescent="0.25">
      <c r="A3345" s="6" t="str">
        <f>HYPERLINK("proteomic_fractions_linear_files/Yang_linear_img/154689979.jpg", "154689979")</f>
        <v>154689979</v>
      </c>
      <c r="B3345" s="7"/>
      <c r="C3345" s="6" t="str">
        <f>HYPERLINK("http://www.ncbi.nlm.nih.gov/protein/154689979","Hmcn1")</f>
        <v>Hmcn1</v>
      </c>
      <c r="D3345" s="8"/>
      <c r="E3345" s="8">
        <v>609251</v>
      </c>
      <c r="F3345" s="8"/>
      <c r="G3345" s="15" t="s">
        <v>10</v>
      </c>
      <c r="H3345" s="15" t="s">
        <v>10</v>
      </c>
      <c r="I3345" s="15">
        <v>2.4952936443044804E-2</v>
      </c>
      <c r="J3345" s="15">
        <v>2.4952936443044804E-2</v>
      </c>
      <c r="K3345" s="15" t="s">
        <v>10</v>
      </c>
      <c r="L3345" s="15" t="s">
        <v>10</v>
      </c>
      <c r="M3345" s="15" t="s">
        <v>10</v>
      </c>
      <c r="N3345" s="15" t="s">
        <v>10</v>
      </c>
      <c r="O3345" s="15" t="s">
        <v>10</v>
      </c>
      <c r="P3345" s="15" t="s">
        <v>10</v>
      </c>
      <c r="Q3345" s="8"/>
      <c r="R3345" s="9" t="s">
        <v>3094</v>
      </c>
    </row>
    <row r="3346" spans="1:18" x14ac:dyDescent="0.25">
      <c r="A3346" s="6" t="str">
        <f>HYPERLINK("proteomic_fractions_linear_files/Yang_linear_img/262331501.jpg", "262331501")</f>
        <v>262331501</v>
      </c>
      <c r="B3346" s="7"/>
      <c r="C3346" s="6" t="str">
        <f>HYPERLINK("http://www.ncbi.nlm.nih.gov/protein/262331501","Hmga1")</f>
        <v>Hmga1</v>
      </c>
      <c r="D3346" s="8"/>
      <c r="E3346" s="8">
        <v>10486</v>
      </c>
      <c r="F3346" s="8"/>
      <c r="G3346" s="15" t="s">
        <v>10</v>
      </c>
      <c r="H3346" s="15" t="s">
        <v>10</v>
      </c>
      <c r="I3346" s="15">
        <v>1.6716474520607023</v>
      </c>
      <c r="J3346" s="15">
        <v>1.6716474520607023</v>
      </c>
      <c r="K3346" s="15" t="s">
        <v>10</v>
      </c>
      <c r="L3346" s="15" t="s">
        <v>10</v>
      </c>
      <c r="M3346" s="15">
        <v>1.6716474520607023</v>
      </c>
      <c r="N3346" s="15">
        <v>1.6716474520607023</v>
      </c>
      <c r="O3346" s="15">
        <v>1.6716474520607023</v>
      </c>
      <c r="P3346" s="15">
        <v>1.6716474520607023</v>
      </c>
      <c r="Q3346" s="8"/>
      <c r="R3346" s="9" t="s">
        <v>3095</v>
      </c>
    </row>
    <row r="3347" spans="1:18" x14ac:dyDescent="0.25">
      <c r="A3347" s="6" t="str">
        <f>HYPERLINK("proteomic_fractions_linear_files/Yang_linear_img/262331513.jpg", "262331513")</f>
        <v>262331513</v>
      </c>
      <c r="B3347" s="7"/>
      <c r="C3347" s="6" t="str">
        <f>HYPERLINK("http://www.ncbi.nlm.nih.gov/protein/262331513","Hmga1")</f>
        <v>Hmga1</v>
      </c>
      <c r="D3347" s="8"/>
      <c r="E3347" s="8">
        <v>11912</v>
      </c>
      <c r="F3347" s="8"/>
      <c r="G3347" s="15" t="s">
        <v>10</v>
      </c>
      <c r="H3347" s="15" t="s">
        <v>10</v>
      </c>
      <c r="I3347" s="15">
        <v>1.3930395433839184</v>
      </c>
      <c r="J3347" s="15">
        <v>1.3930395433839184</v>
      </c>
      <c r="K3347" s="15" t="s">
        <v>10</v>
      </c>
      <c r="L3347" s="15" t="s">
        <v>10</v>
      </c>
      <c r="M3347" s="15">
        <v>1.4641616471132473</v>
      </c>
      <c r="N3347" s="15">
        <v>1.4641616471132473</v>
      </c>
      <c r="O3347" s="15">
        <v>1.3930395433839184</v>
      </c>
      <c r="P3347" s="15">
        <v>1.3930395433839184</v>
      </c>
      <c r="Q3347" s="8"/>
      <c r="R3347" s="9" t="s">
        <v>3096</v>
      </c>
    </row>
    <row r="3348" spans="1:18" x14ac:dyDescent="0.25">
      <c r="A3348" s="6" t="str">
        <f>HYPERLINK("proteomic_fractions_linear_files/Yang_linear_img/262331509.jpg", "262331509")</f>
        <v>262331509</v>
      </c>
      <c r="B3348" s="7"/>
      <c r="C3348" s="6" t="str">
        <f>HYPERLINK("http://www.ncbi.nlm.nih.gov/protein/262331509","Hmga1")</f>
        <v>Hmga1</v>
      </c>
      <c r="D3348" s="8"/>
      <c r="E3348" s="8">
        <v>11354</v>
      </c>
      <c r="F3348" s="8"/>
      <c r="G3348" s="15">
        <v>2.2322564193888108</v>
      </c>
      <c r="H3348" s="15">
        <v>2.2322564193888108</v>
      </c>
      <c r="I3348" s="15">
        <v>1.5196795018733658</v>
      </c>
      <c r="J3348" s="15">
        <v>1.5196795018733658</v>
      </c>
      <c r="K3348" s="15" t="s">
        <v>10</v>
      </c>
      <c r="L3348" s="15" t="s">
        <v>10</v>
      </c>
      <c r="M3348" s="15">
        <v>1.5972672513962698</v>
      </c>
      <c r="N3348" s="15">
        <v>1.5972672513962698</v>
      </c>
      <c r="O3348" s="15">
        <v>1.5196795018733658</v>
      </c>
      <c r="P3348" s="15">
        <v>1.5196795018733658</v>
      </c>
      <c r="Q3348" s="8"/>
      <c r="R3348" s="9" t="s">
        <v>3097</v>
      </c>
    </row>
    <row r="3349" spans="1:18" x14ac:dyDescent="0.25">
      <c r="A3349" s="6" t="str">
        <f>HYPERLINK("proteomic_fractions_linear_files/Yang_linear_img/262331515.jpg", "262331515")</f>
        <v>262331515</v>
      </c>
      <c r="B3349" s="7"/>
      <c r="C3349" s="6" t="str">
        <f>HYPERLINK("http://www.ncbi.nlm.nih.gov/protein/262331515","Hmga1")</f>
        <v>Hmga1</v>
      </c>
      <c r="D3349" s="8"/>
      <c r="E3349" s="8">
        <v>12895</v>
      </c>
      <c r="F3349" s="8"/>
      <c r="G3349" s="15">
        <v>1.888832354867455</v>
      </c>
      <c r="H3349" s="15">
        <v>1.888832354867455</v>
      </c>
      <c r="I3349" s="15">
        <v>1.2858826554313094</v>
      </c>
      <c r="J3349" s="15">
        <v>1.2858826554313094</v>
      </c>
      <c r="K3349" s="15" t="s">
        <v>10</v>
      </c>
      <c r="L3349" s="15" t="s">
        <v>10</v>
      </c>
      <c r="M3349" s="15">
        <v>1.3515338281045359</v>
      </c>
      <c r="N3349" s="15">
        <v>1.3515338281045359</v>
      </c>
      <c r="O3349" s="15">
        <v>1.2858826554313094</v>
      </c>
      <c r="P3349" s="15">
        <v>1.2858826554313094</v>
      </c>
      <c r="Q3349" s="8"/>
      <c r="R3349" s="9" t="s">
        <v>3098</v>
      </c>
    </row>
    <row r="3350" spans="1:18" x14ac:dyDescent="0.25">
      <c r="A3350" s="6" t="str">
        <f>HYPERLINK("proteomic_fractions_linear_files/Yang_linear_img/262072972;262331501.jpg", "262072972;262331501")</f>
        <v>262072972;262331501</v>
      </c>
      <c r="B3350" s="8"/>
      <c r="C3350" s="6" t="str">
        <f>HYPERLINK("http://www.ncbi.nlm.nih.gov/protein/262072972;262331501","Hmga1-rs1")</f>
        <v>Hmga1-rs1</v>
      </c>
      <c r="D3350" s="8"/>
      <c r="E3350" s="8">
        <v>10486</v>
      </c>
      <c r="F3350" s="8"/>
      <c r="G3350" s="15">
        <v>2.4554820613276918</v>
      </c>
      <c r="H3350" s="15">
        <v>2.4554820613276918</v>
      </c>
      <c r="I3350" s="15" t="s">
        <v>10</v>
      </c>
      <c r="J3350" s="15" t="s">
        <v>10</v>
      </c>
      <c r="K3350" s="15" t="s">
        <v>10</v>
      </c>
      <c r="L3350" s="15" t="s">
        <v>10</v>
      </c>
      <c r="M3350" s="15" t="s">
        <v>10</v>
      </c>
      <c r="N3350" s="15" t="s">
        <v>10</v>
      </c>
      <c r="O3350" s="15" t="s">
        <v>10</v>
      </c>
      <c r="P3350" s="15" t="s">
        <v>10</v>
      </c>
      <c r="Q3350" s="8"/>
      <c r="R3350" s="9" t="s">
        <v>3099</v>
      </c>
    </row>
    <row r="3351" spans="1:18" x14ac:dyDescent="0.25">
      <c r="A3351" s="6" t="str">
        <f>HYPERLINK("proteomic_fractions_linear_files/Yang_linear_img/262072970;86198323.jpg", "262072970;86198323")</f>
        <v>262072970;86198323</v>
      </c>
      <c r="B3351" s="8"/>
      <c r="C3351" s="6" t="str">
        <f>HYPERLINK("http://www.ncbi.nlm.nih.gov/protein/262072970;86198323","Hmga1-rs1")</f>
        <v>Hmga1-rs1</v>
      </c>
      <c r="D3351" s="8"/>
      <c r="E3351" s="8">
        <v>11483</v>
      </c>
      <c r="F3351" s="8"/>
      <c r="G3351" s="15">
        <v>2.2322564193888108</v>
      </c>
      <c r="H3351" s="15">
        <v>2.2322564193888108</v>
      </c>
      <c r="I3351" s="15">
        <v>1.5196795018733658</v>
      </c>
      <c r="J3351" s="15">
        <v>1.5196795018733658</v>
      </c>
      <c r="K3351" s="15" t="s">
        <v>10</v>
      </c>
      <c r="L3351" s="15" t="s">
        <v>10</v>
      </c>
      <c r="M3351" s="15">
        <v>1.5972672513962698</v>
      </c>
      <c r="N3351" s="15">
        <v>1.5972672513962698</v>
      </c>
      <c r="O3351" s="15" t="s">
        <v>10</v>
      </c>
      <c r="P3351" s="15" t="s">
        <v>10</v>
      </c>
      <c r="Q3351" s="8"/>
      <c r="R3351" s="9" t="s">
        <v>3100</v>
      </c>
    </row>
    <row r="3352" spans="1:18" x14ac:dyDescent="0.25">
      <c r="A3352" s="6" t="str">
        <f>HYPERLINK("proteomic_fractions_linear_files/Yang_linear_img/262072970.jpg", "262072970")</f>
        <v>262072970</v>
      </c>
      <c r="B3352" s="7"/>
      <c r="C3352" s="6" t="str">
        <f>HYPERLINK("http://www.ncbi.nlm.nih.gov/protein/262072970","Hmga1-rs1")</f>
        <v>Hmga1-rs1</v>
      </c>
      <c r="D3352" s="8"/>
      <c r="E3352" s="8">
        <v>11483</v>
      </c>
      <c r="F3352" s="8"/>
      <c r="G3352" s="15" t="s">
        <v>10</v>
      </c>
      <c r="H3352" s="15" t="s">
        <v>10</v>
      </c>
      <c r="I3352" s="15" t="s">
        <v>10</v>
      </c>
      <c r="J3352" s="15" t="s">
        <v>10</v>
      </c>
      <c r="K3352" s="15" t="s">
        <v>10</v>
      </c>
      <c r="L3352" s="15" t="s">
        <v>10</v>
      </c>
      <c r="M3352" s="15" t="s">
        <v>10</v>
      </c>
      <c r="N3352" s="15" t="s">
        <v>10</v>
      </c>
      <c r="O3352" s="15">
        <v>1.5196795018733658</v>
      </c>
      <c r="P3352" s="15">
        <v>1.5196795018733658</v>
      </c>
      <c r="Q3352" s="8"/>
      <c r="R3352" s="9" t="s">
        <v>3100</v>
      </c>
    </row>
    <row r="3353" spans="1:18" x14ac:dyDescent="0.25">
      <c r="A3353" s="6" t="str">
        <f>HYPERLINK("proteomic_fractions_linear_files/Yang_linear_img/6754210.jpg", "6754210")</f>
        <v>6754210</v>
      </c>
      <c r="B3353" s="7"/>
      <c r="C3353" s="6" t="str">
        <f>HYPERLINK("http://www.ncbi.nlm.nih.gov/protein/6754210","Hmga2")</f>
        <v>Hmga2</v>
      </c>
      <c r="D3353" s="8"/>
      <c r="E3353" s="8">
        <v>11688</v>
      </c>
      <c r="F3353" s="8"/>
      <c r="G3353" s="15">
        <v>1.3930395433839184</v>
      </c>
      <c r="H3353" s="15">
        <v>1.3930395433839184</v>
      </c>
      <c r="I3353" s="15">
        <v>1.4641616471132473</v>
      </c>
      <c r="J3353" s="15">
        <v>1.4641616471132473</v>
      </c>
      <c r="K3353" s="15" t="s">
        <v>10</v>
      </c>
      <c r="L3353" s="15" t="s">
        <v>10</v>
      </c>
      <c r="M3353" s="15">
        <v>1.5412749303803404</v>
      </c>
      <c r="N3353" s="15">
        <v>1.5412749303803404</v>
      </c>
      <c r="O3353" s="15">
        <v>1.4641616471132473</v>
      </c>
      <c r="P3353" s="15">
        <v>1.4641616471132473</v>
      </c>
      <c r="Q3353" s="8"/>
      <c r="R3353" s="9" t="s">
        <v>3101</v>
      </c>
    </row>
    <row r="3354" spans="1:18" x14ac:dyDescent="0.25">
      <c r="A3354" s="6" t="str">
        <f>HYPERLINK("proteomic_fractions_linear_files/Yang_linear_img/6680229.jpg", "6680229")</f>
        <v>6680229</v>
      </c>
      <c r="B3354" s="7"/>
      <c r="C3354" s="6" t="str">
        <f>HYPERLINK("http://www.ncbi.nlm.nih.gov/protein/6680229","Hmgb2")</f>
        <v>Hmgb2</v>
      </c>
      <c r="D3354" s="8"/>
      <c r="E3354" s="8">
        <v>24031</v>
      </c>
      <c r="F3354" s="8"/>
      <c r="G3354" s="15">
        <v>1.4397240221031327</v>
      </c>
      <c r="H3354" s="15">
        <v>1.4397240221031327</v>
      </c>
      <c r="I3354" s="15">
        <v>1.0895940881427084</v>
      </c>
      <c r="J3354" s="15">
        <v>1.0895940881427084</v>
      </c>
      <c r="K3354" s="15">
        <v>1.0895940881427084</v>
      </c>
      <c r="L3354" s="15">
        <v>1.0895940881427084</v>
      </c>
      <c r="M3354" s="15">
        <v>1.0895940881427084</v>
      </c>
      <c r="N3354" s="15">
        <v>1.0895940881427084</v>
      </c>
      <c r="O3354" s="15">
        <v>0.96289889061322687</v>
      </c>
      <c r="P3354" s="15">
        <v>0.96289889061322687</v>
      </c>
      <c r="Q3354" s="8"/>
      <c r="R3354" s="9" t="s">
        <v>3102</v>
      </c>
    </row>
    <row r="3355" spans="1:18" x14ac:dyDescent="0.25">
      <c r="A3355" s="6" t="str">
        <f>HYPERLINK("proteomic_fractions_linear_files/Yang_linear_img/6680231.jpg", "6680231")</f>
        <v>6680231</v>
      </c>
      <c r="B3355" s="7"/>
      <c r="C3355" s="6" t="str">
        <f>HYPERLINK("http://www.ncbi.nlm.nih.gov/protein/6680231","Hmgb3")</f>
        <v>Hmgb3</v>
      </c>
      <c r="D3355" s="8"/>
      <c r="E3355" s="8">
        <v>22879</v>
      </c>
      <c r="F3355" s="8"/>
      <c r="G3355" s="15">
        <v>1.5023207187163123</v>
      </c>
      <c r="H3355" s="15">
        <v>1.5023207187163123</v>
      </c>
      <c r="I3355" s="15">
        <v>1.0676008962294312</v>
      </c>
      <c r="J3355" s="15">
        <v>1.0676008962294312</v>
      </c>
      <c r="K3355" s="15">
        <v>1.0676008962294312</v>
      </c>
      <c r="L3355" s="15">
        <v>1.0676008962294312</v>
      </c>
      <c r="M3355" s="15">
        <v>1.136967744148913</v>
      </c>
      <c r="N3355" s="15">
        <v>1.136967744148913</v>
      </c>
      <c r="O3355" s="15">
        <v>1.0047640597703238</v>
      </c>
      <c r="P3355" s="15">
        <v>1.0047640597703238</v>
      </c>
      <c r="Q3355" s="8"/>
      <c r="R3355" s="9" t="s">
        <v>3103</v>
      </c>
    </row>
    <row r="3356" spans="1:18" x14ac:dyDescent="0.25">
      <c r="A3356" s="6" t="str">
        <f>HYPERLINK("proteomic_fractions_linear_files/Yang_linear_img/171543858.jpg", "171543858")</f>
        <v>171543858</v>
      </c>
      <c r="B3356" s="7"/>
      <c r="C3356" s="6" t="str">
        <f>HYPERLINK("http://www.ncbi.nlm.nih.gov/protein/171543858","Hmgcl")</f>
        <v>Hmgcl</v>
      </c>
      <c r="D3356" s="8"/>
      <c r="E3356" s="8">
        <v>31378</v>
      </c>
      <c r="F3356" s="8"/>
      <c r="G3356" s="15">
        <v>1.4234061047408215</v>
      </c>
      <c r="H3356" s="15">
        <v>1.4234061047408215</v>
      </c>
      <c r="I3356" s="15">
        <v>1.0349700921204383</v>
      </c>
      <c r="J3356" s="15">
        <v>1.0349700921204383</v>
      </c>
      <c r="K3356" s="15" t="s">
        <v>10</v>
      </c>
      <c r="L3356" s="15" t="s">
        <v>10</v>
      </c>
      <c r="M3356" s="15" t="s">
        <v>10</v>
      </c>
      <c r="N3356" s="15" t="s">
        <v>10</v>
      </c>
      <c r="O3356" s="15" t="s">
        <v>10</v>
      </c>
      <c r="P3356" s="15" t="s">
        <v>10</v>
      </c>
      <c r="Q3356" s="8"/>
      <c r="R3356" s="9" t="s">
        <v>3104</v>
      </c>
    </row>
    <row r="3357" spans="1:18" x14ac:dyDescent="0.25">
      <c r="A3357" s="6" t="str">
        <f>HYPERLINK("proteomic_fractions_linear_files/Yang_linear_img/31981842.jpg", "31981842")</f>
        <v>31981842</v>
      </c>
      <c r="B3357" s="7"/>
      <c r="C3357" s="6" t="str">
        <f>HYPERLINK("http://www.ncbi.nlm.nih.gov/protein/31981842","Hmgcs1")</f>
        <v>Hmgcs1</v>
      </c>
      <c r="D3357" s="8"/>
      <c r="E3357" s="8">
        <v>57438</v>
      </c>
      <c r="F3357" s="8"/>
      <c r="G3357" s="15" t="s">
        <v>10</v>
      </c>
      <c r="H3357" s="15" t="s">
        <v>10</v>
      </c>
      <c r="I3357" s="15" t="s">
        <v>10</v>
      </c>
      <c r="J3357" s="15" t="s">
        <v>10</v>
      </c>
      <c r="K3357" s="15">
        <v>1.0311089050104185</v>
      </c>
      <c r="L3357" s="15">
        <v>1.0311089050104185</v>
      </c>
      <c r="M3357" s="15" t="s">
        <v>10</v>
      </c>
      <c r="N3357" s="15" t="s">
        <v>10</v>
      </c>
      <c r="O3357" s="15">
        <v>0.93193981807019433</v>
      </c>
      <c r="P3357" s="15">
        <v>0.93193981807019433</v>
      </c>
      <c r="Q3357" s="8"/>
      <c r="R3357" s="9" t="s">
        <v>3105</v>
      </c>
    </row>
    <row r="3358" spans="1:18" x14ac:dyDescent="0.25">
      <c r="A3358" s="6" t="str">
        <f>HYPERLINK("proteomic_fractions_linear_files/Yang_linear_img/31560689.jpg", "31560689")</f>
        <v>31560689</v>
      </c>
      <c r="B3358" s="7"/>
      <c r="C3358" s="6" t="str">
        <f>HYPERLINK("http://www.ncbi.nlm.nih.gov/protein/31560689","Hmgcs2")</f>
        <v>Hmgcs2</v>
      </c>
      <c r="D3358" s="8"/>
      <c r="E3358" s="8">
        <v>52636</v>
      </c>
      <c r="F3358" s="8"/>
      <c r="G3358" s="15" t="s">
        <v>10</v>
      </c>
      <c r="H3358" s="15" t="s">
        <v>10</v>
      </c>
      <c r="I3358" s="15" t="s">
        <v>10</v>
      </c>
      <c r="J3358" s="15" t="s">
        <v>10</v>
      </c>
      <c r="K3358" s="15" t="s">
        <v>10</v>
      </c>
      <c r="L3358" s="15" t="s">
        <v>10</v>
      </c>
      <c r="M3358" s="15" t="s">
        <v>10</v>
      </c>
      <c r="N3358" s="15" t="s">
        <v>10</v>
      </c>
      <c r="O3358" s="15">
        <v>1.0022748986792656</v>
      </c>
      <c r="P3358" s="15">
        <v>1.0022748986792656</v>
      </c>
      <c r="Q3358" s="8"/>
      <c r="R3358" s="9" t="s">
        <v>3106</v>
      </c>
    </row>
    <row r="3359" spans="1:18" x14ac:dyDescent="0.25">
      <c r="A3359" s="6" t="str">
        <f>HYPERLINK("proteomic_fractions_linear_files/Yang_linear_img/21313298.jpg", "21313298")</f>
        <v>21313298</v>
      </c>
      <c r="B3359" s="7"/>
      <c r="C3359" s="6" t="str">
        <f>HYPERLINK("http://www.ncbi.nlm.nih.gov/protein/21313298","Hmgn3")</f>
        <v>Hmgn3</v>
      </c>
      <c r="D3359" s="8"/>
      <c r="E3359" s="8">
        <v>10638</v>
      </c>
      <c r="F3359" s="8"/>
      <c r="G3359" s="15" t="s">
        <v>10</v>
      </c>
      <c r="H3359" s="15" t="s">
        <v>10</v>
      </c>
      <c r="I3359" s="15">
        <v>1.6813908331421894</v>
      </c>
      <c r="J3359" s="15">
        <v>1.6813908331421894</v>
      </c>
      <c r="K3359" s="15" t="s">
        <v>10</v>
      </c>
      <c r="L3359" s="15" t="s">
        <v>10</v>
      </c>
      <c r="M3359" s="15">
        <v>1.6813908331421894</v>
      </c>
      <c r="N3359" s="15">
        <v>1.6813908331421894</v>
      </c>
      <c r="O3359" s="15" t="s">
        <v>10</v>
      </c>
      <c r="P3359" s="15" t="s">
        <v>10</v>
      </c>
      <c r="Q3359" s="8"/>
      <c r="R3359" s="9" t="s">
        <v>3107</v>
      </c>
    </row>
    <row r="3360" spans="1:18" x14ac:dyDescent="0.25">
      <c r="A3360" s="6" t="str">
        <f>HYPERLINK("proteomic_fractions_linear_files/Yang_linear_img/133778915.jpg", "133778915")</f>
        <v>133778915</v>
      </c>
      <c r="B3360" s="7"/>
      <c r="C3360" s="6" t="str">
        <f>HYPERLINK("http://www.ncbi.nlm.nih.gov/protein/133778915","Hmgn5")</f>
        <v>Hmgn5</v>
      </c>
      <c r="D3360" s="8"/>
      <c r="E3360" s="8">
        <v>45213</v>
      </c>
      <c r="F3360" s="8"/>
      <c r="G3360" s="15">
        <v>2.1103995818352113</v>
      </c>
      <c r="H3360" s="15">
        <v>2.1103995818352113</v>
      </c>
      <c r="I3360" s="15">
        <v>1.8466368549587524</v>
      </c>
      <c r="J3360" s="15">
        <v>1.8466368549587524</v>
      </c>
      <c r="K3360" s="15">
        <v>1.8466368549587524</v>
      </c>
      <c r="L3360" s="15">
        <v>1.8466368549587524</v>
      </c>
      <c r="M3360" s="15">
        <v>2.1103995818352113</v>
      </c>
      <c r="N3360" s="15">
        <v>2.1103995818352113</v>
      </c>
      <c r="O3360" s="15">
        <v>1.8466368549587524</v>
      </c>
      <c r="P3360" s="15">
        <v>1.8466368549587524</v>
      </c>
      <c r="Q3360" s="8"/>
      <c r="R3360" s="9" t="s">
        <v>3108</v>
      </c>
    </row>
    <row r="3361" spans="1:18" x14ac:dyDescent="0.25">
      <c r="A3361" s="6" t="str">
        <f>HYPERLINK("proteomic_fractions_linear_files/Yang_linear_img/225007593.jpg", "225007593")</f>
        <v>225007593</v>
      </c>
      <c r="B3361" s="7"/>
      <c r="C3361" s="6" t="str">
        <f>HYPERLINK("http://www.ncbi.nlm.nih.gov/protein/225007593","Hmox2")</f>
        <v>Hmox2</v>
      </c>
      <c r="D3361" s="8"/>
      <c r="E3361" s="8">
        <v>35608</v>
      </c>
      <c r="F3361" s="8"/>
      <c r="G3361" s="15">
        <v>1.2257108124157075</v>
      </c>
      <c r="H3361" s="15">
        <v>1.2257108124157075</v>
      </c>
      <c r="I3361" s="15">
        <v>0.89122424599259964</v>
      </c>
      <c r="J3361" s="15">
        <v>0.89122424599259964</v>
      </c>
      <c r="K3361" s="15">
        <v>0.89122424599259964</v>
      </c>
      <c r="L3361" s="15">
        <v>0.89122424599259964</v>
      </c>
      <c r="M3361" s="15">
        <v>0.89122424599259964</v>
      </c>
      <c r="N3361" s="15">
        <v>0.89122424599259964</v>
      </c>
      <c r="O3361" s="15" t="s">
        <v>10</v>
      </c>
      <c r="P3361" s="15" t="s">
        <v>10</v>
      </c>
      <c r="Q3361" s="8"/>
      <c r="R3361" s="9" t="s">
        <v>3109</v>
      </c>
    </row>
    <row r="3362" spans="1:18" x14ac:dyDescent="0.25">
      <c r="A3362" s="6" t="str">
        <f>HYPERLINK("proteomic_fractions_linear_files/Yang_linear_img/6680237.jpg", "6680237")</f>
        <v>6680237</v>
      </c>
      <c r="B3362" s="7"/>
      <c r="C3362" s="6" t="str">
        <f>HYPERLINK("http://www.ncbi.nlm.nih.gov/protein/6680237","Hn1")</f>
        <v>Hn1</v>
      </c>
      <c r="D3362" s="8"/>
      <c r="E3362" s="8">
        <v>15949</v>
      </c>
      <c r="F3362" s="8"/>
      <c r="G3362" s="15" t="s">
        <v>10</v>
      </c>
      <c r="H3362" s="15" t="s">
        <v>10</v>
      </c>
      <c r="I3362" s="15" t="s">
        <v>10</v>
      </c>
      <c r="J3362" s="15" t="s">
        <v>10</v>
      </c>
      <c r="K3362" s="15">
        <v>1.3622338919174219</v>
      </c>
      <c r="L3362" s="15">
        <v>1.3622338919174219</v>
      </c>
      <c r="M3362" s="15" t="s">
        <v>10</v>
      </c>
      <c r="N3362" s="15" t="s">
        <v>10</v>
      </c>
      <c r="O3362" s="15">
        <v>1.287340074166017</v>
      </c>
      <c r="P3362" s="15">
        <v>1.287340074166017</v>
      </c>
      <c r="Q3362" s="8"/>
      <c r="R3362" s="9" t="s">
        <v>3110</v>
      </c>
    </row>
    <row r="3363" spans="1:18" x14ac:dyDescent="0.25">
      <c r="A3363" s="6" t="str">
        <f>HYPERLINK("proteomic_fractions_linear_files/Yang_linear_img/39573709.jpg", "39573709")</f>
        <v>39573709</v>
      </c>
      <c r="B3363" s="7"/>
      <c r="C3363" s="6" t="str">
        <f>HYPERLINK("http://www.ncbi.nlm.nih.gov/protein/39573709","Hn1l")</f>
        <v>Hn1l</v>
      </c>
      <c r="D3363" s="8"/>
      <c r="E3363" s="8">
        <v>19889</v>
      </c>
      <c r="F3363" s="8"/>
      <c r="G3363" s="15" t="s">
        <v>10</v>
      </c>
      <c r="H3363" s="15" t="s">
        <v>10</v>
      </c>
      <c r="I3363" s="15" t="s">
        <v>10</v>
      </c>
      <c r="J3363" s="15" t="s">
        <v>10</v>
      </c>
      <c r="K3363" s="15">
        <v>1.2277410306638459</v>
      </c>
      <c r="L3363" s="15">
        <v>1.2277410306638459</v>
      </c>
      <c r="M3363" s="15" t="s">
        <v>10</v>
      </c>
      <c r="N3363" s="15" t="s">
        <v>10</v>
      </c>
      <c r="O3363" s="15">
        <v>1.0897871135339376</v>
      </c>
      <c r="P3363" s="15">
        <v>1.0897871135339376</v>
      </c>
      <c r="Q3363" s="8"/>
      <c r="R3363" s="9" t="s">
        <v>3111</v>
      </c>
    </row>
    <row r="3364" spans="1:18" x14ac:dyDescent="0.25">
      <c r="A3364" s="6" t="str">
        <f>HYPERLINK("proteomic_fractions_linear_files/Yang_linear_img/226443091.jpg", "226443091")</f>
        <v>226443091</v>
      </c>
      <c r="B3364" s="7"/>
      <c r="C3364" s="6" t="str">
        <f>HYPERLINK("http://www.ncbi.nlm.nih.gov/protein/226443091","Hnrnpa0")</f>
        <v>Hnrnpa0</v>
      </c>
      <c r="D3364" s="8"/>
      <c r="E3364" s="8">
        <v>30399</v>
      </c>
      <c r="F3364" s="8"/>
      <c r="G3364" s="15">
        <v>1.470852974898849</v>
      </c>
      <c r="H3364" s="15">
        <v>1.470852974898849</v>
      </c>
      <c r="I3364" s="15">
        <v>0.99618022972377107</v>
      </c>
      <c r="J3364" s="15">
        <v>0.99618022972377107</v>
      </c>
      <c r="K3364" s="15">
        <v>1.0694690951911197</v>
      </c>
      <c r="L3364" s="15">
        <v>1.0694690951911197</v>
      </c>
      <c r="M3364" s="15">
        <v>0.99618022972377107</v>
      </c>
      <c r="N3364" s="15">
        <v>0.99618022972377107</v>
      </c>
      <c r="O3364" s="15" t="s">
        <v>10</v>
      </c>
      <c r="P3364" s="15" t="s">
        <v>10</v>
      </c>
      <c r="Q3364" s="8"/>
      <c r="R3364" s="9" t="s">
        <v>3112</v>
      </c>
    </row>
    <row r="3365" spans="1:18" x14ac:dyDescent="0.25">
      <c r="A3365" s="6" t="str">
        <f>HYPERLINK("proteomic_fractions_linear_files/Yang_linear_img/6754220.jpg", "6754220")</f>
        <v>6754220</v>
      </c>
      <c r="B3365" s="7"/>
      <c r="C3365" s="6" t="str">
        <f>HYPERLINK("http://www.ncbi.nlm.nih.gov/protein/6754220","Hnrnpa1")</f>
        <v>Hnrnpa1</v>
      </c>
      <c r="D3365" s="8"/>
      <c r="E3365" s="8">
        <v>34065</v>
      </c>
      <c r="F3365" s="8"/>
      <c r="G3365" s="15">
        <v>1.2978114484401608</v>
      </c>
      <c r="H3365" s="15">
        <v>1.2978114484401608</v>
      </c>
      <c r="I3365" s="15">
        <v>0.94364920163922317</v>
      </c>
      <c r="J3365" s="15">
        <v>0.94364920163922317</v>
      </c>
      <c r="K3365" s="15">
        <v>0.94364920163922317</v>
      </c>
      <c r="L3365" s="15">
        <v>0.94364920163922317</v>
      </c>
      <c r="M3365" s="15">
        <v>0.94364920163922317</v>
      </c>
      <c r="N3365" s="15">
        <v>0.94364920163922317</v>
      </c>
      <c r="O3365" s="15">
        <v>0.82112386169653118</v>
      </c>
      <c r="P3365" s="15">
        <v>0.82112386169653118</v>
      </c>
      <c r="Q3365" s="8"/>
      <c r="R3365" s="9" t="s">
        <v>3113</v>
      </c>
    </row>
    <row r="3366" spans="1:18" x14ac:dyDescent="0.25">
      <c r="A3366" s="6" t="str">
        <f>HYPERLINK("proteomic_fractions_linear_files/Yang_linear_img/85060507.jpg", "85060507")</f>
        <v>85060507</v>
      </c>
      <c r="B3366" s="7"/>
      <c r="C3366" s="6" t="str">
        <f>HYPERLINK("http://www.ncbi.nlm.nih.gov/protein/85060507","Hnrnpa1")</f>
        <v>Hnrnpa1</v>
      </c>
      <c r="D3366" s="8"/>
      <c r="E3366" s="8">
        <v>38703</v>
      </c>
      <c r="F3366" s="8"/>
      <c r="G3366" s="15">
        <v>1.1314253653068069</v>
      </c>
      <c r="H3366" s="15">
        <v>1.1314253653068069</v>
      </c>
      <c r="I3366" s="15">
        <v>0.82266853476239965</v>
      </c>
      <c r="J3366" s="15">
        <v>0.82266853476239965</v>
      </c>
      <c r="K3366" s="15">
        <v>0.82266853476239965</v>
      </c>
      <c r="L3366" s="15">
        <v>0.82266853476239965</v>
      </c>
      <c r="M3366" s="15">
        <v>0.82266853476239965</v>
      </c>
      <c r="N3366" s="15">
        <v>0.82266853476239965</v>
      </c>
      <c r="O3366" s="15">
        <v>0.71585157173543745</v>
      </c>
      <c r="P3366" s="15">
        <v>0.71585157173543745</v>
      </c>
      <c r="Q3366" s="8"/>
      <c r="R3366" s="9" t="s">
        <v>3114</v>
      </c>
    </row>
    <row r="3367" spans="1:18" x14ac:dyDescent="0.25">
      <c r="A3367" s="6" t="str">
        <f>HYPERLINK("proteomic_fractions_linear_files/Yang_linear_img/109134362;309267107.jpg", "109134362;309267107")</f>
        <v>109134362;309267107</v>
      </c>
      <c r="B3367" s="8"/>
      <c r="C3367" s="6" t="str">
        <f>HYPERLINK("http://www.ncbi.nlm.nih.gov/protein/109134362;309267107","Hnrnpa2b1")</f>
        <v>Hnrnpa2b1</v>
      </c>
      <c r="D3367" s="8"/>
      <c r="E3367" s="8">
        <v>35848</v>
      </c>
      <c r="F3367" s="8"/>
      <c r="G3367" s="15" t="s">
        <v>10</v>
      </c>
      <c r="H3367" s="15" t="s">
        <v>10</v>
      </c>
      <c r="I3367" s="15">
        <v>0.89122424599259964</v>
      </c>
      <c r="J3367" s="15">
        <v>0.89122424599259964</v>
      </c>
      <c r="K3367" s="15" t="s">
        <v>10</v>
      </c>
      <c r="L3367" s="15" t="s">
        <v>10</v>
      </c>
      <c r="M3367" s="15">
        <v>0.89122424599259964</v>
      </c>
      <c r="N3367" s="15">
        <v>0.89122424599259964</v>
      </c>
      <c r="O3367" s="15">
        <v>0.60543728529663199</v>
      </c>
      <c r="P3367" s="15">
        <v>0.60543728529663199</v>
      </c>
      <c r="Q3367" s="8"/>
      <c r="R3367" s="9" t="s">
        <v>3115</v>
      </c>
    </row>
    <row r="3368" spans="1:18" x14ac:dyDescent="0.25">
      <c r="A3368" s="6" t="str">
        <f>HYPERLINK("proteomic_fractions_linear_files/Yang_linear_img/32880197.jpg", "32880197")</f>
        <v>32880197</v>
      </c>
      <c r="B3368" s="7"/>
      <c r="C3368" s="6" t="str">
        <f>HYPERLINK("http://www.ncbi.nlm.nih.gov/protein/32880197","Hnrnpa2b1")</f>
        <v>Hnrnpa2b1</v>
      </c>
      <c r="D3368" s="8"/>
      <c r="E3368" s="8">
        <v>32329</v>
      </c>
      <c r="F3368" s="8"/>
      <c r="G3368" s="15">
        <v>1.3789246639676709</v>
      </c>
      <c r="H3368" s="15">
        <v>1.3789246639676709</v>
      </c>
      <c r="I3368" s="15">
        <v>1.0026272767416746</v>
      </c>
      <c r="J3368" s="15">
        <v>1.0026272767416746</v>
      </c>
      <c r="K3368" s="15">
        <v>1.0797930165773495</v>
      </c>
      <c r="L3368" s="15">
        <v>1.0797930165773495</v>
      </c>
      <c r="M3368" s="15">
        <v>1.0026272767416746</v>
      </c>
      <c r="N3368" s="15">
        <v>1.0026272767416746</v>
      </c>
      <c r="O3368" s="15">
        <v>0.68111694595871097</v>
      </c>
      <c r="P3368" s="15">
        <v>0.68111694595871097</v>
      </c>
      <c r="Q3368" s="8"/>
      <c r="R3368" s="9" t="s">
        <v>3116</v>
      </c>
    </row>
    <row r="3369" spans="1:18" x14ac:dyDescent="0.25">
      <c r="A3369" s="6" t="str">
        <f>HYPERLINK("proteomic_fractions_linear_files/Yang_linear_img/157277969.jpg", "157277969")</f>
        <v>157277969</v>
      </c>
      <c r="B3369" s="7"/>
      <c r="C3369" s="6" t="str">
        <f>HYPERLINK("http://www.ncbi.nlm.nih.gov/protein/157277969","Hnrnpa3")</f>
        <v>Hnrnpa3</v>
      </c>
      <c r="D3369" s="8"/>
      <c r="E3369" s="8">
        <v>36955</v>
      </c>
      <c r="F3369" s="8"/>
      <c r="G3369" s="15">
        <v>1.3051344752544662</v>
      </c>
      <c r="H3369" s="15">
        <v>1.3051344752544662</v>
      </c>
      <c r="I3369" s="15">
        <v>0.93387504136419419</v>
      </c>
      <c r="J3369" s="15">
        <v>0.93387504136419419</v>
      </c>
      <c r="K3369" s="15">
        <v>1.0092250384628267</v>
      </c>
      <c r="L3369" s="15">
        <v>1.0092250384628267</v>
      </c>
      <c r="M3369" s="15">
        <v>1.0092250384628267</v>
      </c>
      <c r="N3369" s="15">
        <v>1.0092250384628267</v>
      </c>
      <c r="O3369" s="15">
        <v>0.86713710420901591</v>
      </c>
      <c r="P3369" s="15">
        <v>0.86713710420901591</v>
      </c>
      <c r="Q3369" s="8"/>
      <c r="R3369" s="9" t="s">
        <v>3117</v>
      </c>
    </row>
    <row r="3370" spans="1:18" x14ac:dyDescent="0.25">
      <c r="A3370" s="6" t="str">
        <f>HYPERLINK("proteomic_fractions_linear_files/Yang_linear_img/37674277.jpg", "37674277")</f>
        <v>37674277</v>
      </c>
      <c r="B3370" s="7"/>
      <c r="C3370" s="6" t="str">
        <f>HYPERLINK("http://www.ncbi.nlm.nih.gov/protein/37674277","Hnrnpa3")</f>
        <v>Hnrnpa3</v>
      </c>
      <c r="D3370" s="8"/>
      <c r="E3370" s="8">
        <v>39521</v>
      </c>
      <c r="F3370" s="8"/>
      <c r="G3370" s="15">
        <v>1.2072493896103813</v>
      </c>
      <c r="H3370" s="15">
        <v>1.2072493896103813</v>
      </c>
      <c r="I3370" s="15">
        <v>0.8638344132618796</v>
      </c>
      <c r="J3370" s="15">
        <v>0.8638344132618796</v>
      </c>
      <c r="K3370" s="15">
        <v>0.93353316057811475</v>
      </c>
      <c r="L3370" s="15">
        <v>0.93353316057811475</v>
      </c>
      <c r="M3370" s="15">
        <v>0.93353316057811475</v>
      </c>
      <c r="N3370" s="15">
        <v>0.93353316057811475</v>
      </c>
      <c r="O3370" s="15">
        <v>0.80210182139333974</v>
      </c>
      <c r="P3370" s="15">
        <v>0.80210182139333974</v>
      </c>
      <c r="Q3370" s="8"/>
      <c r="R3370" s="9" t="s">
        <v>3118</v>
      </c>
    </row>
    <row r="3371" spans="1:18" x14ac:dyDescent="0.25">
      <c r="A3371" s="6" t="str">
        <f>HYPERLINK("proteomic_fractions_linear_files/Yang_linear_img/146260280.jpg", "146260280")</f>
        <v>146260280</v>
      </c>
      <c r="B3371" s="7"/>
      <c r="C3371" s="6" t="str">
        <f>HYPERLINK("http://www.ncbi.nlm.nih.gov/protein/146260280","Hnrnpab")</f>
        <v>Hnrnpab</v>
      </c>
      <c r="D3371" s="8"/>
      <c r="E3371" s="8">
        <v>36080</v>
      </c>
      <c r="F3371" s="8"/>
      <c r="G3371" s="15">
        <v>1.4755713786111411</v>
      </c>
      <c r="H3371" s="15">
        <v>1.4755713786111411</v>
      </c>
      <c r="I3371" s="15">
        <v>1.125203283422854</v>
      </c>
      <c r="J3371" s="15">
        <v>1.125203283422854</v>
      </c>
      <c r="K3371" s="15">
        <v>1.0372590673090165</v>
      </c>
      <c r="L3371" s="15">
        <v>1.0372590673090165</v>
      </c>
      <c r="M3371" s="15">
        <v>1.0372590673090165</v>
      </c>
      <c r="N3371" s="15">
        <v>1.0372590673090165</v>
      </c>
      <c r="O3371" s="15">
        <v>0.95981601473542177</v>
      </c>
      <c r="P3371" s="15">
        <v>0.95981601473542177</v>
      </c>
      <c r="Q3371" s="8"/>
      <c r="R3371" s="9" t="s">
        <v>3119</v>
      </c>
    </row>
    <row r="3372" spans="1:18" x14ac:dyDescent="0.25">
      <c r="A3372" s="6" t="str">
        <f>HYPERLINK("proteomic_fractions_linear_files/Yang_linear_img/6754222.jpg", "6754222")</f>
        <v>6754222</v>
      </c>
      <c r="B3372" s="7"/>
      <c r="C3372" s="6" t="str">
        <f>HYPERLINK("http://www.ncbi.nlm.nih.gov/protein/6754222","Hnrnpab")</f>
        <v>Hnrnpab</v>
      </c>
      <c r="D3372" s="8"/>
      <c r="E3372" s="8">
        <v>30700</v>
      </c>
      <c r="F3372" s="8"/>
      <c r="G3372" s="15">
        <v>1.7135667622580992</v>
      </c>
      <c r="H3372" s="15">
        <v>1.7135667622580992</v>
      </c>
      <c r="I3372" s="15">
        <v>1.3066876839749273</v>
      </c>
      <c r="J3372" s="15">
        <v>1.3066876839749273</v>
      </c>
      <c r="K3372" s="15">
        <v>1.2045589168749868</v>
      </c>
      <c r="L3372" s="15">
        <v>1.2045589168749868</v>
      </c>
      <c r="M3372" s="15">
        <v>1.2045589168749868</v>
      </c>
      <c r="N3372" s="15">
        <v>1.2045589168749868</v>
      </c>
      <c r="O3372" s="15">
        <v>1.1146250493701673</v>
      </c>
      <c r="P3372" s="15">
        <v>1.1146250493701673</v>
      </c>
      <c r="Q3372" s="8"/>
      <c r="R3372" s="9" t="s">
        <v>3120</v>
      </c>
    </row>
    <row r="3373" spans="1:18" x14ac:dyDescent="0.25">
      <c r="A3373" s="6" t="str">
        <f>HYPERLINK("proteomic_fractions_linear_files/Yang_linear_img/283436176.jpg", "283436176")</f>
        <v>283436176</v>
      </c>
      <c r="B3373" s="7"/>
      <c r="C3373" s="6" t="str">
        <f>HYPERLINK("http://www.ncbi.nlm.nih.gov/protein/283436176","Hnrnpc")</f>
        <v>Hnrnpc</v>
      </c>
      <c r="D3373" s="8"/>
      <c r="E3373" s="8">
        <v>32925</v>
      </c>
      <c r="F3373" s="8"/>
      <c r="G3373" s="15">
        <v>1.609714231212154</v>
      </c>
      <c r="H3373" s="15">
        <v>1.609714231212154</v>
      </c>
      <c r="I3373" s="15">
        <v>0.38627937399810985</v>
      </c>
      <c r="J3373" s="15">
        <v>0.38627937399810985</v>
      </c>
      <c r="K3373" s="15">
        <v>1.2274944910067498</v>
      </c>
      <c r="L3373" s="15">
        <v>1.2274944910067498</v>
      </c>
      <c r="M3373" s="15">
        <v>1.2274944910067498</v>
      </c>
      <c r="N3373" s="15">
        <v>1.2274944910067498</v>
      </c>
      <c r="O3373" s="15" t="s">
        <v>10</v>
      </c>
      <c r="P3373" s="15" t="s">
        <v>10</v>
      </c>
      <c r="Q3373" s="8"/>
      <c r="R3373" s="9" t="s">
        <v>3121</v>
      </c>
    </row>
    <row r="3374" spans="1:18" x14ac:dyDescent="0.25">
      <c r="A3374" s="6" t="str">
        <f>HYPERLINK("proteomic_fractions_linear_files/Yang_linear_img/283436180.jpg", "283436180")</f>
        <v>283436180</v>
      </c>
      <c r="B3374" s="7"/>
      <c r="C3374" s="6" t="str">
        <f>HYPERLINK("http://www.ncbi.nlm.nih.gov/protein/283436180","Hnrnpc")</f>
        <v>Hnrnpc</v>
      </c>
      <c r="D3374" s="8"/>
      <c r="E3374" s="8">
        <v>32191</v>
      </c>
      <c r="F3374" s="8"/>
      <c r="G3374" s="15">
        <v>1.6600178009375337</v>
      </c>
      <c r="H3374" s="15">
        <v>1.6600178009375337</v>
      </c>
      <c r="I3374" s="15">
        <v>0.39835060443555081</v>
      </c>
      <c r="J3374" s="15">
        <v>0.39835060443555081</v>
      </c>
      <c r="K3374" s="15">
        <v>1.2658536938507108</v>
      </c>
      <c r="L3374" s="15">
        <v>1.2658536938507108</v>
      </c>
      <c r="M3374" s="15">
        <v>1.1669164507226435</v>
      </c>
      <c r="N3374" s="15">
        <v>1.1669164507226435</v>
      </c>
      <c r="O3374" s="15" t="s">
        <v>10</v>
      </c>
      <c r="P3374" s="15" t="s">
        <v>10</v>
      </c>
      <c r="Q3374" s="8"/>
      <c r="R3374" s="9" t="s">
        <v>3122</v>
      </c>
    </row>
    <row r="3375" spans="1:18" x14ac:dyDescent="0.25">
      <c r="A3375" s="6" t="str">
        <f>HYPERLINK("proteomic_fractions_linear_files/Yang_linear_img/283436182.jpg", "283436182")</f>
        <v>283436182</v>
      </c>
      <c r="B3375" s="7"/>
      <c r="C3375" s="6" t="str">
        <f>HYPERLINK("http://www.ncbi.nlm.nih.gov/protein/283436182","Hnrnpc")</f>
        <v>Hnrnpc</v>
      </c>
      <c r="D3375" s="8"/>
      <c r="E3375" s="8">
        <v>32092</v>
      </c>
      <c r="F3375" s="8"/>
      <c r="G3375" s="15">
        <v>1.6600178009375337</v>
      </c>
      <c r="H3375" s="15">
        <v>1.6600178009375337</v>
      </c>
      <c r="I3375" s="15">
        <v>0.39835060443555081</v>
      </c>
      <c r="J3375" s="15">
        <v>0.39835060443555081</v>
      </c>
      <c r="K3375" s="15">
        <v>1.2658536938507108</v>
      </c>
      <c r="L3375" s="15">
        <v>1.2658536938507108</v>
      </c>
      <c r="M3375" s="15">
        <v>1.1669164507226435</v>
      </c>
      <c r="N3375" s="15">
        <v>1.1669164507226435</v>
      </c>
      <c r="O3375" s="15" t="s">
        <v>10</v>
      </c>
      <c r="P3375" s="15" t="s">
        <v>10</v>
      </c>
      <c r="Q3375" s="8"/>
      <c r="R3375" s="9" t="s">
        <v>3123</v>
      </c>
    </row>
    <row r="3376" spans="1:18" x14ac:dyDescent="0.25">
      <c r="A3376" s="6" t="str">
        <f>HYPERLINK("proteomic_fractions_linear_files/Yang_linear_img/8393544.jpg", "8393544")</f>
        <v>8393544</v>
      </c>
      <c r="B3376" s="7"/>
      <c r="C3376" s="6" t="str">
        <f>HYPERLINK("http://www.ncbi.nlm.nih.gov/protein/8393544","Hnrnpc")</f>
        <v>Hnrnpc</v>
      </c>
      <c r="D3376" s="8"/>
      <c r="E3376" s="8">
        <v>34254</v>
      </c>
      <c r="F3376" s="8"/>
      <c r="G3376" s="15">
        <v>1.5623696950000316</v>
      </c>
      <c r="H3376" s="15">
        <v>1.5623696950000316</v>
      </c>
      <c r="I3376" s="15">
        <v>0.37491821593934194</v>
      </c>
      <c r="J3376" s="15">
        <v>0.37491821593934194</v>
      </c>
      <c r="K3376" s="15">
        <v>1.1913917118594926</v>
      </c>
      <c r="L3376" s="15">
        <v>1.1913917118594926</v>
      </c>
      <c r="M3376" s="15">
        <v>1.1913917118594926</v>
      </c>
      <c r="N3376" s="15">
        <v>1.1913917118594926</v>
      </c>
      <c r="O3376" s="15" t="s">
        <v>10</v>
      </c>
      <c r="P3376" s="15" t="s">
        <v>10</v>
      </c>
      <c r="Q3376" s="8"/>
      <c r="R3376" s="9" t="s">
        <v>3124</v>
      </c>
    </row>
    <row r="3377" spans="1:18" x14ac:dyDescent="0.25">
      <c r="A3377" s="6" t="str">
        <f>HYPERLINK("proteomic_fractions_linear_files/Yang_linear_img/116256512.jpg", "116256512")</f>
        <v>116256512</v>
      </c>
      <c r="B3377" s="7"/>
      <c r="C3377" s="6" t="str">
        <f>HYPERLINK("http://www.ncbi.nlm.nih.gov/protein/116256512","Hnrnpd")</f>
        <v>Hnrnpd</v>
      </c>
      <c r="D3377" s="8"/>
      <c r="E3377" s="8">
        <v>38223</v>
      </c>
      <c r="F3377" s="8"/>
      <c r="G3377" s="15">
        <v>1.3979097271052916</v>
      </c>
      <c r="H3377" s="15">
        <v>1.3979097271052916</v>
      </c>
      <c r="I3377" s="15">
        <v>1.1611997170254071</v>
      </c>
      <c r="J3377" s="15">
        <v>1.1611997170254071</v>
      </c>
      <c r="K3377" s="15">
        <v>1.1611997170254071</v>
      </c>
      <c r="L3377" s="15">
        <v>1.1611997170254071</v>
      </c>
      <c r="M3377" s="15">
        <v>1.0659820579795458</v>
      </c>
      <c r="N3377" s="15">
        <v>1.0659820579795458</v>
      </c>
      <c r="O3377" s="15">
        <v>0.98266648481906815</v>
      </c>
      <c r="P3377" s="15">
        <v>0.98266648481906815</v>
      </c>
      <c r="Q3377" s="8"/>
      <c r="R3377" s="9" t="s">
        <v>3125</v>
      </c>
    </row>
    <row r="3378" spans="1:18" x14ac:dyDescent="0.25">
      <c r="A3378" s="6" t="str">
        <f>HYPERLINK("proteomic_fractions_linear_files/Yang_linear_img/116256514.jpg", "116256514")</f>
        <v>116256514</v>
      </c>
      <c r="B3378" s="7"/>
      <c r="C3378" s="6" t="str">
        <f>HYPERLINK("http://www.ncbi.nlm.nih.gov/protein/116256514","Hnrnpd")</f>
        <v>Hnrnpd</v>
      </c>
      <c r="D3378" s="8"/>
      <c r="E3378" s="8">
        <v>32623</v>
      </c>
      <c r="F3378" s="8"/>
      <c r="G3378" s="15">
        <v>1.609714231212154</v>
      </c>
      <c r="H3378" s="15">
        <v>1.609714231212154</v>
      </c>
      <c r="I3378" s="15">
        <v>1.3371390680898627</v>
      </c>
      <c r="J3378" s="15">
        <v>1.3371390680898627</v>
      </c>
      <c r="K3378" s="15">
        <v>1.3371390680898627</v>
      </c>
      <c r="L3378" s="15">
        <v>1.3371390680898627</v>
      </c>
      <c r="M3378" s="15">
        <v>1.2274944910067498</v>
      </c>
      <c r="N3378" s="15">
        <v>1.2274944910067498</v>
      </c>
      <c r="O3378" s="15">
        <v>1.1315553461552907</v>
      </c>
      <c r="P3378" s="15">
        <v>1.1315553461552907</v>
      </c>
      <c r="Q3378" s="8"/>
      <c r="R3378" s="9" t="s">
        <v>3126</v>
      </c>
    </row>
    <row r="3379" spans="1:18" x14ac:dyDescent="0.25">
      <c r="A3379" s="6" t="str">
        <f>HYPERLINK("proteomic_fractions_linear_files/Yang_linear_img/116256516.jpg", "116256516")</f>
        <v>116256516</v>
      </c>
      <c r="B3379" s="7"/>
      <c r="C3379" s="6" t="str">
        <f>HYPERLINK("http://www.ncbi.nlm.nih.gov/protein/116256516","Hnrnpd")</f>
        <v>Hnrnpd</v>
      </c>
      <c r="D3379" s="8"/>
      <c r="E3379" s="8">
        <v>30477</v>
      </c>
      <c r="F3379" s="8"/>
      <c r="G3379" s="15">
        <v>1.7706856543333693</v>
      </c>
      <c r="H3379" s="15">
        <v>1.7706856543333693</v>
      </c>
      <c r="I3379" s="15">
        <v>1.470852974898849</v>
      </c>
      <c r="J3379" s="15">
        <v>1.470852974898849</v>
      </c>
      <c r="K3379" s="15">
        <v>1.470852974898849</v>
      </c>
      <c r="L3379" s="15">
        <v>1.470852974898849</v>
      </c>
      <c r="M3379" s="15">
        <v>1.3502439401074249</v>
      </c>
      <c r="N3379" s="15">
        <v>1.3502439401074249</v>
      </c>
      <c r="O3379" s="15">
        <v>1.2447108807708198</v>
      </c>
      <c r="P3379" s="15">
        <v>1.2447108807708198</v>
      </c>
      <c r="Q3379" s="8"/>
      <c r="R3379" s="9" t="s">
        <v>3127</v>
      </c>
    </row>
    <row r="3380" spans="1:18" x14ac:dyDescent="0.25">
      <c r="A3380" s="6" t="str">
        <f>HYPERLINK("proteomic_fractions_linear_files/Yang_linear_img/116256518.jpg", "116256518")</f>
        <v>116256518</v>
      </c>
      <c r="B3380" s="7"/>
      <c r="C3380" s="6" t="str">
        <f>HYPERLINK("http://www.ncbi.nlm.nih.gov/protein/116256518","Hnrnpd")</f>
        <v>Hnrnpd</v>
      </c>
      <c r="D3380" s="8"/>
      <c r="E3380" s="8">
        <v>36077</v>
      </c>
      <c r="F3380" s="8"/>
      <c r="G3380" s="15">
        <v>1.4755713786111411</v>
      </c>
      <c r="H3380" s="15">
        <v>1.4755713786111411</v>
      </c>
      <c r="I3380" s="15">
        <v>1.2257108124157075</v>
      </c>
      <c r="J3380" s="15">
        <v>1.2257108124157075</v>
      </c>
      <c r="K3380" s="15">
        <v>1.2257108124157075</v>
      </c>
      <c r="L3380" s="15">
        <v>1.2257108124157075</v>
      </c>
      <c r="M3380" s="15">
        <v>1.125203283422854</v>
      </c>
      <c r="N3380" s="15">
        <v>1.125203283422854</v>
      </c>
      <c r="O3380" s="15">
        <v>1.0372590673090165</v>
      </c>
      <c r="P3380" s="15">
        <v>1.0372590673090165</v>
      </c>
      <c r="Q3380" s="8"/>
      <c r="R3380" s="9" t="s">
        <v>3128</v>
      </c>
    </row>
    <row r="3381" spans="1:18" x14ac:dyDescent="0.25">
      <c r="A3381" s="6" t="str">
        <f>HYPERLINK("proteomic_fractions_linear_files/Yang_linear_img/148664250.jpg", "148664250")</f>
        <v>148664250</v>
      </c>
      <c r="B3381" s="7"/>
      <c r="C3381" s="6" t="str">
        <f>HYPERLINK("http://www.ncbi.nlm.nih.gov/protein/148664250","Hnrnpdl")</f>
        <v>Hnrnpdl</v>
      </c>
      <c r="D3381" s="8"/>
      <c r="E3381" s="8">
        <v>46139</v>
      </c>
      <c r="F3381" s="8"/>
      <c r="G3381" s="15">
        <v>1.1547949919565452</v>
      </c>
      <c r="H3381" s="15">
        <v>1.1547949919565452</v>
      </c>
      <c r="I3381" s="15">
        <v>0.75116035935815617</v>
      </c>
      <c r="J3381" s="15">
        <v>0.88059387398310318</v>
      </c>
      <c r="K3381" s="15">
        <v>0.95925194015142323</v>
      </c>
      <c r="L3381" s="15">
        <v>0.95925194015142323</v>
      </c>
      <c r="M3381" s="15">
        <v>0.88059387398310318</v>
      </c>
      <c r="N3381" s="15">
        <v>0.88059387398310318</v>
      </c>
      <c r="O3381" s="15">
        <v>0.75116035935815617</v>
      </c>
      <c r="P3381" s="15">
        <v>0.75116035935815617</v>
      </c>
      <c r="Q3381" s="8"/>
      <c r="R3381" s="9" t="s">
        <v>3129</v>
      </c>
    </row>
    <row r="3382" spans="1:18" x14ac:dyDescent="0.25">
      <c r="A3382" s="6" t="str">
        <f>HYPERLINK("proteomic_fractions_linear_files/Yang_linear_img/261878599;19527048.jpg", "261878599;19527048")</f>
        <v>261878599;19527048</v>
      </c>
      <c r="B3382" s="8"/>
      <c r="C3382" s="6" t="str">
        <f>HYPERLINK("http://www.ncbi.nlm.nih.gov/protein/261878599;19527048","Hnrnpf")</f>
        <v>Hnrnpf</v>
      </c>
      <c r="D3382" s="8"/>
      <c r="E3382" s="8">
        <v>45599</v>
      </c>
      <c r="F3382" s="8"/>
      <c r="G3382" s="15" t="s">
        <v>10</v>
      </c>
      <c r="H3382" s="15" t="s">
        <v>10</v>
      </c>
      <c r="I3382" s="15" t="s">
        <v>10</v>
      </c>
      <c r="J3382" s="15" t="s">
        <v>10</v>
      </c>
      <c r="K3382" s="15">
        <v>1.0497820779220708</v>
      </c>
      <c r="L3382" s="15">
        <v>1.0497820779220708</v>
      </c>
      <c r="M3382" s="15" t="s">
        <v>10</v>
      </c>
      <c r="N3382" s="15" t="s">
        <v>10</v>
      </c>
      <c r="O3382" s="15" t="s">
        <v>10</v>
      </c>
      <c r="P3382" s="15" t="s">
        <v>10</v>
      </c>
      <c r="Q3382" s="8"/>
      <c r="R3382" s="9" t="s">
        <v>3130</v>
      </c>
    </row>
    <row r="3383" spans="1:18" x14ac:dyDescent="0.25">
      <c r="A3383" s="6" t="str">
        <f>HYPERLINK("proteomic_fractions_linear_files/Yang_linear_img/19527048.jpg", "19527048")</f>
        <v>19527048</v>
      </c>
      <c r="B3383" s="7"/>
      <c r="C3383" s="6" t="str">
        <f>HYPERLINK("http://www.ncbi.nlm.nih.gov/protein/19527048","Hnrnpf")</f>
        <v>Hnrnpf</v>
      </c>
      <c r="D3383" s="8"/>
      <c r="E3383" s="8">
        <v>45599</v>
      </c>
      <c r="F3383" s="8"/>
      <c r="G3383" s="15">
        <v>1.2776784257737794</v>
      </c>
      <c r="H3383" s="15">
        <v>1.2776784257737794</v>
      </c>
      <c r="I3383" s="15">
        <v>0.95925194015142323</v>
      </c>
      <c r="J3383" s="15">
        <v>0.95925194015142323</v>
      </c>
      <c r="K3383" s="15" t="s">
        <v>10</v>
      </c>
      <c r="L3383" s="15" t="s">
        <v>10</v>
      </c>
      <c r="M3383" s="15">
        <v>0.95925194015142323</v>
      </c>
      <c r="N3383" s="15">
        <v>1.0497820779220708</v>
      </c>
      <c r="O3383" s="15">
        <v>0.95925194015142323</v>
      </c>
      <c r="P3383" s="15">
        <v>0.95925194015142323</v>
      </c>
      <c r="Q3383" s="8"/>
      <c r="R3383" s="9" t="s">
        <v>3130</v>
      </c>
    </row>
    <row r="3384" spans="1:18" x14ac:dyDescent="0.25">
      <c r="A3384" s="6" t="str">
        <f>HYPERLINK("proteomic_fractions_linear_files/Yang_linear_img/10946928.jpg", "10946928")</f>
        <v>10946928</v>
      </c>
      <c r="B3384" s="7"/>
      <c r="C3384" s="6" t="str">
        <f>HYPERLINK("http://www.ncbi.nlm.nih.gov/protein/10946928","Hnrnph1")</f>
        <v>Hnrnph1</v>
      </c>
      <c r="D3384" s="8"/>
      <c r="E3384" s="8">
        <v>49069</v>
      </c>
      <c r="F3384" s="8"/>
      <c r="G3384" s="15">
        <v>1.1994532160325275</v>
      </c>
      <c r="H3384" s="15">
        <v>1.1994532160325275</v>
      </c>
      <c r="I3384" s="15">
        <v>0.9855097058043929</v>
      </c>
      <c r="J3384" s="15">
        <v>0.9855097058043929</v>
      </c>
      <c r="K3384" s="15">
        <v>1.0840932577551241</v>
      </c>
      <c r="L3384" s="15">
        <v>1.0840932577551241</v>
      </c>
      <c r="M3384" s="15">
        <v>0.9855097058043929</v>
      </c>
      <c r="N3384" s="15">
        <v>0.9855097058043929</v>
      </c>
      <c r="O3384" s="15">
        <v>0.90052222952990757</v>
      </c>
      <c r="P3384" s="15">
        <v>0.90052222952990757</v>
      </c>
      <c r="Q3384" s="8"/>
      <c r="R3384" s="9" t="s">
        <v>3131</v>
      </c>
    </row>
    <row r="3385" spans="1:18" x14ac:dyDescent="0.25">
      <c r="A3385" s="6" t="str">
        <f>HYPERLINK("proteomic_fractions_linear_files/Yang_linear_img/9845253.jpg", "9845253")</f>
        <v>9845253</v>
      </c>
      <c r="B3385" s="7"/>
      <c r="C3385" s="6" t="str">
        <f>HYPERLINK("http://www.ncbi.nlm.nih.gov/protein/9845253","Hnrnph2")</f>
        <v>Hnrnph2</v>
      </c>
      <c r="D3385" s="8"/>
      <c r="E3385" s="8">
        <v>49149</v>
      </c>
      <c r="F3385" s="8"/>
      <c r="G3385" s="15">
        <v>1.1994532160325275</v>
      </c>
      <c r="H3385" s="15">
        <v>1.1994532160325275</v>
      </c>
      <c r="I3385" s="15">
        <v>0.9855097058043929</v>
      </c>
      <c r="J3385" s="15">
        <v>0.9855097058043929</v>
      </c>
      <c r="K3385" s="15">
        <v>1.0840932577551241</v>
      </c>
      <c r="L3385" s="15">
        <v>1.0840932577551241</v>
      </c>
      <c r="M3385" s="15">
        <v>0.9855097058043929</v>
      </c>
      <c r="N3385" s="15">
        <v>0.9855097058043929</v>
      </c>
      <c r="O3385" s="15">
        <v>0.90052222952990757</v>
      </c>
      <c r="P3385" s="15">
        <v>0.90052222952990757</v>
      </c>
      <c r="Q3385" s="8"/>
      <c r="R3385" s="9" t="s">
        <v>3132</v>
      </c>
    </row>
    <row r="3386" spans="1:18" x14ac:dyDescent="0.25">
      <c r="A3386" s="6" t="str">
        <f>HYPERLINK("proteomic_fractions_linear_files/Yang_linear_img/119637823.jpg", "119637823")</f>
        <v>119637823</v>
      </c>
      <c r="B3386" s="7"/>
      <c r="C3386" s="6" t="str">
        <f>HYPERLINK("http://www.ncbi.nlm.nih.gov/protein/119637823","Hnrnph3")</f>
        <v>Hnrnph3</v>
      </c>
      <c r="D3386" s="8"/>
      <c r="E3386" s="8">
        <v>36738</v>
      </c>
      <c r="F3386" s="8"/>
      <c r="G3386" s="15">
        <v>1.1925834931612289</v>
      </c>
      <c r="H3386" s="15">
        <v>1.1925834931612289</v>
      </c>
      <c r="I3386" s="15">
        <v>0.86713710420901591</v>
      </c>
      <c r="J3386" s="15">
        <v>0.86713710420901591</v>
      </c>
      <c r="K3386" s="15">
        <v>0.93387504136419419</v>
      </c>
      <c r="L3386" s="15">
        <v>0.93387504136419419</v>
      </c>
      <c r="M3386" s="15" t="s">
        <v>10</v>
      </c>
      <c r="N3386" s="15" t="s">
        <v>10</v>
      </c>
      <c r="O3386" s="15" t="s">
        <v>10</v>
      </c>
      <c r="P3386" s="15" t="s">
        <v>10</v>
      </c>
      <c r="Q3386" s="8"/>
      <c r="R3386" s="9" t="s">
        <v>3133</v>
      </c>
    </row>
    <row r="3387" spans="1:18" x14ac:dyDescent="0.25">
      <c r="A3387" s="6" t="str">
        <f>HYPERLINK("proteomic_fractions_linear_files/Yang_linear_img/13384620.jpg", "13384620")</f>
        <v>13384620</v>
      </c>
      <c r="B3387" s="7"/>
      <c r="C3387" s="6" t="str">
        <f>HYPERLINK("http://www.ncbi.nlm.nih.gov/protein/13384620","Hnrnpk")</f>
        <v>Hnrnpk</v>
      </c>
      <c r="D3387" s="8"/>
      <c r="E3387" s="8">
        <v>50845</v>
      </c>
      <c r="F3387" s="8"/>
      <c r="G3387" s="15">
        <v>1.1524158350116442</v>
      </c>
      <c r="H3387" s="15">
        <v>1.1524158350116442</v>
      </c>
      <c r="I3387" s="15">
        <v>1.1524158350116442</v>
      </c>
      <c r="J3387" s="15">
        <v>1.1524158350116442</v>
      </c>
      <c r="K3387" s="15">
        <v>1.2833973202067517</v>
      </c>
      <c r="L3387" s="15">
        <v>1.2833973202067517</v>
      </c>
      <c r="M3387" s="15">
        <v>1.2833973202067517</v>
      </c>
      <c r="N3387" s="15">
        <v>1.2833973202067517</v>
      </c>
      <c r="O3387" s="15">
        <v>1.1524158350116442</v>
      </c>
      <c r="P3387" s="15">
        <v>1.1524158350116442</v>
      </c>
      <c r="Q3387" s="8"/>
      <c r="R3387" s="9" t="s">
        <v>3134</v>
      </c>
    </row>
    <row r="3388" spans="1:18" x14ac:dyDescent="0.25">
      <c r="A3388" s="6" t="str">
        <f>HYPERLINK("proteomic_fractions_linear_files/Yang_linear_img/183980004.jpg", "183980004")</f>
        <v>183980004</v>
      </c>
      <c r="B3388" s="7"/>
      <c r="C3388" s="6" t="str">
        <f>HYPERLINK("http://www.ncbi.nlm.nih.gov/protein/183980004","Hnrnpl")</f>
        <v>Hnrnpl</v>
      </c>
      <c r="D3388" s="8"/>
      <c r="E3388" s="8">
        <v>63833</v>
      </c>
      <c r="F3388" s="8"/>
      <c r="G3388" s="15">
        <v>1.2984165386428728</v>
      </c>
      <c r="H3388" s="15">
        <v>1.2984165386428728</v>
      </c>
      <c r="I3388" s="15">
        <v>1.1474400037762851</v>
      </c>
      <c r="J3388" s="15">
        <v>1.1474400037762851</v>
      </c>
      <c r="K3388" s="15">
        <v>1.0227072395397552</v>
      </c>
      <c r="L3388" s="15">
        <v>1.0227072395397552</v>
      </c>
      <c r="M3388" s="15">
        <v>1.0227072395397552</v>
      </c>
      <c r="N3388" s="15">
        <v>1.0227072395397552</v>
      </c>
      <c r="O3388" s="15" t="s">
        <v>10</v>
      </c>
      <c r="P3388" s="15" t="s">
        <v>10</v>
      </c>
      <c r="Q3388" s="8"/>
      <c r="R3388" s="9" t="s">
        <v>3135</v>
      </c>
    </row>
    <row r="3389" spans="1:18" x14ac:dyDescent="0.25">
      <c r="A3389" s="6" t="str">
        <f>HYPERLINK("proteomic_fractions_linear_files/Yang_linear_img/110347535.jpg", "110347535")</f>
        <v>110347535</v>
      </c>
      <c r="B3389" s="7"/>
      <c r="C3389" s="6" t="str">
        <f>HYPERLINK("http://www.ncbi.nlm.nih.gov/protein/110347535","Hnrnpll")</f>
        <v>Hnrnpll</v>
      </c>
      <c r="D3389" s="8"/>
      <c r="E3389" s="8">
        <v>63994</v>
      </c>
      <c r="F3389" s="8"/>
      <c r="G3389" s="15">
        <v>1.483874705977883</v>
      </c>
      <c r="H3389" s="15">
        <v>1.483874705977883</v>
      </c>
      <c r="I3389" s="15">
        <v>1.1474400037762851</v>
      </c>
      <c r="J3389" s="15">
        <v>1.1474400037762851</v>
      </c>
      <c r="K3389" s="15">
        <v>1.2984165386428728</v>
      </c>
      <c r="L3389" s="15">
        <v>1.2984165386428728</v>
      </c>
      <c r="M3389" s="15">
        <v>1.2984165386428728</v>
      </c>
      <c r="N3389" s="15">
        <v>1.2984165386428728</v>
      </c>
      <c r="O3389" s="15">
        <v>1.1474400037762851</v>
      </c>
      <c r="P3389" s="15">
        <v>1.1474400037762851</v>
      </c>
      <c r="Q3389" s="8"/>
      <c r="R3389" s="9" t="s">
        <v>3136</v>
      </c>
    </row>
    <row r="3390" spans="1:18" x14ac:dyDescent="0.25">
      <c r="A3390" s="6" t="str">
        <f>HYPERLINK("proteomic_fractions_linear_files/Yang_linear_img/158186704.jpg", "158186704")</f>
        <v>158186704</v>
      </c>
      <c r="B3390" s="7"/>
      <c r="C3390" s="6" t="str">
        <f>HYPERLINK("http://www.ncbi.nlm.nih.gov/protein/158186704","Hnrnpm")</f>
        <v>Hnrnpm</v>
      </c>
      <c r="D3390" s="8"/>
      <c r="E3390" s="8">
        <v>73610</v>
      </c>
      <c r="F3390" s="8"/>
      <c r="G3390" s="15">
        <v>1.2833510970619528</v>
      </c>
      <c r="H3390" s="15">
        <v>1.2833510970619528</v>
      </c>
      <c r="I3390" s="15">
        <v>1.1229548442316737</v>
      </c>
      <c r="J3390" s="15">
        <v>1.1229548442316737</v>
      </c>
      <c r="K3390" s="15">
        <v>1.1229548442316737</v>
      </c>
      <c r="L3390" s="15">
        <v>1.1229548442316737</v>
      </c>
      <c r="M3390" s="15">
        <v>1.1229548442316737</v>
      </c>
      <c r="N3390" s="15">
        <v>1.1229548442316737</v>
      </c>
      <c r="O3390" s="15">
        <v>0.99238054380651686</v>
      </c>
      <c r="P3390" s="15">
        <v>0.99238054380651686</v>
      </c>
      <c r="Q3390" s="8"/>
      <c r="R3390" s="9" t="s">
        <v>3137</v>
      </c>
    </row>
    <row r="3391" spans="1:18" x14ac:dyDescent="0.25">
      <c r="A3391" s="6" t="str">
        <f>HYPERLINK("proteomic_fractions_linear_files/Yang_linear_img/21313308.jpg", "21313308")</f>
        <v>21313308</v>
      </c>
      <c r="B3391" s="7"/>
      <c r="C3391" s="6" t="str">
        <f>HYPERLINK("http://www.ncbi.nlm.nih.gov/protein/21313308","Hnrnpm")</f>
        <v>Hnrnpm</v>
      </c>
      <c r="D3391" s="8"/>
      <c r="E3391" s="8">
        <v>77518</v>
      </c>
      <c r="F3391" s="8"/>
      <c r="G3391" s="15">
        <v>1.2175382202895451</v>
      </c>
      <c r="H3391" s="15">
        <v>1.2175382202895451</v>
      </c>
      <c r="I3391" s="15">
        <v>1.0653674163223572</v>
      </c>
      <c r="J3391" s="15">
        <v>1.0653674163223572</v>
      </c>
      <c r="K3391" s="15">
        <v>1.0653674163223572</v>
      </c>
      <c r="L3391" s="15">
        <v>1.0653674163223572</v>
      </c>
      <c r="M3391" s="15">
        <v>1.0653674163223572</v>
      </c>
      <c r="N3391" s="15">
        <v>1.0653674163223572</v>
      </c>
      <c r="O3391" s="15">
        <v>0.9414892338677211</v>
      </c>
      <c r="P3391" s="15">
        <v>0.9414892338677211</v>
      </c>
      <c r="Q3391" s="8"/>
      <c r="R3391" s="9" t="s">
        <v>3138</v>
      </c>
    </row>
    <row r="3392" spans="1:18" x14ac:dyDescent="0.25">
      <c r="A3392" s="6" t="str">
        <f>HYPERLINK("proteomic_fractions_linear_files/Yang_linear_img/459683866.jpg", "459683866")</f>
        <v>459683866</v>
      </c>
      <c r="B3392" s="7"/>
      <c r="C3392" s="6" t="str">
        <f>HYPERLINK("http://www.ncbi.nlm.nih.gov/protein/459683866","Hnrnpr")</f>
        <v>Hnrnpr</v>
      </c>
      <c r="D3392" s="8"/>
      <c r="E3392" s="8">
        <v>59496</v>
      </c>
      <c r="F3392" s="8"/>
      <c r="G3392" s="15" t="s">
        <v>10</v>
      </c>
      <c r="H3392" s="15" t="s">
        <v>10</v>
      </c>
      <c r="I3392" s="15">
        <v>1.1093773445854971</v>
      </c>
      <c r="J3392" s="15">
        <v>1.1093773445854971</v>
      </c>
      <c r="K3392" s="15" t="s">
        <v>10</v>
      </c>
      <c r="L3392" s="15" t="s">
        <v>10</v>
      </c>
      <c r="M3392" s="15" t="s">
        <v>10</v>
      </c>
      <c r="N3392" s="15" t="s">
        <v>10</v>
      </c>
      <c r="O3392" s="15" t="s">
        <v>10</v>
      </c>
      <c r="P3392" s="15" t="s">
        <v>10</v>
      </c>
      <c r="Q3392" s="8"/>
      <c r="R3392" s="9" t="s">
        <v>3139</v>
      </c>
    </row>
    <row r="3393" spans="1:18" x14ac:dyDescent="0.25">
      <c r="A3393" s="6" t="str">
        <f>HYPERLINK("proteomic_fractions_linear_files/Yang_linear_img/459683868.jpg", "459683868")</f>
        <v>459683868</v>
      </c>
      <c r="B3393" s="7"/>
      <c r="C3393" s="6" t="str">
        <f>HYPERLINK("http://www.ncbi.nlm.nih.gov/protein/459683868","Hnrnpr")</f>
        <v>Hnrnpr</v>
      </c>
      <c r="D3393" s="8"/>
      <c r="E3393" s="8">
        <v>59496</v>
      </c>
      <c r="F3393" s="8"/>
      <c r="G3393" s="15">
        <v>1.4084518385278619</v>
      </c>
      <c r="H3393" s="15">
        <v>1.4084518385278619</v>
      </c>
      <c r="I3393" s="15" t="s">
        <v>10</v>
      </c>
      <c r="J3393" s="15" t="s">
        <v>10</v>
      </c>
      <c r="K3393" s="15">
        <v>1.244680682062411</v>
      </c>
      <c r="L3393" s="15">
        <v>1.244680682062411</v>
      </c>
      <c r="M3393" s="15" t="s">
        <v>10</v>
      </c>
      <c r="N3393" s="15" t="s">
        <v>10</v>
      </c>
      <c r="O3393" s="15" t="s">
        <v>10</v>
      </c>
      <c r="P3393" s="15" t="s">
        <v>10</v>
      </c>
      <c r="Q3393" s="8"/>
      <c r="R3393" s="9" t="s">
        <v>3139</v>
      </c>
    </row>
    <row r="3394" spans="1:18" x14ac:dyDescent="0.25">
      <c r="A3394" s="6" t="str">
        <f>HYPERLINK("proteomic_fractions_linear_files/Yang_linear_img/33859724.jpg", "33859724")</f>
        <v>33859724</v>
      </c>
      <c r="B3394" s="7"/>
      <c r="C3394" s="6" t="str">
        <f>HYPERLINK("http://www.ncbi.nlm.nih.gov/protein/33859724","Hnrnpr")</f>
        <v>Hnrnpr</v>
      </c>
      <c r="D3394" s="8"/>
      <c r="E3394" s="8">
        <v>70757</v>
      </c>
      <c r="F3394" s="8"/>
      <c r="G3394" s="15">
        <v>1.1704036404668148</v>
      </c>
      <c r="H3394" s="15">
        <v>1.1704036404668148</v>
      </c>
      <c r="I3394" s="15">
        <v>0.92187694831752576</v>
      </c>
      <c r="J3394" s="15">
        <v>0.92187694831752576</v>
      </c>
      <c r="K3394" s="15">
        <v>1.0343121160800317</v>
      </c>
      <c r="L3394" s="15">
        <v>1.0343121160800317</v>
      </c>
      <c r="M3394" s="15">
        <v>1.0343121160800317</v>
      </c>
      <c r="N3394" s="15">
        <v>1.0343121160800317</v>
      </c>
      <c r="O3394" s="15">
        <v>0.92187694831752576</v>
      </c>
      <c r="P3394" s="15">
        <v>0.92187694831752576</v>
      </c>
      <c r="Q3394" s="8"/>
      <c r="R3394" s="9" t="s">
        <v>3140</v>
      </c>
    </row>
    <row r="3395" spans="1:18" x14ac:dyDescent="0.25">
      <c r="A3395" s="6" t="str">
        <f>HYPERLINK("proteomic_fractions_linear_files/Yang_linear_img/160333923.jpg", "160333923")</f>
        <v>160333923</v>
      </c>
      <c r="B3395" s="7"/>
      <c r="C3395" s="6" t="str">
        <f>HYPERLINK("http://www.ncbi.nlm.nih.gov/protein/160333923","Hnrnpu")</f>
        <v>Hnrnpu</v>
      </c>
      <c r="D3395" s="8"/>
      <c r="E3395" s="8">
        <v>87787</v>
      </c>
      <c r="F3395" s="8"/>
      <c r="G3395" s="15">
        <v>1.7437826265482028</v>
      </c>
      <c r="H3395" s="15">
        <v>1.7437826265482028</v>
      </c>
      <c r="I3395" s="15">
        <v>1.2477450434219486</v>
      </c>
      <c r="J3395" s="15">
        <v>1.2477450434219486</v>
      </c>
      <c r="K3395" s="15">
        <v>1.4627457743763292</v>
      </c>
      <c r="L3395" s="15">
        <v>1.4627457743763292</v>
      </c>
      <c r="M3395" s="15">
        <v>1.4627457743763292</v>
      </c>
      <c r="N3395" s="15">
        <v>1.4627457743763292</v>
      </c>
      <c r="O3395" s="15">
        <v>1.2477450434219486</v>
      </c>
      <c r="P3395" s="15">
        <v>1.2477450434219486</v>
      </c>
      <c r="Q3395" s="8"/>
      <c r="R3395" s="9" t="s">
        <v>3141</v>
      </c>
    </row>
    <row r="3396" spans="1:18" x14ac:dyDescent="0.25">
      <c r="A3396" s="6" t="str">
        <f>HYPERLINK("proteomic_fractions_linear_files/Yang_linear_img/30017405.jpg", "30017405")</f>
        <v>30017405</v>
      </c>
      <c r="B3396" s="7"/>
      <c r="C3396" s="6" t="str">
        <f>HYPERLINK("http://www.ncbi.nlm.nih.gov/protein/30017405","Hnrnpul1")</f>
        <v>Hnrnpul1</v>
      </c>
      <c r="D3396" s="8"/>
      <c r="E3396" s="8">
        <v>38601</v>
      </c>
      <c r="F3396" s="8"/>
      <c r="G3396" s="15" t="s">
        <v>10</v>
      </c>
      <c r="H3396" s="15" t="s">
        <v>10</v>
      </c>
      <c r="I3396" s="15" t="s">
        <v>10</v>
      </c>
      <c r="J3396" s="15" t="s">
        <v>10</v>
      </c>
      <c r="K3396" s="15" t="s">
        <v>10</v>
      </c>
      <c r="L3396" s="15" t="s">
        <v>10</v>
      </c>
      <c r="M3396" s="15">
        <v>2.4350764405790901</v>
      </c>
      <c r="N3396" s="15">
        <v>2.4350764405790901</v>
      </c>
      <c r="O3396" s="15">
        <v>2.4350764405790901</v>
      </c>
      <c r="P3396" s="15">
        <v>2.4350764405790901</v>
      </c>
      <c r="Q3396" s="8"/>
      <c r="R3396" s="9" t="s">
        <v>3142</v>
      </c>
    </row>
    <row r="3397" spans="1:18" x14ac:dyDescent="0.25">
      <c r="A3397" s="6" t="str">
        <f>HYPERLINK("proteomic_fractions_linear_files/Yang_linear_img/21450323.jpg", "21450323")</f>
        <v>21450323</v>
      </c>
      <c r="B3397" s="7"/>
      <c r="C3397" s="6" t="str">
        <f>HYPERLINK("http://www.ncbi.nlm.nih.gov/protein/21450323","Hnrnpul1")</f>
        <v>Hnrnpul1</v>
      </c>
      <c r="D3397" s="8"/>
      <c r="E3397" s="8">
        <v>95871</v>
      </c>
      <c r="F3397" s="8"/>
      <c r="G3397" s="15">
        <v>1.1437662898034529</v>
      </c>
      <c r="H3397" s="15">
        <v>1.1437662898034529</v>
      </c>
      <c r="I3397" s="15" t="s">
        <v>10</v>
      </c>
      <c r="J3397" s="15" t="s">
        <v>10</v>
      </c>
      <c r="K3397" s="15">
        <v>1.1437662898034529</v>
      </c>
      <c r="L3397" s="15">
        <v>1.1437662898034529</v>
      </c>
      <c r="M3397" s="15">
        <v>0.9892498039852553</v>
      </c>
      <c r="N3397" s="15">
        <v>0.9892498039852553</v>
      </c>
      <c r="O3397" s="15">
        <v>0.9892498039852553</v>
      </c>
      <c r="P3397" s="15">
        <v>0.9892498039852553</v>
      </c>
      <c r="Q3397" s="8"/>
      <c r="R3397" s="9" t="s">
        <v>3143</v>
      </c>
    </row>
    <row r="3398" spans="1:18" x14ac:dyDescent="0.25">
      <c r="A3398" s="6" t="str">
        <f>HYPERLINK("proteomic_fractions_linear_files/Yang_linear_img/124487099.jpg", "124487099")</f>
        <v>124487099</v>
      </c>
      <c r="B3398" s="7"/>
      <c r="C3398" s="6" t="str">
        <f>HYPERLINK("http://www.ncbi.nlm.nih.gov/protein/124487099","Hnrnpul2")</f>
        <v>Hnrnpul2</v>
      </c>
      <c r="D3398" s="8"/>
      <c r="E3398" s="8">
        <v>84809</v>
      </c>
      <c r="F3398" s="8"/>
      <c r="G3398" s="15">
        <v>1.8053278957204921</v>
      </c>
      <c r="H3398" s="15">
        <v>1.8053278957204921</v>
      </c>
      <c r="I3398" s="15" t="s">
        <v>10</v>
      </c>
      <c r="J3398" s="15" t="s">
        <v>10</v>
      </c>
      <c r="K3398" s="15">
        <v>1.5143720958249054</v>
      </c>
      <c r="L3398" s="15">
        <v>1.5143720958249054</v>
      </c>
      <c r="M3398" s="15">
        <v>1.5143720958249054</v>
      </c>
      <c r="N3398" s="15">
        <v>1.5143720958249054</v>
      </c>
      <c r="O3398" s="15">
        <v>1.5143720958249054</v>
      </c>
      <c r="P3398" s="15">
        <v>1.5143720958249054</v>
      </c>
      <c r="Q3398" s="8"/>
      <c r="R3398" s="9" t="s">
        <v>3144</v>
      </c>
    </row>
    <row r="3399" spans="1:18" x14ac:dyDescent="0.25">
      <c r="A3399" s="6" t="str">
        <f>HYPERLINK("proteomic_fractions_linear_files/Yang_linear_img/13385656.jpg", "13385656")</f>
        <v>13385656</v>
      </c>
      <c r="B3399" s="7"/>
      <c r="C3399" s="6" t="str">
        <f>HYPERLINK("http://www.ncbi.nlm.nih.gov/protein/13385656","Hoga1")</f>
        <v>Hoga1</v>
      </c>
      <c r="D3399" s="8"/>
      <c r="E3399" s="8">
        <v>32076</v>
      </c>
      <c r="F3399" s="8"/>
      <c r="G3399" s="15">
        <v>0.87244410305256437</v>
      </c>
      <c r="H3399" s="15">
        <v>0.87244410305256437</v>
      </c>
      <c r="I3399" s="15">
        <v>0.93391896536603536</v>
      </c>
      <c r="J3399" s="15">
        <v>0.93391896536603536</v>
      </c>
      <c r="K3399" s="15" t="s">
        <v>10</v>
      </c>
      <c r="L3399" s="15" t="s">
        <v>10</v>
      </c>
      <c r="M3399" s="15" t="s">
        <v>10</v>
      </c>
      <c r="N3399" s="15" t="s">
        <v>10</v>
      </c>
      <c r="O3399" s="15">
        <v>0.87244410305256437</v>
      </c>
      <c r="P3399" s="15">
        <v>0.87244410305256437</v>
      </c>
      <c r="Q3399" s="8"/>
      <c r="R3399" s="9" t="s">
        <v>3145</v>
      </c>
    </row>
    <row r="3400" spans="1:18" x14ac:dyDescent="0.25">
      <c r="A3400" s="6" t="str">
        <f>HYPERLINK("proteomic_fractions_linear_files/Yang_linear_img/225903402.jpg", "225903402")</f>
        <v>225903402</v>
      </c>
      <c r="B3400" s="7"/>
      <c r="C3400" s="6" t="str">
        <f>HYPERLINK("http://www.ncbi.nlm.nih.gov/protein/225903402","Homer3")</f>
        <v>Homer3</v>
      </c>
      <c r="D3400" s="8"/>
      <c r="E3400" s="8">
        <v>39563</v>
      </c>
      <c r="F3400" s="8"/>
      <c r="G3400" s="15" t="s">
        <v>10</v>
      </c>
      <c r="H3400" s="15" t="s">
        <v>10</v>
      </c>
      <c r="I3400" s="15" t="s">
        <v>10</v>
      </c>
      <c r="J3400" s="15" t="s">
        <v>10</v>
      </c>
      <c r="K3400" s="15">
        <v>1.1031397311741367</v>
      </c>
      <c r="L3400" s="15">
        <v>1.1031397311741367</v>
      </c>
      <c r="M3400" s="15" t="s">
        <v>10</v>
      </c>
      <c r="N3400" s="15" t="s">
        <v>10</v>
      </c>
      <c r="O3400" s="15" t="s">
        <v>10</v>
      </c>
      <c r="P3400" s="15" t="s">
        <v>10</v>
      </c>
      <c r="Q3400" s="8"/>
      <c r="R3400" s="9" t="s">
        <v>3146</v>
      </c>
    </row>
    <row r="3401" spans="1:18" x14ac:dyDescent="0.25">
      <c r="A3401" s="6" t="str">
        <f>HYPERLINK("proteomic_fractions_linear_files/Yang_linear_img/225903404.jpg", "225903404")</f>
        <v>225903404</v>
      </c>
      <c r="B3401" s="7"/>
      <c r="C3401" s="6" t="str">
        <f>HYPERLINK("http://www.ncbi.nlm.nih.gov/protein/225903404","Homer3")</f>
        <v>Homer3</v>
      </c>
      <c r="D3401" s="8"/>
      <c r="E3401" s="8">
        <v>39933</v>
      </c>
      <c r="F3401" s="8"/>
      <c r="G3401" s="15" t="s">
        <v>10</v>
      </c>
      <c r="H3401" s="15" t="s">
        <v>10</v>
      </c>
      <c r="I3401" s="15" t="s">
        <v>10</v>
      </c>
      <c r="J3401" s="15" t="s">
        <v>10</v>
      </c>
      <c r="K3401" s="15">
        <v>1.1031397311741367</v>
      </c>
      <c r="L3401" s="15">
        <v>1.1031397311741367</v>
      </c>
      <c r="M3401" s="15" t="s">
        <v>10</v>
      </c>
      <c r="N3401" s="15" t="s">
        <v>10</v>
      </c>
      <c r="O3401" s="15" t="s">
        <v>10</v>
      </c>
      <c r="P3401" s="15" t="s">
        <v>10</v>
      </c>
      <c r="Q3401" s="8"/>
      <c r="R3401" s="9" t="s">
        <v>3147</v>
      </c>
    </row>
    <row r="3402" spans="1:18" x14ac:dyDescent="0.25">
      <c r="A3402" s="6" t="str">
        <f>HYPERLINK("proteomic_fractions_linear_files/Yang_linear_img/22003856.jpg", "22003856")</f>
        <v>22003856</v>
      </c>
      <c r="B3402" s="7"/>
      <c r="C3402" s="6" t="str">
        <f>HYPERLINK("http://www.ncbi.nlm.nih.gov/protein/22003856","Hook1")</f>
        <v>Hook1</v>
      </c>
      <c r="D3402" s="8"/>
      <c r="E3402" s="8">
        <v>84308</v>
      </c>
      <c r="F3402" s="8"/>
      <c r="G3402" s="15" t="s">
        <v>10</v>
      </c>
      <c r="H3402" s="15" t="s">
        <v>10</v>
      </c>
      <c r="I3402" s="15" t="s">
        <v>10</v>
      </c>
      <c r="J3402" s="15" t="s">
        <v>10</v>
      </c>
      <c r="K3402" s="15">
        <v>1.3071614740610888</v>
      </c>
      <c r="L3402" s="15">
        <v>1.3071614740610888</v>
      </c>
      <c r="M3402" s="15" t="s">
        <v>10</v>
      </c>
      <c r="N3402" s="15" t="s">
        <v>10</v>
      </c>
      <c r="O3402" s="15">
        <v>1.1305712045545775</v>
      </c>
      <c r="P3402" s="15">
        <v>1.1305712045545775</v>
      </c>
      <c r="Q3402" s="8"/>
      <c r="R3402" s="9" t="s">
        <v>3148</v>
      </c>
    </row>
    <row r="3403" spans="1:18" x14ac:dyDescent="0.25">
      <c r="A3403" s="6" t="str">
        <f>HYPERLINK("proteomic_fractions_linear_files/Yang_linear_img/269784731.jpg", "269784731")</f>
        <v>269784731</v>
      </c>
      <c r="B3403" s="7"/>
      <c r="C3403" s="6" t="str">
        <f>HYPERLINK("http://www.ncbi.nlm.nih.gov/protein/269784731","Hook2")</f>
        <v>Hook2</v>
      </c>
      <c r="D3403" s="8"/>
      <c r="E3403" s="8">
        <v>83235</v>
      </c>
      <c r="F3403" s="8"/>
      <c r="G3403" s="15" t="s">
        <v>10</v>
      </c>
      <c r="H3403" s="15" t="s">
        <v>10</v>
      </c>
      <c r="I3403" s="15" t="s">
        <v>10</v>
      </c>
      <c r="J3403" s="15" t="s">
        <v>10</v>
      </c>
      <c r="K3403" s="15" t="s">
        <v>10</v>
      </c>
      <c r="L3403" s="15" t="s">
        <v>10</v>
      </c>
      <c r="M3403" s="15" t="s">
        <v>10</v>
      </c>
      <c r="N3403" s="15" t="s">
        <v>10</v>
      </c>
      <c r="O3403" s="15">
        <v>1.001188656302938</v>
      </c>
      <c r="P3403" s="15">
        <v>1.001188656302938</v>
      </c>
      <c r="Q3403" s="8"/>
      <c r="R3403" s="9" t="s">
        <v>3149</v>
      </c>
    </row>
    <row r="3404" spans="1:18" x14ac:dyDescent="0.25">
      <c r="A3404" s="6" t="str">
        <f>HYPERLINK("proteomic_fractions_linear_files/Yang_linear_img/269784735.jpg", "269784735")</f>
        <v>269784735</v>
      </c>
      <c r="B3404" s="7"/>
      <c r="C3404" s="6" t="str">
        <f>HYPERLINK("http://www.ncbi.nlm.nih.gov/protein/269784735","Hook2")</f>
        <v>Hook2</v>
      </c>
      <c r="D3404" s="8"/>
      <c r="E3404" s="8">
        <v>83164</v>
      </c>
      <c r="F3404" s="8"/>
      <c r="G3404" s="15" t="s">
        <v>10</v>
      </c>
      <c r="H3404" s="15" t="s">
        <v>10</v>
      </c>
      <c r="I3404" s="15" t="s">
        <v>10</v>
      </c>
      <c r="J3404" s="15" t="s">
        <v>10</v>
      </c>
      <c r="K3404" s="15" t="s">
        <v>10</v>
      </c>
      <c r="L3404" s="15" t="s">
        <v>10</v>
      </c>
      <c r="M3404" s="15" t="s">
        <v>10</v>
      </c>
      <c r="N3404" s="15" t="s">
        <v>10</v>
      </c>
      <c r="O3404" s="15">
        <v>1.001188656302938</v>
      </c>
      <c r="P3404" s="15">
        <v>1.001188656302938</v>
      </c>
      <c r="Q3404" s="8"/>
      <c r="R3404" s="9" t="s">
        <v>3150</v>
      </c>
    </row>
    <row r="3405" spans="1:18" x14ac:dyDescent="0.25">
      <c r="A3405" s="6" t="str">
        <f>HYPERLINK("proteomic_fractions_linear_files/Yang_linear_img/46559745.jpg", "46559745")</f>
        <v>46559745</v>
      </c>
      <c r="B3405" s="7"/>
      <c r="C3405" s="6" t="str">
        <f>HYPERLINK("http://www.ncbi.nlm.nih.gov/protein/46559745","Hook3")</f>
        <v>Hook3</v>
      </c>
      <c r="D3405" s="8"/>
      <c r="E3405" s="8">
        <v>83087</v>
      </c>
      <c r="F3405" s="8"/>
      <c r="G3405" s="15" t="s">
        <v>10</v>
      </c>
      <c r="H3405" s="15" t="s">
        <v>10</v>
      </c>
      <c r="I3405" s="15">
        <v>1.001188656302938</v>
      </c>
      <c r="J3405" s="15">
        <v>1.001188656302938</v>
      </c>
      <c r="K3405" s="15">
        <v>1.1441925443684882</v>
      </c>
      <c r="L3405" s="15">
        <v>1.1441925443684882</v>
      </c>
      <c r="M3405" s="15">
        <v>1.1441925443684882</v>
      </c>
      <c r="N3405" s="15">
        <v>1.1441925443684882</v>
      </c>
      <c r="O3405" s="15">
        <v>1.001188656302938</v>
      </c>
      <c r="P3405" s="15">
        <v>1.001188656302938</v>
      </c>
      <c r="Q3405" s="8"/>
      <c r="R3405" s="9" t="s">
        <v>3151</v>
      </c>
    </row>
    <row r="3406" spans="1:18" x14ac:dyDescent="0.25">
      <c r="A3406" s="6" t="str">
        <f>HYPERLINK("proteomic_fractions_linear_files/Yang_linear_img/6754232.jpg", "6754232")</f>
        <v>6754232</v>
      </c>
      <c r="B3406" s="7"/>
      <c r="C3406" s="6" t="str">
        <f>HYPERLINK("http://www.ncbi.nlm.nih.gov/protein/6754232","Hoxa5")</f>
        <v>Hoxa5</v>
      </c>
      <c r="D3406" s="8"/>
      <c r="E3406" s="8">
        <v>29106</v>
      </c>
      <c r="F3406" s="8"/>
      <c r="G3406" s="15" t="s">
        <v>10</v>
      </c>
      <c r="H3406" s="15" t="s">
        <v>10</v>
      </c>
      <c r="I3406" s="15" t="s">
        <v>10</v>
      </c>
      <c r="J3406" s="15" t="s">
        <v>10</v>
      </c>
      <c r="K3406" s="15" t="s">
        <v>10</v>
      </c>
      <c r="L3406" s="15" t="s">
        <v>10</v>
      </c>
      <c r="M3406" s="15">
        <v>1.1063473398528822</v>
      </c>
      <c r="N3406" s="15">
        <v>1.1063473398528822</v>
      </c>
      <c r="O3406" s="15" t="s">
        <v>10</v>
      </c>
      <c r="P3406" s="15" t="s">
        <v>10</v>
      </c>
      <c r="Q3406" s="8"/>
      <c r="R3406" s="9" t="s">
        <v>3152</v>
      </c>
    </row>
    <row r="3407" spans="1:18" x14ac:dyDescent="0.25">
      <c r="A3407" s="6" t="str">
        <f>HYPERLINK("proteomic_fractions_linear_files/Yang_linear_img/88014652.jpg", "88014652")</f>
        <v>88014652</v>
      </c>
      <c r="B3407" s="7"/>
      <c r="C3407" s="6" t="str">
        <f>HYPERLINK("http://www.ncbi.nlm.nih.gov/protein/88014652","Hoxb7")</f>
        <v>Hoxb7</v>
      </c>
      <c r="D3407" s="8"/>
      <c r="E3407" s="8">
        <v>23836</v>
      </c>
      <c r="F3407" s="8"/>
      <c r="G3407" s="15" t="s">
        <v>10</v>
      </c>
      <c r="H3407" s="15" t="s">
        <v>10</v>
      </c>
      <c r="I3407" s="15" t="s">
        <v>10</v>
      </c>
      <c r="J3407" s="15" t="s">
        <v>10</v>
      </c>
      <c r="K3407" s="15" t="s">
        <v>10</v>
      </c>
      <c r="L3407" s="15" t="s">
        <v>10</v>
      </c>
      <c r="M3407" s="15">
        <v>1.0895940881427084</v>
      </c>
      <c r="N3407" s="15">
        <v>1.0895940881427084</v>
      </c>
      <c r="O3407" s="15" t="s">
        <v>10</v>
      </c>
      <c r="P3407" s="15" t="s">
        <v>10</v>
      </c>
      <c r="Q3407" s="8"/>
      <c r="R3407" s="9" t="s">
        <v>3153</v>
      </c>
    </row>
    <row r="3408" spans="1:18" x14ac:dyDescent="0.25">
      <c r="A3408" s="6" t="str">
        <f>HYPERLINK("proteomic_fractions_linear_files/Yang_linear_img/112807184.jpg", "112807184")</f>
        <v>112807184</v>
      </c>
      <c r="B3408" s="7"/>
      <c r="C3408" s="6" t="str">
        <f>HYPERLINK("http://www.ncbi.nlm.nih.gov/protein/112807184","Hoxd8")</f>
        <v>Hoxd8</v>
      </c>
      <c r="D3408" s="8"/>
      <c r="E3408" s="8">
        <v>31232</v>
      </c>
      <c r="F3408" s="8"/>
      <c r="G3408" s="15" t="s">
        <v>10</v>
      </c>
      <c r="H3408" s="15" t="s">
        <v>10</v>
      </c>
      <c r="I3408" s="15" t="s">
        <v>10</v>
      </c>
      <c r="J3408" s="15" t="s">
        <v>10</v>
      </c>
      <c r="K3408" s="15" t="s">
        <v>10</v>
      </c>
      <c r="L3408" s="15" t="s">
        <v>10</v>
      </c>
      <c r="M3408" s="15">
        <v>1.2045589168749868</v>
      </c>
      <c r="N3408" s="15">
        <v>1.2045589168749868</v>
      </c>
      <c r="O3408" s="15" t="s">
        <v>10</v>
      </c>
      <c r="P3408" s="15" t="s">
        <v>10</v>
      </c>
      <c r="Q3408" s="8"/>
      <c r="R3408" s="9" t="s">
        <v>3154</v>
      </c>
    </row>
    <row r="3409" spans="1:18" x14ac:dyDescent="0.25">
      <c r="A3409" s="6" t="str">
        <f>HYPERLINK("proteomic_fractions_linear_files/Yang_linear_img/550821966.jpg", "550821966")</f>
        <v>550821966</v>
      </c>
      <c r="B3409" s="7"/>
      <c r="C3409" s="6" t="str">
        <f>HYPERLINK("http://www.ncbi.nlm.nih.gov/protein/550821966","Hp1bp3")</f>
        <v>Hp1bp3</v>
      </c>
      <c r="D3409" s="8"/>
      <c r="E3409" s="8">
        <v>55392</v>
      </c>
      <c r="F3409" s="8"/>
      <c r="G3409" s="15">
        <v>1.7266905669560819</v>
      </c>
      <c r="H3409" s="15">
        <v>1.7266905669560819</v>
      </c>
      <c r="I3409" s="15" t="s">
        <v>10</v>
      </c>
      <c r="J3409" s="15" t="s">
        <v>10</v>
      </c>
      <c r="K3409" s="15" t="s">
        <v>10</v>
      </c>
      <c r="L3409" s="15" t="s">
        <v>10</v>
      </c>
      <c r="M3409" s="15" t="s">
        <v>10</v>
      </c>
      <c r="N3409" s="15" t="s">
        <v>10</v>
      </c>
      <c r="O3409" s="15" t="s">
        <v>10</v>
      </c>
      <c r="P3409" s="15" t="s">
        <v>10</v>
      </c>
      <c r="Q3409" s="8"/>
      <c r="R3409" s="9" t="s">
        <v>3155</v>
      </c>
    </row>
    <row r="3410" spans="1:18" x14ac:dyDescent="0.25">
      <c r="A3410" s="6" t="str">
        <f>HYPERLINK("proteomic_fractions_linear_files/Yang_linear_img/550821975.jpg", "550821975")</f>
        <v>550821975</v>
      </c>
      <c r="B3410" s="7"/>
      <c r="C3410" s="6" t="str">
        <f>HYPERLINK("http://www.ncbi.nlm.nih.gov/protein/550821975","Hp1bp3")</f>
        <v>Hp1bp3</v>
      </c>
      <c r="D3410" s="8"/>
      <c r="E3410" s="8">
        <v>59417</v>
      </c>
      <c r="F3410" s="8"/>
      <c r="G3410" s="15">
        <v>1.6096267997048221</v>
      </c>
      <c r="H3410" s="15">
        <v>1.6096267997048221</v>
      </c>
      <c r="I3410" s="15" t="s">
        <v>10</v>
      </c>
      <c r="J3410" s="15" t="s">
        <v>10</v>
      </c>
      <c r="K3410" s="15" t="s">
        <v>10</v>
      </c>
      <c r="L3410" s="15" t="s">
        <v>10</v>
      </c>
      <c r="M3410" s="15" t="s">
        <v>10</v>
      </c>
      <c r="N3410" s="15" t="s">
        <v>10</v>
      </c>
      <c r="O3410" s="15" t="s">
        <v>10</v>
      </c>
      <c r="P3410" s="15" t="s">
        <v>10</v>
      </c>
      <c r="Q3410" s="8"/>
      <c r="R3410" s="9" t="s">
        <v>3156</v>
      </c>
    </row>
    <row r="3411" spans="1:18" x14ac:dyDescent="0.25">
      <c r="A3411" s="6" t="str">
        <f>HYPERLINK("proteomic_fractions_linear_files/Yang_linear_img/550822234.jpg", "550822234")</f>
        <v>550822234</v>
      </c>
      <c r="B3411" s="7"/>
      <c r="C3411" s="6" t="str">
        <f>HYPERLINK("http://www.ncbi.nlm.nih.gov/protein/550822234","Hp1bp3")</f>
        <v>Hp1bp3</v>
      </c>
      <c r="D3411" s="8"/>
      <c r="E3411" s="8">
        <v>60608</v>
      </c>
      <c r="F3411" s="8"/>
      <c r="G3411" s="15">
        <v>1.5568521505341724</v>
      </c>
      <c r="H3411" s="15">
        <v>1.5568521505341724</v>
      </c>
      <c r="I3411" s="15" t="s">
        <v>10</v>
      </c>
      <c r="J3411" s="15" t="s">
        <v>10</v>
      </c>
      <c r="K3411" s="15" t="s">
        <v>10</v>
      </c>
      <c r="L3411" s="15" t="s">
        <v>10</v>
      </c>
      <c r="M3411" s="15" t="s">
        <v>10</v>
      </c>
      <c r="N3411" s="15" t="s">
        <v>10</v>
      </c>
      <c r="O3411" s="15" t="s">
        <v>10</v>
      </c>
      <c r="P3411" s="15" t="s">
        <v>10</v>
      </c>
      <c r="Q3411" s="8"/>
      <c r="R3411" s="9" t="s">
        <v>3157</v>
      </c>
    </row>
    <row r="3412" spans="1:18" x14ac:dyDescent="0.25">
      <c r="A3412" s="6" t="str">
        <f>HYPERLINK("proteomic_fractions_linear_files/Yang_linear_img/171543869.jpg", "171543869")</f>
        <v>171543869</v>
      </c>
      <c r="B3412" s="7"/>
      <c r="C3412" s="6" t="str">
        <f>HYPERLINK("http://www.ncbi.nlm.nih.gov/protein/171543869","Hp1bp3")</f>
        <v>Hp1bp3</v>
      </c>
      <c r="D3412" s="8"/>
      <c r="E3412" s="8">
        <v>60736</v>
      </c>
      <c r="F3412" s="8"/>
      <c r="G3412" s="15">
        <v>1.5568521505341724</v>
      </c>
      <c r="H3412" s="15">
        <v>1.5568521505341724</v>
      </c>
      <c r="I3412" s="15" t="s">
        <v>10</v>
      </c>
      <c r="J3412" s="15" t="s">
        <v>10</v>
      </c>
      <c r="K3412" s="15">
        <v>1.5568521505341724</v>
      </c>
      <c r="L3412" s="15">
        <v>1.5568521505341724</v>
      </c>
      <c r="M3412" s="15" t="s">
        <v>10</v>
      </c>
      <c r="N3412" s="15" t="s">
        <v>10</v>
      </c>
      <c r="O3412" s="15" t="s">
        <v>10</v>
      </c>
      <c r="P3412" s="15" t="s">
        <v>10</v>
      </c>
      <c r="Q3412" s="8"/>
      <c r="R3412" s="9" t="s">
        <v>3158</v>
      </c>
    </row>
    <row r="3413" spans="1:18" x14ac:dyDescent="0.25">
      <c r="A3413" s="6" t="str">
        <f>HYPERLINK("proteomic_fractions_linear_files/Yang_linear_img/171543871.jpg", "171543871")</f>
        <v>171543871</v>
      </c>
      <c r="B3413" s="7"/>
      <c r="C3413" s="6" t="str">
        <f>HYPERLINK("http://www.ncbi.nlm.nih.gov/protein/171543871","Hp1bp3")</f>
        <v>Hp1bp3</v>
      </c>
      <c r="D3413" s="8"/>
      <c r="E3413" s="8">
        <v>56710</v>
      </c>
      <c r="F3413" s="8"/>
      <c r="G3413" s="15">
        <v>1.6661049330277984</v>
      </c>
      <c r="H3413" s="15">
        <v>1.6661049330277984</v>
      </c>
      <c r="I3413" s="15" t="s">
        <v>10</v>
      </c>
      <c r="J3413" s="15" t="s">
        <v>10</v>
      </c>
      <c r="K3413" s="15">
        <v>1.6661049330277984</v>
      </c>
      <c r="L3413" s="15">
        <v>1.6661049330277984</v>
      </c>
      <c r="M3413" s="15" t="s">
        <v>10</v>
      </c>
      <c r="N3413" s="15" t="s">
        <v>10</v>
      </c>
      <c r="O3413" s="15" t="s">
        <v>10</v>
      </c>
      <c r="P3413" s="15" t="s">
        <v>10</v>
      </c>
      <c r="Q3413" s="8"/>
      <c r="R3413" s="9" t="s">
        <v>3159</v>
      </c>
    </row>
    <row r="3414" spans="1:18" x14ac:dyDescent="0.25">
      <c r="A3414" s="6" t="str">
        <f>HYPERLINK("proteomic_fractions_linear_files/Yang_linear_img/6754240.jpg", "6754240")</f>
        <v>6754240</v>
      </c>
      <c r="B3414" s="7"/>
      <c r="C3414" s="6" t="str">
        <f>HYPERLINK("http://www.ncbi.nlm.nih.gov/protein/6754240","Hpca")</f>
        <v>Hpca</v>
      </c>
      <c r="D3414" s="8"/>
      <c r="E3414" s="8">
        <v>22296</v>
      </c>
      <c r="F3414" s="8"/>
      <c r="G3414" s="15">
        <v>0.7986336256981349</v>
      </c>
      <c r="H3414" s="15">
        <v>0.7986336256981349</v>
      </c>
      <c r="I3414" s="15">
        <v>0.8406954165710947</v>
      </c>
      <c r="J3414" s="15">
        <v>0.8406954165710947</v>
      </c>
      <c r="K3414" s="15">
        <v>0.8406954165710947</v>
      </c>
      <c r="L3414" s="15">
        <v>0.8406954165710947</v>
      </c>
      <c r="M3414" s="15">
        <v>0.88641590127433068</v>
      </c>
      <c r="N3414" s="15">
        <v>0.88641590127433068</v>
      </c>
      <c r="O3414" s="15">
        <v>0.88641590127433068</v>
      </c>
      <c r="P3414" s="15">
        <v>0.88641590127433068</v>
      </c>
      <c r="Q3414" s="8"/>
      <c r="R3414" s="9" t="s">
        <v>3160</v>
      </c>
    </row>
    <row r="3415" spans="1:18" x14ac:dyDescent="0.25">
      <c r="A3415" s="6" t="str">
        <f>HYPERLINK("proteomic_fractions_linear_files/Yang_linear_img/7949055.jpg", "7949055")</f>
        <v>7949055</v>
      </c>
      <c r="B3415" s="7"/>
      <c r="C3415" s="6" t="str">
        <f>HYPERLINK("http://www.ncbi.nlm.nih.gov/protein/7949055","Hpcal1")</f>
        <v>Hpcal1</v>
      </c>
      <c r="D3415" s="8"/>
      <c r="E3415" s="8">
        <v>22207</v>
      </c>
      <c r="F3415" s="8"/>
      <c r="G3415" s="15">
        <v>0.7986336256981349</v>
      </c>
      <c r="H3415" s="15">
        <v>0.7986336256981349</v>
      </c>
      <c r="I3415" s="15">
        <v>0.8406954165710947</v>
      </c>
      <c r="J3415" s="15">
        <v>0.8406954165710947</v>
      </c>
      <c r="K3415" s="15">
        <v>0.8406954165710947</v>
      </c>
      <c r="L3415" s="15">
        <v>0.8406954165710947</v>
      </c>
      <c r="M3415" s="15">
        <v>0.88641590127433068</v>
      </c>
      <c r="N3415" s="15">
        <v>0.88641590127433068</v>
      </c>
      <c r="O3415" s="15">
        <v>0.8406954165710947</v>
      </c>
      <c r="P3415" s="15">
        <v>0.8406954165710947</v>
      </c>
      <c r="Q3415" s="8"/>
      <c r="R3415" s="9" t="s">
        <v>3161</v>
      </c>
    </row>
    <row r="3416" spans="1:18" x14ac:dyDescent="0.25">
      <c r="A3416" s="6" t="str">
        <f>HYPERLINK("proteomic_fractions_linear_files/Yang_linear_img/96975138.jpg", "96975138")</f>
        <v>96975138</v>
      </c>
      <c r="B3416" s="7"/>
      <c r="C3416" s="6" t="str">
        <f>HYPERLINK("http://www.ncbi.nlm.nih.gov/protein/96975138","Hprt")</f>
        <v>Hprt</v>
      </c>
      <c r="D3416" s="8"/>
      <c r="E3416" s="8">
        <v>24439</v>
      </c>
      <c r="F3416" s="8"/>
      <c r="G3416" s="15" t="s">
        <v>10</v>
      </c>
      <c r="H3416" s="15" t="s">
        <v>10</v>
      </c>
      <c r="I3416" s="15">
        <v>0.96289889061322687</v>
      </c>
      <c r="J3416" s="15">
        <v>0.96289889061322687</v>
      </c>
      <c r="K3416" s="15">
        <v>1.0231175255532048</v>
      </c>
      <c r="L3416" s="15">
        <v>1.0231175255532048</v>
      </c>
      <c r="M3416" s="15">
        <v>0.96289889061322687</v>
      </c>
      <c r="N3416" s="15">
        <v>0.96289889061322687</v>
      </c>
      <c r="O3416" s="15">
        <v>0.85822671611067802</v>
      </c>
      <c r="P3416" s="15">
        <v>0.85822671611067802</v>
      </c>
      <c r="Q3416" s="8"/>
      <c r="R3416" s="9" t="s">
        <v>3162</v>
      </c>
    </row>
    <row r="3417" spans="1:18" x14ac:dyDescent="0.25">
      <c r="A3417" s="6" t="str">
        <f>HYPERLINK("proteomic_fractions_linear_files/Yang_linear_img/268607540.jpg", "268607540")</f>
        <v>268607540</v>
      </c>
      <c r="B3417" s="7"/>
      <c r="C3417" s="6" t="str">
        <f>HYPERLINK("http://www.ncbi.nlm.nih.gov/protein/268607540","Hps5")</f>
        <v>Hps5</v>
      </c>
      <c r="D3417" s="8"/>
      <c r="E3417" s="8">
        <v>126207</v>
      </c>
      <c r="F3417" s="8"/>
      <c r="G3417" s="15" t="s">
        <v>10</v>
      </c>
      <c r="H3417" s="15" t="s">
        <v>10</v>
      </c>
      <c r="I3417" s="15">
        <v>1.217879929652713</v>
      </c>
      <c r="J3417" s="15">
        <v>1.217879929652713</v>
      </c>
      <c r="K3417" s="15" t="s">
        <v>10</v>
      </c>
      <c r="L3417" s="15" t="s">
        <v>10</v>
      </c>
      <c r="M3417" s="15">
        <v>1.4822685050788917</v>
      </c>
      <c r="N3417" s="15">
        <v>1.4822685050788917</v>
      </c>
      <c r="O3417" s="15">
        <v>1.217879929652713</v>
      </c>
      <c r="P3417" s="15">
        <v>1.8520702192686433</v>
      </c>
      <c r="Q3417" s="8"/>
      <c r="R3417" s="9" t="s">
        <v>3163</v>
      </c>
    </row>
    <row r="3418" spans="1:18" x14ac:dyDescent="0.25">
      <c r="A3418" s="6" t="str">
        <f>HYPERLINK("proteomic_fractions_linear_files/Yang_linear_img/268607542.jpg", "268607542")</f>
        <v>268607542</v>
      </c>
      <c r="B3418" s="7"/>
      <c r="C3418" s="6" t="str">
        <f>HYPERLINK("http://www.ncbi.nlm.nih.gov/protein/268607542","Hps5")</f>
        <v>Hps5</v>
      </c>
      <c r="D3418" s="8"/>
      <c r="E3418" s="8">
        <v>122433</v>
      </c>
      <c r="F3418" s="8"/>
      <c r="G3418" s="15" t="s">
        <v>10</v>
      </c>
      <c r="H3418" s="15" t="s">
        <v>10</v>
      </c>
      <c r="I3418" s="15">
        <v>1.2578104191495232</v>
      </c>
      <c r="J3418" s="15">
        <v>1.2578104191495232</v>
      </c>
      <c r="K3418" s="15" t="s">
        <v>10</v>
      </c>
      <c r="L3418" s="15" t="s">
        <v>10</v>
      </c>
      <c r="M3418" s="15">
        <v>1.5308674724585276</v>
      </c>
      <c r="N3418" s="15">
        <v>1.5308674724585276</v>
      </c>
      <c r="O3418" s="15">
        <v>1.2578104191495232</v>
      </c>
      <c r="P3418" s="15">
        <v>1.9127938330151564</v>
      </c>
      <c r="Q3418" s="8"/>
      <c r="R3418" s="9" t="s">
        <v>3164</v>
      </c>
    </row>
    <row r="3419" spans="1:18" x14ac:dyDescent="0.25">
      <c r="A3419" s="6" t="str">
        <f>HYPERLINK("proteomic_fractions_linear_files/Yang_linear_img/194363764;194440734.jpg", "194363764;194440734")</f>
        <v>194363764;194440734</v>
      </c>
      <c r="B3419" s="8"/>
      <c r="C3419" s="6" t="str">
        <f>HYPERLINK("http://www.ncbi.nlm.nih.gov/protein/194363764;194440734","Hras1")</f>
        <v>Hras1</v>
      </c>
      <c r="D3419" s="8"/>
      <c r="E3419" s="8">
        <v>21167</v>
      </c>
      <c r="F3419" s="8"/>
      <c r="G3419" s="15">
        <v>1.3294386332229553</v>
      </c>
      <c r="H3419" s="15">
        <v>1.3294386332229553</v>
      </c>
      <c r="I3419" s="15" t="s">
        <v>10</v>
      </c>
      <c r="J3419" s="15" t="s">
        <v>10</v>
      </c>
      <c r="K3419" s="15" t="s">
        <v>10</v>
      </c>
      <c r="L3419" s="15" t="s">
        <v>10</v>
      </c>
      <c r="M3419" s="15" t="s">
        <v>10</v>
      </c>
      <c r="N3419" s="15" t="s">
        <v>10</v>
      </c>
      <c r="O3419" s="15" t="s">
        <v>10</v>
      </c>
      <c r="P3419" s="15" t="s">
        <v>10</v>
      </c>
      <c r="Q3419" s="8"/>
      <c r="R3419" s="9" t="s">
        <v>3165</v>
      </c>
    </row>
    <row r="3420" spans="1:18" x14ac:dyDescent="0.25">
      <c r="A3420" s="6" t="str">
        <f>HYPERLINK("proteomic_fractions_linear_files/Yang_linear_img/194440734;4885425.jpg", "194440734;4885425")</f>
        <v>194440734;4885425</v>
      </c>
      <c r="B3420" s="8"/>
      <c r="C3420" s="6" t="str">
        <f>HYPERLINK("http://www.ncbi.nlm.nih.gov/protein/194440734;4885425","Hras1")</f>
        <v>Hras1</v>
      </c>
      <c r="D3420" s="8"/>
      <c r="E3420" s="8">
        <v>21167</v>
      </c>
      <c r="F3420" s="8"/>
      <c r="G3420" s="15" t="s">
        <v>10</v>
      </c>
      <c r="H3420" s="15" t="s">
        <v>10</v>
      </c>
      <c r="I3420" s="15" t="s">
        <v>10</v>
      </c>
      <c r="J3420" s="15" t="s">
        <v>10</v>
      </c>
      <c r="K3420" s="15">
        <v>0.92862618228739402</v>
      </c>
      <c r="L3420" s="15">
        <v>0.92862618228739402</v>
      </c>
      <c r="M3420" s="15" t="s">
        <v>10</v>
      </c>
      <c r="N3420" s="15" t="s">
        <v>10</v>
      </c>
      <c r="O3420" s="15" t="s">
        <v>10</v>
      </c>
      <c r="P3420" s="15" t="s">
        <v>10</v>
      </c>
      <c r="Q3420" s="8"/>
      <c r="R3420" s="9" t="s">
        <v>3165</v>
      </c>
    </row>
    <row r="3421" spans="1:18" x14ac:dyDescent="0.25">
      <c r="A3421" s="6" t="str">
        <f>HYPERLINK("proteomic_fractions_linear_files/Yang_linear_img/194363766.jpg", "194363766")</f>
        <v>194363766</v>
      </c>
      <c r="B3421" s="7"/>
      <c r="C3421" s="6" t="str">
        <f>HYPERLINK("http://www.ncbi.nlm.nih.gov/protein/194363766","Hras1")</f>
        <v>Hras1</v>
      </c>
      <c r="D3421" s="8"/>
      <c r="E3421" s="8">
        <v>20749</v>
      </c>
      <c r="F3421" s="8"/>
      <c r="G3421" s="15">
        <v>1.3294386332229553</v>
      </c>
      <c r="H3421" s="15">
        <v>1.3294386332229553</v>
      </c>
      <c r="I3421" s="15">
        <v>0.92862618228739402</v>
      </c>
      <c r="J3421" s="15">
        <v>0.92862618228739402</v>
      </c>
      <c r="K3421" s="15">
        <v>0.92862618228739402</v>
      </c>
      <c r="L3421" s="15">
        <v>0.92862618228739402</v>
      </c>
      <c r="M3421" s="15">
        <v>0.98083053269791776</v>
      </c>
      <c r="N3421" s="15">
        <v>0.98083053269791776</v>
      </c>
      <c r="O3421" s="15">
        <v>0.92862618228739402</v>
      </c>
      <c r="P3421" s="15">
        <v>0.92862618228739402</v>
      </c>
      <c r="Q3421" s="8"/>
      <c r="R3421" s="9" t="s">
        <v>3166</v>
      </c>
    </row>
    <row r="3422" spans="1:18" x14ac:dyDescent="0.25">
      <c r="A3422" s="6" t="str">
        <f>HYPERLINK("proteomic_fractions_linear_files/Yang_linear_img/40807498.jpg", "40807498")</f>
        <v>40807498</v>
      </c>
      <c r="B3422" s="7"/>
      <c r="C3422" s="6" t="str">
        <f>HYPERLINK("http://www.ncbi.nlm.nih.gov/protein/40807498","Hrsp12")</f>
        <v>Hrsp12</v>
      </c>
      <c r="D3422" s="8"/>
      <c r="E3422" s="8">
        <v>14124</v>
      </c>
      <c r="F3422" s="8"/>
      <c r="G3422" s="15">
        <v>0.8737758065950969</v>
      </c>
      <c r="H3422" s="15">
        <v>0.8737758065950969</v>
      </c>
      <c r="I3422" s="15">
        <v>0.94979028735725246</v>
      </c>
      <c r="J3422" s="15">
        <v>0.94979028735725246</v>
      </c>
      <c r="K3422" s="15">
        <v>0.94979028735725246</v>
      </c>
      <c r="L3422" s="15">
        <v>0.94979028735725246</v>
      </c>
      <c r="M3422" s="15">
        <v>0.94979028735725246</v>
      </c>
      <c r="N3422" s="15">
        <v>0.94979028735725246</v>
      </c>
      <c r="O3422" s="15">
        <v>0.94979028735725246</v>
      </c>
      <c r="P3422" s="15">
        <v>0.94979028735725246</v>
      </c>
      <c r="Q3422" s="8"/>
      <c r="R3422" s="9" t="s">
        <v>3167</v>
      </c>
    </row>
    <row r="3423" spans="1:18" x14ac:dyDescent="0.25">
      <c r="A3423" s="6" t="str">
        <f>HYPERLINK("proteomic_fractions_linear_files/Yang_linear_img/160948577.jpg", "160948577")</f>
        <v>160948577</v>
      </c>
      <c r="B3423" s="7"/>
      <c r="C3423" s="6" t="str">
        <f>HYPERLINK("http://www.ncbi.nlm.nih.gov/protein/160948577","Hs1bp3")</f>
        <v>Hs1bp3</v>
      </c>
      <c r="D3423" s="8"/>
      <c r="E3423" s="8">
        <v>43560</v>
      </c>
      <c r="F3423" s="8"/>
      <c r="G3423" s="15" t="s">
        <v>10</v>
      </c>
      <c r="H3423" s="15" t="s">
        <v>10</v>
      </c>
      <c r="I3423" s="15">
        <v>1.0974994451003466</v>
      </c>
      <c r="J3423" s="15">
        <v>1.0974994451003466</v>
      </c>
      <c r="K3423" s="15">
        <v>1.2072856734091155</v>
      </c>
      <c r="L3423" s="15">
        <v>1.2072856734091155</v>
      </c>
      <c r="M3423" s="15" t="s">
        <v>10</v>
      </c>
      <c r="N3423" s="15" t="s">
        <v>10</v>
      </c>
      <c r="O3423" s="15">
        <v>1.0974994451003466</v>
      </c>
      <c r="P3423" s="15">
        <v>1.0974994451003466</v>
      </c>
      <c r="Q3423" s="8"/>
      <c r="R3423" s="9" t="s">
        <v>3168</v>
      </c>
    </row>
    <row r="3424" spans="1:18" x14ac:dyDescent="0.25">
      <c r="A3424" s="6" t="str">
        <f>HYPERLINK("proteomic_fractions_linear_files/Yang_linear_img/170172560.jpg", "170172560")</f>
        <v>170172560</v>
      </c>
      <c r="B3424" s="7"/>
      <c r="C3424" s="6" t="str">
        <f>HYPERLINK("http://www.ncbi.nlm.nih.gov/protein/170172560","Hs2st1")</f>
        <v>Hs2st1</v>
      </c>
      <c r="D3424" s="8"/>
      <c r="E3424" s="8">
        <v>41682</v>
      </c>
      <c r="F3424" s="8"/>
      <c r="G3424" s="15" t="s">
        <v>10</v>
      </c>
      <c r="H3424" s="15" t="s">
        <v>10</v>
      </c>
      <c r="I3424" s="15">
        <v>1.0506092677848922</v>
      </c>
      <c r="J3424" s="15">
        <v>1.0506092677848922</v>
      </c>
      <c r="K3424" s="15">
        <v>1.0506092677848922</v>
      </c>
      <c r="L3424" s="15">
        <v>1.0506092677848922</v>
      </c>
      <c r="M3424" s="15" t="s">
        <v>10</v>
      </c>
      <c r="N3424" s="15" t="s">
        <v>10</v>
      </c>
      <c r="O3424" s="15" t="s">
        <v>10</v>
      </c>
      <c r="P3424" s="15" t="s">
        <v>10</v>
      </c>
      <c r="Q3424" s="8"/>
      <c r="R3424" s="9" t="s">
        <v>3169</v>
      </c>
    </row>
    <row r="3425" spans="1:18" x14ac:dyDescent="0.25">
      <c r="A3425" s="6" t="str">
        <f>HYPERLINK("proteomic_fractions_linear_files/Yang_linear_img/6754246.jpg", "6754246")</f>
        <v>6754246</v>
      </c>
      <c r="B3425" s="7"/>
      <c r="C3425" s="6" t="str">
        <f>HYPERLINK("http://www.ncbi.nlm.nih.gov/protein/6754246","Hs3st1")</f>
        <v>Hs3st1</v>
      </c>
      <c r="D3425" s="8"/>
      <c r="E3425" s="8">
        <v>33801</v>
      </c>
      <c r="F3425" s="8"/>
      <c r="G3425" s="15">
        <v>6.8635543419955605</v>
      </c>
      <c r="H3425" s="15">
        <v>6.8635543419955605</v>
      </c>
      <c r="I3425" s="15" t="s">
        <v>10</v>
      </c>
      <c r="J3425" s="15" t="s">
        <v>10</v>
      </c>
      <c r="K3425" s="15">
        <v>8.8759801363676107</v>
      </c>
      <c r="L3425" s="15">
        <v>8.8759801363676107</v>
      </c>
      <c r="M3425" s="15">
        <v>8.8759801363676107</v>
      </c>
      <c r="N3425" s="15">
        <v>8.8759801363676107</v>
      </c>
      <c r="O3425" s="15" t="s">
        <v>10</v>
      </c>
      <c r="P3425" s="15" t="s">
        <v>10</v>
      </c>
      <c r="Q3425" s="8"/>
      <c r="R3425" s="9" t="s">
        <v>3170</v>
      </c>
    </row>
    <row r="3426" spans="1:18" x14ac:dyDescent="0.25">
      <c r="A3426" s="6" t="str">
        <f>HYPERLINK("proteomic_fractions_linear_files/Yang_linear_img/358356422.jpg", "358356422")</f>
        <v>358356422</v>
      </c>
      <c r="B3426" s="7"/>
      <c r="C3426" s="6" t="str">
        <f>HYPERLINK("http://www.ncbi.nlm.nih.gov/protein/358356422","Hs3st5")</f>
        <v>Hs3st5</v>
      </c>
      <c r="D3426" s="8"/>
      <c r="E3426" s="8">
        <v>40340</v>
      </c>
      <c r="F3426" s="8"/>
      <c r="G3426" s="15" t="s">
        <v>10</v>
      </c>
      <c r="H3426" s="15" t="s">
        <v>10</v>
      </c>
      <c r="I3426" s="15" t="s">
        <v>10</v>
      </c>
      <c r="J3426" s="15" t="s">
        <v>10</v>
      </c>
      <c r="K3426" s="15">
        <v>4.6691457909985088</v>
      </c>
      <c r="L3426" s="15">
        <v>4.6691457909985088</v>
      </c>
      <c r="M3426" s="15">
        <v>4.6691457909985088</v>
      </c>
      <c r="N3426" s="15">
        <v>4.6691457909985088</v>
      </c>
      <c r="O3426" s="15">
        <v>4.6691457909985088</v>
      </c>
      <c r="P3426" s="15">
        <v>4.6691457909985088</v>
      </c>
      <c r="Q3426" s="8"/>
      <c r="R3426" s="9" t="s">
        <v>3171</v>
      </c>
    </row>
    <row r="3427" spans="1:18" x14ac:dyDescent="0.25">
      <c r="A3427" s="6" t="str">
        <f>HYPERLINK("proteomic_fractions_linear_files/Yang_linear_img/21311873.jpg", "21311873")</f>
        <v>21311873</v>
      </c>
      <c r="B3427" s="7"/>
      <c r="C3427" s="6" t="str">
        <f>HYPERLINK("http://www.ncbi.nlm.nih.gov/protein/21311873","Hsbp1")</f>
        <v>Hsbp1</v>
      </c>
      <c r="D3427" s="8"/>
      <c r="E3427" s="8">
        <v>8480</v>
      </c>
      <c r="F3427" s="8"/>
      <c r="G3427" s="15" t="s">
        <v>10</v>
      </c>
      <c r="H3427" s="15" t="s">
        <v>10</v>
      </c>
      <c r="I3427" s="15">
        <v>1.5291076615414196</v>
      </c>
      <c r="J3427" s="15">
        <v>1.5291076615414196</v>
      </c>
      <c r="K3427" s="15">
        <v>1.5291076615414196</v>
      </c>
      <c r="L3427" s="15">
        <v>1.5291076615414196</v>
      </c>
      <c r="M3427" s="15">
        <v>1.5934024177422033</v>
      </c>
      <c r="N3427" s="15">
        <v>1.5934024177422033</v>
      </c>
      <c r="O3427" s="15" t="s">
        <v>10</v>
      </c>
      <c r="P3427" s="15" t="s">
        <v>10</v>
      </c>
      <c r="Q3427" s="8"/>
      <c r="R3427" s="9" t="s">
        <v>3172</v>
      </c>
    </row>
    <row r="3428" spans="1:18" x14ac:dyDescent="0.25">
      <c r="A3428" s="6" t="str">
        <f>HYPERLINK("proteomic_fractions_linear_files/Yang_linear_img/225703114.jpg", "225703114")</f>
        <v>225703114</v>
      </c>
      <c r="B3428" s="7"/>
      <c r="C3428" s="6" t="str">
        <f>HYPERLINK("http://www.ncbi.nlm.nih.gov/protein/225703114","Hscb")</f>
        <v>Hscb</v>
      </c>
      <c r="D3428" s="8"/>
      <c r="E3428" s="8">
        <v>23532</v>
      </c>
      <c r="F3428" s="8"/>
      <c r="G3428" s="15" t="s">
        <v>10</v>
      </c>
      <c r="H3428" s="15" t="s">
        <v>10</v>
      </c>
      <c r="I3428" s="15">
        <v>0.96289889061322687</v>
      </c>
      <c r="J3428" s="15">
        <v>0.96289889061322687</v>
      </c>
      <c r="K3428" s="15">
        <v>0.66364340763257401</v>
      </c>
      <c r="L3428" s="15">
        <v>0.66364340763257401</v>
      </c>
      <c r="M3428" s="15" t="s">
        <v>10</v>
      </c>
      <c r="N3428" s="15" t="s">
        <v>10</v>
      </c>
      <c r="O3428" s="15" t="s">
        <v>10</v>
      </c>
      <c r="P3428" s="15" t="s">
        <v>10</v>
      </c>
      <c r="Q3428" s="8"/>
      <c r="R3428" s="9" t="s">
        <v>3173</v>
      </c>
    </row>
    <row r="3429" spans="1:18" x14ac:dyDescent="0.25">
      <c r="A3429" s="6" t="str">
        <f>HYPERLINK("proteomic_fractions_linear_files/Yang_linear_img/133778913.jpg", "133778913")</f>
        <v>133778913</v>
      </c>
      <c r="B3429" s="7"/>
      <c r="C3429" s="6" t="str">
        <f>HYPERLINK("http://www.ncbi.nlm.nih.gov/protein/133778913","Hsd11b2")</f>
        <v>Hsd11b2</v>
      </c>
      <c r="D3429" s="8"/>
      <c r="E3429" s="8">
        <v>42056</v>
      </c>
      <c r="F3429" s="8"/>
      <c r="G3429" s="15">
        <v>0.96445995721958921</v>
      </c>
      <c r="H3429" s="15">
        <v>0.96445995721958921</v>
      </c>
      <c r="I3429" s="15">
        <v>0.76390649656508547</v>
      </c>
      <c r="J3429" s="15">
        <v>0.76390649656508547</v>
      </c>
      <c r="K3429" s="15">
        <v>0.82269944120179006</v>
      </c>
      <c r="L3429" s="15">
        <v>0.82269944120179006</v>
      </c>
      <c r="M3429" s="15">
        <v>0.76390649656508547</v>
      </c>
      <c r="N3429" s="15">
        <v>0.76390649656508547</v>
      </c>
      <c r="O3429" s="15" t="s">
        <v>10</v>
      </c>
      <c r="P3429" s="15" t="s">
        <v>10</v>
      </c>
      <c r="Q3429" s="8"/>
      <c r="R3429" s="9" t="s">
        <v>3174</v>
      </c>
    </row>
    <row r="3430" spans="1:18" x14ac:dyDescent="0.25">
      <c r="A3430" s="6" t="str">
        <f>HYPERLINK("proteomic_fractions_linear_files/Yang_linear_img/61888838.jpg", "61888838")</f>
        <v>61888838</v>
      </c>
      <c r="B3430" s="7"/>
      <c r="C3430" s="6" t="str">
        <f>HYPERLINK("http://www.ncbi.nlm.nih.gov/protein/61888838","Hsd17b10")</f>
        <v>Hsd17b10</v>
      </c>
      <c r="D3430" s="8"/>
      <c r="E3430" s="8">
        <v>27142</v>
      </c>
      <c r="F3430" s="8"/>
      <c r="G3430" s="15">
        <v>1.2797546863138958</v>
      </c>
      <c r="H3430" s="15">
        <v>1.2797546863138958</v>
      </c>
      <c r="I3430" s="15">
        <v>0.90943780049173761</v>
      </c>
      <c r="J3430" s="15">
        <v>0.90943780049173761</v>
      </c>
      <c r="K3430" s="15">
        <v>0.90943780049173761</v>
      </c>
      <c r="L3430" s="15">
        <v>0.90943780049173761</v>
      </c>
      <c r="M3430" s="15">
        <v>0.90943780049173761</v>
      </c>
      <c r="N3430" s="15">
        <v>0.90943780049173761</v>
      </c>
      <c r="O3430" s="15">
        <v>0.80724971372884269</v>
      </c>
      <c r="P3430" s="15">
        <v>0.80724971372884269</v>
      </c>
      <c r="Q3430" s="8"/>
      <c r="R3430" s="9" t="s">
        <v>3175</v>
      </c>
    </row>
    <row r="3431" spans="1:18" x14ac:dyDescent="0.25">
      <c r="A3431" s="6" t="str">
        <f>HYPERLINK("proteomic_fractions_linear_files/Yang_linear_img/16716597.jpg", "16716597")</f>
        <v>16716597</v>
      </c>
      <c r="B3431" s="7"/>
      <c r="C3431" s="6" t="str">
        <f>HYPERLINK("http://www.ncbi.nlm.nih.gov/protein/16716597","Hsd17b11")</f>
        <v>Hsd17b11</v>
      </c>
      <c r="D3431" s="8"/>
      <c r="E3431" s="8">
        <v>30452</v>
      </c>
      <c r="F3431" s="8"/>
      <c r="G3431" s="15">
        <v>1.3502439401074249</v>
      </c>
      <c r="H3431" s="15">
        <v>1.3502439401074249</v>
      </c>
      <c r="I3431" s="15">
        <v>0.93060704325606869</v>
      </c>
      <c r="J3431" s="15">
        <v>0.93060704325606869</v>
      </c>
      <c r="K3431" s="15">
        <v>0.99618022972377107</v>
      </c>
      <c r="L3431" s="15">
        <v>0.99618022972377107</v>
      </c>
      <c r="M3431" s="15">
        <v>0.93060704325606869</v>
      </c>
      <c r="N3431" s="15">
        <v>0.93060704325606869</v>
      </c>
      <c r="O3431" s="15" t="s">
        <v>10</v>
      </c>
      <c r="P3431" s="15" t="s">
        <v>10</v>
      </c>
      <c r="Q3431" s="8"/>
      <c r="R3431" s="9" t="s">
        <v>3176</v>
      </c>
    </row>
    <row r="3432" spans="1:18" x14ac:dyDescent="0.25">
      <c r="A3432" s="6" t="str">
        <f>HYPERLINK("proteomic_fractions_linear_files/Yang_linear_img/9789991.jpg", "9789991")</f>
        <v>9789991</v>
      </c>
      <c r="B3432" s="7"/>
      <c r="C3432" s="6" t="str">
        <f>HYPERLINK("http://www.ncbi.nlm.nih.gov/protein/9789991","Hsd17b12")</f>
        <v>Hsd17b12</v>
      </c>
      <c r="D3432" s="8"/>
      <c r="E3432" s="8">
        <v>34611</v>
      </c>
      <c r="F3432" s="8"/>
      <c r="G3432" s="15">
        <v>1.0668950406607027</v>
      </c>
      <c r="H3432" s="15">
        <v>1.0668950406607027</v>
      </c>
      <c r="I3432" s="15">
        <v>0.79766317993377311</v>
      </c>
      <c r="J3432" s="15">
        <v>0.79766317993377311</v>
      </c>
      <c r="K3432" s="15">
        <v>0.79766317993377311</v>
      </c>
      <c r="L3432" s="15">
        <v>0.79766317993377311</v>
      </c>
      <c r="M3432" s="15" t="s">
        <v>10</v>
      </c>
      <c r="N3432" s="15" t="s">
        <v>10</v>
      </c>
      <c r="O3432" s="15" t="s">
        <v>10</v>
      </c>
      <c r="P3432" s="15" t="s">
        <v>10</v>
      </c>
      <c r="Q3432" s="8"/>
      <c r="R3432" s="9" t="s">
        <v>3177</v>
      </c>
    </row>
    <row r="3433" spans="1:18" x14ac:dyDescent="0.25">
      <c r="A3433" s="6" t="str">
        <f>HYPERLINK("proteomic_fractions_linear_files/Yang_linear_img/254553340.jpg", "254553340")</f>
        <v>254553340</v>
      </c>
      <c r="B3433" s="7"/>
      <c r="C3433" s="6" t="str">
        <f>HYPERLINK("http://www.ncbi.nlm.nih.gov/protein/254553340","Hsd17b13")</f>
        <v>Hsd17b13</v>
      </c>
      <c r="D3433" s="8"/>
      <c r="E3433" s="8">
        <v>31249</v>
      </c>
      <c r="F3433" s="8"/>
      <c r="G3433" s="15">
        <v>1.3066876839749273</v>
      </c>
      <c r="H3433" s="15">
        <v>1.3066876839749273</v>
      </c>
      <c r="I3433" s="15">
        <v>0.90058746121555033</v>
      </c>
      <c r="J3433" s="15">
        <v>0.90058746121555033</v>
      </c>
      <c r="K3433" s="15">
        <v>0.96404538360364944</v>
      </c>
      <c r="L3433" s="15">
        <v>0.96404538360364944</v>
      </c>
      <c r="M3433" s="15">
        <v>0.90058746121555033</v>
      </c>
      <c r="N3433" s="15">
        <v>0.90058746121555033</v>
      </c>
      <c r="O3433" s="15" t="s">
        <v>10</v>
      </c>
      <c r="P3433" s="15" t="s">
        <v>10</v>
      </c>
      <c r="Q3433" s="8"/>
      <c r="R3433" s="9" t="s">
        <v>3178</v>
      </c>
    </row>
    <row r="3434" spans="1:18" x14ac:dyDescent="0.25">
      <c r="A3434" s="6" t="str">
        <f>HYPERLINK("proteomic_fractions_linear_files/Yang_linear_img/254553342.jpg", "254553342")</f>
        <v>254553342</v>
      </c>
      <c r="B3434" s="7"/>
      <c r="C3434" s="6" t="str">
        <f>HYPERLINK("http://www.ncbi.nlm.nih.gov/protein/254553342","Hsd17b13")</f>
        <v>Hsd17b13</v>
      </c>
      <c r="D3434" s="8"/>
      <c r="E3434" s="8">
        <v>31207</v>
      </c>
      <c r="F3434" s="8"/>
      <c r="G3434" s="15">
        <v>1.3066876839749273</v>
      </c>
      <c r="H3434" s="15">
        <v>1.3066876839749273</v>
      </c>
      <c r="I3434" s="15">
        <v>0.90058746121555033</v>
      </c>
      <c r="J3434" s="15">
        <v>0.90058746121555033</v>
      </c>
      <c r="K3434" s="15">
        <v>0.96404538360364944</v>
      </c>
      <c r="L3434" s="15">
        <v>0.96404538360364944</v>
      </c>
      <c r="M3434" s="15">
        <v>0.90058746121555033</v>
      </c>
      <c r="N3434" s="15">
        <v>0.90058746121555033</v>
      </c>
      <c r="O3434" s="15" t="s">
        <v>10</v>
      </c>
      <c r="P3434" s="15" t="s">
        <v>10</v>
      </c>
      <c r="Q3434" s="8"/>
      <c r="R3434" s="9" t="s">
        <v>3179</v>
      </c>
    </row>
    <row r="3435" spans="1:18" x14ac:dyDescent="0.25">
      <c r="A3435" s="6" t="str">
        <f>HYPERLINK("proteomic_fractions_linear_files/Yang_linear_img/295054257.jpg", "295054257")</f>
        <v>295054257</v>
      </c>
      <c r="B3435" s="7"/>
      <c r="C3435" s="6" t="str">
        <f>HYPERLINK("http://www.ncbi.nlm.nih.gov/protein/295054257","Hsd17b14")</f>
        <v>Hsd17b14</v>
      </c>
      <c r="D3435" s="8"/>
      <c r="E3435" s="8">
        <v>28448</v>
      </c>
      <c r="F3435" s="8"/>
      <c r="G3435" s="15" t="s">
        <v>10</v>
      </c>
      <c r="H3435" s="15" t="s">
        <v>10</v>
      </c>
      <c r="I3435" s="15" t="s">
        <v>10</v>
      </c>
      <c r="J3435" s="15" t="s">
        <v>10</v>
      </c>
      <c r="K3435" s="15" t="s">
        <v>10</v>
      </c>
      <c r="L3435" s="15" t="s">
        <v>10</v>
      </c>
      <c r="M3435" s="15">
        <v>0.73562289952343829</v>
      </c>
      <c r="N3435" s="15">
        <v>0.73562289952343829</v>
      </c>
      <c r="O3435" s="15" t="s">
        <v>10</v>
      </c>
      <c r="P3435" s="15" t="s">
        <v>10</v>
      </c>
      <c r="Q3435" s="8"/>
      <c r="R3435" s="9" t="s">
        <v>3180</v>
      </c>
    </row>
    <row r="3436" spans="1:18" x14ac:dyDescent="0.25">
      <c r="A3436" s="6" t="str">
        <f>HYPERLINK("proteomic_fractions_linear_files/Yang_linear_img/31982273.jpg", "31982273")</f>
        <v>31982273</v>
      </c>
      <c r="B3436" s="7"/>
      <c r="C3436" s="6" t="str">
        <f>HYPERLINK("http://www.ncbi.nlm.nih.gov/protein/31982273","Hsd17b4")</f>
        <v>Hsd17b4</v>
      </c>
      <c r="D3436" s="8"/>
      <c r="E3436" s="8">
        <v>79351</v>
      </c>
      <c r="F3436" s="8"/>
      <c r="G3436" s="15">
        <v>0.51275086333193343</v>
      </c>
      <c r="H3436" s="15">
        <v>0.51275086333193343</v>
      </c>
      <c r="I3436" s="15">
        <v>0.40612750450295682</v>
      </c>
      <c r="J3436" s="15">
        <v>0.40612750450295682</v>
      </c>
      <c r="K3436" s="15">
        <v>1.0518817528246058</v>
      </c>
      <c r="L3436" s="15">
        <v>1.0518817528246058</v>
      </c>
      <c r="M3436" s="15">
        <v>0.40612750450295682</v>
      </c>
      <c r="N3436" s="15">
        <v>0.40612750450295682</v>
      </c>
      <c r="O3436" s="15">
        <v>0.35339507971749445</v>
      </c>
      <c r="P3436" s="15">
        <v>0.35339507971749445</v>
      </c>
      <c r="Q3436" s="8"/>
      <c r="R3436" s="9" t="s">
        <v>3181</v>
      </c>
    </row>
    <row r="3437" spans="1:18" x14ac:dyDescent="0.25">
      <c r="A3437" s="6" t="str">
        <f>HYPERLINK("proteomic_fractions_linear_files/Yang_linear_img/87162470.jpg", "87162470")</f>
        <v>87162470</v>
      </c>
      <c r="B3437" s="7"/>
      <c r="C3437" s="6" t="str">
        <f>HYPERLINK("http://www.ncbi.nlm.nih.gov/protein/87162470","Hsd17b7")</f>
        <v>Hsd17b7</v>
      </c>
      <c r="D3437" s="8"/>
      <c r="E3437" s="8">
        <v>37186</v>
      </c>
      <c r="F3437" s="8"/>
      <c r="G3437" s="15" t="s">
        <v>10</v>
      </c>
      <c r="H3437" s="15" t="s">
        <v>10</v>
      </c>
      <c r="I3437" s="15">
        <v>0.80771369977603058</v>
      </c>
      <c r="J3437" s="15">
        <v>0.80771369977603058</v>
      </c>
      <c r="K3437" s="15">
        <v>0.80771369977603058</v>
      </c>
      <c r="L3437" s="15">
        <v>0.80771369977603058</v>
      </c>
      <c r="M3437" s="15" t="s">
        <v>10</v>
      </c>
      <c r="N3437" s="15" t="s">
        <v>10</v>
      </c>
      <c r="O3437" s="15" t="s">
        <v>10</v>
      </c>
      <c r="P3437" s="15" t="s">
        <v>10</v>
      </c>
      <c r="Q3437" s="8"/>
      <c r="R3437" s="9" t="s">
        <v>3182</v>
      </c>
    </row>
    <row r="3438" spans="1:18" x14ac:dyDescent="0.25">
      <c r="A3438" s="6" t="str">
        <f>HYPERLINK("proteomic_fractions_linear_files/Yang_linear_img/30424792.jpg", "30424792")</f>
        <v>30424792</v>
      </c>
      <c r="B3438" s="7"/>
      <c r="C3438" s="6" t="str">
        <f>HYPERLINK("http://www.ncbi.nlm.nih.gov/protein/30424792","Hsdl1")</f>
        <v>Hsdl1</v>
      </c>
      <c r="D3438" s="8"/>
      <c r="E3438" s="8">
        <v>36737</v>
      </c>
      <c r="F3438" s="8"/>
      <c r="G3438" s="15" t="s">
        <v>10</v>
      </c>
      <c r="H3438" s="15" t="s">
        <v>10</v>
      </c>
      <c r="I3438" s="15">
        <v>0.93387504136419419</v>
      </c>
      <c r="J3438" s="15">
        <v>0.93387504136419419</v>
      </c>
      <c r="K3438" s="15" t="s">
        <v>10</v>
      </c>
      <c r="L3438" s="15" t="s">
        <v>10</v>
      </c>
      <c r="M3438" s="15" t="s">
        <v>10</v>
      </c>
      <c r="N3438" s="15" t="s">
        <v>10</v>
      </c>
      <c r="O3438" s="15" t="s">
        <v>10</v>
      </c>
      <c r="P3438" s="15" t="s">
        <v>10</v>
      </c>
      <c r="Q3438" s="8"/>
      <c r="R3438" s="9" t="s">
        <v>3183</v>
      </c>
    </row>
    <row r="3439" spans="1:18" x14ac:dyDescent="0.25">
      <c r="A3439" s="6" t="str">
        <f>HYPERLINK("proteomic_fractions_linear_files/Yang_linear_img/125656150.jpg", "125656150")</f>
        <v>125656150</v>
      </c>
      <c r="B3439" s="7"/>
      <c r="C3439" s="6" t="str">
        <f>HYPERLINK("http://www.ncbi.nlm.nih.gov/protein/125656150","Hsdl2")</f>
        <v>Hsdl2</v>
      </c>
      <c r="D3439" s="8"/>
      <c r="E3439" s="8">
        <v>54077</v>
      </c>
      <c r="F3439" s="8"/>
      <c r="G3439" s="15" t="s">
        <v>10</v>
      </c>
      <c r="H3439" s="15" t="s">
        <v>10</v>
      </c>
      <c r="I3439" s="15">
        <v>1.0883927330665528</v>
      </c>
      <c r="J3439" s="15">
        <v>1.0883927330665528</v>
      </c>
      <c r="K3439" s="15">
        <v>1.2120974690841544</v>
      </c>
      <c r="L3439" s="15">
        <v>1.2120974690841544</v>
      </c>
      <c r="M3439" s="15" t="s">
        <v>10</v>
      </c>
      <c r="N3439" s="15" t="s">
        <v>10</v>
      </c>
      <c r="O3439" s="15" t="s">
        <v>10</v>
      </c>
      <c r="P3439" s="15" t="s">
        <v>10</v>
      </c>
      <c r="Q3439" s="8"/>
      <c r="R3439" s="9" t="s">
        <v>3184</v>
      </c>
    </row>
    <row r="3440" spans="1:18" x14ac:dyDescent="0.25">
      <c r="A3440" s="6" t="str">
        <f>HYPERLINK("proteomic_fractions_linear_files/Yang_linear_img/6754254.jpg", "6754254")</f>
        <v>6754254</v>
      </c>
      <c r="B3440" s="7"/>
      <c r="C3440" s="6" t="str">
        <f>HYPERLINK("http://www.ncbi.nlm.nih.gov/protein/6754254","Hsp90aa1")</f>
        <v>Hsp90aa1</v>
      </c>
      <c r="D3440" s="8"/>
      <c r="E3440" s="8">
        <v>84657</v>
      </c>
      <c r="F3440" s="8"/>
      <c r="G3440" s="15">
        <v>1.2917831037780172</v>
      </c>
      <c r="H3440" s="15">
        <v>1.2917831037780172</v>
      </c>
      <c r="I3440" s="15">
        <v>1.1172703668539354</v>
      </c>
      <c r="J3440" s="15">
        <v>1.1172703668539354</v>
      </c>
      <c r="K3440" s="15">
        <v>1.1172703668539354</v>
      </c>
      <c r="L3440" s="15">
        <v>1.1172703668539354</v>
      </c>
      <c r="M3440" s="15">
        <v>1.1172703668539354</v>
      </c>
      <c r="N3440" s="15">
        <v>1.1172703668539354</v>
      </c>
      <c r="O3440" s="15">
        <v>1.1172703668539354</v>
      </c>
      <c r="P3440" s="15">
        <v>1.1172703668539354</v>
      </c>
      <c r="Q3440" s="8"/>
      <c r="R3440" s="9" t="s">
        <v>3185</v>
      </c>
    </row>
    <row r="3441" spans="1:18" x14ac:dyDescent="0.25">
      <c r="A3441" s="6" t="str">
        <f>HYPERLINK("proteomic_fractions_linear_files/Yang_linear_img/40556608.jpg", "40556608")</f>
        <v>40556608</v>
      </c>
      <c r="B3441" s="7"/>
      <c r="C3441" s="6" t="str">
        <f>HYPERLINK("http://www.ncbi.nlm.nih.gov/protein/40556608","Hsp90ab1")</f>
        <v>Hsp90ab1</v>
      </c>
      <c r="D3441" s="8"/>
      <c r="E3441" s="8">
        <v>83150</v>
      </c>
      <c r="F3441" s="8"/>
      <c r="G3441" s="15">
        <v>1.3229104074835116</v>
      </c>
      <c r="H3441" s="15">
        <v>1.3229104074835116</v>
      </c>
      <c r="I3441" s="15">
        <v>1.1441925443684882</v>
      </c>
      <c r="J3441" s="15">
        <v>1.1441925443684882</v>
      </c>
      <c r="K3441" s="15">
        <v>1.1441925443684882</v>
      </c>
      <c r="L3441" s="15">
        <v>1.1441925443684882</v>
      </c>
      <c r="M3441" s="15">
        <v>1.1441925443684882</v>
      </c>
      <c r="N3441" s="15">
        <v>1.1441925443684882</v>
      </c>
      <c r="O3441" s="15">
        <v>1.1441925443684882</v>
      </c>
      <c r="P3441" s="15">
        <v>1.1441925443684882</v>
      </c>
      <c r="Q3441" s="8"/>
      <c r="R3441" s="9" t="s">
        <v>3186</v>
      </c>
    </row>
    <row r="3442" spans="1:18" x14ac:dyDescent="0.25">
      <c r="A3442" s="6" t="str">
        <f>HYPERLINK("proteomic_fractions_linear_files/Yang_linear_img/6755863.jpg", "6755863")</f>
        <v>6755863</v>
      </c>
      <c r="B3442" s="7"/>
      <c r="C3442" s="6" t="str">
        <f>HYPERLINK("http://www.ncbi.nlm.nih.gov/protein/6755863","Hsp90b1")</f>
        <v>Hsp90b1</v>
      </c>
      <c r="D3442" s="8"/>
      <c r="E3442" s="8">
        <v>90097</v>
      </c>
      <c r="F3442" s="8"/>
      <c r="G3442" s="15">
        <v>1.2200173757903496</v>
      </c>
      <c r="H3442" s="15">
        <v>1.2200173757903496</v>
      </c>
      <c r="I3442" s="15">
        <v>1.2200173757903496</v>
      </c>
      <c r="J3442" s="15">
        <v>1.2200173757903496</v>
      </c>
      <c r="K3442" s="15">
        <v>1.2200173757903496</v>
      </c>
      <c r="L3442" s="15">
        <v>1.2200173757903496</v>
      </c>
      <c r="M3442" s="15">
        <v>1.2200173757903496</v>
      </c>
      <c r="N3442" s="15">
        <v>1.2200173757903496</v>
      </c>
      <c r="O3442" s="15">
        <v>1.2200173757903496</v>
      </c>
      <c r="P3442" s="15">
        <v>1.2200173757903496</v>
      </c>
      <c r="Q3442" s="8"/>
      <c r="R3442" s="9" t="s">
        <v>3187</v>
      </c>
    </row>
    <row r="3443" spans="1:18" x14ac:dyDescent="0.25">
      <c r="A3443" s="6" t="str">
        <f>HYPERLINK("proteomic_fractions_linear_files/Yang_linear_img/30089677.jpg", "30089677")</f>
        <v>30089677</v>
      </c>
      <c r="B3443" s="7"/>
      <c r="C3443" s="6" t="str">
        <f>HYPERLINK("http://www.ncbi.nlm.nih.gov/protein/30089677","Hspa13")</f>
        <v>Hspa13</v>
      </c>
      <c r="D3443" s="8"/>
      <c r="E3443" s="8">
        <v>49519</v>
      </c>
      <c r="F3443" s="8"/>
      <c r="G3443" s="15" t="s">
        <v>10</v>
      </c>
      <c r="H3443" s="15" t="s">
        <v>10</v>
      </c>
      <c r="I3443" s="15">
        <v>1.0624113926000216</v>
      </c>
      <c r="J3443" s="15">
        <v>1.0624113926000216</v>
      </c>
      <c r="K3443" s="15" t="s">
        <v>10</v>
      </c>
      <c r="L3443" s="15" t="s">
        <v>10</v>
      </c>
      <c r="M3443" s="15" t="s">
        <v>10</v>
      </c>
      <c r="N3443" s="15" t="s">
        <v>10</v>
      </c>
      <c r="O3443" s="15" t="s">
        <v>10</v>
      </c>
      <c r="P3443" s="15" t="s">
        <v>10</v>
      </c>
      <c r="Q3443" s="8"/>
      <c r="R3443" s="9" t="s">
        <v>3188</v>
      </c>
    </row>
    <row r="3444" spans="1:18" x14ac:dyDescent="0.25">
      <c r="A3444" s="6" t="str">
        <f>HYPERLINK("proteomic_fractions_linear_files/Yang_linear_img/82880662.jpg", "82880662")</f>
        <v>82880662</v>
      </c>
      <c r="B3444" s="7"/>
      <c r="C3444" s="6" t="str">
        <f>HYPERLINK("http://www.ncbi.nlm.nih.gov/protein/82880662","Hspa14")</f>
        <v>Hspa14</v>
      </c>
      <c r="D3444" s="8"/>
      <c r="E3444" s="8">
        <v>54519</v>
      </c>
      <c r="F3444" s="8"/>
      <c r="G3444" s="15" t="s">
        <v>10</v>
      </c>
      <c r="H3444" s="15" t="s">
        <v>10</v>
      </c>
      <c r="I3444" s="15">
        <v>1.0686037742835246</v>
      </c>
      <c r="J3444" s="15">
        <v>1.0686037742835246</v>
      </c>
      <c r="K3444" s="15">
        <v>1.0686037742835246</v>
      </c>
      <c r="L3444" s="15">
        <v>1.0686037742835246</v>
      </c>
      <c r="M3444" s="15">
        <v>1.0686037742835246</v>
      </c>
      <c r="N3444" s="15">
        <v>1.0686037742835246</v>
      </c>
      <c r="O3444" s="15">
        <v>0.96582853872729235</v>
      </c>
      <c r="P3444" s="15">
        <v>0.96582853872729235</v>
      </c>
      <c r="Q3444" s="8"/>
      <c r="R3444" s="9" t="s">
        <v>3189</v>
      </c>
    </row>
    <row r="3445" spans="1:18" x14ac:dyDescent="0.25">
      <c r="A3445" s="6" t="str">
        <f>HYPERLINK("proteomic_fractions_linear_files/Yang_linear_img/124339829.jpg", "124339829")</f>
        <v>124339829</v>
      </c>
      <c r="B3445" s="7"/>
      <c r="C3445" s="6" t="str">
        <f>HYPERLINK("http://www.ncbi.nlm.nih.gov/protein/124339829","Hspa1a")</f>
        <v>Hspa1a</v>
      </c>
      <c r="D3445" s="8"/>
      <c r="E3445" s="8">
        <v>69948</v>
      </c>
      <c r="F3445" s="8"/>
      <c r="G3445" s="15">
        <v>1.1871236924734836</v>
      </c>
      <c r="H3445" s="15">
        <v>1.1871236924734836</v>
      </c>
      <c r="I3445" s="15">
        <v>1.0490880034526036</v>
      </c>
      <c r="J3445" s="15">
        <v>1.0490880034526036</v>
      </c>
      <c r="K3445" s="15">
        <v>1.0490880034526036</v>
      </c>
      <c r="L3445" s="15">
        <v>1.0490880034526036</v>
      </c>
      <c r="M3445" s="15">
        <v>1.0490880034526036</v>
      </c>
      <c r="N3445" s="15">
        <v>1.0490880034526036</v>
      </c>
      <c r="O3445" s="15">
        <v>1.0490880034526036</v>
      </c>
      <c r="P3445" s="15">
        <v>1.0490880034526036</v>
      </c>
      <c r="Q3445" s="8"/>
      <c r="R3445" s="9" t="s">
        <v>3190</v>
      </c>
    </row>
    <row r="3446" spans="1:18" x14ac:dyDescent="0.25">
      <c r="A3446" s="6" t="str">
        <f>HYPERLINK("proteomic_fractions_linear_files/Yang_linear_img/124339826.jpg", "124339826")</f>
        <v>124339826</v>
      </c>
      <c r="B3446" s="7"/>
      <c r="C3446" s="6" t="str">
        <f>HYPERLINK("http://www.ncbi.nlm.nih.gov/protein/124339826","Hspa1b")</f>
        <v>Hspa1b</v>
      </c>
      <c r="D3446" s="8"/>
      <c r="E3446" s="8">
        <v>70045</v>
      </c>
      <c r="F3446" s="8"/>
      <c r="G3446" s="15">
        <v>1.1871236924734836</v>
      </c>
      <c r="H3446" s="15">
        <v>1.1871236924734836</v>
      </c>
      <c r="I3446" s="15">
        <v>1.0490880034526036</v>
      </c>
      <c r="J3446" s="15">
        <v>1.0490880034526036</v>
      </c>
      <c r="K3446" s="15">
        <v>1.0490880034526036</v>
      </c>
      <c r="L3446" s="15">
        <v>1.0490880034526036</v>
      </c>
      <c r="M3446" s="15">
        <v>1.0490880034526036</v>
      </c>
      <c r="N3446" s="15">
        <v>1.0490880034526036</v>
      </c>
      <c r="O3446" s="15">
        <v>1.0490880034526036</v>
      </c>
      <c r="P3446" s="15">
        <v>1.0490880034526036</v>
      </c>
      <c r="Q3446" s="8"/>
      <c r="R3446" s="9" t="s">
        <v>3191</v>
      </c>
    </row>
    <row r="3447" spans="1:18" x14ac:dyDescent="0.25">
      <c r="A3447" s="6" t="str">
        <f>HYPERLINK("proteomic_fractions_linear_files/Yang_linear_img/124339838.jpg", "124339838")</f>
        <v>124339838</v>
      </c>
      <c r="B3447" s="7"/>
      <c r="C3447" s="6" t="str">
        <f>HYPERLINK("http://www.ncbi.nlm.nih.gov/protein/124339838","Hspa1l")</f>
        <v>Hspa1l</v>
      </c>
      <c r="D3447" s="8"/>
      <c r="E3447" s="8">
        <v>70506</v>
      </c>
      <c r="F3447" s="8"/>
      <c r="G3447" s="15">
        <v>1.1704036404668148</v>
      </c>
      <c r="H3447" s="15">
        <v>1.1704036404668148</v>
      </c>
      <c r="I3447" s="15">
        <v>1.0343121160800317</v>
      </c>
      <c r="J3447" s="15">
        <v>1.0343121160800317</v>
      </c>
      <c r="K3447" s="15">
        <v>1.0343121160800317</v>
      </c>
      <c r="L3447" s="15">
        <v>1.0343121160800317</v>
      </c>
      <c r="M3447" s="15">
        <v>1.0343121160800317</v>
      </c>
      <c r="N3447" s="15">
        <v>1.0343121160800317</v>
      </c>
      <c r="O3447" s="15">
        <v>1.0343121160800317</v>
      </c>
      <c r="P3447" s="15">
        <v>1.0343121160800317</v>
      </c>
      <c r="Q3447" s="8"/>
      <c r="R3447" s="9" t="s">
        <v>3192</v>
      </c>
    </row>
    <row r="3448" spans="1:18" x14ac:dyDescent="0.25">
      <c r="A3448" s="6" t="str">
        <f>HYPERLINK("proteomic_fractions_linear_files/Yang_linear_img/31560686.jpg", "31560686")</f>
        <v>31560686</v>
      </c>
      <c r="B3448" s="7"/>
      <c r="C3448" s="6" t="str">
        <f>HYPERLINK("http://www.ncbi.nlm.nih.gov/protein/31560686","Hspa2")</f>
        <v>Hspa2</v>
      </c>
      <c r="D3448" s="8"/>
      <c r="E3448" s="8">
        <v>69511</v>
      </c>
      <c r="F3448" s="8"/>
      <c r="G3448" s="15">
        <v>1.1871236924734836</v>
      </c>
      <c r="H3448" s="15">
        <v>1.1871236924734836</v>
      </c>
      <c r="I3448" s="15">
        <v>1.0490880034526036</v>
      </c>
      <c r="J3448" s="15">
        <v>1.0490880034526036</v>
      </c>
      <c r="K3448" s="15">
        <v>1.1871236924734836</v>
      </c>
      <c r="L3448" s="15">
        <v>1.1871236924734836</v>
      </c>
      <c r="M3448" s="15">
        <v>1.0490880034526036</v>
      </c>
      <c r="N3448" s="15">
        <v>1.0490880034526036</v>
      </c>
      <c r="O3448" s="15">
        <v>1.1871236924734836</v>
      </c>
      <c r="P3448" s="15">
        <v>1.1871236924734836</v>
      </c>
      <c r="Q3448" s="8"/>
      <c r="R3448" s="9" t="s">
        <v>3193</v>
      </c>
    </row>
    <row r="3449" spans="1:18" x14ac:dyDescent="0.25">
      <c r="A3449" s="6" t="str">
        <f>HYPERLINK("proteomic_fractions_linear_files/Yang_linear_img/112293266.jpg", "112293266")</f>
        <v>112293266</v>
      </c>
      <c r="B3449" s="7"/>
      <c r="C3449" s="6" t="str">
        <f>HYPERLINK("http://www.ncbi.nlm.nih.gov/protein/112293266","Hspa4")</f>
        <v>Hspa4</v>
      </c>
      <c r="D3449" s="8"/>
      <c r="E3449" s="8">
        <v>94078</v>
      </c>
      <c r="F3449" s="8"/>
      <c r="G3449" s="15">
        <v>1.1681017427779943</v>
      </c>
      <c r="H3449" s="15">
        <v>1.1681017427779943</v>
      </c>
      <c r="I3449" s="15">
        <v>1.1681017427779943</v>
      </c>
      <c r="J3449" s="15">
        <v>1.1681017427779943</v>
      </c>
      <c r="K3449" s="15">
        <v>1.3693790228203933</v>
      </c>
      <c r="L3449" s="15">
        <v>1.3693790228203933</v>
      </c>
      <c r="M3449" s="15">
        <v>1.3693790228203933</v>
      </c>
      <c r="N3449" s="15">
        <v>1.3693790228203933</v>
      </c>
      <c r="O3449" s="15">
        <v>1.3693790228203933</v>
      </c>
      <c r="P3449" s="15">
        <v>1.3693790228203933</v>
      </c>
      <c r="Q3449" s="8"/>
      <c r="R3449" s="9" t="s">
        <v>3194</v>
      </c>
    </row>
    <row r="3450" spans="1:18" x14ac:dyDescent="0.25">
      <c r="A3450" s="6" t="str">
        <f>HYPERLINK("proteomic_fractions_linear_files/Yang_linear_img/40254361.jpg", "40254361")</f>
        <v>40254361</v>
      </c>
      <c r="B3450" s="7"/>
      <c r="C3450" s="6" t="str">
        <f>HYPERLINK("http://www.ncbi.nlm.nih.gov/protein/40254361","Hspa4l")</f>
        <v>Hspa4l</v>
      </c>
      <c r="D3450" s="8"/>
      <c r="E3450" s="8">
        <v>94251</v>
      </c>
      <c r="F3450" s="8"/>
      <c r="G3450" s="15">
        <v>1.1681017427779943</v>
      </c>
      <c r="H3450" s="15">
        <v>1.1681017427779943</v>
      </c>
      <c r="I3450" s="15">
        <v>1.1681017427779943</v>
      </c>
      <c r="J3450" s="15">
        <v>1.1681017427779943</v>
      </c>
      <c r="K3450" s="15">
        <v>1.3693790228203933</v>
      </c>
      <c r="L3450" s="15">
        <v>1.3693790228203933</v>
      </c>
      <c r="M3450" s="15">
        <v>1.3693790228203933</v>
      </c>
      <c r="N3450" s="15">
        <v>1.3693790228203933</v>
      </c>
      <c r="O3450" s="15">
        <v>1.1681017427779943</v>
      </c>
      <c r="P3450" s="15">
        <v>1.1681017427779943</v>
      </c>
      <c r="Q3450" s="8"/>
      <c r="R3450" s="9" t="s">
        <v>3195</v>
      </c>
    </row>
    <row r="3451" spans="1:18" x14ac:dyDescent="0.25">
      <c r="A3451" s="6" t="str">
        <f>HYPERLINK("proteomic_fractions_linear_files/Yang_linear_img/254540166.jpg", "254540166")</f>
        <v>254540166</v>
      </c>
      <c r="B3451" s="7"/>
      <c r="C3451" s="6" t="str">
        <f>HYPERLINK("http://www.ncbi.nlm.nih.gov/protein/254540166","Hspa5")</f>
        <v>Hspa5</v>
      </c>
      <c r="D3451" s="8"/>
      <c r="E3451" s="8">
        <v>70465</v>
      </c>
      <c r="F3451" s="8"/>
      <c r="G3451" s="15">
        <v>1.3566854454654931</v>
      </c>
      <c r="H3451" s="15">
        <v>1.3566854454654931</v>
      </c>
      <c r="I3451" s="15">
        <v>1.1871236924734836</v>
      </c>
      <c r="J3451" s="15">
        <v>1.1871236924734836</v>
      </c>
      <c r="K3451" s="15">
        <v>1.1871236924734836</v>
      </c>
      <c r="L3451" s="15">
        <v>1.1871236924734836</v>
      </c>
      <c r="M3451" s="15">
        <v>1.1871236924734836</v>
      </c>
      <c r="N3451" s="15">
        <v>1.1871236924734836</v>
      </c>
      <c r="O3451" s="15">
        <v>1.0490880034526036</v>
      </c>
      <c r="P3451" s="15">
        <v>1.0490880034526036</v>
      </c>
      <c r="Q3451" s="8"/>
      <c r="R3451" s="9" t="s">
        <v>3196</v>
      </c>
    </row>
    <row r="3452" spans="1:18" x14ac:dyDescent="0.25">
      <c r="A3452" s="6" t="str">
        <f>HYPERLINK("proteomic_fractions_linear_files/Yang_linear_img/31981690.jpg", "31981690")</f>
        <v>31981690</v>
      </c>
      <c r="B3452" s="7"/>
      <c r="C3452" s="6" t="str">
        <f>HYPERLINK("http://www.ncbi.nlm.nih.gov/protein/31981690","Hspa8")</f>
        <v>Hspa8</v>
      </c>
      <c r="D3452" s="8"/>
      <c r="E3452" s="8">
        <v>70740</v>
      </c>
      <c r="F3452" s="8"/>
      <c r="G3452" s="15">
        <v>1.1704036404668148</v>
      </c>
      <c r="H3452" s="15">
        <v>1.1704036404668148</v>
      </c>
      <c r="I3452" s="15">
        <v>1.0343121160800317</v>
      </c>
      <c r="J3452" s="15">
        <v>1.0343121160800317</v>
      </c>
      <c r="K3452" s="15">
        <v>1.1704036404668148</v>
      </c>
      <c r="L3452" s="15">
        <v>1.1704036404668148</v>
      </c>
      <c r="M3452" s="15">
        <v>1.0343121160800317</v>
      </c>
      <c r="N3452" s="15">
        <v>1.0343121160800317</v>
      </c>
      <c r="O3452" s="15">
        <v>1.0343121160800317</v>
      </c>
      <c r="P3452" s="15">
        <v>1.0343121160800317</v>
      </c>
      <c r="Q3452" s="8"/>
      <c r="R3452" s="9" t="s">
        <v>3197</v>
      </c>
    </row>
    <row r="3453" spans="1:18" x14ac:dyDescent="0.25">
      <c r="A3453" s="6" t="str">
        <f>HYPERLINK("proteomic_fractions_linear_files/Yang_linear_img/162461907.jpg", "162461907")</f>
        <v>162461907</v>
      </c>
      <c r="B3453" s="7"/>
      <c r="C3453" s="6" t="str">
        <f>HYPERLINK("http://www.ncbi.nlm.nih.gov/protein/162461907","Hspa9")</f>
        <v>Hspa9</v>
      </c>
      <c r="D3453" s="8"/>
      <c r="E3453" s="8">
        <v>68546</v>
      </c>
      <c r="F3453" s="8"/>
      <c r="G3453" s="15">
        <v>1.3763475533707901</v>
      </c>
      <c r="H3453" s="15">
        <v>1.3763475533707901</v>
      </c>
      <c r="I3453" s="15">
        <v>1.0642921774156846</v>
      </c>
      <c r="J3453" s="15">
        <v>1.0642921774156846</v>
      </c>
      <c r="K3453" s="15">
        <v>1.2043283836687515</v>
      </c>
      <c r="L3453" s="15">
        <v>1.2043283836687515</v>
      </c>
      <c r="M3453" s="15">
        <v>1.2043283836687515</v>
      </c>
      <c r="N3453" s="15">
        <v>1.2043283836687515</v>
      </c>
      <c r="O3453" s="15">
        <v>1.0642921774156846</v>
      </c>
      <c r="P3453" s="15">
        <v>1.0642921774156846</v>
      </c>
      <c r="Q3453" s="8"/>
      <c r="R3453" s="9" t="s">
        <v>3198</v>
      </c>
    </row>
    <row r="3454" spans="1:18" x14ac:dyDescent="0.25">
      <c r="A3454" s="6" t="str">
        <f>HYPERLINK("proteomic_fractions_linear_files/Yang_linear_img/158937312.jpg", "158937312")</f>
        <v>158937312</v>
      </c>
      <c r="B3454" s="7"/>
      <c r="C3454" s="6" t="str">
        <f>HYPERLINK("http://www.ncbi.nlm.nih.gov/protein/158937312","Hspb1")</f>
        <v>Hspb1</v>
      </c>
      <c r="D3454" s="8"/>
      <c r="E3454" s="8">
        <v>22883</v>
      </c>
      <c r="F3454" s="8"/>
      <c r="G3454" s="15" t="s">
        <v>10</v>
      </c>
      <c r="H3454" s="15" t="s">
        <v>10</v>
      </c>
      <c r="I3454" s="15" t="s">
        <v>10</v>
      </c>
      <c r="J3454" s="15" t="s">
        <v>10</v>
      </c>
      <c r="K3454" s="15" t="s">
        <v>10</v>
      </c>
      <c r="L3454" s="15" t="s">
        <v>10</v>
      </c>
      <c r="M3454" s="15" t="s">
        <v>10</v>
      </c>
      <c r="N3454" s="15" t="s">
        <v>10</v>
      </c>
      <c r="O3454" s="15">
        <v>0.94764096829038047</v>
      </c>
      <c r="P3454" s="15">
        <v>0.94764096829038047</v>
      </c>
      <c r="Q3454" s="8"/>
      <c r="R3454" s="9" t="s">
        <v>3199</v>
      </c>
    </row>
    <row r="3455" spans="1:18" x14ac:dyDescent="0.25">
      <c r="A3455" s="6" t="str">
        <f>HYPERLINK("proteomic_fractions_linear_files/Yang_linear_img/110625938.jpg", "110625938")</f>
        <v>110625938</v>
      </c>
      <c r="B3455" s="7"/>
      <c r="C3455" s="6" t="str">
        <f>HYPERLINK("http://www.ncbi.nlm.nih.gov/protein/110625938","Hspb11")</f>
        <v>Hspb11</v>
      </c>
      <c r="D3455" s="8"/>
      <c r="E3455" s="8">
        <v>16149</v>
      </c>
      <c r="F3455" s="8"/>
      <c r="G3455" s="15" t="s">
        <v>10</v>
      </c>
      <c r="H3455" s="15" t="s">
        <v>10</v>
      </c>
      <c r="I3455" s="15">
        <v>1.0447796575379389</v>
      </c>
      <c r="J3455" s="15">
        <v>1.0447796575379389</v>
      </c>
      <c r="K3455" s="15">
        <v>1.0447796575379389</v>
      </c>
      <c r="L3455" s="15">
        <v>1.0447796575379389</v>
      </c>
      <c r="M3455" s="15">
        <v>1.0447796575379389</v>
      </c>
      <c r="N3455" s="15">
        <v>1.0447796575379389</v>
      </c>
      <c r="O3455" s="15">
        <v>0.99546511144886096</v>
      </c>
      <c r="P3455" s="15">
        <v>0.99546511144886096</v>
      </c>
      <c r="Q3455" s="8"/>
      <c r="R3455" s="9" t="s">
        <v>3200</v>
      </c>
    </row>
    <row r="3456" spans="1:18" x14ac:dyDescent="0.25">
      <c r="A3456" s="6" t="str">
        <f>HYPERLINK("proteomic_fractions_linear_files/Yang_linear_img/120587017.jpg", "120587017")</f>
        <v>120587017</v>
      </c>
      <c r="B3456" s="7"/>
      <c r="C3456" s="6" t="str">
        <f>HYPERLINK("http://www.ncbi.nlm.nih.gov/protein/120587017","Hspbap1")</f>
        <v>Hspbap1</v>
      </c>
      <c r="D3456" s="8"/>
      <c r="E3456" s="8">
        <v>54264</v>
      </c>
      <c r="F3456" s="8"/>
      <c r="G3456" s="15" t="s">
        <v>10</v>
      </c>
      <c r="H3456" s="15" t="s">
        <v>10</v>
      </c>
      <c r="I3456" s="15" t="s">
        <v>10</v>
      </c>
      <c r="J3456" s="15" t="s">
        <v>10</v>
      </c>
      <c r="K3456" s="15" t="s">
        <v>10</v>
      </c>
      <c r="L3456" s="15" t="s">
        <v>10</v>
      </c>
      <c r="M3456" s="15" t="s">
        <v>10</v>
      </c>
      <c r="N3456" s="15" t="s">
        <v>10</v>
      </c>
      <c r="O3456" s="15">
        <v>1.2120974690841544</v>
      </c>
      <c r="P3456" s="15">
        <v>1.2120974690841544</v>
      </c>
      <c r="Q3456" s="8"/>
      <c r="R3456" s="9" t="s">
        <v>3201</v>
      </c>
    </row>
    <row r="3457" spans="1:18" x14ac:dyDescent="0.25">
      <c r="A3457" s="6" t="str">
        <f>HYPERLINK("proteomic_fractions_linear_files/Yang_linear_img/13195602.jpg", "13195602")</f>
        <v>13195602</v>
      </c>
      <c r="B3457" s="7"/>
      <c r="C3457" s="6" t="str">
        <f>HYPERLINK("http://www.ncbi.nlm.nih.gov/protein/13195602","Hspbp1")</f>
        <v>Hspbp1</v>
      </c>
      <c r="D3457" s="8"/>
      <c r="E3457" s="8">
        <v>39036</v>
      </c>
      <c r="F3457" s="8"/>
      <c r="G3457" s="15" t="s">
        <v>10</v>
      </c>
      <c r="H3457" s="15" t="s">
        <v>10</v>
      </c>
      <c r="I3457" s="15" t="s">
        <v>10</v>
      </c>
      <c r="J3457" s="15" t="s">
        <v>10</v>
      </c>
      <c r="K3457" s="15">
        <v>1.038649184698019</v>
      </c>
      <c r="L3457" s="15">
        <v>1.038649184698019</v>
      </c>
      <c r="M3457" s="15" t="s">
        <v>10</v>
      </c>
      <c r="N3457" s="15" t="s">
        <v>10</v>
      </c>
      <c r="O3457" s="15">
        <v>0.8859840136019278</v>
      </c>
      <c r="P3457" s="15">
        <v>0.8859840136019278</v>
      </c>
      <c r="Q3457" s="8"/>
      <c r="R3457" s="9" t="s">
        <v>3202</v>
      </c>
    </row>
    <row r="3458" spans="1:18" x14ac:dyDescent="0.25">
      <c r="A3458" s="6" t="str">
        <f>HYPERLINK("proteomic_fractions_linear_files/Yang_linear_img/183396771.jpg", "183396771")</f>
        <v>183396771</v>
      </c>
      <c r="B3458" s="7"/>
      <c r="C3458" s="6" t="str">
        <f>HYPERLINK("http://www.ncbi.nlm.nih.gov/protein/183396771","Hspd1")</f>
        <v>Hspd1</v>
      </c>
      <c r="D3458" s="8"/>
      <c r="E3458" s="8">
        <v>57926</v>
      </c>
      <c r="F3458" s="8"/>
      <c r="G3458" s="15">
        <v>1.2661406938221076</v>
      </c>
      <c r="H3458" s="15">
        <v>1.2661406938221076</v>
      </c>
      <c r="I3458" s="15">
        <v>1.0133311652688595</v>
      </c>
      <c r="J3458" s="15">
        <v>1.0133311652688595</v>
      </c>
      <c r="K3458" s="15">
        <v>1.1285045401817988</v>
      </c>
      <c r="L3458" s="15">
        <v>1.1285045401817988</v>
      </c>
      <c r="M3458" s="15">
        <v>1.0133311652688595</v>
      </c>
      <c r="N3458" s="15">
        <v>1.0133311652688595</v>
      </c>
      <c r="O3458" s="15">
        <v>0.91587189017243242</v>
      </c>
      <c r="P3458" s="15">
        <v>0.91587189017243242</v>
      </c>
      <c r="Q3458" s="8"/>
      <c r="R3458" s="9" t="s">
        <v>3203</v>
      </c>
    </row>
    <row r="3459" spans="1:18" x14ac:dyDescent="0.25">
      <c r="A3459" s="6" t="str">
        <f>HYPERLINK("proteomic_fractions_linear_files/Yang_linear_img/6680309.jpg", "6680309")</f>
        <v>6680309</v>
      </c>
      <c r="B3459" s="7"/>
      <c r="C3459" s="6" t="str">
        <f>HYPERLINK("http://www.ncbi.nlm.nih.gov/protein/6680309","Hspe1")</f>
        <v>Hspe1</v>
      </c>
      <c r="D3459" s="8"/>
      <c r="E3459" s="8">
        <v>10832</v>
      </c>
      <c r="F3459" s="8"/>
      <c r="G3459" s="15">
        <v>1.7728318025486614</v>
      </c>
      <c r="H3459" s="15">
        <v>1.7728318025486614</v>
      </c>
      <c r="I3459" s="15">
        <v>1.1588381219943296</v>
      </c>
      <c r="J3459" s="15">
        <v>1.1588381219943296</v>
      </c>
      <c r="K3459" s="15">
        <v>1.1588381219943296</v>
      </c>
      <c r="L3459" s="15">
        <v>1.1588381219943296</v>
      </c>
      <c r="M3459" s="15">
        <v>1.1588381219943296</v>
      </c>
      <c r="N3459" s="15">
        <v>1.1588381219943296</v>
      </c>
      <c r="O3459" s="15">
        <v>1.1120782993028506</v>
      </c>
      <c r="P3459" s="15">
        <v>1.1120782993028506</v>
      </c>
      <c r="Q3459" s="8"/>
      <c r="R3459" s="9" t="s">
        <v>3204</v>
      </c>
    </row>
    <row r="3460" spans="1:18" x14ac:dyDescent="0.25">
      <c r="A3460" s="6" t="str">
        <f>HYPERLINK("proteomic_fractions_linear_files/Yang_linear_img/183979966.jpg", "183979966")</f>
        <v>183979966</v>
      </c>
      <c r="B3460" s="7"/>
      <c r="C3460" s="6" t="str">
        <f>HYPERLINK("http://www.ncbi.nlm.nih.gov/protein/183979966","Hspg2")</f>
        <v>Hspg2</v>
      </c>
      <c r="D3460" s="8"/>
      <c r="E3460" s="8">
        <v>467208</v>
      </c>
      <c r="F3460" s="8"/>
      <c r="G3460" s="15" t="s">
        <v>10</v>
      </c>
      <c r="H3460" s="15" t="s">
        <v>10</v>
      </c>
      <c r="I3460" s="15">
        <v>12.83319057815846</v>
      </c>
      <c r="J3460" s="15">
        <v>12.83319057815846</v>
      </c>
      <c r="K3460" s="15">
        <v>1.270862538906433</v>
      </c>
      <c r="L3460" s="15">
        <v>1.270862538906433</v>
      </c>
      <c r="M3460" s="15" t="s">
        <v>10</v>
      </c>
      <c r="N3460" s="15" t="s">
        <v>10</v>
      </c>
      <c r="O3460" s="15" t="s">
        <v>10</v>
      </c>
      <c r="P3460" s="15" t="s">
        <v>10</v>
      </c>
      <c r="Q3460" s="8"/>
      <c r="R3460" s="9" t="s">
        <v>3205</v>
      </c>
    </row>
    <row r="3461" spans="1:18" x14ac:dyDescent="0.25">
      <c r="A3461" s="6" t="str">
        <f>HYPERLINK("proteomic_fractions_linear_files/Yang_linear_img/114145505.jpg", "114145505")</f>
        <v>114145505</v>
      </c>
      <c r="B3461" s="7"/>
      <c r="C3461" s="6" t="str">
        <f>HYPERLINK("http://www.ncbi.nlm.nih.gov/protein/114145505","Hsph1")</f>
        <v>Hsph1</v>
      </c>
      <c r="D3461" s="8"/>
      <c r="E3461" s="8">
        <v>96277</v>
      </c>
      <c r="F3461" s="8"/>
      <c r="G3461" s="15">
        <v>1.1437662898034529</v>
      </c>
      <c r="H3461" s="15">
        <v>1.1437662898034529</v>
      </c>
      <c r="I3461" s="15">
        <v>1.1437662898034529</v>
      </c>
      <c r="J3461" s="15">
        <v>1.1437662898034529</v>
      </c>
      <c r="K3461" s="15">
        <v>1.3408502931783017</v>
      </c>
      <c r="L3461" s="15">
        <v>1.3408502931783017</v>
      </c>
      <c r="M3461" s="15">
        <v>1.3408502931783017</v>
      </c>
      <c r="N3461" s="15">
        <v>1.3408502931783017</v>
      </c>
      <c r="O3461" s="15">
        <v>1.3408502931783017</v>
      </c>
      <c r="P3461" s="15">
        <v>1.3408502931783017</v>
      </c>
      <c r="Q3461" s="8"/>
      <c r="R3461" s="9" t="s">
        <v>3206</v>
      </c>
    </row>
    <row r="3462" spans="1:18" x14ac:dyDescent="0.25">
      <c r="A3462" s="6" t="str">
        <f>HYPERLINK("proteomic_fractions_linear_files/Yang_linear_img/225690589.jpg", "225690589")</f>
        <v>225690589</v>
      </c>
      <c r="B3462" s="7"/>
      <c r="C3462" s="6" t="str">
        <f>HYPERLINK("http://www.ncbi.nlm.nih.gov/protein/225690589","Htatip2")</f>
        <v>Htatip2</v>
      </c>
      <c r="D3462" s="8"/>
      <c r="E3462" s="8">
        <v>27699</v>
      </c>
      <c r="F3462" s="8"/>
      <c r="G3462" s="15" t="s">
        <v>10</v>
      </c>
      <c r="H3462" s="15" t="s">
        <v>10</v>
      </c>
      <c r="I3462" s="15">
        <v>0.87695787904560418</v>
      </c>
      <c r="J3462" s="15">
        <v>0.87695787904560418</v>
      </c>
      <c r="K3462" s="15">
        <v>0.87695787904560418</v>
      </c>
      <c r="L3462" s="15">
        <v>0.87695787904560418</v>
      </c>
      <c r="M3462" s="15" t="s">
        <v>10</v>
      </c>
      <c r="N3462" s="15" t="s">
        <v>10</v>
      </c>
      <c r="O3462" s="15" t="s">
        <v>10</v>
      </c>
      <c r="P3462" s="15" t="s">
        <v>10</v>
      </c>
      <c r="Q3462" s="8"/>
      <c r="R3462" s="9" t="s">
        <v>3207</v>
      </c>
    </row>
    <row r="3463" spans="1:18" x14ac:dyDescent="0.25">
      <c r="A3463" s="6" t="str">
        <f>HYPERLINK("proteomic_fractions_linear_files/Yang_linear_img/225690591.jpg", "225690591")</f>
        <v>225690591</v>
      </c>
      <c r="B3463" s="7"/>
      <c r="C3463" s="6" t="str">
        <f>HYPERLINK("http://www.ncbi.nlm.nih.gov/protein/225690591","Htatip2")</f>
        <v>Htatip2</v>
      </c>
      <c r="D3463" s="8"/>
      <c r="E3463" s="8">
        <v>26739</v>
      </c>
      <c r="F3463" s="8"/>
      <c r="G3463" s="15" t="s">
        <v>10</v>
      </c>
      <c r="H3463" s="15" t="s">
        <v>10</v>
      </c>
      <c r="I3463" s="15">
        <v>0.90943780049173761</v>
      </c>
      <c r="J3463" s="15">
        <v>0.90943780049173761</v>
      </c>
      <c r="K3463" s="15">
        <v>0.90943780049173761</v>
      </c>
      <c r="L3463" s="15">
        <v>0.90943780049173761</v>
      </c>
      <c r="M3463" s="15" t="s">
        <v>10</v>
      </c>
      <c r="N3463" s="15" t="s">
        <v>10</v>
      </c>
      <c r="O3463" s="15" t="s">
        <v>10</v>
      </c>
      <c r="P3463" s="15" t="s">
        <v>10</v>
      </c>
      <c r="Q3463" s="8"/>
      <c r="R3463" s="9" t="s">
        <v>3208</v>
      </c>
    </row>
    <row r="3464" spans="1:18" x14ac:dyDescent="0.25">
      <c r="A3464" s="6" t="str">
        <f>HYPERLINK("proteomic_fractions_linear_files/Yang_linear_img/23956212;321267528.jpg", "23956212;321267528")</f>
        <v>23956212;321267528</v>
      </c>
      <c r="B3464" s="8"/>
      <c r="C3464" s="6" t="str">
        <f>HYPERLINK("http://www.ncbi.nlm.nih.gov/protein/23956212;321267528","Htatsf1")</f>
        <v>Htatsf1</v>
      </c>
      <c r="D3464" s="8"/>
      <c r="E3464" s="8">
        <v>86109</v>
      </c>
      <c r="F3464" s="8"/>
      <c r="G3464" s="15" t="s">
        <v>10</v>
      </c>
      <c r="H3464" s="15" t="s">
        <v>10</v>
      </c>
      <c r="I3464" s="15">
        <v>69.687209302325584</v>
      </c>
      <c r="J3464" s="15">
        <v>69.687209302325584</v>
      </c>
      <c r="K3464" s="15">
        <v>1.784335710886533</v>
      </c>
      <c r="L3464" s="15">
        <v>1.784335710886533</v>
      </c>
      <c r="M3464" s="15">
        <v>1.784335710886533</v>
      </c>
      <c r="N3464" s="15">
        <v>1.784335710886533</v>
      </c>
      <c r="O3464" s="15">
        <v>1.784335710886533</v>
      </c>
      <c r="P3464" s="15">
        <v>1.784335710886533</v>
      </c>
      <c r="Q3464" s="8"/>
      <c r="R3464" s="9" t="s">
        <v>3209</v>
      </c>
    </row>
    <row r="3465" spans="1:18" x14ac:dyDescent="0.25">
      <c r="A3465" s="6" t="str">
        <f>HYPERLINK("proteomic_fractions_linear_files/Yang_linear_img/10946684.jpg", "10946684")</f>
        <v>10946684</v>
      </c>
      <c r="B3465" s="7"/>
      <c r="C3465" s="6" t="str">
        <f>HYPERLINK("http://www.ncbi.nlm.nih.gov/protein/10946684","Htr6")</f>
        <v>Htr6</v>
      </c>
      <c r="D3465" s="8"/>
      <c r="E3465" s="8">
        <v>46867</v>
      </c>
      <c r="F3465" s="8"/>
      <c r="G3465" s="15" t="s">
        <v>10</v>
      </c>
      <c r="H3465" s="15" t="s">
        <v>10</v>
      </c>
      <c r="I3465" s="15" t="s">
        <v>10</v>
      </c>
      <c r="J3465" s="15" t="s">
        <v>10</v>
      </c>
      <c r="K3465" s="15">
        <v>0.86185783411112227</v>
      </c>
      <c r="L3465" s="15">
        <v>0.86185783411112227</v>
      </c>
      <c r="M3465" s="15">
        <v>0.79449630687499129</v>
      </c>
      <c r="N3465" s="15">
        <v>0.79449630687499129</v>
      </c>
      <c r="O3465" s="15" t="s">
        <v>10</v>
      </c>
      <c r="P3465" s="15" t="s">
        <v>10</v>
      </c>
      <c r="Q3465" s="8"/>
      <c r="R3465" s="9" t="s">
        <v>3210</v>
      </c>
    </row>
    <row r="3466" spans="1:18" x14ac:dyDescent="0.25">
      <c r="A3466" s="6" t="str">
        <f>HYPERLINK("proteomic_fractions_linear_files/Yang_linear_img/229093139.jpg", "229093139")</f>
        <v>229093139</v>
      </c>
      <c r="B3466" s="7"/>
      <c r="C3466" s="6" t="str">
        <f>HYPERLINK("http://www.ncbi.nlm.nih.gov/protein/229093139","Htra1")</f>
        <v>Htra1</v>
      </c>
      <c r="D3466" s="8"/>
      <c r="E3466" s="8">
        <v>48893</v>
      </c>
      <c r="F3466" s="8"/>
      <c r="G3466" s="15" t="s">
        <v>10</v>
      </c>
      <c r="H3466" s="15" t="s">
        <v>10</v>
      </c>
      <c r="I3466" s="15">
        <v>0.47162394642280503</v>
      </c>
      <c r="J3466" s="15">
        <v>0.53367873704948976</v>
      </c>
      <c r="K3466" s="15">
        <v>0.50111878802605947</v>
      </c>
      <c r="L3466" s="15">
        <v>0.50111878802605947</v>
      </c>
      <c r="M3466" s="15">
        <v>0.47162394642280503</v>
      </c>
      <c r="N3466" s="15">
        <v>0.47162394642280503</v>
      </c>
      <c r="O3466" s="15" t="s">
        <v>10</v>
      </c>
      <c r="P3466" s="15" t="s">
        <v>10</v>
      </c>
      <c r="Q3466" s="8"/>
      <c r="R3466" s="9" t="s">
        <v>3211</v>
      </c>
    </row>
    <row r="3467" spans="1:18" x14ac:dyDescent="0.25">
      <c r="A3467" s="6" t="str">
        <f>HYPERLINK("proteomic_fractions_linear_files/Yang_linear_img/254281222.jpg", "254281222")</f>
        <v>254281222</v>
      </c>
      <c r="B3467" s="7"/>
      <c r="C3467" s="6" t="str">
        <f>HYPERLINK("http://www.ncbi.nlm.nih.gov/protein/254281222","Htra2")</f>
        <v>Htra2</v>
      </c>
      <c r="D3467" s="8"/>
      <c r="E3467" s="8">
        <v>35130</v>
      </c>
      <c r="F3467" s="8"/>
      <c r="G3467" s="15" t="s">
        <v>10</v>
      </c>
      <c r="H3467" s="15" t="s">
        <v>10</v>
      </c>
      <c r="I3467" s="15">
        <v>0.91668779587810256</v>
      </c>
      <c r="J3467" s="15">
        <v>0.91668779587810256</v>
      </c>
      <c r="K3467" s="15" t="s">
        <v>10</v>
      </c>
      <c r="L3467" s="15" t="s">
        <v>10</v>
      </c>
      <c r="M3467" s="15" t="s">
        <v>10</v>
      </c>
      <c r="N3467" s="15" t="s">
        <v>10</v>
      </c>
      <c r="O3467" s="15" t="s">
        <v>10</v>
      </c>
      <c r="P3467" s="15" t="s">
        <v>10</v>
      </c>
      <c r="Q3467" s="8"/>
      <c r="R3467" s="9" t="s">
        <v>3212</v>
      </c>
    </row>
    <row r="3468" spans="1:18" x14ac:dyDescent="0.25">
      <c r="A3468" s="6" t="str">
        <f>HYPERLINK("proteomic_fractions_linear_files/Yang_linear_img/45439304.jpg", "45439304")</f>
        <v>45439304</v>
      </c>
      <c r="B3468" s="7"/>
      <c r="C3468" s="6" t="str">
        <f>HYPERLINK("http://www.ncbi.nlm.nih.gov/protein/45439304","Htt")</f>
        <v>Htt</v>
      </c>
      <c r="D3468" s="8"/>
      <c r="E3468" s="8">
        <v>344659</v>
      </c>
      <c r="F3468" s="8"/>
      <c r="G3468" s="15" t="s">
        <v>10</v>
      </c>
      <c r="H3468" s="15" t="s">
        <v>10</v>
      </c>
      <c r="I3468" s="15">
        <v>0.87473427430869211</v>
      </c>
      <c r="J3468" s="15">
        <v>0.87473427430869211</v>
      </c>
      <c r="K3468" s="15">
        <v>1.1856335006940284</v>
      </c>
      <c r="L3468" s="15">
        <v>1.1856335006940284</v>
      </c>
      <c r="M3468" s="15">
        <v>1.1856335006940284</v>
      </c>
      <c r="N3468" s="15">
        <v>1.1856335006940284</v>
      </c>
      <c r="O3468" s="15">
        <v>1.1856335006940284</v>
      </c>
      <c r="P3468" s="15">
        <v>1.1856335006940284</v>
      </c>
      <c r="Q3468" s="8"/>
      <c r="R3468" s="9" t="s">
        <v>3213</v>
      </c>
    </row>
    <row r="3469" spans="1:18" x14ac:dyDescent="0.25">
      <c r="A3469" s="6" t="str">
        <f>HYPERLINK("proteomic_fractions_linear_files/Yang_linear_img/6680331.jpg", "6680331")</f>
        <v>6680331</v>
      </c>
      <c r="B3469" s="7"/>
      <c r="C3469" s="6" t="str">
        <f>HYPERLINK("http://www.ncbi.nlm.nih.gov/protein/6680331","Hus1")</f>
        <v>Hus1</v>
      </c>
      <c r="D3469" s="8"/>
      <c r="E3469" s="8">
        <v>31677</v>
      </c>
      <c r="F3469" s="8"/>
      <c r="G3469" s="15" t="s">
        <v>10</v>
      </c>
      <c r="H3469" s="15" t="s">
        <v>10</v>
      </c>
      <c r="I3469" s="15" t="s">
        <v>10</v>
      </c>
      <c r="J3469" s="15" t="s">
        <v>10</v>
      </c>
      <c r="K3469" s="15" t="s">
        <v>10</v>
      </c>
      <c r="L3469" s="15" t="s">
        <v>10</v>
      </c>
      <c r="M3469" s="15" t="s">
        <v>10</v>
      </c>
      <c r="N3469" s="15" t="s">
        <v>10</v>
      </c>
      <c r="O3469" s="15">
        <v>0.81719556610703126</v>
      </c>
      <c r="P3469" s="15">
        <v>0.81719556610703126</v>
      </c>
      <c r="Q3469" s="8"/>
      <c r="R3469" s="9" t="s">
        <v>3214</v>
      </c>
    </row>
    <row r="3470" spans="1:18" x14ac:dyDescent="0.25">
      <c r="A3470" s="6" t="str">
        <f>HYPERLINK("proteomic_fractions_linear_files/Yang_linear_img/146231996.jpg", "146231996")</f>
        <v>146231996</v>
      </c>
      <c r="B3470" s="7"/>
      <c r="C3470" s="6" t="str">
        <f>HYPERLINK("http://www.ncbi.nlm.nih.gov/protein/146231996","Huwe1")</f>
        <v>Huwe1</v>
      </c>
      <c r="D3470" s="8"/>
      <c r="E3470" s="8">
        <v>482563</v>
      </c>
      <c r="F3470" s="8"/>
      <c r="G3470" s="15" t="s">
        <v>10</v>
      </c>
      <c r="H3470" s="15" t="s">
        <v>10</v>
      </c>
      <c r="I3470" s="15">
        <v>0.84688107192430595</v>
      </c>
      <c r="J3470" s="15">
        <v>0.84688107192430595</v>
      </c>
      <c r="K3470" s="15">
        <v>0.84688107192430595</v>
      </c>
      <c r="L3470" s="15">
        <v>0.84688107192430595</v>
      </c>
      <c r="M3470" s="15">
        <v>1.2287635728142943</v>
      </c>
      <c r="N3470" s="15">
        <v>1.2287635728142943</v>
      </c>
      <c r="O3470" s="15">
        <v>0.84688107192430595</v>
      </c>
      <c r="P3470" s="15">
        <v>0.84688107192430595</v>
      </c>
      <c r="Q3470" s="8"/>
      <c r="R3470" s="9" t="s">
        <v>3215</v>
      </c>
    </row>
    <row r="3471" spans="1:18" x14ac:dyDescent="0.25">
      <c r="A3471" s="6" t="str">
        <f>HYPERLINK("proteomic_fractions_linear_files/Yang_linear_img/116812879.jpg", "116812879")</f>
        <v>116812879</v>
      </c>
      <c r="B3471" s="7"/>
      <c r="C3471" s="6" t="str">
        <f>HYPERLINK("http://www.ncbi.nlm.nih.gov/protein/116812879","Hyal4")</f>
        <v>Hyal4</v>
      </c>
      <c r="D3471" s="8"/>
      <c r="E3471" s="8">
        <v>54254</v>
      </c>
      <c r="F3471" s="8"/>
      <c r="G3471" s="15" t="s">
        <v>10</v>
      </c>
      <c r="H3471" s="15" t="s">
        <v>10</v>
      </c>
      <c r="I3471" s="15">
        <v>1.7586663181960094</v>
      </c>
      <c r="J3471" s="15">
        <v>1.7586663181960094</v>
      </c>
      <c r="K3471" s="15" t="s">
        <v>10</v>
      </c>
      <c r="L3471" s="15" t="s">
        <v>10</v>
      </c>
      <c r="M3471" s="15" t="s">
        <v>10</v>
      </c>
      <c r="N3471" s="15" t="s">
        <v>10</v>
      </c>
      <c r="O3471" s="15" t="s">
        <v>10</v>
      </c>
      <c r="P3471" s="15" t="s">
        <v>10</v>
      </c>
      <c r="Q3471" s="8"/>
      <c r="R3471" s="9" t="s">
        <v>3216</v>
      </c>
    </row>
    <row r="3472" spans="1:18" x14ac:dyDescent="0.25">
      <c r="A3472" s="6" t="str">
        <f>HYPERLINK("proteomic_fractions_linear_files/Yang_linear_img/46361984.jpg", "46361984")</f>
        <v>46361984</v>
      </c>
      <c r="B3472" s="7"/>
      <c r="C3472" s="6" t="str">
        <f>HYPERLINK("http://www.ncbi.nlm.nih.gov/protein/46361984","Hydin")</f>
        <v>Hydin</v>
      </c>
      <c r="D3472" s="8"/>
      <c r="E3472" s="8">
        <v>581395</v>
      </c>
      <c r="F3472" s="8"/>
      <c r="G3472" s="15">
        <v>6.4270785581970039E-2</v>
      </c>
      <c r="H3472" s="15">
        <v>6.4270785581970039E-2</v>
      </c>
      <c r="I3472" s="15">
        <v>4.2263030315450804E-2</v>
      </c>
      <c r="J3472" s="15">
        <v>4.2263030315450804E-2</v>
      </c>
      <c r="K3472" s="15">
        <v>4.5009050112607571E-2</v>
      </c>
      <c r="L3472" s="15">
        <v>4.5009050112607571E-2</v>
      </c>
      <c r="M3472" s="15">
        <v>4.2263030315450804E-2</v>
      </c>
      <c r="N3472" s="15">
        <v>4.2263030315450804E-2</v>
      </c>
      <c r="O3472" s="15">
        <v>3.751418635228701E-2</v>
      </c>
      <c r="P3472" s="15">
        <v>3.751418635228701E-2</v>
      </c>
      <c r="Q3472" s="8"/>
      <c r="R3472" s="9" t="s">
        <v>3217</v>
      </c>
    </row>
    <row r="3473" spans="1:18" x14ac:dyDescent="0.25">
      <c r="A3473" s="6" t="str">
        <f>HYPERLINK("proteomic_fractions_linear_files/Yang_linear_img/157951706.jpg", "157951706")</f>
        <v>157951706</v>
      </c>
      <c r="B3473" s="7"/>
      <c r="C3473" s="6" t="str">
        <f>HYPERLINK("http://www.ncbi.nlm.nih.gov/protein/157951706","Hyou1")</f>
        <v>Hyou1</v>
      </c>
      <c r="D3473" s="8"/>
      <c r="E3473" s="8">
        <v>107606</v>
      </c>
      <c r="F3473" s="8"/>
      <c r="G3473" s="15">
        <v>1.4208599179281651</v>
      </c>
      <c r="H3473" s="15">
        <v>1.4208599179281651</v>
      </c>
      <c r="I3473" s="15">
        <v>1.4208599179281651</v>
      </c>
      <c r="J3473" s="15">
        <v>1.4208599179281651</v>
      </c>
      <c r="K3473" s="15">
        <v>1.7293132559253737</v>
      </c>
      <c r="L3473" s="15">
        <v>1.7293132559253737</v>
      </c>
      <c r="M3473" s="15" t="s">
        <v>10</v>
      </c>
      <c r="N3473" s="15" t="s">
        <v>10</v>
      </c>
      <c r="O3473" s="15">
        <v>1.7293132559253737</v>
      </c>
      <c r="P3473" s="15">
        <v>1.7293132559253737</v>
      </c>
      <c r="Q3473" s="8"/>
      <c r="R3473" s="9" t="s">
        <v>3218</v>
      </c>
    </row>
    <row r="3474" spans="1:18" x14ac:dyDescent="0.25">
      <c r="A3474" s="6" t="str">
        <f>HYPERLINK("proteomic_fractions_linear_files/Yang_linear_img/27229055.jpg", "27229055")</f>
        <v>27229055</v>
      </c>
      <c r="B3474" s="7"/>
      <c r="C3474" s="6" t="str">
        <f>HYPERLINK("http://www.ncbi.nlm.nih.gov/protein/27229055","Hypk")</f>
        <v>Hypk</v>
      </c>
      <c r="D3474" s="8"/>
      <c r="E3474" s="8">
        <v>14548</v>
      </c>
      <c r="F3474" s="8"/>
      <c r="G3474" s="15" t="s">
        <v>10</v>
      </c>
      <c r="H3474" s="15" t="s">
        <v>10</v>
      </c>
      <c r="I3474" s="15" t="s">
        <v>10</v>
      </c>
      <c r="J3474" s="15" t="s">
        <v>10</v>
      </c>
      <c r="K3474" s="15">
        <v>1.0618294522121183</v>
      </c>
      <c r="L3474" s="15">
        <v>1.0618294522121183</v>
      </c>
      <c r="M3474" s="15">
        <v>1.0618294522121183</v>
      </c>
      <c r="N3474" s="15">
        <v>1.1144316347071348</v>
      </c>
      <c r="O3474" s="15">
        <v>1.0618294522121183</v>
      </c>
      <c r="P3474" s="15">
        <v>1.0618294522121183</v>
      </c>
      <c r="Q3474" s="8"/>
      <c r="R3474" s="9" t="s">
        <v>3219</v>
      </c>
    </row>
    <row r="3475" spans="1:18" x14ac:dyDescent="0.25">
      <c r="A3475" s="6" t="str">
        <f>HYPERLINK("proteomic_fractions_linear_files/Yang_linear_img/146260276.jpg", "146260276")</f>
        <v>146260276</v>
      </c>
      <c r="B3475" s="7"/>
      <c r="C3475" s="6" t="str">
        <f>HYPERLINK("http://www.ncbi.nlm.nih.gov/protein/146260276","I830012O16Rik")</f>
        <v>I830012O16Rik</v>
      </c>
      <c r="D3475" s="8"/>
      <c r="E3475" s="8">
        <v>47089</v>
      </c>
      <c r="F3475" s="8"/>
      <c r="G3475" s="15" t="s">
        <v>10</v>
      </c>
      <c r="H3475" s="15" t="s">
        <v>10</v>
      </c>
      <c r="I3475" s="15" t="s">
        <v>10</v>
      </c>
      <c r="J3475" s="15" t="s">
        <v>10</v>
      </c>
      <c r="K3475" s="15">
        <v>1.2504937784168904</v>
      </c>
      <c r="L3475" s="15">
        <v>1.2504937784168904</v>
      </c>
      <c r="M3475" s="15" t="s">
        <v>10</v>
      </c>
      <c r="N3475" s="15" t="s">
        <v>10</v>
      </c>
      <c r="O3475" s="15">
        <v>0.86185783411112227</v>
      </c>
      <c r="P3475" s="15">
        <v>0.86185783411112227</v>
      </c>
      <c r="Q3475" s="8"/>
      <c r="R3475" s="9" t="s">
        <v>3220</v>
      </c>
    </row>
    <row r="3476" spans="1:18" x14ac:dyDescent="0.25">
      <c r="A3476" s="6" t="str">
        <f>HYPERLINK("proteomic_fractions_linear_files/Yang_linear_img/27754071.jpg", "27754071")</f>
        <v>27754071</v>
      </c>
      <c r="B3476" s="7"/>
      <c r="C3476" s="6" t="str">
        <f>HYPERLINK("http://www.ncbi.nlm.nih.gov/protein/27754071","Iah1")</f>
        <v>Iah1</v>
      </c>
      <c r="D3476" s="8"/>
      <c r="E3476" s="8">
        <v>27843</v>
      </c>
      <c r="F3476" s="8"/>
      <c r="G3476" s="15" t="s">
        <v>10</v>
      </c>
      <c r="H3476" s="15" t="s">
        <v>10</v>
      </c>
      <c r="I3476" s="15">
        <v>0.93393778983660714</v>
      </c>
      <c r="J3476" s="15">
        <v>0.93393778983660714</v>
      </c>
      <c r="K3476" s="15">
        <v>0.93393778983660714</v>
      </c>
      <c r="L3476" s="15">
        <v>0.93393778983660714</v>
      </c>
      <c r="M3476" s="15" t="s">
        <v>10</v>
      </c>
      <c r="N3476" s="15" t="s">
        <v>10</v>
      </c>
      <c r="O3476" s="15">
        <v>0.77841936680995538</v>
      </c>
      <c r="P3476" s="15">
        <v>0.77841936680995538</v>
      </c>
      <c r="Q3476" s="8"/>
      <c r="R3476" s="9" t="s">
        <v>3221</v>
      </c>
    </row>
    <row r="3477" spans="1:18" x14ac:dyDescent="0.25">
      <c r="A3477" s="6" t="str">
        <f>HYPERLINK("proteomic_fractions_linear_files/Yang_linear_img/254553372.jpg", "254553372")</f>
        <v>254553372</v>
      </c>
      <c r="B3477" s="7"/>
      <c r="C3477" s="6" t="str">
        <f>HYPERLINK("http://www.ncbi.nlm.nih.gov/protein/254553372","Iars")</f>
        <v>Iars</v>
      </c>
      <c r="D3477" s="8"/>
      <c r="E3477" s="8">
        <v>144140</v>
      </c>
      <c r="F3477" s="8"/>
      <c r="G3477" s="15" t="s">
        <v>10</v>
      </c>
      <c r="H3477" s="15" t="s">
        <v>10</v>
      </c>
      <c r="I3477" s="15">
        <v>1.065644938446124</v>
      </c>
      <c r="J3477" s="15">
        <v>1.065644938446124</v>
      </c>
      <c r="K3477" s="15">
        <v>1.2969849419440302</v>
      </c>
      <c r="L3477" s="15">
        <v>1.2969849419440302</v>
      </c>
      <c r="M3477" s="15">
        <v>1.2969849419440302</v>
      </c>
      <c r="N3477" s="15">
        <v>1.2969849419440302</v>
      </c>
      <c r="O3477" s="15">
        <v>1.2969849419440302</v>
      </c>
      <c r="P3477" s="15">
        <v>1.2969849419440302</v>
      </c>
      <c r="Q3477" s="8"/>
      <c r="R3477" s="9" t="s">
        <v>3222</v>
      </c>
    </row>
    <row r="3478" spans="1:18" x14ac:dyDescent="0.25">
      <c r="A3478" s="6" t="str">
        <f>HYPERLINK("proteomic_fractions_linear_files/Yang_linear_img/38490690.jpg", "38490690")</f>
        <v>38490690</v>
      </c>
      <c r="B3478" s="7"/>
      <c r="C3478" s="6" t="str">
        <f>HYPERLINK("http://www.ncbi.nlm.nih.gov/protein/38490690","Iars2")</f>
        <v>Iars2</v>
      </c>
      <c r="D3478" s="8"/>
      <c r="E3478" s="8">
        <v>107933</v>
      </c>
      <c r="F3478" s="8"/>
      <c r="G3478" s="15">
        <v>1.1918669272696016</v>
      </c>
      <c r="H3478" s="15">
        <v>1.1918669272696016</v>
      </c>
      <c r="I3478" s="15">
        <v>1.0166811464919581</v>
      </c>
      <c r="J3478" s="15">
        <v>1.0166811464919581</v>
      </c>
      <c r="K3478" s="15">
        <v>1.1918669272696016</v>
      </c>
      <c r="L3478" s="15">
        <v>1.1918669272696016</v>
      </c>
      <c r="M3478" s="15" t="s">
        <v>10</v>
      </c>
      <c r="N3478" s="15" t="s">
        <v>10</v>
      </c>
      <c r="O3478" s="15">
        <v>1.0166811464919581</v>
      </c>
      <c r="P3478" s="15">
        <v>1.0166811464919581</v>
      </c>
      <c r="Q3478" s="8"/>
      <c r="R3478" s="9" t="s">
        <v>3223</v>
      </c>
    </row>
    <row r="3479" spans="1:18" x14ac:dyDescent="0.25">
      <c r="A3479" s="6" t="str">
        <f>HYPERLINK("proteomic_fractions_linear_files/Yang_linear_img/124486857.jpg", "124486857")</f>
        <v>124486857</v>
      </c>
      <c r="B3479" s="7"/>
      <c r="C3479" s="6" t="str">
        <f>HYPERLINK("http://www.ncbi.nlm.nih.gov/protein/124486857","Ibtk")</f>
        <v>Ibtk</v>
      </c>
      <c r="D3479" s="8"/>
      <c r="E3479" s="8">
        <v>149438</v>
      </c>
      <c r="F3479" s="8"/>
      <c r="G3479" s="15" t="s">
        <v>10</v>
      </c>
      <c r="H3479" s="15" t="s">
        <v>10</v>
      </c>
      <c r="I3479" s="15" t="s">
        <v>10</v>
      </c>
      <c r="J3479" s="15" t="s">
        <v>10</v>
      </c>
      <c r="K3479" s="15">
        <v>1.2534619573150361</v>
      </c>
      <c r="L3479" s="15">
        <v>1.2534619573150361</v>
      </c>
      <c r="M3479" s="15" t="s">
        <v>10</v>
      </c>
      <c r="N3479" s="15" t="s">
        <v>10</v>
      </c>
      <c r="O3479" s="15" t="s">
        <v>10</v>
      </c>
      <c r="P3479" s="15" t="s">
        <v>10</v>
      </c>
      <c r="Q3479" s="8"/>
      <c r="R3479" s="9" t="s">
        <v>3224</v>
      </c>
    </row>
    <row r="3480" spans="1:18" x14ac:dyDescent="0.25">
      <c r="A3480" s="6" t="str">
        <f>HYPERLINK("proteomic_fractions_linear_files/Yang_linear_img/255522770.jpg", "255522770")</f>
        <v>255522770</v>
      </c>
      <c r="B3480" s="7"/>
      <c r="C3480" s="6" t="str">
        <f>HYPERLINK("http://www.ncbi.nlm.nih.gov/protein/255522770","Ick")</f>
        <v>Ick</v>
      </c>
      <c r="D3480" s="8"/>
      <c r="E3480" s="8">
        <v>70461</v>
      </c>
      <c r="F3480" s="8"/>
      <c r="G3480" s="15" t="s">
        <v>10</v>
      </c>
      <c r="H3480" s="15" t="s">
        <v>10</v>
      </c>
      <c r="I3480" s="15">
        <v>0.39883158996688656</v>
      </c>
      <c r="J3480" s="15">
        <v>0.39883158996688656</v>
      </c>
      <c r="K3480" s="15">
        <v>0.42693438416733043</v>
      </c>
      <c r="L3480" s="15">
        <v>0.42693438416733043</v>
      </c>
      <c r="M3480" s="15">
        <v>0.53344752033035137</v>
      </c>
      <c r="N3480" s="15">
        <v>0.53344752033035137</v>
      </c>
      <c r="O3480" s="15">
        <v>0.37357511593464288</v>
      </c>
      <c r="P3480" s="15">
        <v>0.37357511593464288</v>
      </c>
      <c r="Q3480" s="8"/>
      <c r="R3480" s="9" t="s">
        <v>3225</v>
      </c>
    </row>
    <row r="3481" spans="1:18" x14ac:dyDescent="0.25">
      <c r="A3481" s="6" t="str">
        <f>HYPERLINK("proteomic_fractions_linear_files/Yang_linear_img/7657220.jpg", "7657220")</f>
        <v>7657220</v>
      </c>
      <c r="B3481" s="7"/>
      <c r="C3481" s="6" t="str">
        <f>HYPERLINK("http://www.ncbi.nlm.nih.gov/protein/7657220","Icosl")</f>
        <v>Icosl</v>
      </c>
      <c r="D3481" s="8"/>
      <c r="E3481" s="8">
        <v>31035</v>
      </c>
      <c r="F3481" s="8"/>
      <c r="G3481" s="15" t="s">
        <v>10</v>
      </c>
      <c r="H3481" s="15" t="s">
        <v>10</v>
      </c>
      <c r="I3481" s="15">
        <v>2.3689083948929754</v>
      </c>
      <c r="J3481" s="15">
        <v>2.3689083948929754</v>
      </c>
      <c r="K3481" s="15" t="s">
        <v>10</v>
      </c>
      <c r="L3481" s="15" t="s">
        <v>10</v>
      </c>
      <c r="M3481" s="15" t="s">
        <v>10</v>
      </c>
      <c r="N3481" s="15" t="s">
        <v>10</v>
      </c>
      <c r="O3481" s="15" t="s">
        <v>10</v>
      </c>
      <c r="P3481" s="15" t="s">
        <v>10</v>
      </c>
      <c r="Q3481" s="8"/>
      <c r="R3481" s="9" t="s">
        <v>3226</v>
      </c>
    </row>
    <row r="3482" spans="1:18" x14ac:dyDescent="0.25">
      <c r="A3482" s="6" t="str">
        <f>HYPERLINK("proteomic_fractions_linear_files/Yang_linear_img/19387848.jpg", "19387848")</f>
        <v>19387848</v>
      </c>
      <c r="B3482" s="7"/>
      <c r="C3482" s="6" t="str">
        <f>HYPERLINK("http://www.ncbi.nlm.nih.gov/protein/19387848","Ict1")</f>
        <v>Ict1</v>
      </c>
      <c r="D3482" s="8"/>
      <c r="E3482" s="8">
        <v>20146</v>
      </c>
      <c r="F3482" s="8"/>
      <c r="G3482" s="15" t="s">
        <v>10</v>
      </c>
      <c r="H3482" s="15" t="s">
        <v>10</v>
      </c>
      <c r="I3482" s="15">
        <v>1.0298720593328137</v>
      </c>
      <c r="J3482" s="15">
        <v>1.0298720593328137</v>
      </c>
      <c r="K3482" s="15" t="s">
        <v>10</v>
      </c>
      <c r="L3482" s="15" t="s">
        <v>10</v>
      </c>
      <c r="M3482" s="15" t="s">
        <v>10</v>
      </c>
      <c r="N3482" s="15" t="s">
        <v>10</v>
      </c>
      <c r="O3482" s="15" t="s">
        <v>10</v>
      </c>
      <c r="P3482" s="15" t="s">
        <v>10</v>
      </c>
      <c r="Q3482" s="8"/>
      <c r="R3482" s="9" t="s">
        <v>3227</v>
      </c>
    </row>
    <row r="3483" spans="1:18" x14ac:dyDescent="0.25">
      <c r="A3483" s="6" t="str">
        <f>HYPERLINK("proteomic_fractions_linear_files/Yang_linear_img/459352741.jpg", "459352741")</f>
        <v>459352741</v>
      </c>
      <c r="B3483" s="7"/>
      <c r="C3483" s="6" t="str">
        <f>HYPERLINK("http://www.ncbi.nlm.nih.gov/protein/459352741","Ide")</f>
        <v>Ide</v>
      </c>
      <c r="D3483" s="8"/>
      <c r="E3483" s="8">
        <v>117521</v>
      </c>
      <c r="F3483" s="8"/>
      <c r="G3483" s="15" t="s">
        <v>10</v>
      </c>
      <c r="H3483" s="15" t="s">
        <v>10</v>
      </c>
      <c r="I3483" s="15">
        <v>0.93052172729772431</v>
      </c>
      <c r="J3483" s="15">
        <v>0.93052172729772431</v>
      </c>
      <c r="K3483" s="15">
        <v>1.0908612554670929</v>
      </c>
      <c r="L3483" s="15">
        <v>1.0908612554670929</v>
      </c>
      <c r="M3483" s="15" t="s">
        <v>10</v>
      </c>
      <c r="N3483" s="15" t="s">
        <v>10</v>
      </c>
      <c r="O3483" s="15" t="s">
        <v>10</v>
      </c>
      <c r="P3483" s="15" t="s">
        <v>10</v>
      </c>
      <c r="Q3483" s="8"/>
      <c r="R3483" s="9" t="s">
        <v>3228</v>
      </c>
    </row>
    <row r="3484" spans="1:18" x14ac:dyDescent="0.25">
      <c r="A3484" s="6" t="str">
        <f>HYPERLINK("proteomic_fractions_linear_files/Yang_linear_img/121583922.jpg", "121583922")</f>
        <v>121583922</v>
      </c>
      <c r="B3484" s="7"/>
      <c r="C3484" s="6" t="str">
        <f>HYPERLINK("http://www.ncbi.nlm.nih.gov/protein/121583922","Ide")</f>
        <v>Ide</v>
      </c>
      <c r="D3484" s="8"/>
      <c r="E3484" s="8">
        <v>117564</v>
      </c>
      <c r="F3484" s="8"/>
      <c r="G3484" s="15" t="s">
        <v>10</v>
      </c>
      <c r="H3484" s="15" t="s">
        <v>10</v>
      </c>
      <c r="I3484" s="15">
        <v>0.93052172729772431</v>
      </c>
      <c r="J3484" s="15">
        <v>0.93052172729772431</v>
      </c>
      <c r="K3484" s="15">
        <v>1.0908612554670929</v>
      </c>
      <c r="L3484" s="15">
        <v>1.0908612554670929</v>
      </c>
      <c r="M3484" s="15">
        <v>1.0908612554670929</v>
      </c>
      <c r="N3484" s="15">
        <v>1.0908612554670929</v>
      </c>
      <c r="O3484" s="15">
        <v>1.0908612554670929</v>
      </c>
      <c r="P3484" s="15">
        <v>1.0908612554670929</v>
      </c>
      <c r="Q3484" s="8"/>
      <c r="R3484" s="9" t="s">
        <v>3228</v>
      </c>
    </row>
    <row r="3485" spans="1:18" x14ac:dyDescent="0.25">
      <c r="A3485" s="6" t="str">
        <f>HYPERLINK("proteomic_fractions_linear_files/Yang_linear_img/162417975.jpg", "162417975")</f>
        <v>162417975</v>
      </c>
      <c r="B3485" s="7"/>
      <c r="C3485" s="6" t="str">
        <f>HYPERLINK("http://www.ncbi.nlm.nih.gov/protein/162417975","Idh1")</f>
        <v>Idh1</v>
      </c>
      <c r="D3485" s="8"/>
      <c r="E3485" s="8">
        <v>46544</v>
      </c>
      <c r="F3485" s="8"/>
      <c r="G3485" s="15">
        <v>0.86185783411112227</v>
      </c>
      <c r="H3485" s="15">
        <v>0.86185783411112227</v>
      </c>
      <c r="I3485" s="15">
        <v>0.93884232440352056</v>
      </c>
      <c r="J3485" s="15">
        <v>0.93884232440352056</v>
      </c>
      <c r="K3485" s="15">
        <v>0.93884232440352056</v>
      </c>
      <c r="L3485" s="15">
        <v>0.93884232440352056</v>
      </c>
      <c r="M3485" s="15">
        <v>0.93884232440352056</v>
      </c>
      <c r="N3485" s="15">
        <v>0.93884232440352056</v>
      </c>
      <c r="O3485" s="15">
        <v>0.86185783411112227</v>
      </c>
      <c r="P3485" s="15">
        <v>0.86185783411112227</v>
      </c>
      <c r="Q3485" s="8"/>
      <c r="R3485" s="9" t="s">
        <v>3229</v>
      </c>
    </row>
    <row r="3486" spans="1:18" x14ac:dyDescent="0.25">
      <c r="A3486" s="6" t="str">
        <f>HYPERLINK("proteomic_fractions_linear_files/Yang_linear_img/225579033.jpg", "225579033")</f>
        <v>225579033</v>
      </c>
      <c r="B3486" s="7"/>
      <c r="C3486" s="6" t="str">
        <f>HYPERLINK("http://www.ncbi.nlm.nih.gov/protein/225579033","Idh2")</f>
        <v>Idh2</v>
      </c>
      <c r="D3486" s="8"/>
      <c r="E3486" s="8">
        <v>46623</v>
      </c>
      <c r="F3486" s="8"/>
      <c r="G3486" s="15">
        <v>1.2504937784168904</v>
      </c>
      <c r="H3486" s="15">
        <v>1.2504937784168904</v>
      </c>
      <c r="I3486" s="15">
        <v>0.93884232440352056</v>
      </c>
      <c r="J3486" s="15">
        <v>0.93884232440352056</v>
      </c>
      <c r="K3486" s="15">
        <v>0.93884232440352056</v>
      </c>
      <c r="L3486" s="15">
        <v>0.93884232440352056</v>
      </c>
      <c r="M3486" s="15" t="s">
        <v>10</v>
      </c>
      <c r="N3486" s="15" t="s">
        <v>10</v>
      </c>
      <c r="O3486" s="15">
        <v>0.86185783411112227</v>
      </c>
      <c r="P3486" s="15">
        <v>0.86185783411112227</v>
      </c>
      <c r="Q3486" s="8"/>
      <c r="R3486" s="9" t="s">
        <v>3230</v>
      </c>
    </row>
    <row r="3487" spans="1:18" x14ac:dyDescent="0.25">
      <c r="A3487" s="6" t="str">
        <f>HYPERLINK("proteomic_fractions_linear_files/Yang_linear_img/18250284.jpg", "18250284")</f>
        <v>18250284</v>
      </c>
      <c r="B3487" s="7"/>
      <c r="C3487" s="6" t="str">
        <f>HYPERLINK("http://www.ncbi.nlm.nih.gov/protein/18250284","Idh3a")</f>
        <v>Idh3a</v>
      </c>
      <c r="D3487" s="8"/>
      <c r="E3487" s="8">
        <v>36708</v>
      </c>
      <c r="F3487" s="8"/>
      <c r="G3487" s="15">
        <v>1.3051344752544662</v>
      </c>
      <c r="H3487" s="15">
        <v>1.3051344752544662</v>
      </c>
      <c r="I3487" s="15">
        <v>0.93387504136419419</v>
      </c>
      <c r="J3487" s="15">
        <v>0.93387504136419419</v>
      </c>
      <c r="K3487" s="15">
        <v>1.0092250384628267</v>
      </c>
      <c r="L3487" s="15">
        <v>1.0092250384628267</v>
      </c>
      <c r="M3487" s="15" t="s">
        <v>10</v>
      </c>
      <c r="N3487" s="15" t="s">
        <v>10</v>
      </c>
      <c r="O3487" s="15">
        <v>0.86713710420901591</v>
      </c>
      <c r="P3487" s="15">
        <v>0.86713710420901591</v>
      </c>
      <c r="Q3487" s="8"/>
      <c r="R3487" s="9" t="s">
        <v>3231</v>
      </c>
    </row>
    <row r="3488" spans="1:18" x14ac:dyDescent="0.25">
      <c r="A3488" s="6" t="str">
        <f>HYPERLINK("proteomic_fractions_linear_files/Yang_linear_img/18700024.jpg", "18700024")</f>
        <v>18700024</v>
      </c>
      <c r="B3488" s="7"/>
      <c r="C3488" s="6" t="str">
        <f>HYPERLINK("http://www.ncbi.nlm.nih.gov/protein/18700024","Idh3b")</f>
        <v>Idh3b</v>
      </c>
      <c r="D3488" s="8"/>
      <c r="E3488" s="8">
        <v>42064</v>
      </c>
      <c r="F3488" s="8"/>
      <c r="G3488" s="15">
        <v>1.2647754673809781</v>
      </c>
      <c r="H3488" s="15">
        <v>1.2647754673809781</v>
      </c>
      <c r="I3488" s="15">
        <v>0.88907920055058554</v>
      </c>
      <c r="J3488" s="15">
        <v>0.88907920055058554</v>
      </c>
      <c r="K3488" s="15">
        <v>0.96445995721958921</v>
      </c>
      <c r="L3488" s="15">
        <v>0.96445995721958921</v>
      </c>
      <c r="M3488" s="15">
        <v>0.88907920055058554</v>
      </c>
      <c r="N3488" s="15">
        <v>0.88907920055058554</v>
      </c>
      <c r="O3488" s="15">
        <v>0.82269944120179006</v>
      </c>
      <c r="P3488" s="15">
        <v>0.82269944120179006</v>
      </c>
      <c r="Q3488" s="8"/>
      <c r="R3488" s="9" t="s">
        <v>3232</v>
      </c>
    </row>
    <row r="3489" spans="1:18" x14ac:dyDescent="0.25">
      <c r="A3489" s="6" t="str">
        <f>HYPERLINK("proteomic_fractions_linear_files/Yang_linear_img/6680345.jpg", "6680345")</f>
        <v>6680345</v>
      </c>
      <c r="B3489" s="7"/>
      <c r="C3489" s="6" t="str">
        <f>HYPERLINK("http://www.ncbi.nlm.nih.gov/protein/6680345","Idh3g")</f>
        <v>Idh3g</v>
      </c>
      <c r="D3489" s="8"/>
      <c r="E3489" s="8">
        <v>38721</v>
      </c>
      <c r="F3489" s="8"/>
      <c r="G3489" s="15">
        <v>1.2382045021644936</v>
      </c>
      <c r="H3489" s="15">
        <v>1.2382045021644936</v>
      </c>
      <c r="I3489" s="15">
        <v>0.95746990828524592</v>
      </c>
      <c r="J3489" s="15">
        <v>0.95746990828524592</v>
      </c>
      <c r="K3489" s="15" t="s">
        <v>10</v>
      </c>
      <c r="L3489" s="15" t="s">
        <v>10</v>
      </c>
      <c r="M3489" s="15" t="s">
        <v>10</v>
      </c>
      <c r="N3489" s="15" t="s">
        <v>10</v>
      </c>
      <c r="O3489" s="15" t="s">
        <v>10</v>
      </c>
      <c r="P3489" s="15" t="s">
        <v>10</v>
      </c>
      <c r="Q3489" s="8"/>
      <c r="R3489" s="9" t="s">
        <v>3233</v>
      </c>
    </row>
    <row r="3490" spans="1:18" x14ac:dyDescent="0.25">
      <c r="A3490" s="6" t="str">
        <f>HYPERLINK("proteomic_fractions_linear_files/Yang_linear_img/281604088.jpg", "281604088")</f>
        <v>281604088</v>
      </c>
      <c r="B3490" s="7"/>
      <c r="C3490" s="6" t="str">
        <f>HYPERLINK("http://www.ncbi.nlm.nih.gov/protein/281604088","Idi1")</f>
        <v>Idi1</v>
      </c>
      <c r="D3490" s="8"/>
      <c r="E3490" s="8">
        <v>32346</v>
      </c>
      <c r="F3490" s="8"/>
      <c r="G3490" s="15">
        <v>0.72217416795992018</v>
      </c>
      <c r="H3490" s="15">
        <v>0.72217416795992018</v>
      </c>
      <c r="I3490" s="15">
        <v>0.76733814416490365</v>
      </c>
      <c r="J3490" s="15">
        <v>0.76733814416490365</v>
      </c>
      <c r="K3490" s="15">
        <v>0.76733814416490365</v>
      </c>
      <c r="L3490" s="15">
        <v>0.76733814416490365</v>
      </c>
      <c r="M3490" s="15">
        <v>0.76733814416490365</v>
      </c>
      <c r="N3490" s="15">
        <v>0.76733814416490365</v>
      </c>
      <c r="O3490" s="15">
        <v>0.68111694595871097</v>
      </c>
      <c r="P3490" s="15">
        <v>0.68111694595871097</v>
      </c>
      <c r="Q3490" s="8"/>
      <c r="R3490" s="9" t="s">
        <v>3234</v>
      </c>
    </row>
    <row r="3491" spans="1:18" x14ac:dyDescent="0.25">
      <c r="A3491" s="6" t="str">
        <f>HYPERLINK("proteomic_fractions_linear_files/Yang_linear_img/347582671.jpg", "347582671")</f>
        <v>347582671</v>
      </c>
      <c r="B3491" s="7"/>
      <c r="C3491" s="6" t="str">
        <f>HYPERLINK("http://www.ncbi.nlm.nih.gov/protein/347582671","Ido2")</f>
        <v>Ido2</v>
      </c>
      <c r="D3491" s="8"/>
      <c r="E3491" s="8">
        <v>45124</v>
      </c>
      <c r="F3491" s="8"/>
      <c r="G3491" s="15" t="s">
        <v>10</v>
      </c>
      <c r="H3491" s="15" t="s">
        <v>10</v>
      </c>
      <c r="I3491" s="15" t="s">
        <v>10</v>
      </c>
      <c r="J3491" s="15" t="s">
        <v>10</v>
      </c>
      <c r="K3491" s="15" t="s">
        <v>10</v>
      </c>
      <c r="L3491" s="15" t="s">
        <v>10</v>
      </c>
      <c r="M3491" s="15">
        <v>6.7062961030333064</v>
      </c>
      <c r="N3491" s="15">
        <v>6.7062961030333064</v>
      </c>
      <c r="O3491" s="15" t="s">
        <v>10</v>
      </c>
      <c r="P3491" s="15" t="s">
        <v>10</v>
      </c>
      <c r="Q3491" s="8"/>
      <c r="R3491" s="9" t="s">
        <v>3235</v>
      </c>
    </row>
    <row r="3492" spans="1:18" x14ac:dyDescent="0.25">
      <c r="A3492" s="6" t="str">
        <f>HYPERLINK("proteomic_fractions_linear_files/Yang_linear_img/13384796.jpg", "13384796")</f>
        <v>13384796</v>
      </c>
      <c r="B3492" s="7"/>
      <c r="C3492" s="6" t="str">
        <f>HYPERLINK("http://www.ncbi.nlm.nih.gov/protein/13384796","Ier3ip1")</f>
        <v>Ier3ip1</v>
      </c>
      <c r="D3492" s="8"/>
      <c r="E3492" s="8">
        <v>7074</v>
      </c>
      <c r="F3492" s="8"/>
      <c r="G3492" s="15">
        <v>1.6787022322605194</v>
      </c>
      <c r="H3492" s="15">
        <v>1.6787022322605194</v>
      </c>
      <c r="I3492" s="15">
        <v>1.6787022322605194</v>
      </c>
      <c r="J3492" s="15">
        <v>1.6787022322605194</v>
      </c>
      <c r="K3492" s="15">
        <v>1.821031334562518</v>
      </c>
      <c r="L3492" s="15">
        <v>1.821031334562518</v>
      </c>
      <c r="M3492" s="15" t="s">
        <v>10</v>
      </c>
      <c r="N3492" s="15" t="s">
        <v>10</v>
      </c>
      <c r="O3492" s="15" t="s">
        <v>10</v>
      </c>
      <c r="P3492" s="15" t="s">
        <v>10</v>
      </c>
      <c r="Q3492" s="8"/>
      <c r="R3492" s="9" t="s">
        <v>3236</v>
      </c>
    </row>
    <row r="3493" spans="1:18" x14ac:dyDescent="0.25">
      <c r="A3493" s="6" t="str">
        <f>HYPERLINK("proteomic_fractions_linear_files/Yang_linear_img/118130979.jpg", "118130979")</f>
        <v>118130979</v>
      </c>
      <c r="B3493" s="7"/>
      <c r="C3493" s="6" t="str">
        <f>HYPERLINK("http://www.ncbi.nlm.nih.gov/protein/118130979","Ifi204")</f>
        <v>Ifi204</v>
      </c>
      <c r="D3493" s="8"/>
      <c r="E3493" s="8">
        <v>69307</v>
      </c>
      <c r="F3493" s="8"/>
      <c r="G3493" s="15">
        <v>0.54117864381339986</v>
      </c>
      <c r="H3493" s="15">
        <v>0.54117864381339986</v>
      </c>
      <c r="I3493" s="15">
        <v>0.35586696540981039</v>
      </c>
      <c r="J3493" s="15">
        <v>0.35586696540981039</v>
      </c>
      <c r="K3493" s="15">
        <v>0.37898924804963768</v>
      </c>
      <c r="L3493" s="15">
        <v>0.37898924804963768</v>
      </c>
      <c r="M3493" s="15">
        <v>0.35586696540981039</v>
      </c>
      <c r="N3493" s="15">
        <v>0.35586696540981039</v>
      </c>
      <c r="O3493" s="15">
        <v>0.31588032276346018</v>
      </c>
      <c r="P3493" s="15">
        <v>0.31588032276346018</v>
      </c>
      <c r="Q3493" s="8"/>
      <c r="R3493" s="9" t="s">
        <v>3237</v>
      </c>
    </row>
    <row r="3494" spans="1:18" x14ac:dyDescent="0.25">
      <c r="A3494" s="6" t="str">
        <f>HYPERLINK("proteomic_fractions_linear_files/Yang_linear_img/125628657.jpg", "125628657")</f>
        <v>125628657</v>
      </c>
      <c r="B3494" s="7"/>
      <c r="C3494" s="6" t="str">
        <f>HYPERLINK("http://www.ncbi.nlm.nih.gov/protein/125628657","Ifi30")</f>
        <v>Ifi30</v>
      </c>
      <c r="D3494" s="8"/>
      <c r="E3494" s="8">
        <v>20062</v>
      </c>
      <c r="F3494" s="8"/>
      <c r="G3494" s="15">
        <v>1.1554786687358722</v>
      </c>
      <c r="H3494" s="15">
        <v>1.1554786687358722</v>
      </c>
      <c r="I3494" s="15">
        <v>1.2277410306638459</v>
      </c>
      <c r="J3494" s="15">
        <v>1.2277410306638459</v>
      </c>
      <c r="K3494" s="15">
        <v>1.2277410306638459</v>
      </c>
      <c r="L3494" s="15">
        <v>1.2277410306638459</v>
      </c>
      <c r="M3494" s="15">
        <v>1.2277410306638459</v>
      </c>
      <c r="N3494" s="15">
        <v>1.2277410306638459</v>
      </c>
      <c r="O3494" s="15">
        <v>1.0897871135339376</v>
      </c>
      <c r="P3494" s="15">
        <v>1.0897871135339376</v>
      </c>
      <c r="Q3494" s="8"/>
      <c r="R3494" s="9" t="s">
        <v>3238</v>
      </c>
    </row>
    <row r="3495" spans="1:18" x14ac:dyDescent="0.25">
      <c r="A3495" s="6" t="str">
        <f>HYPERLINK("proteomic_fractions_linear_files/Yang_linear_img/21312544.jpg", "21312544")</f>
        <v>21312544</v>
      </c>
      <c r="B3495" s="7"/>
      <c r="C3495" s="6" t="str">
        <f>HYPERLINK("http://www.ncbi.nlm.nih.gov/protein/21312544","Ifi35")</f>
        <v>Ifi35</v>
      </c>
      <c r="D3495" s="8"/>
      <c r="E3495" s="8">
        <v>31745</v>
      </c>
      <c r="F3495" s="8"/>
      <c r="G3495" s="15" t="s">
        <v>10</v>
      </c>
      <c r="H3495" s="15" t="s">
        <v>10</v>
      </c>
      <c r="I3495" s="15">
        <v>0.93391896536603536</v>
      </c>
      <c r="J3495" s="15">
        <v>0.93391896536603536</v>
      </c>
      <c r="K3495" s="15">
        <v>0.93391896536603536</v>
      </c>
      <c r="L3495" s="15">
        <v>0.93391896536603536</v>
      </c>
      <c r="M3495" s="15" t="s">
        <v>10</v>
      </c>
      <c r="N3495" s="15" t="s">
        <v>10</v>
      </c>
      <c r="O3495" s="15">
        <v>0.87244410305256437</v>
      </c>
      <c r="P3495" s="15">
        <v>0.87244410305256437</v>
      </c>
      <c r="Q3495" s="8"/>
      <c r="R3495" s="9" t="s">
        <v>3239</v>
      </c>
    </row>
    <row r="3496" spans="1:18" x14ac:dyDescent="0.25">
      <c r="A3496" s="6" t="str">
        <f>HYPERLINK("proteomic_fractions_linear_files/Yang_linear_img/410991922.jpg", "410991922")</f>
        <v>410991922</v>
      </c>
      <c r="B3496" s="7"/>
      <c r="C3496" s="6" t="str">
        <f>HYPERLINK("http://www.ncbi.nlm.nih.gov/protein/410991922","Ifi47")</f>
        <v>Ifi47</v>
      </c>
      <c r="D3496" s="8"/>
      <c r="E3496" s="8">
        <v>46654</v>
      </c>
      <c r="F3496" s="8"/>
      <c r="G3496" s="15" t="s">
        <v>10</v>
      </c>
      <c r="H3496" s="15" t="s">
        <v>10</v>
      </c>
      <c r="I3496" s="15" t="s">
        <v>10</v>
      </c>
      <c r="J3496" s="15" t="s">
        <v>10</v>
      </c>
      <c r="K3496" s="15">
        <v>1.0274462890301117</v>
      </c>
      <c r="L3496" s="15">
        <v>1.0274462890301117</v>
      </c>
      <c r="M3496" s="15" t="s">
        <v>10</v>
      </c>
      <c r="N3496" s="15" t="s">
        <v>10</v>
      </c>
      <c r="O3496" s="15">
        <v>0.93884232440352056</v>
      </c>
      <c r="P3496" s="15">
        <v>0.93884232440352056</v>
      </c>
      <c r="Q3496" s="8"/>
      <c r="R3496" s="9" t="s">
        <v>3240</v>
      </c>
    </row>
    <row r="3497" spans="1:18" x14ac:dyDescent="0.25">
      <c r="A3497" s="6" t="str">
        <f>HYPERLINK("proteomic_fractions_linear_files/Yang_linear_img/257096036.jpg", "257096036")</f>
        <v>257096036</v>
      </c>
      <c r="B3497" s="7"/>
      <c r="C3497" s="6" t="str">
        <f>HYPERLINK("http://www.ncbi.nlm.nih.gov/protein/257096036","Ifih1")</f>
        <v>Ifih1</v>
      </c>
      <c r="D3497" s="8"/>
      <c r="E3497" s="8">
        <v>115841</v>
      </c>
      <c r="F3497" s="8"/>
      <c r="G3497" s="15" t="s">
        <v>10</v>
      </c>
      <c r="H3497" s="15" t="s">
        <v>10</v>
      </c>
      <c r="I3497" s="15" t="s">
        <v>10</v>
      </c>
      <c r="J3497" s="15" t="s">
        <v>10</v>
      </c>
      <c r="K3497" s="15">
        <v>1.3228695787607054</v>
      </c>
      <c r="L3497" s="15">
        <v>1.3228695787607054</v>
      </c>
      <c r="M3497" s="15" t="s">
        <v>10</v>
      </c>
      <c r="N3497" s="15" t="s">
        <v>10</v>
      </c>
      <c r="O3497" s="15">
        <v>1.3228695787607054</v>
      </c>
      <c r="P3497" s="15">
        <v>1.3228695787607054</v>
      </c>
      <c r="Q3497" s="8"/>
      <c r="R3497" s="9" t="s">
        <v>3241</v>
      </c>
    </row>
    <row r="3498" spans="1:18" x14ac:dyDescent="0.25">
      <c r="A3498" s="6" t="str">
        <f>HYPERLINK("proteomic_fractions_linear_files/Yang_linear_img/257096038.jpg", "257096038")</f>
        <v>257096038</v>
      </c>
      <c r="B3498" s="7"/>
      <c r="C3498" s="6" t="str">
        <f>HYPERLINK("http://www.ncbi.nlm.nih.gov/protein/257096038","Ifih1")</f>
        <v>Ifih1</v>
      </c>
      <c r="D3498" s="8"/>
      <c r="E3498" s="8">
        <v>110711</v>
      </c>
      <c r="F3498" s="8"/>
      <c r="G3498" s="15" t="s">
        <v>10</v>
      </c>
      <c r="H3498" s="15" t="s">
        <v>10</v>
      </c>
      <c r="I3498" s="15" t="s">
        <v>10</v>
      </c>
      <c r="J3498" s="15" t="s">
        <v>10</v>
      </c>
      <c r="K3498" s="15">
        <v>1.3824582985247011</v>
      </c>
      <c r="L3498" s="15">
        <v>1.3824582985247011</v>
      </c>
      <c r="M3498" s="15" t="s">
        <v>10</v>
      </c>
      <c r="N3498" s="15" t="s">
        <v>10</v>
      </c>
      <c r="O3498" s="15">
        <v>1.3824582985247011</v>
      </c>
      <c r="P3498" s="15">
        <v>1.3824582985247011</v>
      </c>
      <c r="Q3498" s="8"/>
      <c r="R3498" s="9" t="s">
        <v>3242</v>
      </c>
    </row>
    <row r="3499" spans="1:18" x14ac:dyDescent="0.25">
      <c r="A3499" s="6" t="str">
        <f>HYPERLINK("proteomic_fractions_linear_files/Yang_linear_img/110626104.jpg", "110626104")</f>
        <v>110626104</v>
      </c>
      <c r="B3499" s="7"/>
      <c r="C3499" s="6" t="str">
        <f>HYPERLINK("http://www.ncbi.nlm.nih.gov/protein/110626104","Ifit1")</f>
        <v>Ifit1</v>
      </c>
      <c r="D3499" s="8"/>
      <c r="E3499" s="8">
        <v>53607</v>
      </c>
      <c r="F3499" s="8"/>
      <c r="G3499" s="15" t="s">
        <v>10</v>
      </c>
      <c r="H3499" s="15" t="s">
        <v>10</v>
      </c>
      <c r="I3499" s="15">
        <v>0.98371425240742738</v>
      </c>
      <c r="J3499" s="15">
        <v>0.98371425240742738</v>
      </c>
      <c r="K3499" s="15">
        <v>1.0883927330665528</v>
      </c>
      <c r="L3499" s="15">
        <v>1.0883927330665528</v>
      </c>
      <c r="M3499" s="15">
        <v>0.98371425240742738</v>
      </c>
      <c r="N3499" s="15">
        <v>0.98371425240742738</v>
      </c>
      <c r="O3499" s="15">
        <v>0.98371425240742738</v>
      </c>
      <c r="P3499" s="15">
        <v>0.98371425240742738</v>
      </c>
      <c r="Q3499" s="8"/>
      <c r="R3499" s="9" t="s">
        <v>3243</v>
      </c>
    </row>
    <row r="3500" spans="1:18" x14ac:dyDescent="0.25">
      <c r="A3500" s="6" t="str">
        <f>HYPERLINK("proteomic_fractions_linear_files/Yang_linear_img/6680363.jpg", "6680363")</f>
        <v>6680363</v>
      </c>
      <c r="B3500" s="7"/>
      <c r="C3500" s="6" t="str">
        <f>HYPERLINK("http://www.ncbi.nlm.nih.gov/protein/6680363","Ifit2")</f>
        <v>Ifit2</v>
      </c>
      <c r="D3500" s="8"/>
      <c r="E3500" s="8">
        <v>54591</v>
      </c>
      <c r="F3500" s="8"/>
      <c r="G3500" s="15" t="s">
        <v>10</v>
      </c>
      <c r="H3500" s="15" t="s">
        <v>10</v>
      </c>
      <c r="I3500" s="15" t="s">
        <v>10</v>
      </c>
      <c r="J3500" s="15" t="s">
        <v>10</v>
      </c>
      <c r="K3500" s="15">
        <v>1.0686037742835246</v>
      </c>
      <c r="L3500" s="15">
        <v>1.0686037742835246</v>
      </c>
      <c r="M3500" s="15" t="s">
        <v>10</v>
      </c>
      <c r="N3500" s="15" t="s">
        <v>10</v>
      </c>
      <c r="O3500" s="15">
        <v>0.87799955608027735</v>
      </c>
      <c r="P3500" s="15">
        <v>0.87799955608027735</v>
      </c>
      <c r="Q3500" s="8"/>
      <c r="R3500" s="9" t="s">
        <v>3244</v>
      </c>
    </row>
    <row r="3501" spans="1:18" x14ac:dyDescent="0.25">
      <c r="A3501" s="6" t="str">
        <f>HYPERLINK("proteomic_fractions_linear_files/Yang_linear_img/6754288.jpg", "6754288")</f>
        <v>6754288</v>
      </c>
      <c r="B3501" s="7"/>
      <c r="C3501" s="6" t="str">
        <f>HYPERLINK("http://www.ncbi.nlm.nih.gov/protein/6754288","Ifit3")</f>
        <v>Ifit3</v>
      </c>
      <c r="D3501" s="8"/>
      <c r="E3501" s="8">
        <v>47092</v>
      </c>
      <c r="F3501" s="8"/>
      <c r="G3501" s="15" t="s">
        <v>10</v>
      </c>
      <c r="H3501" s="15" t="s">
        <v>10</v>
      </c>
      <c r="I3501" s="15" t="s">
        <v>10</v>
      </c>
      <c r="J3501" s="15" t="s">
        <v>10</v>
      </c>
      <c r="K3501" s="15">
        <v>1.2504937784168904</v>
      </c>
      <c r="L3501" s="15">
        <v>1.2504937784168904</v>
      </c>
      <c r="M3501" s="15" t="s">
        <v>10</v>
      </c>
      <c r="N3501" s="15" t="s">
        <v>10</v>
      </c>
      <c r="O3501" s="15">
        <v>0.86185783411112227</v>
      </c>
      <c r="P3501" s="15">
        <v>0.86185783411112227</v>
      </c>
      <c r="Q3501" s="8"/>
      <c r="R3501" s="9" t="s">
        <v>3245</v>
      </c>
    </row>
    <row r="3502" spans="1:18" x14ac:dyDescent="0.25">
      <c r="A3502" s="6" t="str">
        <f>HYPERLINK("proteomic_fractions_linear_files/Yang_linear_img/13507626.jpg", "13507626")</f>
        <v>13507626</v>
      </c>
      <c r="B3502" s="7"/>
      <c r="C3502" s="6" t="str">
        <f>HYPERLINK("http://www.ncbi.nlm.nih.gov/protein/13507626","Ifitm2")</f>
        <v>Ifitm2</v>
      </c>
      <c r="D3502" s="8"/>
      <c r="E3502" s="8">
        <v>15612</v>
      </c>
      <c r="F3502" s="8"/>
      <c r="G3502" s="15" t="s">
        <v>10</v>
      </c>
      <c r="H3502" s="15" t="s">
        <v>10</v>
      </c>
      <c r="I3502" s="15">
        <v>0.79670120887110163</v>
      </c>
      <c r="J3502" s="15">
        <v>0.79670120887110163</v>
      </c>
      <c r="K3502" s="15">
        <v>0.99546511144886096</v>
      </c>
      <c r="L3502" s="15">
        <v>0.99546511144886096</v>
      </c>
      <c r="M3502" s="15">
        <v>0.79670120887110163</v>
      </c>
      <c r="N3502" s="15">
        <v>0.79670120887110163</v>
      </c>
      <c r="O3502" s="15" t="s">
        <v>10</v>
      </c>
      <c r="P3502" s="15" t="s">
        <v>10</v>
      </c>
      <c r="Q3502" s="8"/>
      <c r="R3502" s="9" t="s">
        <v>3246</v>
      </c>
    </row>
    <row r="3503" spans="1:18" x14ac:dyDescent="0.25">
      <c r="A3503" s="6" t="str">
        <f>HYPERLINK("proteomic_fractions_linear_files/Yang_linear_img/21539593.jpg", "21539593")</f>
        <v>21539593</v>
      </c>
      <c r="B3503" s="7"/>
      <c r="C3503" s="6" t="str">
        <f>HYPERLINK("http://www.ncbi.nlm.nih.gov/protein/21539593","Ifitm3")</f>
        <v>Ifitm3</v>
      </c>
      <c r="D3503" s="8"/>
      <c r="E3503" s="8">
        <v>14823</v>
      </c>
      <c r="F3503" s="8"/>
      <c r="G3503" s="15" t="s">
        <v>10</v>
      </c>
      <c r="H3503" s="15" t="s">
        <v>10</v>
      </c>
      <c r="I3503" s="15">
        <v>0.84981462279584175</v>
      </c>
      <c r="J3503" s="15">
        <v>0.84981462279584175</v>
      </c>
      <c r="K3503" s="15">
        <v>1.0130892195876191</v>
      </c>
      <c r="L3503" s="15">
        <v>1.0130892195876191</v>
      </c>
      <c r="M3503" s="15">
        <v>1.0130892195876191</v>
      </c>
      <c r="N3503" s="15">
        <v>1.0130892195876191</v>
      </c>
      <c r="O3503" s="15" t="s">
        <v>10</v>
      </c>
      <c r="P3503" s="15" t="s">
        <v>10</v>
      </c>
      <c r="Q3503" s="8"/>
      <c r="R3503" s="9" t="s">
        <v>3247</v>
      </c>
    </row>
    <row r="3504" spans="1:18" x14ac:dyDescent="0.25">
      <c r="A3504" s="6" t="str">
        <f>HYPERLINK("proteomic_fractions_linear_files/Yang_linear_img/226062273.jpg", "226062273")</f>
        <v>226062273</v>
      </c>
      <c r="B3504" s="7"/>
      <c r="C3504" s="6" t="str">
        <f>HYPERLINK("http://www.ncbi.nlm.nih.gov/protein/226062273","Ifrd1")</f>
        <v>Ifrd1</v>
      </c>
      <c r="D3504" s="8"/>
      <c r="E3504" s="8">
        <v>49804</v>
      </c>
      <c r="F3504" s="8"/>
      <c r="G3504" s="15" t="s">
        <v>10</v>
      </c>
      <c r="H3504" s="15" t="s">
        <v>10</v>
      </c>
      <c r="I3504" s="15" t="s">
        <v>10</v>
      </c>
      <c r="J3504" s="15" t="s">
        <v>10</v>
      </c>
      <c r="K3504" s="15">
        <v>1.1754641517118771</v>
      </c>
      <c r="L3504" s="15">
        <v>1.1754641517118771</v>
      </c>
      <c r="M3504" s="15">
        <v>1.1754641517118771</v>
      </c>
      <c r="N3504" s="15">
        <v>1.1754641517118771</v>
      </c>
      <c r="O3504" s="15" t="s">
        <v>10</v>
      </c>
      <c r="P3504" s="15" t="s">
        <v>10</v>
      </c>
      <c r="Q3504" s="8"/>
      <c r="R3504" s="9" t="s">
        <v>3248</v>
      </c>
    </row>
    <row r="3505" spans="1:18" x14ac:dyDescent="0.25">
      <c r="A3505" s="6" t="str">
        <f>HYPERLINK("proteomic_fractions_linear_files/Yang_linear_img/268370099.jpg", "268370099")</f>
        <v>268370099</v>
      </c>
      <c r="B3505" s="7"/>
      <c r="C3505" s="6" t="str">
        <f>HYPERLINK("http://www.ncbi.nlm.nih.gov/protein/268370099","Ift122")</f>
        <v>Ift122</v>
      </c>
      <c r="D3505" s="8"/>
      <c r="E3505" s="8">
        <v>134739</v>
      </c>
      <c r="F3505" s="8"/>
      <c r="G3505" s="15" t="s">
        <v>10</v>
      </c>
      <c r="H3505" s="15" t="s">
        <v>10</v>
      </c>
      <c r="I3505" s="15" t="s">
        <v>10</v>
      </c>
      <c r="J3505" s="15" t="s">
        <v>10</v>
      </c>
      <c r="K3505" s="15">
        <v>1.1366879343425322</v>
      </c>
      <c r="L3505" s="15">
        <v>1.1366879343425322</v>
      </c>
      <c r="M3505" s="15" t="s">
        <v>10</v>
      </c>
      <c r="N3505" s="15" t="s">
        <v>10</v>
      </c>
      <c r="O3505" s="15" t="s">
        <v>10</v>
      </c>
      <c r="P3505" s="15" t="s">
        <v>10</v>
      </c>
      <c r="Q3505" s="8"/>
      <c r="R3505" s="9" t="s">
        <v>3249</v>
      </c>
    </row>
    <row r="3506" spans="1:18" x14ac:dyDescent="0.25">
      <c r="A3506" s="6" t="str">
        <f>HYPERLINK("proteomic_fractions_linear_files/Yang_linear_img/268370101.jpg", "268370101")</f>
        <v>268370101</v>
      </c>
      <c r="B3506" s="7"/>
      <c r="C3506" s="6" t="str">
        <f>HYPERLINK("http://www.ncbi.nlm.nih.gov/protein/268370101","Ift122")</f>
        <v>Ift122</v>
      </c>
      <c r="D3506" s="8"/>
      <c r="E3506" s="8">
        <v>134668</v>
      </c>
      <c r="F3506" s="8"/>
      <c r="G3506" s="15" t="s">
        <v>10</v>
      </c>
      <c r="H3506" s="15" t="s">
        <v>10</v>
      </c>
      <c r="I3506" s="15" t="s">
        <v>10</v>
      </c>
      <c r="J3506" s="15" t="s">
        <v>10</v>
      </c>
      <c r="K3506" s="15">
        <v>1.1366879343425322</v>
      </c>
      <c r="L3506" s="15">
        <v>1.1366879343425322</v>
      </c>
      <c r="M3506" s="15" t="s">
        <v>10</v>
      </c>
      <c r="N3506" s="15" t="s">
        <v>10</v>
      </c>
      <c r="O3506" s="15" t="s">
        <v>10</v>
      </c>
      <c r="P3506" s="15" t="s">
        <v>10</v>
      </c>
      <c r="Q3506" s="8"/>
      <c r="R3506" s="9" t="s">
        <v>3250</v>
      </c>
    </row>
    <row r="3507" spans="1:18" x14ac:dyDescent="0.25">
      <c r="A3507" s="6" t="str">
        <f>HYPERLINK("proteomic_fractions_linear_files/Yang_linear_img/184186088.jpg", "184186088")</f>
        <v>184186088</v>
      </c>
      <c r="B3507" s="7"/>
      <c r="C3507" s="6" t="str">
        <f>HYPERLINK("http://www.ncbi.nlm.nih.gov/protein/184186088","Ift140")</f>
        <v>Ift140</v>
      </c>
      <c r="D3507" s="8"/>
      <c r="E3507" s="8">
        <v>165744</v>
      </c>
      <c r="F3507" s="8"/>
      <c r="G3507" s="15" t="s">
        <v>10</v>
      </c>
      <c r="H3507" s="15" t="s">
        <v>10</v>
      </c>
      <c r="I3507" s="15" t="s">
        <v>10</v>
      </c>
      <c r="J3507" s="15" t="s">
        <v>10</v>
      </c>
      <c r="K3507" s="15">
        <v>1.1250953713249419</v>
      </c>
      <c r="L3507" s="15">
        <v>1.1250953713249419</v>
      </c>
      <c r="M3507" s="15" t="s">
        <v>10</v>
      </c>
      <c r="N3507" s="15" t="s">
        <v>10</v>
      </c>
      <c r="O3507" s="15" t="s">
        <v>10</v>
      </c>
      <c r="P3507" s="15" t="s">
        <v>10</v>
      </c>
      <c r="Q3507" s="8"/>
      <c r="R3507" s="9" t="s">
        <v>3251</v>
      </c>
    </row>
    <row r="3508" spans="1:18" x14ac:dyDescent="0.25">
      <c r="A3508" s="6" t="str">
        <f>HYPERLINK("proteomic_fractions_linear_files/Yang_linear_img/281182704.jpg", "281182704")</f>
        <v>281182704</v>
      </c>
      <c r="B3508" s="7"/>
      <c r="C3508" s="6" t="str">
        <f>HYPERLINK("http://www.ncbi.nlm.nih.gov/protein/281182704","Ift172")</f>
        <v>Ift172</v>
      </c>
      <c r="D3508" s="8"/>
      <c r="E3508" s="8">
        <v>197418</v>
      </c>
      <c r="F3508" s="8"/>
      <c r="G3508" s="15" t="s">
        <v>10</v>
      </c>
      <c r="H3508" s="15" t="s">
        <v>10</v>
      </c>
      <c r="I3508" s="15" t="s">
        <v>10</v>
      </c>
      <c r="J3508" s="15" t="s">
        <v>10</v>
      </c>
      <c r="K3508" s="15">
        <v>1.1845728305982186</v>
      </c>
      <c r="L3508" s="15">
        <v>1.1845728305982186</v>
      </c>
      <c r="M3508" s="15" t="s">
        <v>10</v>
      </c>
      <c r="N3508" s="15" t="s">
        <v>10</v>
      </c>
      <c r="O3508" s="15" t="s">
        <v>10</v>
      </c>
      <c r="P3508" s="15" t="s">
        <v>10</v>
      </c>
      <c r="Q3508" s="8"/>
      <c r="R3508" s="9" t="s">
        <v>3252</v>
      </c>
    </row>
    <row r="3509" spans="1:18" x14ac:dyDescent="0.25">
      <c r="A3509" s="6" t="str">
        <f>HYPERLINK("proteomic_fractions_linear_files/Yang_linear_img/9506865.jpg", "9506865")</f>
        <v>9506865</v>
      </c>
      <c r="B3509" s="7"/>
      <c r="C3509" s="6" t="str">
        <f>HYPERLINK("http://www.ncbi.nlm.nih.gov/protein/9506865","Ift20")</f>
        <v>Ift20</v>
      </c>
      <c r="D3509" s="8"/>
      <c r="E3509" s="8">
        <v>15105</v>
      </c>
      <c r="F3509" s="8"/>
      <c r="G3509" s="15" t="s">
        <v>10</v>
      </c>
      <c r="H3509" s="15" t="s">
        <v>10</v>
      </c>
      <c r="I3509" s="15" t="s">
        <v>10</v>
      </c>
      <c r="J3509" s="15" t="s">
        <v>10</v>
      </c>
      <c r="K3509" s="15" t="s">
        <v>10</v>
      </c>
      <c r="L3509" s="15" t="s">
        <v>10</v>
      </c>
      <c r="M3509" s="15">
        <v>1.0618294522121183</v>
      </c>
      <c r="N3509" s="15">
        <v>1.0618294522121183</v>
      </c>
      <c r="O3509" s="15">
        <v>0.96783158145802317</v>
      </c>
      <c r="P3509" s="15">
        <v>0.96783158145802317</v>
      </c>
      <c r="Q3509" s="8"/>
      <c r="R3509" s="9" t="s">
        <v>3253</v>
      </c>
    </row>
    <row r="3510" spans="1:18" x14ac:dyDescent="0.25">
      <c r="A3510" s="6" t="str">
        <f>HYPERLINK("proteomic_fractions_linear_files/Yang_linear_img/21313158.jpg", "21313158")</f>
        <v>21313158</v>
      </c>
      <c r="B3510" s="7"/>
      <c r="C3510" s="6" t="str">
        <f>HYPERLINK("http://www.ncbi.nlm.nih.gov/protein/21313158","Ift27")</f>
        <v>Ift27</v>
      </c>
      <c r="D3510" s="8"/>
      <c r="E3510" s="8">
        <v>20683</v>
      </c>
      <c r="F3510" s="8"/>
      <c r="G3510" s="15" t="s">
        <v>10</v>
      </c>
      <c r="H3510" s="15" t="s">
        <v>10</v>
      </c>
      <c r="I3510" s="15">
        <v>0.98083053269791776</v>
      </c>
      <c r="J3510" s="15">
        <v>0.98083053269791776</v>
      </c>
      <c r="K3510" s="15">
        <v>0.98083053269791776</v>
      </c>
      <c r="L3510" s="15">
        <v>0.98083053269791776</v>
      </c>
      <c r="M3510" s="15">
        <v>0.98083053269791776</v>
      </c>
      <c r="N3510" s="15">
        <v>0.98083053269791776</v>
      </c>
      <c r="O3510" s="15">
        <v>0.92862618228739402</v>
      </c>
      <c r="P3510" s="15">
        <v>0.92862618228739402</v>
      </c>
      <c r="Q3510" s="8"/>
      <c r="R3510" s="9" t="s">
        <v>3254</v>
      </c>
    </row>
    <row r="3511" spans="1:18" x14ac:dyDescent="0.25">
      <c r="A3511" s="6" t="str">
        <f>HYPERLINK("proteomic_fractions_linear_files/Yang_linear_img/31981999.jpg", "31981999")</f>
        <v>31981999</v>
      </c>
      <c r="B3511" s="7"/>
      <c r="C3511" s="6" t="str">
        <f>HYPERLINK("http://www.ncbi.nlm.nih.gov/protein/31981999","Ift52")</f>
        <v>Ift52</v>
      </c>
      <c r="D3511" s="8"/>
      <c r="E3511" s="8">
        <v>48117</v>
      </c>
      <c r="F3511" s="8"/>
      <c r="G3511" s="15" t="s">
        <v>10</v>
      </c>
      <c r="H3511" s="15" t="s">
        <v>10</v>
      </c>
      <c r="I3511" s="15" t="s">
        <v>10</v>
      </c>
      <c r="J3511" s="15" t="s">
        <v>10</v>
      </c>
      <c r="K3511" s="15" t="s">
        <v>10</v>
      </c>
      <c r="L3511" s="15" t="s">
        <v>10</v>
      </c>
      <c r="M3511" s="15" t="s">
        <v>10</v>
      </c>
      <c r="N3511" s="15" t="s">
        <v>10</v>
      </c>
      <c r="O3511" s="15">
        <v>0.84390246256714052</v>
      </c>
      <c r="P3511" s="15">
        <v>0.84390246256714052</v>
      </c>
      <c r="Q3511" s="8"/>
      <c r="R3511" s="9" t="s">
        <v>3255</v>
      </c>
    </row>
    <row r="3512" spans="1:18" x14ac:dyDescent="0.25">
      <c r="A3512" s="6" t="str">
        <f>HYPERLINK("proteomic_fractions_linear_files/Yang_linear_img/28076907.jpg", "28076907")</f>
        <v>28076907</v>
      </c>
      <c r="B3512" s="7"/>
      <c r="C3512" s="6" t="str">
        <f>HYPERLINK("http://www.ncbi.nlm.nih.gov/protein/28076907","Ift80")</f>
        <v>Ift80</v>
      </c>
      <c r="D3512" s="8"/>
      <c r="E3512" s="8">
        <v>87680</v>
      </c>
      <c r="F3512" s="8"/>
      <c r="G3512" s="15" t="s">
        <v>10</v>
      </c>
      <c r="H3512" s="15" t="s">
        <v>10</v>
      </c>
      <c r="I3512" s="15">
        <v>0.94430293719481651</v>
      </c>
      <c r="J3512" s="15">
        <v>0.94430293719481651</v>
      </c>
      <c r="K3512" s="15">
        <v>0.18099365662706562</v>
      </c>
      <c r="L3512" s="15">
        <v>0.18099365662706562</v>
      </c>
      <c r="M3512" s="15">
        <v>0.94430293719481651</v>
      </c>
      <c r="N3512" s="15">
        <v>0.94430293719481651</v>
      </c>
      <c r="O3512" s="15">
        <v>0.24767888943953126</v>
      </c>
      <c r="P3512" s="15">
        <v>0.24767888943953126</v>
      </c>
      <c r="Q3512" s="8"/>
      <c r="R3512" s="9" t="s">
        <v>3256</v>
      </c>
    </row>
    <row r="3513" spans="1:18" x14ac:dyDescent="0.25">
      <c r="A3513" s="6" t="str">
        <f>HYPERLINK("proteomic_fractions_linear_files/Yang_linear_img/15638942.jpg", "15638942")</f>
        <v>15638942</v>
      </c>
      <c r="B3513" s="7"/>
      <c r="C3513" s="6" t="str">
        <f>HYPERLINK("http://www.ncbi.nlm.nih.gov/protein/15638942","Ift81")</f>
        <v>Ift81</v>
      </c>
      <c r="D3513" s="8"/>
      <c r="E3513" s="8">
        <v>79154</v>
      </c>
      <c r="F3513" s="8"/>
      <c r="G3513" s="15" t="s">
        <v>10</v>
      </c>
      <c r="H3513" s="15" t="s">
        <v>10</v>
      </c>
      <c r="I3513" s="15">
        <v>1.0518817528246058</v>
      </c>
      <c r="J3513" s="15">
        <v>1.0518817528246058</v>
      </c>
      <c r="K3513" s="15">
        <v>1.2021263440833483</v>
      </c>
      <c r="L3513" s="15">
        <v>1.2021263440833483</v>
      </c>
      <c r="M3513" s="15">
        <v>1.0518817528246058</v>
      </c>
      <c r="N3513" s="15">
        <v>1.0518817528246058</v>
      </c>
      <c r="O3513" s="15" t="s">
        <v>10</v>
      </c>
      <c r="P3513" s="15" t="s">
        <v>10</v>
      </c>
      <c r="Q3513" s="8"/>
      <c r="R3513" s="9" t="s">
        <v>3257</v>
      </c>
    </row>
    <row r="3514" spans="1:18" x14ac:dyDescent="0.25">
      <c r="A3514" s="6" t="str">
        <f>HYPERLINK("proteomic_fractions_linear_files/Yang_linear_img/304555605.jpg", "304555605")</f>
        <v>304555605</v>
      </c>
      <c r="B3514" s="7"/>
      <c r="C3514" s="6" t="str">
        <f>HYPERLINK("http://www.ncbi.nlm.nih.gov/protein/304555605","Igbp1")</f>
        <v>Igbp1</v>
      </c>
      <c r="D3514" s="8"/>
      <c r="E3514" s="8">
        <v>38840</v>
      </c>
      <c r="F3514" s="8"/>
      <c r="G3514" s="15">
        <v>1.3620658879487455</v>
      </c>
      <c r="H3514" s="15">
        <v>1.3620658879487455</v>
      </c>
      <c r="I3514" s="15">
        <v>1.038649184698019</v>
      </c>
      <c r="J3514" s="15">
        <v>1.038649184698019</v>
      </c>
      <c r="K3514" s="15">
        <v>1.038649184698019</v>
      </c>
      <c r="L3514" s="15">
        <v>1.038649184698019</v>
      </c>
      <c r="M3514" s="15">
        <v>1.038649184698019</v>
      </c>
      <c r="N3514" s="15">
        <v>1.038649184698019</v>
      </c>
      <c r="O3514" s="15">
        <v>0.95746990828524592</v>
      </c>
      <c r="P3514" s="15">
        <v>0.95746990828524592</v>
      </c>
      <c r="Q3514" s="8"/>
      <c r="R3514" s="9" t="s">
        <v>3258</v>
      </c>
    </row>
    <row r="3515" spans="1:18" x14ac:dyDescent="0.25">
      <c r="A3515" s="6" t="str">
        <f>HYPERLINK("proteomic_fractions_linear_files/Yang_linear_img/113866007.jpg", "113866007")</f>
        <v>113866007</v>
      </c>
      <c r="B3515" s="7"/>
      <c r="C3515" s="6" t="str">
        <f>HYPERLINK("http://www.ncbi.nlm.nih.gov/protein/113866007","Igbp1b")</f>
        <v>Igbp1b</v>
      </c>
      <c r="D3515" s="8"/>
      <c r="E3515" s="8">
        <v>39115</v>
      </c>
      <c r="F3515" s="8"/>
      <c r="G3515" s="15" t="s">
        <v>10</v>
      </c>
      <c r="H3515" s="15" t="s">
        <v>10</v>
      </c>
      <c r="I3515" s="15" t="s">
        <v>10</v>
      </c>
      <c r="J3515" s="15" t="s">
        <v>10</v>
      </c>
      <c r="K3515" s="15">
        <v>1.038649184698019</v>
      </c>
      <c r="L3515" s="15">
        <v>1.038649184698019</v>
      </c>
      <c r="M3515" s="15" t="s">
        <v>10</v>
      </c>
      <c r="N3515" s="15" t="s">
        <v>10</v>
      </c>
      <c r="O3515" s="15" t="s">
        <v>10</v>
      </c>
      <c r="P3515" s="15" t="s">
        <v>10</v>
      </c>
      <c r="Q3515" s="8"/>
      <c r="R3515" s="9" t="s">
        <v>3259</v>
      </c>
    </row>
    <row r="3516" spans="1:18" x14ac:dyDescent="0.25">
      <c r="A3516" s="6" t="str">
        <f>HYPERLINK("proteomic_fractions_linear_files/Yang_linear_img/112983656.jpg", "112983656")</f>
        <v>112983656</v>
      </c>
      <c r="B3516" s="7"/>
      <c r="C3516" s="6" t="str">
        <f>HYPERLINK("http://www.ncbi.nlm.nih.gov/protein/112983656","Igf1r")</f>
        <v>Igf1r</v>
      </c>
      <c r="D3516" s="8"/>
      <c r="E3516" s="8">
        <v>152352</v>
      </c>
      <c r="F3516" s="8"/>
      <c r="G3516" s="15" t="s">
        <v>10</v>
      </c>
      <c r="H3516" s="15" t="s">
        <v>10</v>
      </c>
      <c r="I3516" s="15">
        <v>1.0095583627384332</v>
      </c>
      <c r="J3516" s="15">
        <v>1.0095583627384332</v>
      </c>
      <c r="K3516" s="15">
        <v>1.0095583627384332</v>
      </c>
      <c r="L3516" s="15">
        <v>1.0095583627384332</v>
      </c>
      <c r="M3516" s="15" t="s">
        <v>10</v>
      </c>
      <c r="N3516" s="15" t="s">
        <v>10</v>
      </c>
      <c r="O3516" s="15" t="s">
        <v>10</v>
      </c>
      <c r="P3516" s="15" t="s">
        <v>10</v>
      </c>
      <c r="Q3516" s="8"/>
      <c r="R3516" s="9" t="s">
        <v>3260</v>
      </c>
    </row>
    <row r="3517" spans="1:18" x14ac:dyDescent="0.25">
      <c r="A3517" s="6" t="str">
        <f>HYPERLINK("proteomic_fractions_linear_files/Yang_linear_img/6753518.jpg", "6753518")</f>
        <v>6753518</v>
      </c>
      <c r="B3517" s="7"/>
      <c r="C3517" s="6" t="str">
        <f>HYPERLINK("http://www.ncbi.nlm.nih.gov/protein/6753518","Igf2bp1")</f>
        <v>Igf2bp1</v>
      </c>
      <c r="D3517" s="8"/>
      <c r="E3517" s="8">
        <v>63320</v>
      </c>
      <c r="F3517" s="8"/>
      <c r="G3517" s="15" t="s">
        <v>10</v>
      </c>
      <c r="H3517" s="15" t="s">
        <v>10</v>
      </c>
      <c r="I3517" s="15">
        <v>0.76650754895897222</v>
      </c>
      <c r="J3517" s="15">
        <v>0.76650754895897222</v>
      </c>
      <c r="K3517" s="15">
        <v>0.84318364492065201</v>
      </c>
      <c r="L3517" s="15">
        <v>0.84318364492065201</v>
      </c>
      <c r="M3517" s="15">
        <v>0.76650754895897222</v>
      </c>
      <c r="N3517" s="15">
        <v>0.76650754895897222</v>
      </c>
      <c r="O3517" s="15" t="s">
        <v>10</v>
      </c>
      <c r="P3517" s="15" t="s">
        <v>10</v>
      </c>
      <c r="Q3517" s="8"/>
      <c r="R3517" s="9" t="s">
        <v>3261</v>
      </c>
    </row>
    <row r="3518" spans="1:18" x14ac:dyDescent="0.25">
      <c r="A3518" s="6" t="str">
        <f>HYPERLINK("proteomic_fractions_linear_files/Yang_linear_img/145207996.jpg", "145207996")</f>
        <v>145207996</v>
      </c>
      <c r="B3518" s="7"/>
      <c r="C3518" s="6" t="str">
        <f>HYPERLINK("http://www.ncbi.nlm.nih.gov/protein/145207996","Igf2bp2")</f>
        <v>Igf2bp2</v>
      </c>
      <c r="D3518" s="8"/>
      <c r="E3518" s="8">
        <v>65453</v>
      </c>
      <c r="F3518" s="8"/>
      <c r="G3518" s="15">
        <v>1.2784408995868286</v>
      </c>
      <c r="H3518" s="15">
        <v>1.2784408995868286</v>
      </c>
      <c r="I3518" s="15">
        <v>1.1297870806412653</v>
      </c>
      <c r="J3518" s="15">
        <v>1.1297870806412653</v>
      </c>
      <c r="K3518" s="15">
        <v>1.1297870806412653</v>
      </c>
      <c r="L3518" s="15">
        <v>1.1297870806412653</v>
      </c>
      <c r="M3518" s="15">
        <v>1.1297870806412653</v>
      </c>
      <c r="N3518" s="15">
        <v>1.1297870806412653</v>
      </c>
      <c r="O3518" s="15">
        <v>1.0069732820083743</v>
      </c>
      <c r="P3518" s="15">
        <v>1.0069732820083743</v>
      </c>
      <c r="Q3518" s="8"/>
      <c r="R3518" s="9" t="s">
        <v>3262</v>
      </c>
    </row>
    <row r="3519" spans="1:18" x14ac:dyDescent="0.25">
      <c r="A3519" s="6" t="str">
        <f>HYPERLINK("proteomic_fractions_linear_files/Yang_linear_img/225543383.jpg", "225543383")</f>
        <v>225543383</v>
      </c>
      <c r="B3519" s="7"/>
      <c r="C3519" s="6" t="str">
        <f>HYPERLINK("http://www.ncbi.nlm.nih.gov/protein/225543383","Igf2bp3")</f>
        <v>Igf2bp3</v>
      </c>
      <c r="D3519" s="8"/>
      <c r="E3519" s="8">
        <v>63444</v>
      </c>
      <c r="F3519" s="8"/>
      <c r="G3519" s="15" t="s">
        <v>10</v>
      </c>
      <c r="H3519" s="15" t="s">
        <v>10</v>
      </c>
      <c r="I3519" s="15">
        <v>1.1656533371695594</v>
      </c>
      <c r="J3519" s="15">
        <v>1.1656533371695594</v>
      </c>
      <c r="K3519" s="15">
        <v>1.1656533371695594</v>
      </c>
      <c r="L3519" s="15">
        <v>1.1656533371695594</v>
      </c>
      <c r="M3519" s="15">
        <v>1.1656533371695594</v>
      </c>
      <c r="N3519" s="15">
        <v>1.1656533371695594</v>
      </c>
      <c r="O3519" s="15" t="s">
        <v>10</v>
      </c>
      <c r="P3519" s="15" t="s">
        <v>10</v>
      </c>
      <c r="Q3519" s="8"/>
      <c r="R3519" s="9" t="s">
        <v>3263</v>
      </c>
    </row>
    <row r="3520" spans="1:18" x14ac:dyDescent="0.25">
      <c r="A3520" s="6" t="str">
        <f>HYPERLINK("proteomic_fractions_linear_files/Yang_linear_img/133778978.jpg", "133778978")</f>
        <v>133778978</v>
      </c>
      <c r="B3520" s="7"/>
      <c r="C3520" s="6" t="str">
        <f>HYPERLINK("http://www.ncbi.nlm.nih.gov/protein/133778978","Igf2r")</f>
        <v>Igf2r</v>
      </c>
      <c r="D3520" s="8"/>
      <c r="E3520" s="8">
        <v>270360</v>
      </c>
      <c r="F3520" s="8"/>
      <c r="G3520" s="15" t="s">
        <v>10</v>
      </c>
      <c r="H3520" s="15" t="s">
        <v>10</v>
      </c>
      <c r="I3520" s="15">
        <v>1.1177160171722176</v>
      </c>
      <c r="J3520" s="15">
        <v>1.1177160171722176</v>
      </c>
      <c r="K3520" s="15">
        <v>1.1177160171722176</v>
      </c>
      <c r="L3520" s="15">
        <v>1.1177160171722176</v>
      </c>
      <c r="M3520" s="15">
        <v>1.5149761397757029</v>
      </c>
      <c r="N3520" s="15">
        <v>1.5149761397757029</v>
      </c>
      <c r="O3520" s="15" t="s">
        <v>10</v>
      </c>
      <c r="P3520" s="15" t="s">
        <v>10</v>
      </c>
      <c r="Q3520" s="8"/>
      <c r="R3520" s="9" t="s">
        <v>3264</v>
      </c>
    </row>
    <row r="3521" spans="1:18" x14ac:dyDescent="0.25">
      <c r="A3521" s="6" t="str">
        <f>HYPERLINK("proteomic_fractions_linear_files/Yang_linear_img/226958445.jpg", "226958445")</f>
        <v>226958445</v>
      </c>
      <c r="B3521" s="7"/>
      <c r="C3521" s="6" t="str">
        <f>HYPERLINK("http://www.ncbi.nlm.nih.gov/protein/226958445","Igfbp7")</f>
        <v>Igfbp7</v>
      </c>
      <c r="D3521" s="8"/>
      <c r="E3521" s="8">
        <v>26385</v>
      </c>
      <c r="F3521" s="8"/>
      <c r="G3521" s="15" t="s">
        <v>10</v>
      </c>
      <c r="H3521" s="15" t="s">
        <v>10</v>
      </c>
      <c r="I3521" s="15">
        <v>1.1494387266043513</v>
      </c>
      <c r="J3521" s="15">
        <v>1.1494387266043513</v>
      </c>
      <c r="K3521" s="15">
        <v>1.2340028021435996</v>
      </c>
      <c r="L3521" s="15">
        <v>1.2340028021435996</v>
      </c>
      <c r="M3521" s="15">
        <v>1.1494387266043513</v>
      </c>
      <c r="N3521" s="15">
        <v>1.1494387266043513</v>
      </c>
      <c r="O3521" s="15">
        <v>1.0737773576031562</v>
      </c>
      <c r="P3521" s="15">
        <v>1.0737773576031562</v>
      </c>
      <c r="Q3521" s="8"/>
      <c r="R3521" s="9" t="s">
        <v>3265</v>
      </c>
    </row>
    <row r="3522" spans="1:18" x14ac:dyDescent="0.25">
      <c r="A3522" s="6" t="str">
        <f>HYPERLINK("proteomic_fractions_linear_files/Yang_linear_img/226958453.jpg", "226958453")</f>
        <v>226958453</v>
      </c>
      <c r="B3522" s="7"/>
      <c r="C3522" s="6" t="str">
        <f>HYPERLINK("http://www.ncbi.nlm.nih.gov/protein/226958453","Igfbp7")</f>
        <v>Igfbp7</v>
      </c>
      <c r="D3522" s="8"/>
      <c r="E3522" s="8">
        <v>30088</v>
      </c>
      <c r="F3522" s="8"/>
      <c r="G3522" s="15" t="s">
        <v>10</v>
      </c>
      <c r="H3522" s="15" t="s">
        <v>10</v>
      </c>
      <c r="I3522" s="15">
        <v>0.99618022972377107</v>
      </c>
      <c r="J3522" s="15">
        <v>0.99618022972377107</v>
      </c>
      <c r="K3522" s="15">
        <v>1.0694690951911197</v>
      </c>
      <c r="L3522" s="15">
        <v>1.0694690951911197</v>
      </c>
      <c r="M3522" s="15">
        <v>0.99618022972377107</v>
      </c>
      <c r="N3522" s="15">
        <v>0.99618022972377107</v>
      </c>
      <c r="O3522" s="15">
        <v>0.93060704325606869</v>
      </c>
      <c r="P3522" s="15">
        <v>0.93060704325606869</v>
      </c>
      <c r="Q3522" s="8"/>
      <c r="R3522" s="9" t="s">
        <v>3266</v>
      </c>
    </row>
    <row r="3523" spans="1:18" x14ac:dyDescent="0.25">
      <c r="A3523" s="6" t="str">
        <f>HYPERLINK("proteomic_fractions_linear_files/Yang_linear_img/153945808.jpg", "153945808")</f>
        <v>153945808</v>
      </c>
      <c r="B3523" s="7"/>
      <c r="C3523" s="6" t="str">
        <f>HYPERLINK("http://www.ncbi.nlm.nih.gov/protein/153945808","Ighmbp2")</f>
        <v>Ighmbp2</v>
      </c>
      <c r="D3523" s="8"/>
      <c r="E3523" s="8">
        <v>109212</v>
      </c>
      <c r="F3523" s="8"/>
      <c r="G3523" s="15" t="s">
        <v>10</v>
      </c>
      <c r="H3523" s="15" t="s">
        <v>10</v>
      </c>
      <c r="I3523" s="15" t="s">
        <v>10</v>
      </c>
      <c r="J3523" s="15" t="s">
        <v>10</v>
      </c>
      <c r="K3523" s="15" t="s">
        <v>10</v>
      </c>
      <c r="L3523" s="15" t="s">
        <v>10</v>
      </c>
      <c r="M3523" s="15">
        <v>1.4078245058370811</v>
      </c>
      <c r="N3523" s="15">
        <v>1.4078245058370811</v>
      </c>
      <c r="O3523" s="15" t="s">
        <v>10</v>
      </c>
      <c r="P3523" s="15" t="s">
        <v>10</v>
      </c>
      <c r="Q3523" s="8"/>
      <c r="R3523" s="9" t="s">
        <v>3267</v>
      </c>
    </row>
    <row r="3524" spans="1:18" x14ac:dyDescent="0.25">
      <c r="A3524" s="6" t="str">
        <f>HYPERLINK("proteomic_fractions_linear_files/Yang_linear_img/262050642.jpg", "262050642")</f>
        <v>262050642</v>
      </c>
      <c r="B3524" s="7"/>
      <c r="C3524" s="6" t="str">
        <f>HYPERLINK("http://www.ncbi.nlm.nih.gov/protein/262050642","Igsf1")</f>
        <v>Igsf1</v>
      </c>
      <c r="D3524" s="8"/>
      <c r="E3524" s="8">
        <v>83774</v>
      </c>
      <c r="F3524" s="8"/>
      <c r="G3524" s="15" t="s">
        <v>10</v>
      </c>
      <c r="H3524" s="15" t="s">
        <v>10</v>
      </c>
      <c r="I3524" s="15" t="s">
        <v>10</v>
      </c>
      <c r="J3524" s="15" t="s">
        <v>10</v>
      </c>
      <c r="K3524" s="15">
        <v>1.3071614740610888</v>
      </c>
      <c r="L3524" s="15">
        <v>1.3071614740610888</v>
      </c>
      <c r="M3524" s="15" t="s">
        <v>10</v>
      </c>
      <c r="N3524" s="15" t="s">
        <v>10</v>
      </c>
      <c r="O3524" s="15" t="s">
        <v>10</v>
      </c>
      <c r="P3524" s="15" t="s">
        <v>10</v>
      </c>
      <c r="Q3524" s="8"/>
      <c r="R3524" s="9" t="s">
        <v>3268</v>
      </c>
    </row>
    <row r="3525" spans="1:18" x14ac:dyDescent="0.25">
      <c r="A3525" s="6" t="str">
        <f>HYPERLINK("proteomic_fractions_linear_files/Yang_linear_img/29244558.jpg", "29244558")</f>
        <v>29244558</v>
      </c>
      <c r="B3525" s="7"/>
      <c r="C3525" s="6" t="str">
        <f>HYPERLINK("http://www.ncbi.nlm.nih.gov/protein/29244558","Igsf1")</f>
        <v>Igsf1</v>
      </c>
      <c r="D3525" s="8"/>
      <c r="E3525" s="8">
        <v>23710</v>
      </c>
      <c r="F3525" s="8"/>
      <c r="G3525" s="15" t="s">
        <v>10</v>
      </c>
      <c r="H3525" s="15" t="s">
        <v>10</v>
      </c>
      <c r="I3525" s="15" t="s">
        <v>10</v>
      </c>
      <c r="J3525" s="15" t="s">
        <v>10</v>
      </c>
      <c r="K3525" s="15">
        <v>4.5750651592138114</v>
      </c>
      <c r="L3525" s="15">
        <v>4.5750651592138114</v>
      </c>
      <c r="M3525" s="15" t="s">
        <v>10</v>
      </c>
      <c r="N3525" s="15" t="s">
        <v>10</v>
      </c>
      <c r="O3525" s="15" t="s">
        <v>10</v>
      </c>
      <c r="P3525" s="15" t="s">
        <v>10</v>
      </c>
      <c r="Q3525" s="8"/>
      <c r="R3525" s="9" t="s">
        <v>3269</v>
      </c>
    </row>
    <row r="3526" spans="1:18" x14ac:dyDescent="0.25">
      <c r="A3526" s="6" t="str">
        <f>HYPERLINK("proteomic_fractions_linear_files/Yang_linear_img/34330164.jpg", "34330164")</f>
        <v>34330164</v>
      </c>
      <c r="B3526" s="7"/>
      <c r="C3526" s="6" t="str">
        <f>HYPERLINK("http://www.ncbi.nlm.nih.gov/protein/34330164","Igsf1")</f>
        <v>Igsf1</v>
      </c>
      <c r="D3526" s="8"/>
      <c r="E3526" s="8">
        <v>144660</v>
      </c>
      <c r="F3526" s="8"/>
      <c r="G3526" s="15" t="s">
        <v>10</v>
      </c>
      <c r="H3526" s="15" t="s">
        <v>10</v>
      </c>
      <c r="I3526" s="15" t="s">
        <v>10</v>
      </c>
      <c r="J3526" s="15" t="s">
        <v>10</v>
      </c>
      <c r="K3526" s="15">
        <v>0.75725216428366526</v>
      </c>
      <c r="L3526" s="15">
        <v>0.75725216428366526</v>
      </c>
      <c r="M3526" s="15" t="s">
        <v>10</v>
      </c>
      <c r="N3526" s="15" t="s">
        <v>10</v>
      </c>
      <c r="O3526" s="15" t="s">
        <v>10</v>
      </c>
      <c r="P3526" s="15" t="s">
        <v>10</v>
      </c>
      <c r="Q3526" s="8"/>
      <c r="R3526" s="9" t="s">
        <v>3270</v>
      </c>
    </row>
    <row r="3527" spans="1:18" x14ac:dyDescent="0.25">
      <c r="A3527" s="6" t="str">
        <f>HYPERLINK("proteomic_fractions_linear_files/Yang_linear_img/205360918.jpg", "205360918")</f>
        <v>205360918</v>
      </c>
      <c r="B3527" s="7"/>
      <c r="C3527" s="6" t="str">
        <f>HYPERLINK("http://www.ncbi.nlm.nih.gov/protein/205360918","Igtp")</f>
        <v>Igtp</v>
      </c>
      <c r="D3527" s="8"/>
      <c r="E3527" s="8">
        <v>48363</v>
      </c>
      <c r="F3527" s="8"/>
      <c r="G3527" s="15" t="s">
        <v>10</v>
      </c>
      <c r="H3527" s="15" t="s">
        <v>10</v>
      </c>
      <c r="I3527" s="15">
        <v>0.91928310931178059</v>
      </c>
      <c r="J3527" s="15">
        <v>0.91928310931178059</v>
      </c>
      <c r="K3527" s="15" t="s">
        <v>10</v>
      </c>
      <c r="L3527" s="15" t="s">
        <v>10</v>
      </c>
      <c r="M3527" s="15" t="s">
        <v>10</v>
      </c>
      <c r="N3527" s="15" t="s">
        <v>10</v>
      </c>
      <c r="O3527" s="15" t="s">
        <v>10</v>
      </c>
      <c r="P3527" s="15" t="s">
        <v>10</v>
      </c>
      <c r="Q3527" s="8"/>
      <c r="R3527" s="9" t="s">
        <v>3271</v>
      </c>
    </row>
    <row r="3528" spans="1:18" x14ac:dyDescent="0.25">
      <c r="A3528" s="6" t="str">
        <f>HYPERLINK("proteomic_fractions_linear_files/Yang_linear_img/158937298.jpg", "158937298")</f>
        <v>158937298</v>
      </c>
      <c r="B3528" s="7"/>
      <c r="C3528" s="6" t="str">
        <f>HYPERLINK("http://www.ncbi.nlm.nih.gov/protein/158937298","Ikbkap")</f>
        <v>Ikbkap</v>
      </c>
      <c r="D3528" s="8"/>
      <c r="E3528" s="8">
        <v>149453</v>
      </c>
      <c r="F3528" s="8"/>
      <c r="G3528" s="15" t="s">
        <v>10</v>
      </c>
      <c r="H3528" s="15" t="s">
        <v>10</v>
      </c>
      <c r="I3528" s="15">
        <v>1.0298850411828311</v>
      </c>
      <c r="J3528" s="15">
        <v>1.0298850411828311</v>
      </c>
      <c r="K3528" s="15">
        <v>1.2534619573150361</v>
      </c>
      <c r="L3528" s="15">
        <v>1.2534619573150361</v>
      </c>
      <c r="M3528" s="15">
        <v>1.2534619573150361</v>
      </c>
      <c r="N3528" s="15">
        <v>1.2534619573150361</v>
      </c>
      <c r="O3528" s="15">
        <v>1.2534619573150361</v>
      </c>
      <c r="P3528" s="15">
        <v>1.2534619573150361</v>
      </c>
      <c r="Q3528" s="8"/>
      <c r="R3528" s="9" t="s">
        <v>3272</v>
      </c>
    </row>
    <row r="3529" spans="1:18" x14ac:dyDescent="0.25">
      <c r="A3529" s="6" t="str">
        <f>HYPERLINK("proteomic_fractions_linear_files/Yang_linear_img/229576825.jpg", "229576825")</f>
        <v>229576825</v>
      </c>
      <c r="B3529" s="7"/>
      <c r="C3529" s="6" t="str">
        <f>HYPERLINK("http://www.ncbi.nlm.nih.gov/protein/229576825","Ikbkb")</f>
        <v>Ikbkb</v>
      </c>
      <c r="D3529" s="8"/>
      <c r="E3529" s="8">
        <v>86655</v>
      </c>
      <c r="F3529" s="8"/>
      <c r="G3529" s="15" t="s">
        <v>10</v>
      </c>
      <c r="H3529" s="15" t="s">
        <v>10</v>
      </c>
      <c r="I3529" s="15" t="s">
        <v>10</v>
      </c>
      <c r="J3529" s="15" t="s">
        <v>10</v>
      </c>
      <c r="K3529" s="15">
        <v>1.0915859906044196</v>
      </c>
      <c r="L3529" s="15">
        <v>1.0915859906044196</v>
      </c>
      <c r="M3529" s="15">
        <v>1.0915859906044196</v>
      </c>
      <c r="N3529" s="15">
        <v>1.0915859906044196</v>
      </c>
      <c r="O3529" s="15">
        <v>1.0915859906044196</v>
      </c>
      <c r="P3529" s="15">
        <v>1.0915859906044196</v>
      </c>
      <c r="Q3529" s="8"/>
      <c r="R3529" s="9" t="s">
        <v>3273</v>
      </c>
    </row>
    <row r="3530" spans="1:18" x14ac:dyDescent="0.25">
      <c r="A3530" s="6" t="str">
        <f>HYPERLINK("proteomic_fractions_linear_files/Yang_linear_img/33469101.jpg", "33469101")</f>
        <v>33469101</v>
      </c>
      <c r="B3530" s="7"/>
      <c r="C3530" s="6" t="str">
        <f>HYPERLINK("http://www.ncbi.nlm.nih.gov/protein/33469101","Ikbkb")</f>
        <v>Ikbkb</v>
      </c>
      <c r="D3530" s="8"/>
      <c r="E3530" s="8">
        <v>84257</v>
      </c>
      <c r="F3530" s="8"/>
      <c r="G3530" s="15" t="s">
        <v>10</v>
      </c>
      <c r="H3530" s="15" t="s">
        <v>10</v>
      </c>
      <c r="I3530" s="15" t="s">
        <v>10</v>
      </c>
      <c r="J3530" s="15" t="s">
        <v>10</v>
      </c>
      <c r="K3530" s="15">
        <v>1.1305712045545775</v>
      </c>
      <c r="L3530" s="15">
        <v>1.1305712045545775</v>
      </c>
      <c r="M3530" s="15">
        <v>1.1305712045545775</v>
      </c>
      <c r="N3530" s="15">
        <v>1.1305712045545775</v>
      </c>
      <c r="O3530" s="15">
        <v>1.1305712045545775</v>
      </c>
      <c r="P3530" s="15">
        <v>1.1305712045545775</v>
      </c>
      <c r="Q3530" s="8"/>
      <c r="R3530" s="9" t="s">
        <v>3274</v>
      </c>
    </row>
    <row r="3531" spans="1:18" x14ac:dyDescent="0.25">
      <c r="A3531" s="6" t="str">
        <f>HYPERLINK("proteomic_fractions_linear_files/Yang_linear_img/209862941.jpg", "209862941")</f>
        <v>209862941</v>
      </c>
      <c r="B3531" s="7"/>
      <c r="C3531" s="6" t="str">
        <f>HYPERLINK("http://www.ncbi.nlm.nih.gov/protein/209862941","Ikbkg")</f>
        <v>Ikbkg</v>
      </c>
      <c r="D3531" s="8"/>
      <c r="E3531" s="8">
        <v>50068</v>
      </c>
      <c r="F3531" s="8"/>
      <c r="G3531" s="15" t="s">
        <v>10</v>
      </c>
      <c r="H3531" s="15" t="s">
        <v>10</v>
      </c>
      <c r="I3531" s="15" t="s">
        <v>10</v>
      </c>
      <c r="J3531" s="15" t="s">
        <v>10</v>
      </c>
      <c r="K3531" s="15" t="s">
        <v>10</v>
      </c>
      <c r="L3531" s="15" t="s">
        <v>10</v>
      </c>
      <c r="M3531" s="15" t="s">
        <v>10</v>
      </c>
      <c r="N3531" s="15" t="s">
        <v>10</v>
      </c>
      <c r="O3531" s="15">
        <v>0.88251178493930937</v>
      </c>
      <c r="P3531" s="15">
        <v>0.88251178493930937</v>
      </c>
      <c r="Q3531" s="8"/>
      <c r="R3531" s="9" t="s">
        <v>3275</v>
      </c>
    </row>
    <row r="3532" spans="1:18" x14ac:dyDescent="0.25">
      <c r="A3532" s="6" t="str">
        <f>HYPERLINK("proteomic_fractions_linear_files/Yang_linear_img/238637310.jpg", "238637310")</f>
        <v>238637310</v>
      </c>
      <c r="B3532" s="7"/>
      <c r="C3532" s="6" t="str">
        <f>HYPERLINK("http://www.ncbi.nlm.nih.gov/protein/238637310","Ikbkg")</f>
        <v>Ikbkg</v>
      </c>
      <c r="D3532" s="8"/>
      <c r="E3532" s="8">
        <v>49940</v>
      </c>
      <c r="F3532" s="8"/>
      <c r="G3532" s="15" t="s">
        <v>10</v>
      </c>
      <c r="H3532" s="15" t="s">
        <v>10</v>
      </c>
      <c r="I3532" s="15" t="s">
        <v>10</v>
      </c>
      <c r="J3532" s="15" t="s">
        <v>10</v>
      </c>
      <c r="K3532" s="15" t="s">
        <v>10</v>
      </c>
      <c r="L3532" s="15" t="s">
        <v>10</v>
      </c>
      <c r="M3532" s="15" t="s">
        <v>10</v>
      </c>
      <c r="N3532" s="15" t="s">
        <v>10</v>
      </c>
      <c r="O3532" s="15">
        <v>0.88251178493930937</v>
      </c>
      <c r="P3532" s="15">
        <v>0.88251178493930937</v>
      </c>
      <c r="Q3532" s="8"/>
      <c r="R3532" s="9" t="s">
        <v>3276</v>
      </c>
    </row>
    <row r="3533" spans="1:18" x14ac:dyDescent="0.25">
      <c r="A3533" s="6" t="str">
        <f>HYPERLINK("proteomic_fractions_linear_files/Yang_linear_img/238637312.jpg", "238637312")</f>
        <v>238637312</v>
      </c>
      <c r="B3533" s="7"/>
      <c r="C3533" s="6" t="str">
        <f>HYPERLINK("http://www.ncbi.nlm.nih.gov/protein/238637312","Ikbkg")</f>
        <v>Ikbkg</v>
      </c>
      <c r="D3533" s="8"/>
      <c r="E3533" s="8">
        <v>49236</v>
      </c>
      <c r="F3533" s="8"/>
      <c r="G3533" s="15" t="s">
        <v>10</v>
      </c>
      <c r="H3533" s="15" t="s">
        <v>10</v>
      </c>
      <c r="I3533" s="15" t="s">
        <v>10</v>
      </c>
      <c r="J3533" s="15" t="s">
        <v>10</v>
      </c>
      <c r="K3533" s="15" t="s">
        <v>10</v>
      </c>
      <c r="L3533" s="15" t="s">
        <v>10</v>
      </c>
      <c r="M3533" s="15" t="s">
        <v>10</v>
      </c>
      <c r="N3533" s="15" t="s">
        <v>10</v>
      </c>
      <c r="O3533" s="15">
        <v>0.90052222952990757</v>
      </c>
      <c r="P3533" s="15">
        <v>0.90052222952990757</v>
      </c>
      <c r="Q3533" s="8"/>
      <c r="R3533" s="9" t="s">
        <v>3277</v>
      </c>
    </row>
    <row r="3534" spans="1:18" x14ac:dyDescent="0.25">
      <c r="A3534" s="6" t="str">
        <f>HYPERLINK("proteomic_fractions_linear_files/Yang_linear_img/238637314.jpg", "238637314")</f>
        <v>238637314</v>
      </c>
      <c r="B3534" s="7"/>
      <c r="C3534" s="6" t="str">
        <f>HYPERLINK("http://www.ncbi.nlm.nih.gov/protein/238637314","Ikbkg")</f>
        <v>Ikbkg</v>
      </c>
      <c r="D3534" s="8"/>
      <c r="E3534" s="8">
        <v>47841</v>
      </c>
      <c r="F3534" s="8"/>
      <c r="G3534" s="15" t="s">
        <v>10</v>
      </c>
      <c r="H3534" s="15" t="s">
        <v>10</v>
      </c>
      <c r="I3534" s="15" t="s">
        <v>10</v>
      </c>
      <c r="J3534" s="15" t="s">
        <v>10</v>
      </c>
      <c r="K3534" s="15" t="s">
        <v>10</v>
      </c>
      <c r="L3534" s="15" t="s">
        <v>10</v>
      </c>
      <c r="M3534" s="15" t="s">
        <v>10</v>
      </c>
      <c r="N3534" s="15" t="s">
        <v>10</v>
      </c>
      <c r="O3534" s="15">
        <v>0.91928310931178059</v>
      </c>
      <c r="P3534" s="15">
        <v>0.91928310931178059</v>
      </c>
      <c r="Q3534" s="8"/>
      <c r="R3534" s="9" t="s">
        <v>3278</v>
      </c>
    </row>
    <row r="3535" spans="1:18" x14ac:dyDescent="0.25">
      <c r="A3535" s="6" t="str">
        <f>HYPERLINK("proteomic_fractions_linear_files/Yang_linear_img/238637316.jpg", "238637316")</f>
        <v>238637316</v>
      </c>
      <c r="B3535" s="7"/>
      <c r="C3535" s="6" t="str">
        <f>HYPERLINK("http://www.ncbi.nlm.nih.gov/protein/238637316","Ikbkg")</f>
        <v>Ikbkg</v>
      </c>
      <c r="D3535" s="8"/>
      <c r="E3535" s="8">
        <v>47713</v>
      </c>
      <c r="F3535" s="8"/>
      <c r="G3535" s="15" t="s">
        <v>10</v>
      </c>
      <c r="H3535" s="15" t="s">
        <v>10</v>
      </c>
      <c r="I3535" s="15" t="s">
        <v>10</v>
      </c>
      <c r="J3535" s="15" t="s">
        <v>10</v>
      </c>
      <c r="K3535" s="15" t="s">
        <v>10</v>
      </c>
      <c r="L3535" s="15" t="s">
        <v>10</v>
      </c>
      <c r="M3535" s="15" t="s">
        <v>10</v>
      </c>
      <c r="N3535" s="15" t="s">
        <v>10</v>
      </c>
      <c r="O3535" s="15">
        <v>0.91928310931178059</v>
      </c>
      <c r="P3535" s="15">
        <v>0.91928310931178059</v>
      </c>
      <c r="Q3535" s="8"/>
      <c r="R3535" s="9" t="s">
        <v>3279</v>
      </c>
    </row>
    <row r="3536" spans="1:18" x14ac:dyDescent="0.25">
      <c r="A3536" s="6" t="str">
        <f>HYPERLINK("proteomic_fractions_linear_files/Yang_linear_img/111607428.jpg", "111607428")</f>
        <v>111607428</v>
      </c>
      <c r="B3536" s="7"/>
      <c r="C3536" s="6" t="str">
        <f>HYPERLINK("http://www.ncbi.nlm.nih.gov/protein/111607428","Il10rb")</f>
        <v>Il10rb</v>
      </c>
      <c r="D3536" s="8"/>
      <c r="E3536" s="8">
        <v>37920</v>
      </c>
      <c r="F3536" s="8"/>
      <c r="G3536" s="15" t="s">
        <v>10</v>
      </c>
      <c r="H3536" s="15" t="s">
        <v>10</v>
      </c>
      <c r="I3536" s="15">
        <v>1.9325305326758486</v>
      </c>
      <c r="J3536" s="15">
        <v>1.9325305326758486</v>
      </c>
      <c r="K3536" s="15">
        <v>2.1868068019248383</v>
      </c>
      <c r="L3536" s="15">
        <v>2.1868068019248383</v>
      </c>
      <c r="M3536" s="15" t="s">
        <v>10</v>
      </c>
      <c r="N3536" s="15" t="s">
        <v>10</v>
      </c>
      <c r="O3536" s="15" t="s">
        <v>10</v>
      </c>
      <c r="P3536" s="15" t="s">
        <v>10</v>
      </c>
      <c r="Q3536" s="8"/>
      <c r="R3536" s="9" t="s">
        <v>3280</v>
      </c>
    </row>
    <row r="3537" spans="1:18" x14ac:dyDescent="0.25">
      <c r="A3537" s="6" t="str">
        <f>HYPERLINK("proteomic_fractions_linear_files/Yang_linear_img/6754326.jpg", "6754326")</f>
        <v>6754326</v>
      </c>
      <c r="B3537" s="7"/>
      <c r="C3537" s="6" t="str">
        <f>HYPERLINK("http://www.ncbi.nlm.nih.gov/protein/6754326","Il18rap")</f>
        <v>Il18rap</v>
      </c>
      <c r="D3537" s="8"/>
      <c r="E3537" s="8">
        <v>67954</v>
      </c>
      <c r="F3537" s="8"/>
      <c r="G3537" s="15" t="s">
        <v>10</v>
      </c>
      <c r="H3537" s="15" t="s">
        <v>10</v>
      </c>
      <c r="I3537" s="15" t="s">
        <v>10</v>
      </c>
      <c r="J3537" s="15" t="s">
        <v>10</v>
      </c>
      <c r="K3537" s="15">
        <v>2.7465563476461816</v>
      </c>
      <c r="L3537" s="15">
        <v>2.7465563476461816</v>
      </c>
      <c r="M3537" s="15" t="s">
        <v>10</v>
      </c>
      <c r="N3537" s="15" t="s">
        <v>10</v>
      </c>
      <c r="O3537" s="15" t="s">
        <v>10</v>
      </c>
      <c r="P3537" s="15" t="s">
        <v>10</v>
      </c>
      <c r="Q3537" s="8"/>
      <c r="R3537" s="9" t="s">
        <v>3281</v>
      </c>
    </row>
    <row r="3538" spans="1:18" x14ac:dyDescent="0.25">
      <c r="A3538" s="6" t="str">
        <f>HYPERLINK("proteomic_fractions_linear_files/Yang_linear_img/13624317.jpg", "13624317")</f>
        <v>13624317</v>
      </c>
      <c r="B3538" s="7"/>
      <c r="C3538" s="6" t="str">
        <f>HYPERLINK("http://www.ncbi.nlm.nih.gov/protein/13624317","Il1rn")</f>
        <v>Il1rn</v>
      </c>
      <c r="D3538" s="8"/>
      <c r="E3538" s="8">
        <v>17864</v>
      </c>
      <c r="F3538" s="8"/>
      <c r="G3538" s="15" t="s">
        <v>10</v>
      </c>
      <c r="H3538" s="15" t="s">
        <v>10</v>
      </c>
      <c r="I3538" s="15" t="s">
        <v>10</v>
      </c>
      <c r="J3538" s="15" t="s">
        <v>10</v>
      </c>
      <c r="K3538" s="15" t="s">
        <v>10</v>
      </c>
      <c r="L3538" s="15" t="s">
        <v>10</v>
      </c>
      <c r="M3538" s="15" t="s">
        <v>10</v>
      </c>
      <c r="N3538" s="15" t="s">
        <v>10</v>
      </c>
      <c r="O3538" s="15">
        <v>0.9286930289226123</v>
      </c>
      <c r="P3538" s="15">
        <v>0.9286930289226123</v>
      </c>
      <c r="Q3538" s="8"/>
      <c r="R3538" s="9" t="s">
        <v>3282</v>
      </c>
    </row>
    <row r="3539" spans="1:18" x14ac:dyDescent="0.25">
      <c r="A3539" s="6" t="str">
        <f>HYPERLINK("proteomic_fractions_linear_files/Yang_linear_img/227116259.jpg", "227116259")</f>
        <v>227116259</v>
      </c>
      <c r="B3539" s="7"/>
      <c r="C3539" s="6" t="str">
        <f>HYPERLINK("http://www.ncbi.nlm.nih.gov/protein/227116259","Il1rn")</f>
        <v>Il1rn</v>
      </c>
      <c r="D3539" s="8"/>
      <c r="E3539" s="8">
        <v>18149</v>
      </c>
      <c r="F3539" s="8"/>
      <c r="G3539" s="15" t="s">
        <v>10</v>
      </c>
      <c r="H3539" s="15" t="s">
        <v>10</v>
      </c>
      <c r="I3539" s="15" t="s">
        <v>10</v>
      </c>
      <c r="J3539" s="15" t="s">
        <v>10</v>
      </c>
      <c r="K3539" s="15" t="s">
        <v>10</v>
      </c>
      <c r="L3539" s="15" t="s">
        <v>10</v>
      </c>
      <c r="M3539" s="15" t="s">
        <v>10</v>
      </c>
      <c r="N3539" s="15" t="s">
        <v>10</v>
      </c>
      <c r="O3539" s="15">
        <v>0.9286930289226123</v>
      </c>
      <c r="P3539" s="15">
        <v>0.9286930289226123</v>
      </c>
      <c r="Q3539" s="8"/>
      <c r="R3539" s="9" t="s">
        <v>3283</v>
      </c>
    </row>
    <row r="3540" spans="1:18" x14ac:dyDescent="0.25">
      <c r="A3540" s="6" t="str">
        <f>HYPERLINK("proteomic_fractions_linear_files/Yang_linear_img/89257344.jpg", "89257344")</f>
        <v>89257344</v>
      </c>
      <c r="B3540" s="7"/>
      <c r="C3540" s="6" t="str">
        <f>HYPERLINK("http://www.ncbi.nlm.nih.gov/protein/89257344","Il1rn")</f>
        <v>Il1rn</v>
      </c>
      <c r="D3540" s="8"/>
      <c r="E3540" s="8">
        <v>17332</v>
      </c>
      <c r="F3540" s="8"/>
      <c r="G3540" s="15" t="s">
        <v>10</v>
      </c>
      <c r="H3540" s="15" t="s">
        <v>10</v>
      </c>
      <c r="I3540" s="15" t="s">
        <v>10</v>
      </c>
      <c r="J3540" s="15" t="s">
        <v>10</v>
      </c>
      <c r="K3540" s="15" t="s">
        <v>10</v>
      </c>
      <c r="L3540" s="15" t="s">
        <v>10</v>
      </c>
      <c r="M3540" s="15" t="s">
        <v>10</v>
      </c>
      <c r="N3540" s="15" t="s">
        <v>10</v>
      </c>
      <c r="O3540" s="15">
        <v>0.98332203062394252</v>
      </c>
      <c r="P3540" s="15">
        <v>0.98332203062394252</v>
      </c>
      <c r="Q3540" s="8"/>
      <c r="R3540" s="9" t="s">
        <v>3284</v>
      </c>
    </row>
    <row r="3541" spans="1:18" x14ac:dyDescent="0.25">
      <c r="A3541" s="6" t="str">
        <f>HYPERLINK("proteomic_fractions_linear_files/Yang_linear_img/13385872.jpg", "13385872")</f>
        <v>13385872</v>
      </c>
      <c r="B3541" s="7"/>
      <c r="C3541" s="6" t="str">
        <f>HYPERLINK("http://www.ncbi.nlm.nih.gov/protein/13385872","Ilf2")</f>
        <v>Ilf2</v>
      </c>
      <c r="D3541" s="8"/>
      <c r="E3541" s="8">
        <v>42931</v>
      </c>
      <c r="F3541" s="8"/>
      <c r="G3541" s="15">
        <v>1.2353620844186297</v>
      </c>
      <c r="H3541" s="15">
        <v>1.2353620844186297</v>
      </c>
      <c r="I3541" s="15">
        <v>0.942030655888901</v>
      </c>
      <c r="J3541" s="15">
        <v>0.942030655888901</v>
      </c>
      <c r="K3541" s="15">
        <v>1.0261764941154761</v>
      </c>
      <c r="L3541" s="15">
        <v>1.0261764941154761</v>
      </c>
      <c r="M3541" s="15">
        <v>0.942030655888901</v>
      </c>
      <c r="N3541" s="15">
        <v>0.942030655888901</v>
      </c>
      <c r="O3541" s="15" t="s">
        <v>10</v>
      </c>
      <c r="P3541" s="15" t="s">
        <v>10</v>
      </c>
      <c r="Q3541" s="8"/>
      <c r="R3541" s="9" t="s">
        <v>3285</v>
      </c>
    </row>
    <row r="3542" spans="1:18" x14ac:dyDescent="0.25">
      <c r="A3542" s="6" t="str">
        <f>HYPERLINK("proteomic_fractions_linear_files/Yang_linear_img/472339066;111607430.jpg", "472339066;111607430")</f>
        <v>472339066;111607430</v>
      </c>
      <c r="B3542" s="8"/>
      <c r="C3542" s="6" t="str">
        <f>HYPERLINK("http://www.ncbi.nlm.nih.gov/protein/472339066;111607430","Ilf3")</f>
        <v>Ilf3</v>
      </c>
      <c r="D3542" s="8"/>
      <c r="E3542" s="8">
        <v>97635</v>
      </c>
      <c r="F3542" s="8"/>
      <c r="G3542" s="15">
        <v>1.1204241206237904</v>
      </c>
      <c r="H3542" s="15">
        <v>1.1204241206237904</v>
      </c>
      <c r="I3542" s="15" t="s">
        <v>10</v>
      </c>
      <c r="J3542" s="15" t="s">
        <v>10</v>
      </c>
      <c r="K3542" s="15">
        <v>0.96906103247535214</v>
      </c>
      <c r="L3542" s="15">
        <v>0.96906103247535214</v>
      </c>
      <c r="M3542" s="15" t="s">
        <v>10</v>
      </c>
      <c r="N3542" s="15" t="s">
        <v>10</v>
      </c>
      <c r="O3542" s="15" t="s">
        <v>10</v>
      </c>
      <c r="P3542" s="15" t="s">
        <v>10</v>
      </c>
      <c r="Q3542" s="8"/>
      <c r="R3542" s="9" t="s">
        <v>3286</v>
      </c>
    </row>
    <row r="3543" spans="1:18" x14ac:dyDescent="0.25">
      <c r="A3543" s="6" t="str">
        <f>HYPERLINK("proteomic_fractions_linear_files/Yang_linear_img/472339106.jpg", "472339106")</f>
        <v>472339106</v>
      </c>
      <c r="B3543" s="7"/>
      <c r="C3543" s="6" t="str">
        <f>HYPERLINK("http://www.ncbi.nlm.nih.gov/protein/472339106","Ilf3")</f>
        <v>Ilf3</v>
      </c>
      <c r="D3543" s="8"/>
      <c r="E3543" s="8">
        <v>97322</v>
      </c>
      <c r="F3543" s="8"/>
      <c r="G3543" s="15">
        <v>1.1319748847539326</v>
      </c>
      <c r="H3543" s="15">
        <v>1.1319748847539326</v>
      </c>
      <c r="I3543" s="15" t="s">
        <v>10</v>
      </c>
      <c r="J3543" s="15" t="s">
        <v>10</v>
      </c>
      <c r="K3543" s="15">
        <v>0.97905135239777841</v>
      </c>
      <c r="L3543" s="15">
        <v>0.97905135239777841</v>
      </c>
      <c r="M3543" s="15" t="s">
        <v>10</v>
      </c>
      <c r="N3543" s="15" t="s">
        <v>10</v>
      </c>
      <c r="O3543" s="15" t="s">
        <v>10</v>
      </c>
      <c r="P3543" s="15" t="s">
        <v>10</v>
      </c>
      <c r="Q3543" s="8"/>
      <c r="R3543" s="9" t="s">
        <v>3287</v>
      </c>
    </row>
    <row r="3544" spans="1:18" x14ac:dyDescent="0.25">
      <c r="A3544" s="6" t="str">
        <f>HYPERLINK("proteomic_fractions_linear_files/Yang_linear_img/111607430.jpg", "111607430")</f>
        <v>111607430</v>
      </c>
      <c r="B3544" s="7"/>
      <c r="C3544" s="6" t="str">
        <f>HYPERLINK("http://www.ncbi.nlm.nih.gov/protein/111607430","Ilf3")</f>
        <v>Ilf3</v>
      </c>
      <c r="D3544" s="8"/>
      <c r="E3544" s="8">
        <v>97635</v>
      </c>
      <c r="F3544" s="8"/>
      <c r="G3544" s="15" t="s">
        <v>10</v>
      </c>
      <c r="H3544" s="15" t="s">
        <v>10</v>
      </c>
      <c r="I3544" s="15" t="s">
        <v>10</v>
      </c>
      <c r="J3544" s="15" t="s">
        <v>10</v>
      </c>
      <c r="K3544" s="15" t="s">
        <v>10</v>
      </c>
      <c r="L3544" s="15" t="s">
        <v>10</v>
      </c>
      <c r="M3544" s="15">
        <v>0.96906103247535214</v>
      </c>
      <c r="N3544" s="15">
        <v>0.96906103247535214</v>
      </c>
      <c r="O3544" s="15" t="s">
        <v>10</v>
      </c>
      <c r="P3544" s="15" t="s">
        <v>10</v>
      </c>
      <c r="Q3544" s="8"/>
      <c r="R3544" s="9" t="s">
        <v>3286</v>
      </c>
    </row>
    <row r="3545" spans="1:18" x14ac:dyDescent="0.25">
      <c r="A3545" s="6" t="str">
        <f>HYPERLINK("proteomic_fractions_linear_files/Yang_linear_img/111607432.jpg", "111607432")</f>
        <v>111607432</v>
      </c>
      <c r="B3545" s="7"/>
      <c r="C3545" s="6" t="str">
        <f>HYPERLINK("http://www.ncbi.nlm.nih.gov/protein/111607432","Ilf3")</f>
        <v>Ilf3</v>
      </c>
      <c r="D3545" s="8"/>
      <c r="E3545" s="8">
        <v>95890</v>
      </c>
      <c r="F3545" s="8"/>
      <c r="G3545" s="15">
        <v>1.1437662898034529</v>
      </c>
      <c r="H3545" s="15">
        <v>1.1437662898034529</v>
      </c>
      <c r="I3545" s="15" t="s">
        <v>10</v>
      </c>
      <c r="J3545" s="15" t="s">
        <v>10</v>
      </c>
      <c r="K3545" s="15">
        <v>0.9892498039852553</v>
      </c>
      <c r="L3545" s="15">
        <v>0.9892498039852553</v>
      </c>
      <c r="M3545" s="15">
        <v>0.9892498039852553</v>
      </c>
      <c r="N3545" s="15">
        <v>0.9892498039852553</v>
      </c>
      <c r="O3545" s="15" t="s">
        <v>10</v>
      </c>
      <c r="P3545" s="15" t="s">
        <v>10</v>
      </c>
      <c r="Q3545" s="8"/>
      <c r="R3545" s="9" t="s">
        <v>3288</v>
      </c>
    </row>
    <row r="3546" spans="1:18" x14ac:dyDescent="0.25">
      <c r="A3546" s="6" t="str">
        <f>HYPERLINK("proteomic_fractions_linear_files/Yang_linear_img/111607434.jpg", "111607434")</f>
        <v>111607434</v>
      </c>
      <c r="B3546" s="7"/>
      <c r="C3546" s="6" t="str">
        <f>HYPERLINK("http://www.ncbi.nlm.nih.gov/protein/111607434","Ilf3")</f>
        <v>Ilf3</v>
      </c>
      <c r="D3546" s="8"/>
      <c r="E3546" s="8">
        <v>77962</v>
      </c>
      <c r="F3546" s="8"/>
      <c r="G3546" s="15">
        <v>1.4077123566811727</v>
      </c>
      <c r="H3546" s="15">
        <v>1.4077123566811727</v>
      </c>
      <c r="I3546" s="15" t="s">
        <v>10</v>
      </c>
      <c r="J3546" s="15" t="s">
        <v>10</v>
      </c>
      <c r="K3546" s="15">
        <v>1.2175382202895451</v>
      </c>
      <c r="L3546" s="15">
        <v>1.2175382202895451</v>
      </c>
      <c r="M3546" s="15">
        <v>1.2175382202895451</v>
      </c>
      <c r="N3546" s="15">
        <v>1.2175382202895451</v>
      </c>
      <c r="O3546" s="15" t="s">
        <v>10</v>
      </c>
      <c r="P3546" s="15" t="s">
        <v>10</v>
      </c>
      <c r="Q3546" s="8"/>
      <c r="R3546" s="9" t="s">
        <v>3289</v>
      </c>
    </row>
    <row r="3547" spans="1:18" x14ac:dyDescent="0.25">
      <c r="A3547" s="6" t="str">
        <f>HYPERLINK("proteomic_fractions_linear_files/Yang_linear_img/111607436.jpg", "111607436")</f>
        <v>111607436</v>
      </c>
      <c r="B3547" s="7"/>
      <c r="C3547" s="6" t="str">
        <f>HYPERLINK("http://www.ncbi.nlm.nih.gov/protein/111607436","Ilf3")</f>
        <v>Ilf3</v>
      </c>
      <c r="D3547" s="8"/>
      <c r="E3547" s="8">
        <v>76217</v>
      </c>
      <c r="F3547" s="8"/>
      <c r="G3547" s="15">
        <v>1.4447574186990984</v>
      </c>
      <c r="H3547" s="15">
        <v>1.4447574186990984</v>
      </c>
      <c r="I3547" s="15" t="s">
        <v>10</v>
      </c>
      <c r="J3547" s="15" t="s">
        <v>10</v>
      </c>
      <c r="K3547" s="15">
        <v>1.2495786997708489</v>
      </c>
      <c r="L3547" s="15">
        <v>1.2495786997708489</v>
      </c>
      <c r="M3547" s="15">
        <v>1.2495786997708489</v>
      </c>
      <c r="N3547" s="15">
        <v>1.2495786997708489</v>
      </c>
      <c r="O3547" s="15" t="s">
        <v>10</v>
      </c>
      <c r="P3547" s="15" t="s">
        <v>10</v>
      </c>
      <c r="Q3547" s="8"/>
      <c r="R3547" s="9" t="s">
        <v>3290</v>
      </c>
    </row>
    <row r="3548" spans="1:18" x14ac:dyDescent="0.25">
      <c r="A3548" s="6" t="str">
        <f>HYPERLINK("proteomic_fractions_linear_files/Yang_linear_img/240255651;240255653.jpg", "240255651;240255653")</f>
        <v>240255651;240255653</v>
      </c>
      <c r="B3548" s="8"/>
      <c r="C3548" s="6" t="str">
        <f>HYPERLINK("http://www.ncbi.nlm.nih.gov/protein/240255651;240255653","Ilk")</f>
        <v>Ilk</v>
      </c>
      <c r="D3548" s="8"/>
      <c r="E3548" s="8">
        <v>51242</v>
      </c>
      <c r="F3548" s="8"/>
      <c r="G3548" s="15" t="s">
        <v>10</v>
      </c>
      <c r="H3548" s="15" t="s">
        <v>10</v>
      </c>
      <c r="I3548" s="15" t="s">
        <v>10</v>
      </c>
      <c r="J3548" s="15" t="s">
        <v>10</v>
      </c>
      <c r="K3548" s="15">
        <v>1.0415797966666878</v>
      </c>
      <c r="L3548" s="15">
        <v>1.0415797966666878</v>
      </c>
      <c r="M3548" s="15" t="s">
        <v>10</v>
      </c>
      <c r="N3548" s="15" t="s">
        <v>10</v>
      </c>
      <c r="O3548" s="15" t="s">
        <v>10</v>
      </c>
      <c r="P3548" s="15" t="s">
        <v>10</v>
      </c>
      <c r="Q3548" s="8"/>
      <c r="R3548" s="9" t="s">
        <v>3291</v>
      </c>
    </row>
    <row r="3549" spans="1:18" x14ac:dyDescent="0.25">
      <c r="A3549" s="6" t="str">
        <f>HYPERLINK("proteomic_fractions_linear_files/Yang_linear_img/240255653;240255651.jpg", "240255653;240255651")</f>
        <v>240255653;240255651</v>
      </c>
      <c r="B3549" s="8"/>
      <c r="C3549" s="6" t="str">
        <f>HYPERLINK("http://www.ncbi.nlm.nih.gov/protein/240255653;240255651","Ilk")</f>
        <v>Ilk</v>
      </c>
      <c r="D3549" s="8"/>
      <c r="E3549" s="8">
        <v>51242</v>
      </c>
      <c r="F3549" s="8"/>
      <c r="G3549" s="15" t="s">
        <v>10</v>
      </c>
      <c r="H3549" s="15" t="s">
        <v>10</v>
      </c>
      <c r="I3549" s="15">
        <v>0.94686226636108339</v>
      </c>
      <c r="J3549" s="15">
        <v>1.0415797966666878</v>
      </c>
      <c r="K3549" s="15" t="s">
        <v>10</v>
      </c>
      <c r="L3549" s="15" t="s">
        <v>10</v>
      </c>
      <c r="M3549" s="15">
        <v>0.94686226636108339</v>
      </c>
      <c r="N3549" s="15">
        <v>0.94686226636108339</v>
      </c>
      <c r="O3549" s="15">
        <v>0.94686226636108339</v>
      </c>
      <c r="P3549" s="15">
        <v>0.94686226636108339</v>
      </c>
      <c r="Q3549" s="8"/>
      <c r="R3549" s="9" t="s">
        <v>3291</v>
      </c>
    </row>
    <row r="3550" spans="1:18" x14ac:dyDescent="0.25">
      <c r="A3550" s="6" t="str">
        <f>HYPERLINK("proteomic_fractions_linear_files/Yang_linear_img/39930415.jpg", "39930415")</f>
        <v>39930415</v>
      </c>
      <c r="B3550" s="7"/>
      <c r="C3550" s="6" t="str">
        <f>HYPERLINK("http://www.ncbi.nlm.nih.gov/protein/39930415","Ilkap")</f>
        <v>Ilkap</v>
      </c>
      <c r="D3550" s="8"/>
      <c r="E3550" s="8">
        <v>42643</v>
      </c>
      <c r="F3550" s="8"/>
      <c r="G3550" s="15" t="s">
        <v>10</v>
      </c>
      <c r="H3550" s="15" t="s">
        <v>10</v>
      </c>
      <c r="I3550" s="15">
        <v>1.0261764941154761</v>
      </c>
      <c r="J3550" s="15">
        <v>1.0261764941154761</v>
      </c>
      <c r="K3550" s="15" t="s">
        <v>10</v>
      </c>
      <c r="L3550" s="15" t="s">
        <v>10</v>
      </c>
      <c r="M3550" s="15" t="s">
        <v>10</v>
      </c>
      <c r="N3550" s="15" t="s">
        <v>10</v>
      </c>
      <c r="O3550" s="15">
        <v>0.942030655888901</v>
      </c>
      <c r="P3550" s="15">
        <v>0.942030655888901</v>
      </c>
      <c r="Q3550" s="8"/>
      <c r="R3550" s="9" t="s">
        <v>3292</v>
      </c>
    </row>
    <row r="3551" spans="1:18" x14ac:dyDescent="0.25">
      <c r="A3551" s="6" t="str">
        <f>HYPERLINK("proteomic_fractions_linear_files/Yang_linear_img/30424591.jpg", "30424591")</f>
        <v>30424591</v>
      </c>
      <c r="B3551" s="7"/>
      <c r="C3551" s="6" t="str">
        <f>HYPERLINK("http://www.ncbi.nlm.nih.gov/protein/30424591","Ilvbl")</f>
        <v>Ilvbl</v>
      </c>
      <c r="D3551" s="8"/>
      <c r="E3551" s="8">
        <v>68025</v>
      </c>
      <c r="F3551" s="8"/>
      <c r="G3551" s="15">
        <v>1.222039095193292</v>
      </c>
      <c r="H3551" s="15">
        <v>1.222039095193292</v>
      </c>
      <c r="I3551" s="15">
        <v>0.96254799015506365</v>
      </c>
      <c r="J3551" s="15">
        <v>0.96254799015506365</v>
      </c>
      <c r="K3551" s="15">
        <v>0.96254799015506365</v>
      </c>
      <c r="L3551" s="15">
        <v>0.96254799015506365</v>
      </c>
      <c r="M3551" s="15" t="s">
        <v>10</v>
      </c>
      <c r="N3551" s="15" t="s">
        <v>10</v>
      </c>
      <c r="O3551" s="15" t="s">
        <v>10</v>
      </c>
      <c r="P3551" s="15" t="s">
        <v>10</v>
      </c>
      <c r="Q3551" s="8"/>
      <c r="R3551" s="9" t="s">
        <v>3293</v>
      </c>
    </row>
    <row r="3552" spans="1:18" x14ac:dyDescent="0.25">
      <c r="A3552" s="6" t="str">
        <f>HYPERLINK("proteomic_fractions_linear_files/Yang_linear_img/358439483.jpg", "358439483")</f>
        <v>358439483</v>
      </c>
      <c r="B3552" s="7"/>
      <c r="C3552" s="6" t="str">
        <f>HYPERLINK("http://www.ncbi.nlm.nih.gov/protein/358439483","Immt")</f>
        <v>Immt</v>
      </c>
      <c r="D3552" s="8"/>
      <c r="E3552" s="8">
        <v>79250</v>
      </c>
      <c r="F3552" s="8"/>
      <c r="G3552" s="15">
        <v>1.3229104074835116</v>
      </c>
      <c r="H3552" s="15">
        <v>1.3229104074835116</v>
      </c>
      <c r="I3552" s="15">
        <v>1.1441925443684882</v>
      </c>
      <c r="J3552" s="15">
        <v>1.1441925443684882</v>
      </c>
      <c r="K3552" s="15">
        <v>1.1441925443684882</v>
      </c>
      <c r="L3552" s="15">
        <v>1.1441925443684882</v>
      </c>
      <c r="M3552" s="15" t="s">
        <v>10</v>
      </c>
      <c r="N3552" s="15" t="s">
        <v>10</v>
      </c>
      <c r="O3552" s="15" t="s">
        <v>10</v>
      </c>
      <c r="P3552" s="15" t="s">
        <v>10</v>
      </c>
      <c r="Q3552" s="8"/>
      <c r="R3552" s="9" t="s">
        <v>3294</v>
      </c>
    </row>
    <row r="3553" spans="1:18" x14ac:dyDescent="0.25">
      <c r="A3553" s="6" t="str">
        <f>HYPERLINK("proteomic_fractions_linear_files/Yang_linear_img/358439528.jpg", "358439528")</f>
        <v>358439528</v>
      </c>
      <c r="B3553" s="7"/>
      <c r="C3553" s="6" t="str">
        <f>HYPERLINK("http://www.ncbi.nlm.nih.gov/protein/358439528","Immt")</f>
        <v>Immt</v>
      </c>
      <c r="D3553" s="8"/>
      <c r="E3553" s="8">
        <v>82313</v>
      </c>
      <c r="F3553" s="8"/>
      <c r="G3553" s="15">
        <v>1.3390434612333106</v>
      </c>
      <c r="H3553" s="15">
        <v>1.3390434612333106</v>
      </c>
      <c r="I3553" s="15">
        <v>1.1581461119827379</v>
      </c>
      <c r="J3553" s="15">
        <v>1.1581461119827379</v>
      </c>
      <c r="K3553" s="15">
        <v>1.1581461119827379</v>
      </c>
      <c r="L3553" s="15">
        <v>1.1581461119827379</v>
      </c>
      <c r="M3553" s="15" t="s">
        <v>10</v>
      </c>
      <c r="N3553" s="15" t="s">
        <v>10</v>
      </c>
      <c r="O3553" s="15" t="s">
        <v>10</v>
      </c>
      <c r="P3553" s="15" t="s">
        <v>10</v>
      </c>
      <c r="Q3553" s="8"/>
      <c r="R3553" s="9" t="s">
        <v>3295</v>
      </c>
    </row>
    <row r="3554" spans="1:18" x14ac:dyDescent="0.25">
      <c r="A3554" s="6" t="str">
        <f>HYPERLINK("proteomic_fractions_linear_files/Yang_linear_img/358439536.jpg", "358439536")</f>
        <v>358439536</v>
      </c>
      <c r="B3554" s="7"/>
      <c r="C3554" s="6" t="str">
        <f>HYPERLINK("http://www.ncbi.nlm.nih.gov/protein/358439536","Immt")</f>
        <v>Immt</v>
      </c>
      <c r="D3554" s="8"/>
      <c r="E3554" s="8">
        <v>78597</v>
      </c>
      <c r="F3554" s="8"/>
      <c r="G3554" s="15">
        <v>1.3898932129257147</v>
      </c>
      <c r="H3554" s="15">
        <v>1.3898932129257147</v>
      </c>
      <c r="I3554" s="15">
        <v>1.2021263440833483</v>
      </c>
      <c r="J3554" s="15">
        <v>1.2021263440833483</v>
      </c>
      <c r="K3554" s="15">
        <v>1.2021263440833483</v>
      </c>
      <c r="L3554" s="15">
        <v>1.2021263440833483</v>
      </c>
      <c r="M3554" s="15" t="s">
        <v>10</v>
      </c>
      <c r="N3554" s="15" t="s">
        <v>10</v>
      </c>
      <c r="O3554" s="15" t="s">
        <v>10</v>
      </c>
      <c r="P3554" s="15" t="s">
        <v>10</v>
      </c>
      <c r="Q3554" s="8"/>
      <c r="R3554" s="9" t="s">
        <v>3296</v>
      </c>
    </row>
    <row r="3555" spans="1:18" x14ac:dyDescent="0.25">
      <c r="A3555" s="6" t="str">
        <f>HYPERLINK("proteomic_fractions_linear_files/Yang_linear_img/358439544.jpg", "358439544")</f>
        <v>358439544</v>
      </c>
      <c r="B3555" s="7"/>
      <c r="C3555" s="6" t="str">
        <f>HYPERLINK("http://www.ncbi.nlm.nih.gov/protein/358439544","Immt")</f>
        <v>Immt</v>
      </c>
      <c r="D3555" s="8"/>
      <c r="E3555" s="8">
        <v>75470</v>
      </c>
      <c r="F3555" s="8"/>
      <c r="G3555" s="15">
        <v>1.4640208509484196</v>
      </c>
      <c r="H3555" s="15">
        <v>1.4640208509484196</v>
      </c>
      <c r="I3555" s="15">
        <v>1.2662397491011268</v>
      </c>
      <c r="J3555" s="15">
        <v>1.2662397491011268</v>
      </c>
      <c r="K3555" s="15">
        <v>1.2662397491011268</v>
      </c>
      <c r="L3555" s="15">
        <v>1.2662397491011268</v>
      </c>
      <c r="M3555" s="15" t="s">
        <v>10</v>
      </c>
      <c r="N3555" s="15" t="s">
        <v>10</v>
      </c>
      <c r="O3555" s="15" t="s">
        <v>10</v>
      </c>
      <c r="P3555" s="15" t="s">
        <v>10</v>
      </c>
      <c r="Q3555" s="8"/>
      <c r="R3555" s="9" t="s">
        <v>3297</v>
      </c>
    </row>
    <row r="3556" spans="1:18" x14ac:dyDescent="0.25">
      <c r="A3556" s="6" t="str">
        <f>HYPERLINK("proteomic_fractions_linear_files/Yang_linear_img/358439552.jpg", "358439552")</f>
        <v>358439552</v>
      </c>
      <c r="B3556" s="7"/>
      <c r="C3556" s="6" t="str">
        <f>HYPERLINK("http://www.ncbi.nlm.nih.gov/protein/358439552","Immt")</f>
        <v>Immt</v>
      </c>
      <c r="D3556" s="8"/>
      <c r="E3556" s="8">
        <v>51878</v>
      </c>
      <c r="F3556" s="8"/>
      <c r="G3556" s="15">
        <v>2.111568535021759</v>
      </c>
      <c r="H3556" s="15">
        <v>2.111568535021759</v>
      </c>
      <c r="I3556" s="15">
        <v>1.8263073304343176</v>
      </c>
      <c r="J3556" s="15">
        <v>1.8263073304343176</v>
      </c>
      <c r="K3556" s="15">
        <v>1.8263073304343176</v>
      </c>
      <c r="L3556" s="15">
        <v>1.8263073304343176</v>
      </c>
      <c r="M3556" s="15" t="s">
        <v>10</v>
      </c>
      <c r="N3556" s="15" t="s">
        <v>10</v>
      </c>
      <c r="O3556" s="15" t="s">
        <v>10</v>
      </c>
      <c r="P3556" s="15" t="s">
        <v>10</v>
      </c>
      <c r="Q3556" s="8"/>
      <c r="R3556" s="9" t="s">
        <v>3298</v>
      </c>
    </row>
    <row r="3557" spans="1:18" x14ac:dyDescent="0.25">
      <c r="A3557" s="6" t="str">
        <f>HYPERLINK("proteomic_fractions_linear_files/Yang_linear_img/70608131.jpg", "70608131")</f>
        <v>70608131</v>
      </c>
      <c r="B3557" s="7"/>
      <c r="C3557" s="6" t="str">
        <f>HYPERLINK("http://www.ncbi.nlm.nih.gov/protein/70608131","Immt")</f>
        <v>Immt</v>
      </c>
      <c r="D3557" s="8"/>
      <c r="E3557" s="8">
        <v>80221</v>
      </c>
      <c r="F3557" s="8"/>
      <c r="G3557" s="15">
        <v>1.3071614740610888</v>
      </c>
      <c r="H3557" s="15">
        <v>1.3071614740610888</v>
      </c>
      <c r="I3557" s="15">
        <v>1.1305712045545775</v>
      </c>
      <c r="J3557" s="15">
        <v>1.1305712045545775</v>
      </c>
      <c r="K3557" s="15">
        <v>1.1305712045545775</v>
      </c>
      <c r="L3557" s="15">
        <v>1.1305712045545775</v>
      </c>
      <c r="M3557" s="15" t="s">
        <v>10</v>
      </c>
      <c r="N3557" s="15" t="s">
        <v>10</v>
      </c>
      <c r="O3557" s="15" t="s">
        <v>10</v>
      </c>
      <c r="P3557" s="15" t="s">
        <v>10</v>
      </c>
      <c r="Q3557" s="8"/>
      <c r="R3557" s="9" t="s">
        <v>3299</v>
      </c>
    </row>
    <row r="3558" spans="1:18" x14ac:dyDescent="0.25">
      <c r="A3558" s="6" t="str">
        <f>HYPERLINK("proteomic_fractions_linear_files/Yang_linear_img/19527196.jpg", "19527196")</f>
        <v>19527196</v>
      </c>
      <c r="B3558" s="7"/>
      <c r="C3558" s="6" t="str">
        <f>HYPERLINK("http://www.ncbi.nlm.nih.gov/protein/19527196","Imp3")</f>
        <v>Imp3</v>
      </c>
      <c r="D3558" s="8"/>
      <c r="E3558" s="8">
        <v>21646</v>
      </c>
      <c r="F3558" s="8"/>
      <c r="G3558" s="15">
        <v>1.2690096044400936</v>
      </c>
      <c r="H3558" s="15">
        <v>1.2690096044400936</v>
      </c>
      <c r="I3558" s="15">
        <v>0.88641590127433068</v>
      </c>
      <c r="J3558" s="15">
        <v>0.88641590127433068</v>
      </c>
      <c r="K3558" s="15">
        <v>0.88641590127433068</v>
      </c>
      <c r="L3558" s="15">
        <v>0.88641590127433068</v>
      </c>
      <c r="M3558" s="15">
        <v>0.88641590127433068</v>
      </c>
      <c r="N3558" s="15">
        <v>0.88641590127433068</v>
      </c>
      <c r="O3558" s="15" t="s">
        <v>10</v>
      </c>
      <c r="P3558" s="15" t="s">
        <v>10</v>
      </c>
      <c r="Q3558" s="8"/>
      <c r="R3558" s="9" t="s">
        <v>3300</v>
      </c>
    </row>
    <row r="3559" spans="1:18" x14ac:dyDescent="0.25">
      <c r="A3559" s="6" t="str">
        <f>HYPERLINK("proteomic_fractions_linear_files/Yang_linear_img/31980942.jpg", "31980942")</f>
        <v>31980942</v>
      </c>
      <c r="B3559" s="7"/>
      <c r="C3559" s="6" t="str">
        <f>HYPERLINK("http://www.ncbi.nlm.nih.gov/protein/31980942","Impa1")</f>
        <v>Impa1</v>
      </c>
      <c r="D3559" s="8"/>
      <c r="E3559" s="8">
        <v>30298</v>
      </c>
      <c r="F3559" s="8"/>
      <c r="G3559" s="15">
        <v>1.1517792176825061</v>
      </c>
      <c r="H3559" s="15">
        <v>1.1517792176825061</v>
      </c>
      <c r="I3559" s="15">
        <v>0.87167527051416671</v>
      </c>
      <c r="J3559" s="15">
        <v>0.87167527051416671</v>
      </c>
      <c r="K3559" s="15">
        <v>0.93060704325606869</v>
      </c>
      <c r="L3559" s="15">
        <v>0.93060704325606869</v>
      </c>
      <c r="M3559" s="15">
        <v>0.87167527051416671</v>
      </c>
      <c r="N3559" s="15">
        <v>0.87167527051416671</v>
      </c>
      <c r="O3559" s="15">
        <v>0.77031911249058149</v>
      </c>
      <c r="P3559" s="15">
        <v>0.77031911249058149</v>
      </c>
      <c r="Q3559" s="8"/>
      <c r="R3559" s="9" t="s">
        <v>3301</v>
      </c>
    </row>
    <row r="3560" spans="1:18" x14ac:dyDescent="0.25">
      <c r="A3560" s="6" t="str">
        <f>HYPERLINK("proteomic_fractions_linear_files/Yang_linear_img/16716595.jpg", "16716595")</f>
        <v>16716595</v>
      </c>
      <c r="B3560" s="7"/>
      <c r="C3560" s="6" t="str">
        <f>HYPERLINK("http://www.ncbi.nlm.nih.gov/protein/16716595","Impa2")</f>
        <v>Impa2</v>
      </c>
      <c r="D3560" s="8"/>
      <c r="E3560" s="8">
        <v>31585</v>
      </c>
      <c r="F3560" s="8"/>
      <c r="G3560" s="15" t="s">
        <v>10</v>
      </c>
      <c r="H3560" s="15" t="s">
        <v>10</v>
      </c>
      <c r="I3560" s="15">
        <v>0.87244410305256437</v>
      </c>
      <c r="J3560" s="15">
        <v>0.87244410305256437</v>
      </c>
      <c r="K3560" s="15">
        <v>0.87244410305256437</v>
      </c>
      <c r="L3560" s="15">
        <v>0.87244410305256437</v>
      </c>
      <c r="M3560" s="15" t="s">
        <v>10</v>
      </c>
      <c r="N3560" s="15" t="s">
        <v>10</v>
      </c>
      <c r="O3560" s="15">
        <v>0.81719556610703126</v>
      </c>
      <c r="P3560" s="15">
        <v>0.81719556610703126</v>
      </c>
      <c r="Q3560" s="8"/>
      <c r="R3560" s="9" t="s">
        <v>3302</v>
      </c>
    </row>
    <row r="3561" spans="1:18" x14ac:dyDescent="0.25">
      <c r="A3561" s="6" t="str">
        <f>HYPERLINK("proteomic_fractions_linear_files/Yang_linear_img/29244210.jpg", "29244210")</f>
        <v>29244210</v>
      </c>
      <c r="B3561" s="7"/>
      <c r="C3561" s="6" t="str">
        <f>HYPERLINK("http://www.ncbi.nlm.nih.gov/protein/29244210","Impad1")</f>
        <v>Impad1</v>
      </c>
      <c r="D3561" s="8"/>
      <c r="E3561" s="8">
        <v>38485</v>
      </c>
      <c r="F3561" s="8"/>
      <c r="G3561" s="15" t="s">
        <v>10</v>
      </c>
      <c r="H3561" s="15" t="s">
        <v>10</v>
      </c>
      <c r="I3561" s="15">
        <v>1.0659820579795458</v>
      </c>
      <c r="J3561" s="15">
        <v>1.0659820579795458</v>
      </c>
      <c r="K3561" s="15">
        <v>1.0659820579795458</v>
      </c>
      <c r="L3561" s="15">
        <v>1.0659820579795458</v>
      </c>
      <c r="M3561" s="15" t="s">
        <v>10</v>
      </c>
      <c r="N3561" s="15" t="s">
        <v>10</v>
      </c>
      <c r="O3561" s="15" t="s">
        <v>10</v>
      </c>
      <c r="P3561" s="15" t="s">
        <v>10</v>
      </c>
      <c r="Q3561" s="8"/>
      <c r="R3561" s="9" t="s">
        <v>3303</v>
      </c>
    </row>
    <row r="3562" spans="1:18" x14ac:dyDescent="0.25">
      <c r="A3562" s="6" t="str">
        <f>HYPERLINK("proteomic_fractions_linear_files/Yang_linear_img/34328209.jpg", "34328209")</f>
        <v>34328209</v>
      </c>
      <c r="B3562" s="7"/>
      <c r="C3562" s="6" t="str">
        <f>HYPERLINK("http://www.ncbi.nlm.nih.gov/protein/34328209","Impdh1")</f>
        <v>Impdh1</v>
      </c>
      <c r="D3562" s="8"/>
      <c r="E3562" s="8">
        <v>55148</v>
      </c>
      <c r="F3562" s="8"/>
      <c r="G3562" s="15" t="s">
        <v>10</v>
      </c>
      <c r="H3562" s="15" t="s">
        <v>10</v>
      </c>
      <c r="I3562" s="15" t="s">
        <v>10</v>
      </c>
      <c r="J3562" s="15" t="s">
        <v>10</v>
      </c>
      <c r="K3562" s="15" t="s">
        <v>10</v>
      </c>
      <c r="L3562" s="15" t="s">
        <v>10</v>
      </c>
      <c r="M3562" s="15">
        <v>0.96582853872729235</v>
      </c>
      <c r="N3562" s="15">
        <v>0.96582853872729235</v>
      </c>
      <c r="O3562" s="15" t="s">
        <v>10</v>
      </c>
      <c r="P3562" s="15" t="s">
        <v>10</v>
      </c>
      <c r="Q3562" s="8"/>
      <c r="R3562" s="9" t="s">
        <v>3304</v>
      </c>
    </row>
    <row r="3563" spans="1:18" x14ac:dyDescent="0.25">
      <c r="A3563" s="6" t="str">
        <f>HYPERLINK("proteomic_fractions_linear_files/Yang_linear_img/31981382.jpg", "31981382")</f>
        <v>31981382</v>
      </c>
      <c r="B3563" s="7"/>
      <c r="C3563" s="6" t="str">
        <f>HYPERLINK("http://www.ncbi.nlm.nih.gov/protein/31981382","Impdh2")</f>
        <v>Impdh2</v>
      </c>
      <c r="D3563" s="8"/>
      <c r="E3563" s="8">
        <v>55684</v>
      </c>
      <c r="F3563" s="8"/>
      <c r="G3563" s="15" t="s">
        <v>10</v>
      </c>
      <c r="H3563" s="15" t="s">
        <v>10</v>
      </c>
      <c r="I3563" s="15">
        <v>0.94858160053573359</v>
      </c>
      <c r="J3563" s="15">
        <v>0.94858160053573359</v>
      </c>
      <c r="K3563" s="15">
        <v>1.0495215640284616</v>
      </c>
      <c r="L3563" s="15">
        <v>1.0495215640284616</v>
      </c>
      <c r="M3563" s="15">
        <v>0.94858160053573359</v>
      </c>
      <c r="N3563" s="15">
        <v>0.94858160053573359</v>
      </c>
      <c r="O3563" s="15">
        <v>0.86232099257884376</v>
      </c>
      <c r="P3563" s="15">
        <v>0.86232099257884376</v>
      </c>
      <c r="Q3563" s="8"/>
      <c r="R3563" s="9" t="s">
        <v>3305</v>
      </c>
    </row>
    <row r="3564" spans="1:18" x14ac:dyDescent="0.25">
      <c r="A3564" s="6" t="str">
        <f>HYPERLINK("proteomic_fractions_linear_files/Yang_linear_img/55769576.jpg", "55769576")</f>
        <v>55769576</v>
      </c>
      <c r="B3564" s="7"/>
      <c r="C3564" s="6" t="str">
        <f>HYPERLINK("http://www.ncbi.nlm.nih.gov/protein/55769576","Inadl")</f>
        <v>Inadl</v>
      </c>
      <c r="D3564" s="8"/>
      <c r="E3564" s="8">
        <v>62241</v>
      </c>
      <c r="F3564" s="8"/>
      <c r="G3564" s="15" t="s">
        <v>10</v>
      </c>
      <c r="H3564" s="15" t="s">
        <v>10</v>
      </c>
      <c r="I3564" s="15" t="s">
        <v>10</v>
      </c>
      <c r="J3564" s="15" t="s">
        <v>10</v>
      </c>
      <c r="K3564" s="15">
        <v>4.8674729780080446</v>
      </c>
      <c r="L3564" s="15">
        <v>4.8674729780080446</v>
      </c>
      <c r="M3564" s="15" t="s">
        <v>10</v>
      </c>
      <c r="N3564" s="15" t="s">
        <v>10</v>
      </c>
      <c r="O3564" s="15" t="s">
        <v>10</v>
      </c>
      <c r="P3564" s="15" t="s">
        <v>10</v>
      </c>
      <c r="Q3564" s="8"/>
      <c r="R3564" s="9" t="s">
        <v>3306</v>
      </c>
    </row>
    <row r="3565" spans="1:18" x14ac:dyDescent="0.25">
      <c r="A3565" s="6" t="str">
        <f>HYPERLINK("proteomic_fractions_linear_files/Yang_linear_img/55769581.jpg", "55769581")</f>
        <v>55769581</v>
      </c>
      <c r="B3565" s="7"/>
      <c r="C3565" s="6" t="str">
        <f>HYPERLINK("http://www.ncbi.nlm.nih.gov/protein/55769581","Inadl")</f>
        <v>Inadl</v>
      </c>
      <c r="D3565" s="8"/>
      <c r="E3565" s="8">
        <v>106495</v>
      </c>
      <c r="F3565" s="8"/>
      <c r="G3565" s="15" t="s">
        <v>10</v>
      </c>
      <c r="H3565" s="15" t="s">
        <v>10</v>
      </c>
      <c r="I3565" s="15" t="s">
        <v>10</v>
      </c>
      <c r="J3565" s="15" t="s">
        <v>10</v>
      </c>
      <c r="K3565" s="15">
        <v>2.8470124965707431</v>
      </c>
      <c r="L3565" s="15">
        <v>2.8470124965707431</v>
      </c>
      <c r="M3565" s="15" t="s">
        <v>10</v>
      </c>
      <c r="N3565" s="15" t="s">
        <v>10</v>
      </c>
      <c r="O3565" s="15" t="s">
        <v>10</v>
      </c>
      <c r="P3565" s="15" t="s">
        <v>10</v>
      </c>
      <c r="Q3565" s="8"/>
      <c r="R3565" s="9" t="s">
        <v>3307</v>
      </c>
    </row>
    <row r="3566" spans="1:18" x14ac:dyDescent="0.25">
      <c r="A3566" s="6" t="str">
        <f>HYPERLINK("proteomic_fractions_linear_files/Yang_linear_img/6671754.jpg", "6671754")</f>
        <v>6671754</v>
      </c>
      <c r="B3566" s="7"/>
      <c r="C3566" s="6" t="str">
        <f>HYPERLINK("http://www.ncbi.nlm.nih.gov/protein/6671754","Inadl")</f>
        <v>Inadl</v>
      </c>
      <c r="D3566" s="8"/>
      <c r="E3566" s="8">
        <v>65290</v>
      </c>
      <c r="F3566" s="8"/>
      <c r="G3566" s="15" t="s">
        <v>10</v>
      </c>
      <c r="H3566" s="15" t="s">
        <v>10</v>
      </c>
      <c r="I3566" s="15" t="s">
        <v>10</v>
      </c>
      <c r="J3566" s="15" t="s">
        <v>10</v>
      </c>
      <c r="K3566" s="15">
        <v>4.6428203790230578</v>
      </c>
      <c r="L3566" s="15">
        <v>4.6428203790230578</v>
      </c>
      <c r="M3566" s="15" t="s">
        <v>10</v>
      </c>
      <c r="N3566" s="15" t="s">
        <v>10</v>
      </c>
      <c r="O3566" s="15" t="s">
        <v>10</v>
      </c>
      <c r="P3566" s="15" t="s">
        <v>10</v>
      </c>
      <c r="Q3566" s="8"/>
      <c r="R3566" s="9" t="s">
        <v>3308</v>
      </c>
    </row>
    <row r="3567" spans="1:18" x14ac:dyDescent="0.25">
      <c r="A3567" s="6" t="str">
        <f>HYPERLINK("proteomic_fractions_linear_files/Yang_linear_img/55769578.jpg", "55769578")</f>
        <v>55769578</v>
      </c>
      <c r="B3567" s="7"/>
      <c r="C3567" s="6" t="str">
        <f>HYPERLINK("http://www.ncbi.nlm.nih.gov/protein/55769578","Inadl")</f>
        <v>Inadl</v>
      </c>
      <c r="D3567" s="8"/>
      <c r="E3567" s="8">
        <v>198386</v>
      </c>
      <c r="F3567" s="8"/>
      <c r="G3567" s="15">
        <v>0.94326177595929472</v>
      </c>
      <c r="H3567" s="15">
        <v>0.94326177595929472</v>
      </c>
      <c r="I3567" s="15">
        <v>1.1785901395345912</v>
      </c>
      <c r="J3567" s="15">
        <v>1.1785901395345912</v>
      </c>
      <c r="K3567" s="15">
        <v>1.5241582052348424</v>
      </c>
      <c r="L3567" s="15">
        <v>1.5241582052348424</v>
      </c>
      <c r="M3567" s="15" t="s">
        <v>10</v>
      </c>
      <c r="N3567" s="15" t="s">
        <v>10</v>
      </c>
      <c r="O3567" s="15" t="s">
        <v>10</v>
      </c>
      <c r="P3567" s="15" t="s">
        <v>10</v>
      </c>
      <c r="Q3567" s="8"/>
      <c r="R3567" s="9" t="s">
        <v>3309</v>
      </c>
    </row>
    <row r="3568" spans="1:18" x14ac:dyDescent="0.25">
      <c r="A3568" s="6" t="str">
        <f>HYPERLINK("proteomic_fractions_linear_files/Yang_linear_img/114052809.jpg", "114052809")</f>
        <v>114052809</v>
      </c>
      <c r="B3568" s="7"/>
      <c r="C3568" s="6" t="str">
        <f>HYPERLINK("http://www.ncbi.nlm.nih.gov/protein/114052809","Inf2")</f>
        <v>Inf2</v>
      </c>
      <c r="D3568" s="8"/>
      <c r="E3568" s="8">
        <v>138234</v>
      </c>
      <c r="F3568" s="8"/>
      <c r="G3568" s="15">
        <v>1.3533755915937706</v>
      </c>
      <c r="H3568" s="15">
        <v>1.3533755915937706</v>
      </c>
      <c r="I3568" s="15">
        <v>1.1119773270742161</v>
      </c>
      <c r="J3568" s="15">
        <v>1.1119773270742161</v>
      </c>
      <c r="K3568" s="15">
        <v>1.6910206349844135</v>
      </c>
      <c r="L3568" s="15">
        <v>1.6910206349844135</v>
      </c>
      <c r="M3568" s="15">
        <v>1.3533755915937706</v>
      </c>
      <c r="N3568" s="15">
        <v>1.3533755915937706</v>
      </c>
      <c r="O3568" s="15">
        <v>0.5321460887078423</v>
      </c>
      <c r="P3568" s="15">
        <v>0.5321460887078423</v>
      </c>
      <c r="Q3568" s="8"/>
      <c r="R3568" s="9" t="s">
        <v>3310</v>
      </c>
    </row>
    <row r="3569" spans="1:18" x14ac:dyDescent="0.25">
      <c r="A3569" s="6" t="str">
        <f>HYPERLINK("proteomic_fractions_linear_files/Yang_linear_img/6678281.jpg", "6678281")</f>
        <v>6678281</v>
      </c>
      <c r="B3569" s="7"/>
      <c r="C3569" s="6" t="str">
        <f>HYPERLINK("http://www.ncbi.nlm.nih.gov/protein/6678281","Inmt")</f>
        <v>Inmt</v>
      </c>
      <c r="D3569" s="8"/>
      <c r="E3569" s="8">
        <v>29329</v>
      </c>
      <c r="F3569" s="8"/>
      <c r="G3569" s="15">
        <v>1.1914957424301789</v>
      </c>
      <c r="H3569" s="15">
        <v>1.1914957424301789</v>
      </c>
      <c r="I3569" s="15">
        <v>0.84671795218196266</v>
      </c>
      <c r="J3569" s="15">
        <v>0.84671795218196266</v>
      </c>
      <c r="K3569" s="15">
        <v>0.84671795218196266</v>
      </c>
      <c r="L3569" s="15">
        <v>0.84671795218196266</v>
      </c>
      <c r="M3569" s="15">
        <v>0.84671795218196266</v>
      </c>
      <c r="N3569" s="15">
        <v>0.84671795218196266</v>
      </c>
      <c r="O3569" s="15">
        <v>0.75157731967857766</v>
      </c>
      <c r="P3569" s="15">
        <v>0.75157731967857766</v>
      </c>
      <c r="Q3569" s="8"/>
      <c r="R3569" s="9" t="s">
        <v>3311</v>
      </c>
    </row>
    <row r="3570" spans="1:18" x14ac:dyDescent="0.25">
      <c r="A3570" s="6" t="str">
        <f>HYPERLINK("proteomic_fractions_linear_files/Yang_linear_img/170650609.jpg", "170650609")</f>
        <v>170650609</v>
      </c>
      <c r="B3570" s="7"/>
      <c r="C3570" s="6" t="str">
        <f>HYPERLINK("http://www.ncbi.nlm.nih.gov/protein/170650609","Inpp1")</f>
        <v>Inpp1</v>
      </c>
      <c r="D3570" s="8"/>
      <c r="E3570" s="8">
        <v>43215</v>
      </c>
      <c r="F3570" s="8"/>
      <c r="G3570" s="15" t="s">
        <v>10</v>
      </c>
      <c r="H3570" s="15" t="s">
        <v>10</v>
      </c>
      <c r="I3570" s="15">
        <v>0.942030655888901</v>
      </c>
      <c r="J3570" s="15">
        <v>0.942030655888901</v>
      </c>
      <c r="K3570" s="15">
        <v>1.0261764941154761</v>
      </c>
      <c r="L3570" s="15">
        <v>1.0261764941154761</v>
      </c>
      <c r="M3570" s="15" t="s">
        <v>10</v>
      </c>
      <c r="N3570" s="15" t="s">
        <v>10</v>
      </c>
      <c r="O3570" s="15">
        <v>0.86840294007266494</v>
      </c>
      <c r="P3570" s="15">
        <v>0.86840294007266494</v>
      </c>
      <c r="Q3570" s="8"/>
      <c r="R3570" s="9" t="s">
        <v>3312</v>
      </c>
    </row>
    <row r="3571" spans="1:18" x14ac:dyDescent="0.25">
      <c r="A3571" s="6" t="str">
        <f>HYPERLINK("proteomic_fractions_linear_files/Yang_linear_img/158853999.jpg", "158853999")</f>
        <v>158853999</v>
      </c>
      <c r="B3571" s="7"/>
      <c r="C3571" s="6" t="str">
        <f>HYPERLINK("http://www.ncbi.nlm.nih.gov/protein/158853999","Inpp5d")</f>
        <v>Inpp5d</v>
      </c>
      <c r="D3571" s="8"/>
      <c r="E3571" s="8">
        <v>133412</v>
      </c>
      <c r="F3571" s="8"/>
      <c r="G3571" s="15" t="s">
        <v>10</v>
      </c>
      <c r="H3571" s="15" t="s">
        <v>10</v>
      </c>
      <c r="I3571" s="15" t="s">
        <v>10</v>
      </c>
      <c r="J3571" s="15" t="s">
        <v>10</v>
      </c>
      <c r="K3571" s="15">
        <v>0.7140449712976279</v>
      </c>
      <c r="L3571" s="15">
        <v>0.7140449712976279</v>
      </c>
      <c r="M3571" s="15">
        <v>0.28076185280544808</v>
      </c>
      <c r="N3571" s="15">
        <v>0.28076185280544808</v>
      </c>
      <c r="O3571" s="15" t="s">
        <v>10</v>
      </c>
      <c r="P3571" s="15" t="s">
        <v>10</v>
      </c>
      <c r="Q3571" s="8"/>
      <c r="R3571" s="9" t="s">
        <v>3313</v>
      </c>
    </row>
    <row r="3572" spans="1:18" x14ac:dyDescent="0.25">
      <c r="A3572" s="6" t="str">
        <f>HYPERLINK("proteomic_fractions_linear_files/Yang_linear_img/158854001.jpg", "158854001")</f>
        <v>158854001</v>
      </c>
      <c r="B3572" s="7"/>
      <c r="C3572" s="6" t="str">
        <f>HYPERLINK("http://www.ncbi.nlm.nih.gov/protein/158854001","Inpp5d")</f>
        <v>Inpp5d</v>
      </c>
      <c r="D3572" s="8"/>
      <c r="E3572" s="8">
        <v>133313</v>
      </c>
      <c r="F3572" s="8"/>
      <c r="G3572" s="15" t="s">
        <v>10</v>
      </c>
      <c r="H3572" s="15" t="s">
        <v>10</v>
      </c>
      <c r="I3572" s="15" t="s">
        <v>10</v>
      </c>
      <c r="J3572" s="15" t="s">
        <v>10</v>
      </c>
      <c r="K3572" s="15">
        <v>0.7140449712976279</v>
      </c>
      <c r="L3572" s="15">
        <v>0.7140449712976279</v>
      </c>
      <c r="M3572" s="15">
        <v>0.28076185280544808</v>
      </c>
      <c r="N3572" s="15">
        <v>0.28076185280544808</v>
      </c>
      <c r="O3572" s="15" t="s">
        <v>10</v>
      </c>
      <c r="P3572" s="15" t="s">
        <v>10</v>
      </c>
      <c r="Q3572" s="8"/>
      <c r="R3572" s="9" t="s">
        <v>3314</v>
      </c>
    </row>
    <row r="3573" spans="1:18" x14ac:dyDescent="0.25">
      <c r="A3573" s="6" t="str">
        <f>HYPERLINK("proteomic_fractions_linear_files/Yang_linear_img/158854003.jpg", "158854003")</f>
        <v>158854003</v>
      </c>
      <c r="B3573" s="7"/>
      <c r="C3573" s="6" t="str">
        <f>HYPERLINK("http://www.ncbi.nlm.nih.gov/protein/158854003","Inpp5d")</f>
        <v>Inpp5d</v>
      </c>
      <c r="D3573" s="8"/>
      <c r="E3573" s="8">
        <v>127069</v>
      </c>
      <c r="F3573" s="8"/>
      <c r="G3573" s="15" t="s">
        <v>10</v>
      </c>
      <c r="H3573" s="15" t="s">
        <v>10</v>
      </c>
      <c r="I3573" s="15" t="s">
        <v>10</v>
      </c>
      <c r="J3573" s="15" t="s">
        <v>10</v>
      </c>
      <c r="K3573" s="15">
        <v>0.74777937939042916</v>
      </c>
      <c r="L3573" s="15">
        <v>0.74777937939042916</v>
      </c>
      <c r="M3573" s="15">
        <v>0.29402619230806765</v>
      </c>
      <c r="N3573" s="15">
        <v>0.29402619230806765</v>
      </c>
      <c r="O3573" s="15" t="s">
        <v>10</v>
      </c>
      <c r="P3573" s="15" t="s">
        <v>10</v>
      </c>
      <c r="Q3573" s="8"/>
      <c r="R3573" s="9" t="s">
        <v>3315</v>
      </c>
    </row>
    <row r="3574" spans="1:18" x14ac:dyDescent="0.25">
      <c r="A3574" s="6" t="str">
        <f>HYPERLINK("proteomic_fractions_linear_files/Yang_linear_img/170172575.jpg", "170172575")</f>
        <v>170172575</v>
      </c>
      <c r="B3574" s="7"/>
      <c r="C3574" s="6" t="str">
        <f>HYPERLINK("http://www.ncbi.nlm.nih.gov/protein/170172575","Inppl1")</f>
        <v>Inppl1</v>
      </c>
      <c r="D3574" s="8"/>
      <c r="E3574" s="8">
        <v>138843</v>
      </c>
      <c r="F3574" s="8"/>
      <c r="G3574" s="15">
        <v>0.26864263613758699</v>
      </c>
      <c r="H3574" s="15">
        <v>0.26864263613758699</v>
      </c>
      <c r="I3574" s="15">
        <v>0.17665338570702818</v>
      </c>
      <c r="J3574" s="15">
        <v>0.17665338570702818</v>
      </c>
      <c r="K3574" s="15">
        <v>0.1881313533483813</v>
      </c>
      <c r="L3574" s="15">
        <v>0.1881313533483813</v>
      </c>
      <c r="M3574" s="15">
        <v>0.17665338570702818</v>
      </c>
      <c r="N3574" s="15">
        <v>0.17665338570702818</v>
      </c>
      <c r="O3574" s="15">
        <v>0.14818303011982931</v>
      </c>
      <c r="P3574" s="15">
        <v>0.14818303011982931</v>
      </c>
      <c r="Q3574" s="8"/>
      <c r="R3574" s="9" t="s">
        <v>3316</v>
      </c>
    </row>
    <row r="3575" spans="1:18" x14ac:dyDescent="0.25">
      <c r="A3575" s="6" t="str">
        <f>HYPERLINK("proteomic_fractions_linear_files/Yang_linear_img/157057178.jpg", "157057178")</f>
        <v>157057178</v>
      </c>
      <c r="B3575" s="7"/>
      <c r="C3575" s="6" t="str">
        <f>HYPERLINK("http://www.ncbi.nlm.nih.gov/protein/157057178","Insr")</f>
        <v>Insr</v>
      </c>
      <c r="D3575" s="8"/>
      <c r="E3575" s="8">
        <v>153054</v>
      </c>
      <c r="F3575" s="8"/>
      <c r="G3575" s="15" t="s">
        <v>10</v>
      </c>
      <c r="H3575" s="15" t="s">
        <v>10</v>
      </c>
      <c r="I3575" s="15">
        <v>1.0029599420669402</v>
      </c>
      <c r="J3575" s="15">
        <v>1.0029599420669402</v>
      </c>
      <c r="K3575" s="15">
        <v>1.0029599420669402</v>
      </c>
      <c r="L3575" s="15">
        <v>1.0029599420669402</v>
      </c>
      <c r="M3575" s="15" t="s">
        <v>10</v>
      </c>
      <c r="N3575" s="15" t="s">
        <v>10</v>
      </c>
      <c r="O3575" s="15" t="s">
        <v>10</v>
      </c>
      <c r="P3575" s="15" t="s">
        <v>10</v>
      </c>
      <c r="Q3575" s="8"/>
      <c r="R3575" s="9" t="s">
        <v>3317</v>
      </c>
    </row>
    <row r="3576" spans="1:18" x14ac:dyDescent="0.25">
      <c r="A3576" s="6" t="str">
        <f>HYPERLINK("proteomic_fractions_linear_files/Yang_linear_img/160333073.jpg", "160333073")</f>
        <v>160333073</v>
      </c>
      <c r="B3576" s="7"/>
      <c r="C3576" s="6" t="str">
        <f>HYPERLINK("http://www.ncbi.nlm.nih.gov/protein/160333073","Insrr")</f>
        <v>Insrr</v>
      </c>
      <c r="D3576" s="8"/>
      <c r="E3576" s="8">
        <v>142128</v>
      </c>
      <c r="F3576" s="8"/>
      <c r="G3576" s="15" t="s">
        <v>10</v>
      </c>
      <c r="H3576" s="15" t="s">
        <v>10</v>
      </c>
      <c r="I3576" s="15">
        <v>1.0806540220862102</v>
      </c>
      <c r="J3576" s="15">
        <v>1.0806540220862102</v>
      </c>
      <c r="K3576" s="15">
        <v>1.0806540220862102</v>
      </c>
      <c r="L3576" s="15">
        <v>1.0806540220862102</v>
      </c>
      <c r="M3576" s="15" t="s">
        <v>10</v>
      </c>
      <c r="N3576" s="15" t="s">
        <v>10</v>
      </c>
      <c r="O3576" s="15" t="s">
        <v>10</v>
      </c>
      <c r="P3576" s="15" t="s">
        <v>10</v>
      </c>
      <c r="Q3576" s="8"/>
      <c r="R3576" s="9" t="s">
        <v>3318</v>
      </c>
    </row>
    <row r="3577" spans="1:18" x14ac:dyDescent="0.25">
      <c r="A3577" s="6" t="str">
        <f>HYPERLINK("proteomic_fractions_linear_files/Yang_linear_img/294832004.jpg", "294832004")</f>
        <v>294832004</v>
      </c>
      <c r="B3577" s="7"/>
      <c r="C3577" s="6" t="str">
        <f>HYPERLINK("http://www.ncbi.nlm.nih.gov/protein/294832004","Ints1")</f>
        <v>Ints1</v>
      </c>
      <c r="D3577" s="8"/>
      <c r="E3577" s="8">
        <v>247836</v>
      </c>
      <c r="F3577" s="8"/>
      <c r="G3577" s="15" t="s">
        <v>10</v>
      </c>
      <c r="H3577" s="15" t="s">
        <v>10</v>
      </c>
      <c r="I3577" s="15" t="s">
        <v>10</v>
      </c>
      <c r="J3577" s="15" t="s">
        <v>10</v>
      </c>
      <c r="K3577" s="15">
        <v>1.2168682445020111</v>
      </c>
      <c r="L3577" s="15">
        <v>1.2168682445020111</v>
      </c>
      <c r="M3577" s="15" t="s">
        <v>10</v>
      </c>
      <c r="N3577" s="15" t="s">
        <v>10</v>
      </c>
      <c r="O3577" s="15" t="s">
        <v>10</v>
      </c>
      <c r="P3577" s="15" t="s">
        <v>10</v>
      </c>
      <c r="Q3577" s="8"/>
      <c r="R3577" s="9" t="s">
        <v>3319</v>
      </c>
    </row>
    <row r="3578" spans="1:18" x14ac:dyDescent="0.25">
      <c r="A3578" s="6" t="str">
        <f>HYPERLINK("proteomic_fractions_linear_files/Yang_linear_img/21313674.jpg", "21313674")</f>
        <v>21313674</v>
      </c>
      <c r="B3578" s="7"/>
      <c r="C3578" s="6" t="str">
        <f>HYPERLINK("http://www.ncbi.nlm.nih.gov/protein/21313674","Ints12")</f>
        <v>Ints12</v>
      </c>
      <c r="D3578" s="8"/>
      <c r="E3578" s="8">
        <v>48437</v>
      </c>
      <c r="F3578" s="8"/>
      <c r="G3578" s="15" t="s">
        <v>10</v>
      </c>
      <c r="H3578" s="15" t="s">
        <v>10</v>
      </c>
      <c r="I3578" s="15" t="s">
        <v>10</v>
      </c>
      <c r="J3578" s="15" t="s">
        <v>10</v>
      </c>
      <c r="K3578" s="15" t="s">
        <v>10</v>
      </c>
      <c r="L3578" s="15" t="s">
        <v>10</v>
      </c>
      <c r="M3578" s="15">
        <v>1.2244418246998718</v>
      </c>
      <c r="N3578" s="15">
        <v>1.2244418246998718</v>
      </c>
      <c r="O3578" s="15">
        <v>0.36604041177831181</v>
      </c>
      <c r="P3578" s="15">
        <v>0.36604041177831181</v>
      </c>
      <c r="Q3578" s="8"/>
      <c r="R3578" s="9" t="s">
        <v>3320</v>
      </c>
    </row>
    <row r="3579" spans="1:18" x14ac:dyDescent="0.25">
      <c r="A3579" s="6" t="str">
        <f>HYPERLINK("proteomic_fractions_linear_files/Yang_linear_img/31652266.jpg", "31652266")</f>
        <v>31652266</v>
      </c>
      <c r="B3579" s="7"/>
      <c r="C3579" s="6" t="str">
        <f>HYPERLINK("http://www.ncbi.nlm.nih.gov/protein/31652266","Ints3")</f>
        <v>Ints3</v>
      </c>
      <c r="D3579" s="8"/>
      <c r="E3579" s="8">
        <v>117807</v>
      </c>
      <c r="F3579" s="8"/>
      <c r="G3579" s="15">
        <v>1.3004480604766258</v>
      </c>
      <c r="H3579" s="15">
        <v>5.0296000480449505</v>
      </c>
      <c r="I3579" s="15" t="s">
        <v>10</v>
      </c>
      <c r="J3579" s="15" t="s">
        <v>10</v>
      </c>
      <c r="K3579" s="15">
        <v>1.3004480604766258</v>
      </c>
      <c r="L3579" s="15">
        <v>1.3004480604766258</v>
      </c>
      <c r="M3579" s="15">
        <v>1.0908612554670929</v>
      </c>
      <c r="N3579" s="15">
        <v>1.0908612554670929</v>
      </c>
      <c r="O3579" s="15">
        <v>1.0908612554670929</v>
      </c>
      <c r="P3579" s="15">
        <v>1.0908612554670929</v>
      </c>
      <c r="Q3579" s="8"/>
      <c r="R3579" s="9" t="s">
        <v>3321</v>
      </c>
    </row>
    <row r="3580" spans="1:18" x14ac:dyDescent="0.25">
      <c r="A3580" s="6" t="str">
        <f>HYPERLINK("proteomic_fractions_linear_files/Yang_linear_img/30794414.jpg", "30794414")</f>
        <v>30794414</v>
      </c>
      <c r="B3580" s="7"/>
      <c r="C3580" s="6" t="str">
        <f>HYPERLINK("http://www.ncbi.nlm.nih.gov/protein/30794414","Ints4")</f>
        <v>Ints4</v>
      </c>
      <c r="D3580" s="8"/>
      <c r="E3580" s="8">
        <v>108062</v>
      </c>
      <c r="F3580" s="8"/>
      <c r="G3580" s="15">
        <v>1.1918669272696016</v>
      </c>
      <c r="H3580" s="15">
        <v>1.1918669272696016</v>
      </c>
      <c r="I3580" s="15" t="s">
        <v>10</v>
      </c>
      <c r="J3580" s="15" t="s">
        <v>10</v>
      </c>
      <c r="K3580" s="15">
        <v>1.1918669272696016</v>
      </c>
      <c r="L3580" s="15">
        <v>1.1918669272696016</v>
      </c>
      <c r="M3580" s="15" t="s">
        <v>10</v>
      </c>
      <c r="N3580" s="15" t="s">
        <v>10</v>
      </c>
      <c r="O3580" s="15" t="s">
        <v>10</v>
      </c>
      <c r="P3580" s="15" t="s">
        <v>10</v>
      </c>
      <c r="Q3580" s="8"/>
      <c r="R3580" s="9" t="s">
        <v>3322</v>
      </c>
    </row>
    <row r="3581" spans="1:18" x14ac:dyDescent="0.25">
      <c r="A3581" s="6" t="str">
        <f>HYPERLINK("proteomic_fractions_linear_files/Yang_linear_img/28849895.jpg", "28849895")</f>
        <v>28849895</v>
      </c>
      <c r="B3581" s="7"/>
      <c r="C3581" s="6" t="str">
        <f>HYPERLINK("http://www.ncbi.nlm.nih.gov/protein/28849895","Ints5")</f>
        <v>Ints5</v>
      </c>
      <c r="D3581" s="8"/>
      <c r="E3581" s="8">
        <v>108217</v>
      </c>
      <c r="F3581" s="8"/>
      <c r="G3581" s="15" t="s">
        <v>10</v>
      </c>
      <c r="H3581" s="15" t="s">
        <v>10</v>
      </c>
      <c r="I3581" s="15" t="s">
        <v>10</v>
      </c>
      <c r="J3581" s="15" t="s">
        <v>10</v>
      </c>
      <c r="K3581" s="15">
        <v>1.1918669272696016</v>
      </c>
      <c r="L3581" s="15">
        <v>1.1918669272696016</v>
      </c>
      <c r="M3581" s="15" t="s">
        <v>10</v>
      </c>
      <c r="N3581" s="15" t="s">
        <v>10</v>
      </c>
      <c r="O3581" s="15" t="s">
        <v>10</v>
      </c>
      <c r="P3581" s="15" t="s">
        <v>10</v>
      </c>
      <c r="Q3581" s="8"/>
      <c r="R3581" s="9" t="s">
        <v>3323</v>
      </c>
    </row>
    <row r="3582" spans="1:18" x14ac:dyDescent="0.25">
      <c r="A3582" s="6" t="str">
        <f>HYPERLINK("proteomic_fractions_linear_files/Yang_linear_img/153791768.jpg", "153791768")</f>
        <v>153791768</v>
      </c>
      <c r="B3582" s="7"/>
      <c r="C3582" s="6" t="str">
        <f>HYPERLINK("http://www.ncbi.nlm.nih.gov/protein/153791768","Ints7")</f>
        <v>Ints7</v>
      </c>
      <c r="D3582" s="8"/>
      <c r="E3582" s="8">
        <v>106745</v>
      </c>
      <c r="F3582" s="8"/>
      <c r="G3582" s="15">
        <v>1.2030058705151119</v>
      </c>
      <c r="H3582" s="15">
        <v>1.2030058705151119</v>
      </c>
      <c r="I3582" s="15" t="s">
        <v>10</v>
      </c>
      <c r="J3582" s="15" t="s">
        <v>10</v>
      </c>
      <c r="K3582" s="15" t="s">
        <v>10</v>
      </c>
      <c r="L3582" s="15" t="s">
        <v>10</v>
      </c>
      <c r="M3582" s="15">
        <v>1.0261828394498267</v>
      </c>
      <c r="N3582" s="15">
        <v>1.0261828394498267</v>
      </c>
      <c r="O3582" s="15" t="s">
        <v>10</v>
      </c>
      <c r="P3582" s="15" t="s">
        <v>10</v>
      </c>
      <c r="Q3582" s="8"/>
      <c r="R3582" s="9" t="s">
        <v>3324</v>
      </c>
    </row>
    <row r="3583" spans="1:18" x14ac:dyDescent="0.25">
      <c r="A3583" s="6" t="str">
        <f>HYPERLINK("proteomic_fractions_linear_files/Yang_linear_img/31981980.jpg", "31981980")</f>
        <v>31981980</v>
      </c>
      <c r="B3583" s="7"/>
      <c r="C3583" s="6" t="str">
        <f>HYPERLINK("http://www.ncbi.nlm.nih.gov/protein/31981980","Ints9")</f>
        <v>Ints9</v>
      </c>
      <c r="D3583" s="8"/>
      <c r="E3583" s="8">
        <v>77296</v>
      </c>
      <c r="F3583" s="8"/>
      <c r="G3583" s="15" t="s">
        <v>10</v>
      </c>
      <c r="H3583" s="15" t="s">
        <v>10</v>
      </c>
      <c r="I3583" s="15" t="s">
        <v>10</v>
      </c>
      <c r="J3583" s="15" t="s">
        <v>10</v>
      </c>
      <c r="K3583" s="15" t="s">
        <v>10</v>
      </c>
      <c r="L3583" s="15" t="s">
        <v>10</v>
      </c>
      <c r="M3583" s="15">
        <v>1.079203356794076</v>
      </c>
      <c r="N3583" s="15">
        <v>1.079203356794076</v>
      </c>
      <c r="O3583" s="15">
        <v>0.95371636677509408</v>
      </c>
      <c r="P3583" s="15">
        <v>0.95371636677509408</v>
      </c>
      <c r="Q3583" s="8"/>
      <c r="R3583" s="9" t="s">
        <v>3325</v>
      </c>
    </row>
    <row r="3584" spans="1:18" x14ac:dyDescent="0.25">
      <c r="A3584" s="6" t="str">
        <f>HYPERLINK("proteomic_fractions_linear_files/Yang_linear_img/359279877.jpg", "359279877")</f>
        <v>359279877</v>
      </c>
      <c r="B3584" s="7"/>
      <c r="C3584" s="6" t="str">
        <f>HYPERLINK("http://www.ncbi.nlm.nih.gov/protein/359279877","Ints9")</f>
        <v>Ints9</v>
      </c>
      <c r="D3584" s="8"/>
      <c r="E3584" s="8">
        <v>71270</v>
      </c>
      <c r="F3584" s="8"/>
      <c r="G3584" s="15" t="s">
        <v>10</v>
      </c>
      <c r="H3584" s="15" t="s">
        <v>10</v>
      </c>
      <c r="I3584" s="15" t="s">
        <v>10</v>
      </c>
      <c r="J3584" s="15" t="s">
        <v>10</v>
      </c>
      <c r="K3584" s="15" t="s">
        <v>10</v>
      </c>
      <c r="L3584" s="15" t="s">
        <v>10</v>
      </c>
      <c r="M3584" s="15">
        <v>1.1704036404668148</v>
      </c>
      <c r="N3584" s="15">
        <v>1.1704036404668148</v>
      </c>
      <c r="O3584" s="15">
        <v>1.0343121160800317</v>
      </c>
      <c r="P3584" s="15">
        <v>1.0343121160800317</v>
      </c>
      <c r="Q3584" s="8"/>
      <c r="R3584" s="9" t="s">
        <v>3326</v>
      </c>
    </row>
    <row r="3585" spans="1:18" x14ac:dyDescent="0.25">
      <c r="A3585" s="6" t="str">
        <f>HYPERLINK("proteomic_fractions_linear_files/Yang_linear_img/111120342.jpg", "111120342")</f>
        <v>111120342</v>
      </c>
      <c r="B3585" s="7"/>
      <c r="C3585" s="6" t="str">
        <f>HYPERLINK("http://www.ncbi.nlm.nih.gov/protein/111120342","Invs")</f>
        <v>Invs</v>
      </c>
      <c r="D3585" s="8"/>
      <c r="E3585" s="8">
        <v>116996</v>
      </c>
      <c r="F3585" s="8"/>
      <c r="G3585" s="15" t="s">
        <v>10</v>
      </c>
      <c r="H3585" s="15" t="s">
        <v>10</v>
      </c>
      <c r="I3585" s="15" t="s">
        <v>10</v>
      </c>
      <c r="J3585" s="15" t="s">
        <v>10</v>
      </c>
      <c r="K3585" s="15" t="s">
        <v>10</v>
      </c>
      <c r="L3585" s="15" t="s">
        <v>10</v>
      </c>
      <c r="M3585" s="15" t="s">
        <v>10</v>
      </c>
      <c r="N3585" s="15" t="s">
        <v>10</v>
      </c>
      <c r="O3585" s="15">
        <v>0.93847490445411508</v>
      </c>
      <c r="P3585" s="15">
        <v>0.93847490445411508</v>
      </c>
      <c r="Q3585" s="8"/>
      <c r="R3585" s="9" t="s">
        <v>3327</v>
      </c>
    </row>
    <row r="3586" spans="1:18" x14ac:dyDescent="0.25">
      <c r="A3586" s="6" t="str">
        <f>HYPERLINK("proteomic_fractions_linear_files/Yang_linear_img/31541898.jpg", "31541898")</f>
        <v>31541898</v>
      </c>
      <c r="B3586" s="7"/>
      <c r="C3586" s="6" t="str">
        <f>HYPERLINK("http://www.ncbi.nlm.nih.gov/protein/31541898","Ipo11")</f>
        <v>Ipo11</v>
      </c>
      <c r="D3586" s="8"/>
      <c r="E3586" s="8">
        <v>112285</v>
      </c>
      <c r="F3586" s="8"/>
      <c r="G3586" s="15" t="s">
        <v>10</v>
      </c>
      <c r="H3586" s="15" t="s">
        <v>10</v>
      </c>
      <c r="I3586" s="15" t="s">
        <v>10</v>
      </c>
      <c r="J3586" s="15" t="s">
        <v>10</v>
      </c>
      <c r="K3586" s="15">
        <v>1.1493002512956871</v>
      </c>
      <c r="L3586" s="15">
        <v>1.1493002512956871</v>
      </c>
      <c r="M3586" s="15">
        <v>1.1493002512956871</v>
      </c>
      <c r="N3586" s="15">
        <v>1.1493002512956871</v>
      </c>
      <c r="O3586" s="15">
        <v>1.1493002512956871</v>
      </c>
      <c r="P3586" s="15">
        <v>1.1493002512956871</v>
      </c>
      <c r="Q3586" s="8"/>
      <c r="R3586" s="9" t="s">
        <v>3328</v>
      </c>
    </row>
    <row r="3587" spans="1:18" x14ac:dyDescent="0.25">
      <c r="A3587" s="6" t="str">
        <f>HYPERLINK("proteomic_fractions_linear_files/Yang_linear_img/19745156.jpg", "19745156")</f>
        <v>19745156</v>
      </c>
      <c r="B3587" s="7"/>
      <c r="C3587" s="6" t="str">
        <f>HYPERLINK("http://www.ncbi.nlm.nih.gov/protein/19745156","Ipo4")</f>
        <v>Ipo4</v>
      </c>
      <c r="D3587" s="8"/>
      <c r="E3587" s="8">
        <v>119144</v>
      </c>
      <c r="F3587" s="8"/>
      <c r="G3587" s="15">
        <v>1.2895199255146372</v>
      </c>
      <c r="H3587" s="15">
        <v>1.2895199255146372</v>
      </c>
      <c r="I3587" s="15">
        <v>1.2895199255146372</v>
      </c>
      <c r="J3587" s="15">
        <v>1.2895199255146372</v>
      </c>
      <c r="K3587" s="15">
        <v>1.2895199255146372</v>
      </c>
      <c r="L3587" s="15">
        <v>1.2895199255146372</v>
      </c>
      <c r="M3587" s="15">
        <v>1.2895199255146372</v>
      </c>
      <c r="N3587" s="15">
        <v>1.2895199255146372</v>
      </c>
      <c r="O3587" s="15">
        <v>1.0816943541606467</v>
      </c>
      <c r="P3587" s="15">
        <v>1.0816943541606467</v>
      </c>
      <c r="Q3587" s="8"/>
      <c r="R3587" s="9" t="s">
        <v>3329</v>
      </c>
    </row>
    <row r="3588" spans="1:18" x14ac:dyDescent="0.25">
      <c r="A3588" s="6" t="str">
        <f>HYPERLINK("proteomic_fractions_linear_files/Yang_linear_img/29789199.jpg", "29789199")</f>
        <v>29789199</v>
      </c>
      <c r="B3588" s="7"/>
      <c r="C3588" s="6" t="str">
        <f>HYPERLINK("http://www.ncbi.nlm.nih.gov/protein/29789199","Ipo5")</f>
        <v>Ipo5</v>
      </c>
      <c r="D3588" s="8"/>
      <c r="E3588" s="8">
        <v>123461</v>
      </c>
      <c r="F3588" s="8"/>
      <c r="G3588" s="15">
        <v>1.2475843181808279</v>
      </c>
      <c r="H3588" s="15">
        <v>1.2475843181808279</v>
      </c>
      <c r="I3588" s="15">
        <v>0.89269564082220709</v>
      </c>
      <c r="J3588" s="15">
        <v>0.89269564082220709</v>
      </c>
      <c r="K3588" s="15">
        <v>1.0465173019928209</v>
      </c>
      <c r="L3588" s="15">
        <v>1.0465173019928209</v>
      </c>
      <c r="M3588" s="15">
        <v>1.0465173019928209</v>
      </c>
      <c r="N3588" s="15">
        <v>1.0465173019928209</v>
      </c>
      <c r="O3588" s="15">
        <v>1.0465173019928209</v>
      </c>
      <c r="P3588" s="15">
        <v>1.0465173019928209</v>
      </c>
      <c r="Q3588" s="8"/>
      <c r="R3588" s="9" t="s">
        <v>3330</v>
      </c>
    </row>
    <row r="3589" spans="1:18" x14ac:dyDescent="0.25">
      <c r="A3589" s="6" t="str">
        <f>HYPERLINK("proteomic_fractions_linear_files/Yang_linear_img/74229034.jpg", "74229034")</f>
        <v>74229034</v>
      </c>
      <c r="B3589" s="7"/>
      <c r="C3589" s="6" t="str">
        <f>HYPERLINK("http://www.ncbi.nlm.nih.gov/protein/74229034","Ipo7")</f>
        <v>Ipo7</v>
      </c>
      <c r="D3589" s="8"/>
      <c r="E3589" s="8">
        <v>119356</v>
      </c>
      <c r="F3589" s="8"/>
      <c r="G3589" s="15" t="s">
        <v>10</v>
      </c>
      <c r="H3589" s="15" t="s">
        <v>10</v>
      </c>
      <c r="I3589" s="15">
        <v>1.0816943541606467</v>
      </c>
      <c r="J3589" s="15">
        <v>1.0816943541606467</v>
      </c>
      <c r="K3589" s="15">
        <v>1.2895199255146372</v>
      </c>
      <c r="L3589" s="15">
        <v>1.2895199255146372</v>
      </c>
      <c r="M3589" s="15">
        <v>1.0816943541606467</v>
      </c>
      <c r="N3589" s="15">
        <v>1.2895199255146372</v>
      </c>
      <c r="O3589" s="15">
        <v>1.0816943541606467</v>
      </c>
      <c r="P3589" s="15">
        <v>1.0816943541606467</v>
      </c>
      <c r="Q3589" s="8"/>
      <c r="R3589" s="9" t="s">
        <v>3331</v>
      </c>
    </row>
    <row r="3590" spans="1:18" x14ac:dyDescent="0.25">
      <c r="A3590" s="6" t="str">
        <f>HYPERLINK("proteomic_fractions_linear_files/Yang_linear_img/124487445.jpg", "124487445")</f>
        <v>124487445</v>
      </c>
      <c r="B3590" s="7"/>
      <c r="C3590" s="6" t="str">
        <f>HYPERLINK("http://www.ncbi.nlm.nih.gov/protein/124487445","Ipo8")</f>
        <v>Ipo8</v>
      </c>
      <c r="D3590" s="8"/>
      <c r="E3590" s="8">
        <v>116947</v>
      </c>
      <c r="F3590" s="8"/>
      <c r="G3590" s="15" t="s">
        <v>10</v>
      </c>
      <c r="H3590" s="15" t="s">
        <v>10</v>
      </c>
      <c r="I3590" s="15" t="s">
        <v>10</v>
      </c>
      <c r="J3590" s="15" t="s">
        <v>10</v>
      </c>
      <c r="K3590" s="15" t="s">
        <v>10</v>
      </c>
      <c r="L3590" s="15" t="s">
        <v>10</v>
      </c>
      <c r="M3590" s="15">
        <v>1.1001848559411707</v>
      </c>
      <c r="N3590" s="15">
        <v>1.1001848559411707</v>
      </c>
      <c r="O3590" s="15">
        <v>1.1001848559411707</v>
      </c>
      <c r="P3590" s="15">
        <v>1.1001848559411707</v>
      </c>
      <c r="Q3590" s="8"/>
      <c r="R3590" s="9" t="s">
        <v>3332</v>
      </c>
    </row>
    <row r="3591" spans="1:18" x14ac:dyDescent="0.25">
      <c r="A3591" s="6" t="str">
        <f>HYPERLINK("proteomic_fractions_linear_files/Yang_linear_img/112734861.jpg", "112734861")</f>
        <v>112734861</v>
      </c>
      <c r="B3591" s="7"/>
      <c r="C3591" s="6" t="str">
        <f>HYPERLINK("http://www.ncbi.nlm.nih.gov/protein/112734861","Ipo9")</f>
        <v>Ipo9</v>
      </c>
      <c r="D3591" s="8"/>
      <c r="E3591" s="8">
        <v>115820</v>
      </c>
      <c r="F3591" s="8"/>
      <c r="G3591" s="15">
        <v>1.3228695787607054</v>
      </c>
      <c r="H3591" s="15">
        <v>1.3228695787607054</v>
      </c>
      <c r="I3591" s="15">
        <v>1.3228695787607054</v>
      </c>
      <c r="J3591" s="15">
        <v>1.3228695787607054</v>
      </c>
      <c r="K3591" s="15">
        <v>1.3228695787607054</v>
      </c>
      <c r="L3591" s="15">
        <v>1.3228695787607054</v>
      </c>
      <c r="M3591" s="15">
        <v>1.3228695787607054</v>
      </c>
      <c r="N3591" s="15">
        <v>1.3228695787607054</v>
      </c>
      <c r="O3591" s="15">
        <v>1.3228695787607054</v>
      </c>
      <c r="P3591" s="15">
        <v>1.3228695787607054</v>
      </c>
      <c r="Q3591" s="8"/>
      <c r="R3591" s="9" t="s">
        <v>3333</v>
      </c>
    </row>
    <row r="3592" spans="1:18" x14ac:dyDescent="0.25">
      <c r="A3592" s="6" t="str">
        <f>HYPERLINK("proteomic_fractions_linear_files/Yang_linear_img/242332572.jpg", "242332572")</f>
        <v>242332572</v>
      </c>
      <c r="B3592" s="7"/>
      <c r="C3592" s="6" t="str">
        <f>HYPERLINK("http://www.ncbi.nlm.nih.gov/protein/242332572","Iqgap1")</f>
        <v>Iqgap1</v>
      </c>
      <c r="D3592" s="8"/>
      <c r="E3592" s="8">
        <v>188612</v>
      </c>
      <c r="F3592" s="8"/>
      <c r="G3592" s="15">
        <v>1.2347134795124288</v>
      </c>
      <c r="H3592" s="15">
        <v>1.2347134795124288</v>
      </c>
      <c r="I3592" s="15">
        <v>1.2347134795124288</v>
      </c>
      <c r="J3592" s="15">
        <v>1.2347134795124288</v>
      </c>
      <c r="K3592" s="15">
        <v>1.2347134795124288</v>
      </c>
      <c r="L3592" s="15">
        <v>1.2347134795124288</v>
      </c>
      <c r="M3592" s="15">
        <v>1.2347134795124288</v>
      </c>
      <c r="N3592" s="15">
        <v>1.2347134795124288</v>
      </c>
      <c r="O3592" s="15">
        <v>1.2347134795124288</v>
      </c>
      <c r="P3592" s="15">
        <v>1.2347134795124288</v>
      </c>
      <c r="Q3592" s="8"/>
      <c r="R3592" s="9" t="s">
        <v>3334</v>
      </c>
    </row>
    <row r="3593" spans="1:18" x14ac:dyDescent="0.25">
      <c r="A3593" s="6" t="str">
        <f>HYPERLINK("proteomic_fractions_linear_files/Yang_linear_img/118344444.jpg", "118344444")</f>
        <v>118344444</v>
      </c>
      <c r="B3593" s="7"/>
      <c r="C3593" s="6" t="str">
        <f>HYPERLINK("http://www.ncbi.nlm.nih.gov/protein/118344444","Iqgap2")</f>
        <v>Iqgap2</v>
      </c>
      <c r="D3593" s="8"/>
      <c r="E3593" s="8">
        <v>180398</v>
      </c>
      <c r="F3593" s="8"/>
      <c r="G3593" s="15" t="s">
        <v>10</v>
      </c>
      <c r="H3593" s="15" t="s">
        <v>10</v>
      </c>
      <c r="I3593" s="15">
        <v>1.2964491534880505</v>
      </c>
      <c r="J3593" s="15">
        <v>1.2964491534880505</v>
      </c>
      <c r="K3593" s="15">
        <v>1.2964491534880505</v>
      </c>
      <c r="L3593" s="15">
        <v>1.2964491534880505</v>
      </c>
      <c r="M3593" s="15">
        <v>1.2964491534880505</v>
      </c>
      <c r="N3593" s="15">
        <v>1.2964491534880505</v>
      </c>
      <c r="O3593" s="15">
        <v>1.2964491534880505</v>
      </c>
      <c r="P3593" s="15">
        <v>1.2964491534880505</v>
      </c>
      <c r="Q3593" s="8"/>
      <c r="R3593" s="9" t="s">
        <v>3335</v>
      </c>
    </row>
    <row r="3594" spans="1:18" x14ac:dyDescent="0.25">
      <c r="A3594" s="6" t="str">
        <f>HYPERLINK("proteomic_fractions_linear_files/Yang_linear_img/118344446.jpg", "118344446")</f>
        <v>118344446</v>
      </c>
      <c r="B3594" s="7"/>
      <c r="C3594" s="6" t="str">
        <f>HYPERLINK("http://www.ncbi.nlm.nih.gov/protein/118344446","Iqgap3")</f>
        <v>Iqgap3</v>
      </c>
      <c r="D3594" s="8"/>
      <c r="E3594" s="8">
        <v>185223</v>
      </c>
      <c r="F3594" s="8"/>
      <c r="G3594" s="15" t="s">
        <v>10</v>
      </c>
      <c r="H3594" s="15" t="s">
        <v>10</v>
      </c>
      <c r="I3594" s="15">
        <v>1.2614099871775626</v>
      </c>
      <c r="J3594" s="15">
        <v>1.2614099871775626</v>
      </c>
      <c r="K3594" s="15">
        <v>1.2614099871775626</v>
      </c>
      <c r="L3594" s="15">
        <v>1.2614099871775626</v>
      </c>
      <c r="M3594" s="15">
        <v>1.2614099871775626</v>
      </c>
      <c r="N3594" s="15">
        <v>1.2614099871775626</v>
      </c>
      <c r="O3594" s="15">
        <v>1.2614099871775626</v>
      </c>
      <c r="P3594" s="15">
        <v>1.2614099871775626</v>
      </c>
      <c r="Q3594" s="8"/>
      <c r="R3594" s="9" t="s">
        <v>3336</v>
      </c>
    </row>
    <row r="3595" spans="1:18" x14ac:dyDescent="0.25">
      <c r="A3595" s="6" t="str">
        <f>HYPERLINK("proteomic_fractions_linear_files/Yang_linear_img/23943898.jpg", "23943898")</f>
        <v>23943898</v>
      </c>
      <c r="B3595" s="7"/>
      <c r="C3595" s="6" t="str">
        <f>HYPERLINK("http://www.ncbi.nlm.nih.gov/protein/23943898","Irak4")</f>
        <v>Irak4</v>
      </c>
      <c r="D3595" s="8"/>
      <c r="E3595" s="8">
        <v>50741</v>
      </c>
      <c r="F3595" s="8"/>
      <c r="G3595" s="15" t="s">
        <v>10</v>
      </c>
      <c r="H3595" s="15" t="s">
        <v>10</v>
      </c>
      <c r="I3595" s="15">
        <v>0.51275015912598043</v>
      </c>
      <c r="J3595" s="15">
        <v>0.51275015912598043</v>
      </c>
      <c r="K3595" s="15">
        <v>0.54741590779768745</v>
      </c>
      <c r="L3595" s="15">
        <v>0.54741590779768745</v>
      </c>
      <c r="M3595" s="15" t="s">
        <v>10</v>
      </c>
      <c r="N3595" s="15" t="s">
        <v>10</v>
      </c>
      <c r="O3595" s="15">
        <v>0.4531288897003421</v>
      </c>
      <c r="P3595" s="15">
        <v>0.4531288897003421</v>
      </c>
      <c r="Q3595" s="8"/>
      <c r="R3595" s="9" t="s">
        <v>3337</v>
      </c>
    </row>
    <row r="3596" spans="1:18" x14ac:dyDescent="0.25">
      <c r="A3596" s="6" t="str">
        <f>HYPERLINK("proteomic_fractions_linear_files/Yang_linear_img/254281215.jpg", "254281215")</f>
        <v>254281215</v>
      </c>
      <c r="B3596" s="7"/>
      <c r="C3596" s="6" t="str">
        <f>HYPERLINK("http://www.ncbi.nlm.nih.gov/protein/254281215","Ireb2")</f>
        <v>Ireb2</v>
      </c>
      <c r="D3596" s="8"/>
      <c r="E3596" s="8">
        <v>104790</v>
      </c>
      <c r="F3596" s="8"/>
      <c r="G3596" s="15" t="s">
        <v>10</v>
      </c>
      <c r="H3596" s="15" t="s">
        <v>10</v>
      </c>
      <c r="I3596" s="15" t="s">
        <v>10</v>
      </c>
      <c r="J3596" s="15" t="s">
        <v>10</v>
      </c>
      <c r="K3596" s="15">
        <v>1.0457291792488712</v>
      </c>
      <c r="L3596" s="15">
        <v>1.0457291792488712</v>
      </c>
      <c r="M3596" s="15" t="s">
        <v>10</v>
      </c>
      <c r="N3596" s="15" t="s">
        <v>10</v>
      </c>
      <c r="O3596" s="15">
        <v>0.90445696364366202</v>
      </c>
      <c r="P3596" s="15">
        <v>0.90445696364366202</v>
      </c>
      <c r="Q3596" s="8"/>
      <c r="R3596" s="9" t="s">
        <v>3338</v>
      </c>
    </row>
    <row r="3597" spans="1:18" x14ac:dyDescent="0.25">
      <c r="A3597" s="6" t="str">
        <f>HYPERLINK("proteomic_fractions_linear_files/Yang_linear_img/31982348.jpg", "31982348")</f>
        <v>31982348</v>
      </c>
      <c r="B3597" s="7"/>
      <c r="C3597" s="6" t="str">
        <f>HYPERLINK("http://www.ncbi.nlm.nih.gov/protein/31982348","Irf2bp1")</f>
        <v>Irf2bp1</v>
      </c>
      <c r="D3597" s="8"/>
      <c r="E3597" s="8">
        <v>61620</v>
      </c>
      <c r="F3597" s="8"/>
      <c r="G3597" s="15" t="s">
        <v>10</v>
      </c>
      <c r="H3597" s="15" t="s">
        <v>10</v>
      </c>
      <c r="I3597" s="15" t="s">
        <v>10</v>
      </c>
      <c r="J3597" s="15" t="s">
        <v>10</v>
      </c>
      <c r="K3597" s="15">
        <v>1.3403009431152235</v>
      </c>
      <c r="L3597" s="15">
        <v>1.3403009431152235</v>
      </c>
      <c r="M3597" s="15" t="s">
        <v>10</v>
      </c>
      <c r="N3597" s="15" t="s">
        <v>10</v>
      </c>
      <c r="O3597" s="15">
        <v>0.37273505443092653</v>
      </c>
      <c r="P3597" s="15">
        <v>0.37273505443092653</v>
      </c>
      <c r="Q3597" s="8"/>
      <c r="R3597" s="9" t="s">
        <v>3339</v>
      </c>
    </row>
    <row r="3598" spans="1:18" x14ac:dyDescent="0.25">
      <c r="A3598" s="6" t="str">
        <f>HYPERLINK("proteomic_fractions_linear_files/Yang_linear_img/257196179.jpg", "257196179")</f>
        <v>257196179</v>
      </c>
      <c r="B3598" s="7"/>
      <c r="C3598" s="6" t="str">
        <f>HYPERLINK("http://www.ncbi.nlm.nih.gov/protein/257196179","Irf2bp2")</f>
        <v>Irf2bp2</v>
      </c>
      <c r="D3598" s="8"/>
      <c r="E3598" s="8">
        <v>59161</v>
      </c>
      <c r="F3598" s="8"/>
      <c r="G3598" s="15" t="s">
        <v>10</v>
      </c>
      <c r="H3598" s="15" t="s">
        <v>10</v>
      </c>
      <c r="I3598" s="15" t="s">
        <v>10</v>
      </c>
      <c r="J3598" s="15" t="s">
        <v>10</v>
      </c>
      <c r="K3598" s="15">
        <v>1.8610434545954486</v>
      </c>
      <c r="L3598" s="15">
        <v>1.8610434545954486</v>
      </c>
      <c r="M3598" s="15">
        <v>0.63290383768007785</v>
      </c>
      <c r="N3598" s="15">
        <v>0.63290383768007785</v>
      </c>
      <c r="O3598" s="15">
        <v>0.54379784501243367</v>
      </c>
      <c r="P3598" s="15">
        <v>0.54379784501243367</v>
      </c>
      <c r="Q3598" s="8"/>
      <c r="R3598" s="9" t="s">
        <v>3340</v>
      </c>
    </row>
    <row r="3599" spans="1:18" x14ac:dyDescent="0.25">
      <c r="A3599" s="6" t="str">
        <f>HYPERLINK("proteomic_fractions_linear_files/Yang_linear_img/22003884.jpg", "22003884")</f>
        <v>22003884</v>
      </c>
      <c r="B3599" s="7"/>
      <c r="C3599" s="6" t="str">
        <f>HYPERLINK("http://www.ncbi.nlm.nih.gov/protein/22003884","Irf2bpl")</f>
        <v>Irf2bpl</v>
      </c>
      <c r="D3599" s="8"/>
      <c r="E3599" s="8">
        <v>80434</v>
      </c>
      <c r="F3599" s="8"/>
      <c r="G3599" s="15">
        <v>1.6090203518139621</v>
      </c>
      <c r="H3599" s="15">
        <v>1.6090203518139621</v>
      </c>
      <c r="I3599" s="15">
        <v>1.1870997647823063</v>
      </c>
      <c r="J3599" s="15">
        <v>1.1870997647823063</v>
      </c>
      <c r="K3599" s="15">
        <v>1.3725195477641434</v>
      </c>
      <c r="L3599" s="15">
        <v>1.3725195477641434</v>
      </c>
      <c r="M3599" s="15">
        <v>1.3725195477641434</v>
      </c>
      <c r="N3599" s="15">
        <v>1.3725195477641434</v>
      </c>
      <c r="O3599" s="15">
        <v>1.1870997647823063</v>
      </c>
      <c r="P3599" s="15">
        <v>1.1870997647823063</v>
      </c>
      <c r="Q3599" s="8"/>
      <c r="R3599" s="9" t="s">
        <v>3341</v>
      </c>
    </row>
    <row r="3600" spans="1:18" x14ac:dyDescent="0.25">
      <c r="A3600" s="6" t="str">
        <f>HYPERLINK("proteomic_fractions_linear_files/Yang_linear_img/8393627.jpg", "8393627")</f>
        <v>8393627</v>
      </c>
      <c r="B3600" s="7"/>
      <c r="C3600" s="6" t="str">
        <f>HYPERLINK("http://www.ncbi.nlm.nih.gov/protein/8393627","Irf3")</f>
        <v>Irf3</v>
      </c>
      <c r="D3600" s="8"/>
      <c r="E3600" s="8">
        <v>46721</v>
      </c>
      <c r="F3600" s="8"/>
      <c r="G3600" s="15" t="s">
        <v>10</v>
      </c>
      <c r="H3600" s="15" t="s">
        <v>10</v>
      </c>
      <c r="I3600" s="15" t="s">
        <v>10</v>
      </c>
      <c r="J3600" s="15" t="s">
        <v>10</v>
      </c>
      <c r="K3600" s="15">
        <v>0.93884232440352056</v>
      </c>
      <c r="L3600" s="15">
        <v>0.93884232440352056</v>
      </c>
      <c r="M3600" s="15" t="s">
        <v>10</v>
      </c>
      <c r="N3600" s="15" t="s">
        <v>10</v>
      </c>
      <c r="O3600" s="15">
        <v>0.86185783411112227</v>
      </c>
      <c r="P3600" s="15">
        <v>0.86185783411112227</v>
      </c>
      <c r="Q3600" s="8"/>
      <c r="R3600" s="9" t="s">
        <v>3342</v>
      </c>
    </row>
    <row r="3601" spans="1:18" x14ac:dyDescent="0.25">
      <c r="A3601" s="6" t="str">
        <f>HYPERLINK("proteomic_fractions_linear_files/Yang_linear_img/114145467.jpg", "114145467")</f>
        <v>114145467</v>
      </c>
      <c r="B3601" s="7"/>
      <c r="C3601" s="6" t="str">
        <f>HYPERLINK("http://www.ncbi.nlm.nih.gov/protein/114145467","Irf6")</f>
        <v>Irf6</v>
      </c>
      <c r="D3601" s="8"/>
      <c r="E3601" s="8">
        <v>52980</v>
      </c>
      <c r="F3601" s="8"/>
      <c r="G3601" s="15" t="s">
        <v>10</v>
      </c>
      <c r="H3601" s="15" t="s">
        <v>10</v>
      </c>
      <c r="I3601" s="15">
        <v>1.0022748986792656</v>
      </c>
      <c r="J3601" s="15">
        <v>1.0022748986792656</v>
      </c>
      <c r="K3601" s="15">
        <v>1.1089284450112047</v>
      </c>
      <c r="L3601" s="15">
        <v>1.1089284450112047</v>
      </c>
      <c r="M3601" s="15">
        <v>1.1089284450112047</v>
      </c>
      <c r="N3601" s="15">
        <v>1.1089284450112047</v>
      </c>
      <c r="O3601" s="15">
        <v>1.0022748986792656</v>
      </c>
      <c r="P3601" s="15">
        <v>1.0022748986792656</v>
      </c>
      <c r="Q3601" s="8"/>
      <c r="R3601" s="9" t="s">
        <v>3343</v>
      </c>
    </row>
    <row r="3602" spans="1:18" x14ac:dyDescent="0.25">
      <c r="A3602" s="6" t="str">
        <f>HYPERLINK("proteomic_fractions_linear_files/Yang_linear_img/134031980.jpg", "134031980")</f>
        <v>134031980</v>
      </c>
      <c r="B3602" s="7"/>
      <c r="C3602" s="6" t="str">
        <f>HYPERLINK("http://www.ncbi.nlm.nih.gov/protein/134031980","Irgc1")</f>
        <v>Irgc1</v>
      </c>
      <c r="D3602" s="8"/>
      <c r="E3602" s="8">
        <v>50434</v>
      </c>
      <c r="F3602" s="8"/>
      <c r="G3602" s="15" t="s">
        <v>10</v>
      </c>
      <c r="H3602" s="15" t="s">
        <v>10</v>
      </c>
      <c r="I3602" s="15" t="s">
        <v>10</v>
      </c>
      <c r="J3602" s="15" t="s">
        <v>10</v>
      </c>
      <c r="K3602" s="15">
        <v>3.7353166327988072</v>
      </c>
      <c r="L3602" s="15">
        <v>3.7353166327988072</v>
      </c>
      <c r="M3602" s="15" t="s">
        <v>10</v>
      </c>
      <c r="N3602" s="15" t="s">
        <v>10</v>
      </c>
      <c r="O3602" s="15" t="s">
        <v>10</v>
      </c>
      <c r="P3602" s="15" t="s">
        <v>10</v>
      </c>
      <c r="Q3602" s="8"/>
      <c r="R3602" s="9" t="s">
        <v>3344</v>
      </c>
    </row>
    <row r="3603" spans="1:18" x14ac:dyDescent="0.25">
      <c r="A3603" s="6" t="str">
        <f>HYPERLINK("proteomic_fractions_linear_files/Yang_linear_img/6680351.jpg", "6680351")</f>
        <v>6680351</v>
      </c>
      <c r="B3603" s="7"/>
      <c r="C3603" s="6" t="str">
        <f>HYPERLINK("http://www.ncbi.nlm.nih.gov/protein/6680351","Irgm1")</f>
        <v>Irgm1</v>
      </c>
      <c r="D3603" s="8"/>
      <c r="E3603" s="8">
        <v>46421</v>
      </c>
      <c r="F3603" s="8"/>
      <c r="G3603" s="15">
        <v>1.1547949919565452</v>
      </c>
      <c r="H3603" s="15">
        <v>1.1547949919565452</v>
      </c>
      <c r="I3603" s="15">
        <v>0.88059387398310318</v>
      </c>
      <c r="J3603" s="15">
        <v>0.88059387398310318</v>
      </c>
      <c r="K3603" s="15">
        <v>0.88059387398310318</v>
      </c>
      <c r="L3603" s="15">
        <v>0.88059387398310318</v>
      </c>
      <c r="M3603" s="15" t="s">
        <v>10</v>
      </c>
      <c r="N3603" s="15" t="s">
        <v>10</v>
      </c>
      <c r="O3603" s="15" t="s">
        <v>10</v>
      </c>
      <c r="P3603" s="15" t="s">
        <v>10</v>
      </c>
      <c r="Q3603" s="8"/>
      <c r="R3603" s="9" t="s">
        <v>3345</v>
      </c>
    </row>
    <row r="3604" spans="1:18" x14ac:dyDescent="0.25">
      <c r="A3604" s="6" t="str">
        <f>HYPERLINK("proteomic_fractions_linear_files/Yang_linear_img/208431800.jpg", "208431800")</f>
        <v>208431800</v>
      </c>
      <c r="B3604" s="7"/>
      <c r="C3604" s="6" t="str">
        <f>HYPERLINK("http://www.ncbi.nlm.nih.gov/protein/208431800","Irgq")</f>
        <v>Irgq</v>
      </c>
      <c r="D3604" s="8"/>
      <c r="E3604" s="8">
        <v>59192</v>
      </c>
      <c r="F3604" s="8"/>
      <c r="G3604" s="15" t="s">
        <v>10</v>
      </c>
      <c r="H3604" s="15" t="s">
        <v>10</v>
      </c>
      <c r="I3604" s="15" t="s">
        <v>10</v>
      </c>
      <c r="J3604" s="15" t="s">
        <v>10</v>
      </c>
      <c r="K3604" s="15" t="s">
        <v>10</v>
      </c>
      <c r="L3604" s="15" t="s">
        <v>10</v>
      </c>
      <c r="M3604" s="15" t="s">
        <v>10</v>
      </c>
      <c r="N3604" s="15" t="s">
        <v>10</v>
      </c>
      <c r="O3604" s="15">
        <v>1.1093773445854971</v>
      </c>
      <c r="P3604" s="15">
        <v>1.1093773445854971</v>
      </c>
      <c r="Q3604" s="8"/>
      <c r="R3604" s="9" t="s">
        <v>3346</v>
      </c>
    </row>
    <row r="3605" spans="1:18" x14ac:dyDescent="0.25">
      <c r="A3605" s="6" t="str">
        <f>HYPERLINK("proteomic_fractions_linear_files/Yang_linear_img/21312189.jpg", "21312189")</f>
        <v>21312189</v>
      </c>
      <c r="B3605" s="7"/>
      <c r="C3605" s="6" t="str">
        <f>HYPERLINK("http://www.ncbi.nlm.nih.gov/protein/21312189","Isca1")</f>
        <v>Isca1</v>
      </c>
      <c r="D3605" s="8"/>
      <c r="E3605" s="8">
        <v>12945</v>
      </c>
      <c r="F3605" s="8"/>
      <c r="G3605" s="15" t="s">
        <v>10</v>
      </c>
      <c r="H3605" s="15" t="s">
        <v>10</v>
      </c>
      <c r="I3605" s="15">
        <v>1.1689490995241758</v>
      </c>
      <c r="J3605" s="15">
        <v>1.1689490995241758</v>
      </c>
      <c r="K3605" s="15" t="s">
        <v>10</v>
      </c>
      <c r="L3605" s="15" t="s">
        <v>10</v>
      </c>
      <c r="M3605" s="15" t="s">
        <v>10</v>
      </c>
      <c r="N3605" s="15" t="s">
        <v>10</v>
      </c>
      <c r="O3605" s="15" t="s">
        <v>10</v>
      </c>
      <c r="P3605" s="15" t="s">
        <v>10</v>
      </c>
      <c r="Q3605" s="8"/>
      <c r="R3605" s="9" t="s">
        <v>3347</v>
      </c>
    </row>
    <row r="3606" spans="1:18" x14ac:dyDescent="0.25">
      <c r="A3606" s="6" t="str">
        <f>HYPERLINK("proteomic_fractions_linear_files/Yang_linear_img/254039596.jpg", "254039596")</f>
        <v>254039596</v>
      </c>
      <c r="B3606" s="7"/>
      <c r="C3606" s="6" t="str">
        <f>HYPERLINK("http://www.ncbi.nlm.nih.gov/protein/254039596","Isca2")</f>
        <v>Isca2</v>
      </c>
      <c r="D3606" s="8"/>
      <c r="E3606" s="8">
        <v>15930</v>
      </c>
      <c r="F3606" s="8"/>
      <c r="G3606" s="15">
        <v>1.2188218642522046</v>
      </c>
      <c r="H3606" s="15">
        <v>1.2188218642522046</v>
      </c>
      <c r="I3606" s="15">
        <v>0.86786565624604062</v>
      </c>
      <c r="J3606" s="15">
        <v>0.86786565624604062</v>
      </c>
      <c r="K3606" s="15" t="s">
        <v>10</v>
      </c>
      <c r="L3606" s="15" t="s">
        <v>10</v>
      </c>
      <c r="M3606" s="15" t="s">
        <v>10</v>
      </c>
      <c r="N3606" s="15" t="s">
        <v>10</v>
      </c>
      <c r="O3606" s="15">
        <v>0.83106650143759586</v>
      </c>
      <c r="P3606" s="15">
        <v>0.83106650143759586</v>
      </c>
      <c r="Q3606" s="8"/>
      <c r="R3606" s="9" t="s">
        <v>3348</v>
      </c>
    </row>
    <row r="3607" spans="1:18" x14ac:dyDescent="0.25">
      <c r="A3607" s="6" t="str">
        <f>HYPERLINK("proteomic_fractions_linear_files/Yang_linear_img/21313484.jpg", "21313484")</f>
        <v>21313484</v>
      </c>
      <c r="B3607" s="7"/>
      <c r="C3607" s="6" t="str">
        <f>HYPERLINK("http://www.ncbi.nlm.nih.gov/protein/21313484","Iscu")</f>
        <v>Iscu</v>
      </c>
      <c r="D3607" s="8"/>
      <c r="E3607" s="8">
        <v>14474</v>
      </c>
      <c r="F3607" s="8"/>
      <c r="G3607" s="15">
        <v>1.0369624087050249</v>
      </c>
      <c r="H3607" s="15">
        <v>1.0369624087050249</v>
      </c>
      <c r="I3607" s="15">
        <v>1.085452735272449</v>
      </c>
      <c r="J3607" s="15">
        <v>1.085452735272449</v>
      </c>
      <c r="K3607" s="15" t="s">
        <v>10</v>
      </c>
      <c r="L3607" s="15" t="s">
        <v>10</v>
      </c>
      <c r="M3607" s="15" t="s">
        <v>10</v>
      </c>
      <c r="N3607" s="15" t="s">
        <v>10</v>
      </c>
      <c r="O3607" s="15">
        <v>1.3210927974688631</v>
      </c>
      <c r="P3607" s="15">
        <v>1.3210927974688631</v>
      </c>
      <c r="Q3607" s="8"/>
      <c r="R3607" s="9" t="s">
        <v>3349</v>
      </c>
    </row>
    <row r="3608" spans="1:18" x14ac:dyDescent="0.25">
      <c r="A3608" s="6" t="str">
        <f>HYPERLINK("proteomic_fractions_linear_files/Yang_linear_img/226874851.jpg", "226874851")</f>
        <v>226874851</v>
      </c>
      <c r="B3608" s="7"/>
      <c r="C3608" s="6" t="str">
        <f>HYPERLINK("http://www.ncbi.nlm.nih.gov/protein/226874851","Isg15")</f>
        <v>Isg15</v>
      </c>
      <c r="D3608" s="8"/>
      <c r="E3608" s="8">
        <v>17767</v>
      </c>
      <c r="F3608" s="8"/>
      <c r="G3608" s="15" t="s">
        <v>10</v>
      </c>
      <c r="H3608" s="15" t="s">
        <v>10</v>
      </c>
      <c r="I3608" s="15" t="s">
        <v>10</v>
      </c>
      <c r="J3608" s="15" t="s">
        <v>10</v>
      </c>
      <c r="K3608" s="15">
        <v>0.84424101632301585</v>
      </c>
      <c r="L3608" s="15">
        <v>0.84424101632301585</v>
      </c>
      <c r="M3608" s="15">
        <v>0.84424101632301585</v>
      </c>
      <c r="N3608" s="15">
        <v>0.84424101632301585</v>
      </c>
      <c r="O3608" s="15">
        <v>0.80652631788168594</v>
      </c>
      <c r="P3608" s="15">
        <v>0.80652631788168594</v>
      </c>
      <c r="Q3608" s="8"/>
      <c r="R3608" s="9" t="s">
        <v>3350</v>
      </c>
    </row>
    <row r="3609" spans="1:18" x14ac:dyDescent="0.25">
      <c r="A3609" s="6" t="str">
        <f>HYPERLINK("proteomic_fractions_linear_files/Yang_linear_img/15805028.jpg", "15805028")</f>
        <v>15805028</v>
      </c>
      <c r="B3609" s="7"/>
      <c r="C3609" s="6" t="str">
        <f>HYPERLINK("http://www.ncbi.nlm.nih.gov/protein/15805028","Isg20")</f>
        <v>Isg20</v>
      </c>
      <c r="D3609" s="8"/>
      <c r="E3609" s="8">
        <v>20452</v>
      </c>
      <c r="F3609" s="8"/>
      <c r="G3609" s="15">
        <v>1.395910564884103</v>
      </c>
      <c r="H3609" s="15">
        <v>1.395910564884103</v>
      </c>
      <c r="I3609" s="15">
        <v>0.97505749140176368</v>
      </c>
      <c r="J3609" s="15">
        <v>0.97505749140176368</v>
      </c>
      <c r="K3609" s="15">
        <v>0.97505749140176368</v>
      </c>
      <c r="L3609" s="15">
        <v>0.97505749140176368</v>
      </c>
      <c r="M3609" s="15">
        <v>0.97505749140176368</v>
      </c>
      <c r="N3609" s="15">
        <v>0.97505749140176368</v>
      </c>
      <c r="O3609" s="15" t="s">
        <v>10</v>
      </c>
      <c r="P3609" s="15" t="s">
        <v>10</v>
      </c>
      <c r="Q3609" s="8"/>
      <c r="R3609" s="9" t="s">
        <v>3351</v>
      </c>
    </row>
    <row r="3610" spans="1:18" x14ac:dyDescent="0.25">
      <c r="A3610" s="6" t="str">
        <f>HYPERLINK("proteomic_fractions_linear_files/Yang_linear_img/29244084.jpg", "29244084")</f>
        <v>29244084</v>
      </c>
      <c r="B3610" s="7"/>
      <c r="C3610" s="6" t="str">
        <f>HYPERLINK("http://www.ncbi.nlm.nih.gov/protein/29244084","Isg20l2")</f>
        <v>Isg20l2</v>
      </c>
      <c r="D3610" s="8"/>
      <c r="E3610" s="8">
        <v>40861</v>
      </c>
      <c r="F3610" s="8"/>
      <c r="G3610" s="15" t="s">
        <v>10</v>
      </c>
      <c r="H3610" s="15" t="s">
        <v>10</v>
      </c>
      <c r="I3610" s="15" t="s">
        <v>10</v>
      </c>
      <c r="J3610" s="15" t="s">
        <v>10</v>
      </c>
      <c r="K3610" s="15">
        <v>1.0762338840723285</v>
      </c>
      <c r="L3610" s="15">
        <v>1.0762338840723285</v>
      </c>
      <c r="M3610" s="15" t="s">
        <v>10</v>
      </c>
      <c r="N3610" s="15" t="s">
        <v>10</v>
      </c>
      <c r="O3610" s="15" t="s">
        <v>10</v>
      </c>
      <c r="P3610" s="15" t="s">
        <v>10</v>
      </c>
      <c r="Q3610" s="8"/>
      <c r="R3610" s="9" t="s">
        <v>3352</v>
      </c>
    </row>
    <row r="3611" spans="1:18" x14ac:dyDescent="0.25">
      <c r="A3611" s="6" t="str">
        <f>HYPERLINK("proteomic_fractions_linear_files/Yang_linear_img/31541909.jpg", "31541909")</f>
        <v>31541909</v>
      </c>
      <c r="B3611" s="7"/>
      <c r="C3611" s="6" t="str">
        <f>HYPERLINK("http://www.ncbi.nlm.nih.gov/protein/31541909","Isoc1")</f>
        <v>Isoc1</v>
      </c>
      <c r="D3611" s="8"/>
      <c r="E3611" s="8">
        <v>31902</v>
      </c>
      <c r="F3611" s="8"/>
      <c r="G3611" s="15" t="s">
        <v>10</v>
      </c>
      <c r="H3611" s="15" t="s">
        <v>10</v>
      </c>
      <c r="I3611" s="15">
        <v>0.87244410305256437</v>
      </c>
      <c r="J3611" s="15">
        <v>0.87244410305256437</v>
      </c>
      <c r="K3611" s="15">
        <v>0.93391896536603536</v>
      </c>
      <c r="L3611" s="15">
        <v>0.93391896536603536</v>
      </c>
      <c r="M3611" s="15">
        <v>0.87244410305256437</v>
      </c>
      <c r="N3611" s="15">
        <v>0.87244410305256437</v>
      </c>
      <c r="O3611" s="15">
        <v>0.81719556610703126</v>
      </c>
      <c r="P3611" s="15">
        <v>0.81719556610703126</v>
      </c>
      <c r="Q3611" s="8"/>
      <c r="R3611" s="9" t="s">
        <v>3353</v>
      </c>
    </row>
    <row r="3612" spans="1:18" x14ac:dyDescent="0.25">
      <c r="A3612" s="6" t="str">
        <f>HYPERLINK("proteomic_fractions_linear_files/Yang_linear_img/197333728.jpg", "197333728")</f>
        <v>197333728</v>
      </c>
      <c r="B3612" s="7"/>
      <c r="C3612" s="6" t="str">
        <f>HYPERLINK("http://www.ncbi.nlm.nih.gov/protein/197333728","Isoc2a")</f>
        <v>Isoc2a</v>
      </c>
      <c r="D3612" s="8"/>
      <c r="E3612" s="8">
        <v>16021</v>
      </c>
      <c r="F3612" s="8"/>
      <c r="G3612" s="15">
        <v>1.8678379307320707</v>
      </c>
      <c r="H3612" s="15">
        <v>1.8678379307320707</v>
      </c>
      <c r="I3612" s="15">
        <v>1.287340074166017</v>
      </c>
      <c r="J3612" s="15">
        <v>1.287340074166017</v>
      </c>
      <c r="K3612" s="15" t="s">
        <v>10</v>
      </c>
      <c r="L3612" s="15" t="s">
        <v>10</v>
      </c>
      <c r="M3612" s="15" t="s">
        <v>10</v>
      </c>
      <c r="N3612" s="15" t="s">
        <v>10</v>
      </c>
      <c r="O3612" s="15" t="s">
        <v>10</v>
      </c>
      <c r="P3612" s="15" t="s">
        <v>10</v>
      </c>
      <c r="Q3612" s="8"/>
      <c r="R3612" s="9" t="s">
        <v>3354</v>
      </c>
    </row>
    <row r="3613" spans="1:18" x14ac:dyDescent="0.25">
      <c r="A3613" s="6" t="str">
        <f>HYPERLINK("proteomic_fractions_linear_files/Yang_linear_img/21312626.jpg", "21312626")</f>
        <v>21312626</v>
      </c>
      <c r="B3613" s="7"/>
      <c r="C3613" s="6" t="str">
        <f>HYPERLINK("http://www.ncbi.nlm.nih.gov/protein/21312626","Ist1")</f>
        <v>Ist1</v>
      </c>
      <c r="D3613" s="8"/>
      <c r="E3613" s="8">
        <v>39337</v>
      </c>
      <c r="F3613" s="8"/>
      <c r="G3613" s="15" t="s">
        <v>10</v>
      </c>
      <c r="H3613" s="15" t="s">
        <v>10</v>
      </c>
      <c r="I3613" s="15" t="s">
        <v>10</v>
      </c>
      <c r="J3613" s="15" t="s">
        <v>10</v>
      </c>
      <c r="K3613" s="15">
        <v>1.2382045021644936</v>
      </c>
      <c r="L3613" s="15">
        <v>1.2382045021644936</v>
      </c>
      <c r="M3613" s="15">
        <v>1.2382045021644936</v>
      </c>
      <c r="N3613" s="15">
        <v>1.2382045021644936</v>
      </c>
      <c r="O3613" s="15">
        <v>1.1314253653068069</v>
      </c>
      <c r="P3613" s="15">
        <v>1.1314253653068069</v>
      </c>
      <c r="Q3613" s="8"/>
      <c r="R3613" s="9" t="s">
        <v>3355</v>
      </c>
    </row>
    <row r="3614" spans="1:18" x14ac:dyDescent="0.25">
      <c r="A3614" s="6" t="str">
        <f>HYPERLINK("proteomic_fractions_linear_files/Yang_linear_img/20149316.jpg", "20149316")</f>
        <v>20149316</v>
      </c>
      <c r="B3614" s="7"/>
      <c r="C3614" s="6" t="str">
        <f>HYPERLINK("http://www.ncbi.nlm.nih.gov/protein/20149316","Isy1")</f>
        <v>Isy1</v>
      </c>
      <c r="D3614" s="8"/>
      <c r="E3614" s="8">
        <v>32858</v>
      </c>
      <c r="F3614" s="8"/>
      <c r="G3614" s="15" t="s">
        <v>10</v>
      </c>
      <c r="H3614" s="15" t="s">
        <v>10</v>
      </c>
      <c r="I3614" s="15" t="s">
        <v>10</v>
      </c>
      <c r="J3614" s="15" t="s">
        <v>10</v>
      </c>
      <c r="K3614" s="15" t="s">
        <v>10</v>
      </c>
      <c r="L3614" s="15" t="s">
        <v>10</v>
      </c>
      <c r="M3614" s="15">
        <v>1.1315553461552907</v>
      </c>
      <c r="N3614" s="15">
        <v>1.1315553461552907</v>
      </c>
      <c r="O3614" s="15">
        <v>1.0470720160750056</v>
      </c>
      <c r="P3614" s="15">
        <v>1.0470720160750056</v>
      </c>
      <c r="Q3614" s="8"/>
      <c r="R3614" s="9" t="s">
        <v>3356</v>
      </c>
    </row>
    <row r="3615" spans="1:18" x14ac:dyDescent="0.25">
      <c r="A3615" s="6" t="str">
        <f>HYPERLINK("proteomic_fractions_linear_files/Yang_linear_img/12963757.jpg", "12963757")</f>
        <v>12963757</v>
      </c>
      <c r="B3615" s="7"/>
      <c r="C3615" s="6" t="str">
        <f>HYPERLINK("http://www.ncbi.nlm.nih.gov/protein/12963757","Isyna1")</f>
        <v>Isyna1</v>
      </c>
      <c r="D3615" s="8"/>
      <c r="E3615" s="8">
        <v>60801</v>
      </c>
      <c r="F3615" s="8"/>
      <c r="G3615" s="15" t="s">
        <v>10</v>
      </c>
      <c r="H3615" s="15" t="s">
        <v>10</v>
      </c>
      <c r="I3615" s="15">
        <v>1.0730043168941694</v>
      </c>
      <c r="J3615" s="15">
        <v>1.0730043168941694</v>
      </c>
      <c r="K3615" s="15">
        <v>1.0730043168941694</v>
      </c>
      <c r="L3615" s="15">
        <v>1.0730043168941694</v>
      </c>
      <c r="M3615" s="15">
        <v>1.0730043168941694</v>
      </c>
      <c r="N3615" s="15">
        <v>1.0730043168941694</v>
      </c>
      <c r="O3615" s="15">
        <v>0.96349520632121066</v>
      </c>
      <c r="P3615" s="15">
        <v>0.96349520632121066</v>
      </c>
      <c r="Q3615" s="8"/>
      <c r="R3615" s="9" t="s">
        <v>3357</v>
      </c>
    </row>
    <row r="3616" spans="1:18" x14ac:dyDescent="0.25">
      <c r="A3616" s="6" t="str">
        <f>HYPERLINK("proteomic_fractions_linear_files/Yang_linear_img/343962614;124487317.jpg", "343962614;124487317")</f>
        <v>343962614;124487317</v>
      </c>
      <c r="B3616" s="8"/>
      <c r="C3616" s="6" t="str">
        <f>HYPERLINK("http://www.ncbi.nlm.nih.gov/protein/343962614;124487317","Itch")</f>
        <v>Itch</v>
      </c>
      <c r="D3616" s="8"/>
      <c r="E3616" s="8">
        <v>98863</v>
      </c>
      <c r="F3616" s="8"/>
      <c r="G3616" s="15" t="s">
        <v>10</v>
      </c>
      <c r="H3616" s="15" t="s">
        <v>10</v>
      </c>
      <c r="I3616" s="15" t="s">
        <v>10</v>
      </c>
      <c r="J3616" s="15" t="s">
        <v>10</v>
      </c>
      <c r="K3616" s="15">
        <v>1.3002184661122926</v>
      </c>
      <c r="L3616" s="15">
        <v>1.3002184661122926</v>
      </c>
      <c r="M3616" s="15" t="s">
        <v>10</v>
      </c>
      <c r="N3616" s="15" t="s">
        <v>10</v>
      </c>
      <c r="O3616" s="15" t="s">
        <v>10</v>
      </c>
      <c r="P3616" s="15" t="s">
        <v>10</v>
      </c>
      <c r="Q3616" s="8"/>
      <c r="R3616" s="9" t="s">
        <v>3358</v>
      </c>
    </row>
    <row r="3617" spans="1:18" x14ac:dyDescent="0.25">
      <c r="A3617" s="6" t="str">
        <f>HYPERLINK("proteomic_fractions_linear_files/Yang_linear_img/124487317.jpg", "124487317")</f>
        <v>124487317</v>
      </c>
      <c r="B3617" s="7"/>
      <c r="C3617" s="6" t="str">
        <f>HYPERLINK("http://www.ncbi.nlm.nih.gov/protein/124487317","Itch")</f>
        <v>Itch</v>
      </c>
      <c r="D3617" s="8"/>
      <c r="E3617" s="8">
        <v>98863</v>
      </c>
      <c r="F3617" s="8"/>
      <c r="G3617" s="15">
        <v>1.1091067052639543</v>
      </c>
      <c r="H3617" s="15">
        <v>1.1091067052639543</v>
      </c>
      <c r="I3617" s="15">
        <v>0.83938038861761477</v>
      </c>
      <c r="J3617" s="15">
        <v>0.83938038861761477</v>
      </c>
      <c r="K3617" s="15" t="s">
        <v>10</v>
      </c>
      <c r="L3617" s="15" t="s">
        <v>10</v>
      </c>
      <c r="M3617" s="15">
        <v>1.3002184661122926</v>
      </c>
      <c r="N3617" s="15">
        <v>1.3002184661122926</v>
      </c>
      <c r="O3617" s="15">
        <v>0.24802849104320118</v>
      </c>
      <c r="P3617" s="15">
        <v>0.24802849104320118</v>
      </c>
      <c r="Q3617" s="8"/>
      <c r="R3617" s="9" t="s">
        <v>3358</v>
      </c>
    </row>
    <row r="3618" spans="1:18" x14ac:dyDescent="0.25">
      <c r="A3618" s="6" t="str">
        <f>HYPERLINK("proteomic_fractions_linear_files/Yang_linear_img/268839462.jpg", "268839462")</f>
        <v>268839462</v>
      </c>
      <c r="B3618" s="7"/>
      <c r="C3618" s="6" t="str">
        <f>HYPERLINK("http://www.ncbi.nlm.nih.gov/protein/268839462","Itfg1")</f>
        <v>Itfg1</v>
      </c>
      <c r="D3618" s="8"/>
      <c r="E3618" s="8">
        <v>64355</v>
      </c>
      <c r="F3618" s="8"/>
      <c r="G3618" s="15" t="s">
        <v>10</v>
      </c>
      <c r="H3618" s="15" t="s">
        <v>10</v>
      </c>
      <c r="I3618" s="15">
        <v>1.483874705977883</v>
      </c>
      <c r="J3618" s="15">
        <v>1.483874705977883</v>
      </c>
      <c r="K3618" s="15">
        <v>1.483874705977883</v>
      </c>
      <c r="L3618" s="15">
        <v>1.483874705977883</v>
      </c>
      <c r="M3618" s="15" t="s">
        <v>10</v>
      </c>
      <c r="N3618" s="15" t="s">
        <v>10</v>
      </c>
      <c r="O3618" s="15" t="s">
        <v>10</v>
      </c>
      <c r="P3618" s="15" t="s">
        <v>10</v>
      </c>
      <c r="Q3618" s="8"/>
      <c r="R3618" s="9" t="s">
        <v>3359</v>
      </c>
    </row>
    <row r="3619" spans="1:18" x14ac:dyDescent="0.25">
      <c r="A3619" s="6" t="str">
        <f>HYPERLINK("proteomic_fractions_linear_files/Yang_linear_img/19527142.jpg", "19527142")</f>
        <v>19527142</v>
      </c>
      <c r="B3619" s="7"/>
      <c r="C3619" s="6" t="str">
        <f>HYPERLINK("http://www.ncbi.nlm.nih.gov/protein/19527142","Itfg2")</f>
        <v>Itfg2</v>
      </c>
      <c r="D3619" s="8"/>
      <c r="E3619" s="8">
        <v>48841</v>
      </c>
      <c r="F3619" s="8"/>
      <c r="G3619" s="15" t="s">
        <v>10</v>
      </c>
      <c r="H3619" s="15" t="s">
        <v>10</v>
      </c>
      <c r="I3619" s="15" t="s">
        <v>10</v>
      </c>
      <c r="J3619" s="15" t="s">
        <v>10</v>
      </c>
      <c r="K3619" s="15">
        <v>1.0840932577551241</v>
      </c>
      <c r="L3619" s="15">
        <v>1.0840932577551241</v>
      </c>
      <c r="M3619" s="15" t="s">
        <v>10</v>
      </c>
      <c r="N3619" s="15" t="s">
        <v>10</v>
      </c>
      <c r="O3619" s="15" t="s">
        <v>10</v>
      </c>
      <c r="P3619" s="15" t="s">
        <v>10</v>
      </c>
      <c r="Q3619" s="8"/>
      <c r="R3619" s="9" t="s">
        <v>3360</v>
      </c>
    </row>
    <row r="3620" spans="1:18" x14ac:dyDescent="0.25">
      <c r="A3620" s="6" t="str">
        <f>HYPERLINK("proteomic_fractions_linear_files/Yang_linear_img/46402185.jpg", "46402185")</f>
        <v>46402185</v>
      </c>
      <c r="B3620" s="7"/>
      <c r="C3620" s="6" t="str">
        <f>HYPERLINK("http://www.ncbi.nlm.nih.gov/protein/46402185","Itfg3")</f>
        <v>Itfg3</v>
      </c>
      <c r="D3620" s="8"/>
      <c r="E3620" s="8">
        <v>60445</v>
      </c>
      <c r="F3620" s="8"/>
      <c r="G3620" s="15" t="s">
        <v>10</v>
      </c>
      <c r="H3620" s="15" t="s">
        <v>10</v>
      </c>
      <c r="I3620" s="15">
        <v>1.8300260636855243</v>
      </c>
      <c r="J3620" s="15">
        <v>1.8300260636855243</v>
      </c>
      <c r="K3620" s="15">
        <v>2.1453604690852828</v>
      </c>
      <c r="L3620" s="15">
        <v>2.1453604690852828</v>
      </c>
      <c r="M3620" s="15" t="s">
        <v>10</v>
      </c>
      <c r="N3620" s="15" t="s">
        <v>10</v>
      </c>
      <c r="O3620" s="15" t="s">
        <v>10</v>
      </c>
      <c r="P3620" s="15" t="s">
        <v>10</v>
      </c>
      <c r="Q3620" s="8"/>
      <c r="R3620" s="9" t="s">
        <v>3361</v>
      </c>
    </row>
    <row r="3621" spans="1:18" x14ac:dyDescent="0.25">
      <c r="A3621" s="6" t="str">
        <f>HYPERLINK("proteomic_fractions_linear_files/Yang_linear_img/153791389.jpg", "153791389")</f>
        <v>153791389</v>
      </c>
      <c r="B3621" s="7"/>
      <c r="C3621" s="6" t="str">
        <f>HYPERLINK("http://www.ncbi.nlm.nih.gov/protein/153791389","Itga1")</f>
        <v>Itga1</v>
      </c>
      <c r="D3621" s="8"/>
      <c r="E3621" s="8">
        <v>127788</v>
      </c>
      <c r="F3621" s="8"/>
      <c r="G3621" s="15" t="s">
        <v>10</v>
      </c>
      <c r="H3621" s="15" t="s">
        <v>10</v>
      </c>
      <c r="I3621" s="15">
        <v>1.8231316220925708</v>
      </c>
      <c r="J3621" s="15">
        <v>1.8231316220925708</v>
      </c>
      <c r="K3621" s="15">
        <v>1.8231316220925708</v>
      </c>
      <c r="L3621" s="15">
        <v>1.8231316220925708</v>
      </c>
      <c r="M3621" s="15" t="s">
        <v>10</v>
      </c>
      <c r="N3621" s="15" t="s">
        <v>10</v>
      </c>
      <c r="O3621" s="15" t="s">
        <v>10</v>
      </c>
      <c r="P3621" s="15" t="s">
        <v>10</v>
      </c>
      <c r="Q3621" s="8"/>
      <c r="R3621" s="9" t="s">
        <v>3362</v>
      </c>
    </row>
    <row r="3622" spans="1:18" x14ac:dyDescent="0.25">
      <c r="A3622" s="6" t="str">
        <f>HYPERLINK("proteomic_fractions_linear_files/Yang_linear_img/41054731.jpg", "41054731")</f>
        <v>41054731</v>
      </c>
      <c r="B3622" s="7"/>
      <c r="C3622" s="6" t="str">
        <f>HYPERLINK("http://www.ncbi.nlm.nih.gov/protein/41054731","Itga2")</f>
        <v>Itga2</v>
      </c>
      <c r="D3622" s="8"/>
      <c r="E3622" s="8">
        <v>126350</v>
      </c>
      <c r="F3622" s="8"/>
      <c r="G3622" s="15" t="s">
        <v>10</v>
      </c>
      <c r="H3622" s="15" t="s">
        <v>10</v>
      </c>
      <c r="I3622" s="15">
        <v>1.217879929652713</v>
      </c>
      <c r="J3622" s="15">
        <v>1.217879929652713</v>
      </c>
      <c r="K3622" s="15">
        <v>1.4822685050788917</v>
      </c>
      <c r="L3622" s="15">
        <v>1.4822685050788917</v>
      </c>
      <c r="M3622" s="15" t="s">
        <v>10</v>
      </c>
      <c r="N3622" s="15" t="s">
        <v>10</v>
      </c>
      <c r="O3622" s="15" t="s">
        <v>10</v>
      </c>
      <c r="P3622" s="15" t="s">
        <v>10</v>
      </c>
      <c r="Q3622" s="8"/>
      <c r="R3622" s="9" t="s">
        <v>3363</v>
      </c>
    </row>
    <row r="3623" spans="1:18" x14ac:dyDescent="0.25">
      <c r="A3623" s="6" t="str">
        <f>HYPERLINK("proteomic_fractions_linear_files/Yang_linear_img/7305189.jpg", "7305189")</f>
        <v>7305189</v>
      </c>
      <c r="B3623" s="7"/>
      <c r="C3623" s="6" t="str">
        <f>HYPERLINK("http://www.ncbi.nlm.nih.gov/protein/7305189","Itga3")</f>
        <v>Itga3</v>
      </c>
      <c r="D3623" s="8"/>
      <c r="E3623" s="8">
        <v>113455</v>
      </c>
      <c r="F3623" s="8"/>
      <c r="G3623" s="15">
        <v>1.3579900100552376</v>
      </c>
      <c r="H3623" s="15">
        <v>1.3579900100552376</v>
      </c>
      <c r="I3623" s="15">
        <v>1.3579900100552376</v>
      </c>
      <c r="J3623" s="15">
        <v>1.3579900100552376</v>
      </c>
      <c r="K3623" s="15">
        <v>1.3579900100552376</v>
      </c>
      <c r="L3623" s="15">
        <v>1.3579900100552376</v>
      </c>
      <c r="M3623" s="15">
        <v>1.3579900100552376</v>
      </c>
      <c r="N3623" s="15">
        <v>1.3579900100552376</v>
      </c>
      <c r="O3623" s="15" t="s">
        <v>10</v>
      </c>
      <c r="P3623" s="15" t="s">
        <v>10</v>
      </c>
      <c r="Q3623" s="8"/>
      <c r="R3623" s="9" t="s">
        <v>3364</v>
      </c>
    </row>
    <row r="3624" spans="1:18" x14ac:dyDescent="0.25">
      <c r="A3624" s="6" t="str">
        <f>HYPERLINK("proteomic_fractions_linear_files/Yang_linear_img/225903442.jpg", "225903442")</f>
        <v>225903442</v>
      </c>
      <c r="B3624" s="7"/>
      <c r="C3624" s="6" t="str">
        <f>HYPERLINK("http://www.ncbi.nlm.nih.gov/protein/225903442","Itga5")</f>
        <v>Itga5</v>
      </c>
      <c r="D3624" s="8"/>
      <c r="E3624" s="8">
        <v>92553</v>
      </c>
      <c r="F3624" s="8"/>
      <c r="G3624" s="15" t="s">
        <v>10</v>
      </c>
      <c r="H3624" s="15" t="s">
        <v>10</v>
      </c>
      <c r="I3624" s="15">
        <v>0.1797470378559895</v>
      </c>
      <c r="J3624" s="15">
        <v>0.1797470378559895</v>
      </c>
      <c r="K3624" s="15">
        <v>2.0082347488165628</v>
      </c>
      <c r="L3624" s="15">
        <v>2.0082347488165628</v>
      </c>
      <c r="M3624" s="15" t="s">
        <v>10</v>
      </c>
      <c r="N3624" s="15" t="s">
        <v>10</v>
      </c>
      <c r="O3624" s="15" t="s">
        <v>10</v>
      </c>
      <c r="P3624" s="15" t="s">
        <v>10</v>
      </c>
      <c r="Q3624" s="8"/>
      <c r="R3624" s="9" t="s">
        <v>3365</v>
      </c>
    </row>
    <row r="3625" spans="1:18" x14ac:dyDescent="0.25">
      <c r="A3625" s="6" t="str">
        <f>HYPERLINK("proteomic_fractions_linear_files/Yang_linear_img/485836844.jpg", "485836844")</f>
        <v>485836844</v>
      </c>
      <c r="B3625" s="7"/>
      <c r="C3625" s="6" t="str">
        <f>HYPERLINK("http://www.ncbi.nlm.nih.gov/protein/485836844","Itga6")</f>
        <v>Itga6</v>
      </c>
      <c r="D3625" s="8"/>
      <c r="E3625" s="8">
        <v>119872</v>
      </c>
      <c r="F3625" s="8"/>
      <c r="G3625" s="15">
        <v>0.28794480442062653</v>
      </c>
      <c r="H3625" s="15">
        <v>0.28794480442062653</v>
      </c>
      <c r="I3625" s="15" t="s">
        <v>10</v>
      </c>
      <c r="J3625" s="15" t="s">
        <v>10</v>
      </c>
      <c r="K3625" s="15" t="s">
        <v>10</v>
      </c>
      <c r="L3625" s="15" t="s">
        <v>10</v>
      </c>
      <c r="M3625" s="15" t="s">
        <v>10</v>
      </c>
      <c r="N3625" s="15" t="s">
        <v>10</v>
      </c>
      <c r="O3625" s="15" t="s">
        <v>10</v>
      </c>
      <c r="P3625" s="15" t="s">
        <v>10</v>
      </c>
      <c r="Q3625" s="8"/>
      <c r="R3625" s="9" t="s">
        <v>3366</v>
      </c>
    </row>
    <row r="3626" spans="1:18" x14ac:dyDescent="0.25">
      <c r="A3626" s="6" t="str">
        <f>HYPERLINK("proteomic_fractions_linear_files/Yang_linear_img/31982236.jpg", "31982236")</f>
        <v>31982236</v>
      </c>
      <c r="B3626" s="7"/>
      <c r="C3626" s="6" t="str">
        <f>HYPERLINK("http://www.ncbi.nlm.nih.gov/protein/31982236","Itga6")</f>
        <v>Itga6</v>
      </c>
      <c r="D3626" s="8"/>
      <c r="E3626" s="8">
        <v>97339</v>
      </c>
      <c r="F3626" s="8"/>
      <c r="G3626" s="15">
        <v>1.3270270942795563</v>
      </c>
      <c r="H3626" s="15">
        <v>1.3270270942795563</v>
      </c>
      <c r="I3626" s="15">
        <v>1.5819883622292974</v>
      </c>
      <c r="J3626" s="15">
        <v>1.5819883622292974</v>
      </c>
      <c r="K3626" s="15">
        <v>1.5819883622292974</v>
      </c>
      <c r="L3626" s="15">
        <v>1.5819883622292974</v>
      </c>
      <c r="M3626" s="15" t="s">
        <v>10</v>
      </c>
      <c r="N3626" s="15" t="s">
        <v>10</v>
      </c>
      <c r="O3626" s="15" t="s">
        <v>10</v>
      </c>
      <c r="P3626" s="15" t="s">
        <v>10</v>
      </c>
      <c r="Q3626" s="8"/>
      <c r="R3626" s="9" t="s">
        <v>3367</v>
      </c>
    </row>
    <row r="3627" spans="1:18" x14ac:dyDescent="0.25">
      <c r="A3627" s="6" t="str">
        <f>HYPERLINK("proteomic_fractions_linear_files/Yang_linear_img/294997269.jpg", "294997269")</f>
        <v>294997269</v>
      </c>
      <c r="B3627" s="7"/>
      <c r="C3627" s="6" t="str">
        <f>HYPERLINK("http://www.ncbi.nlm.nih.gov/protein/294997269","Itgad")</f>
        <v>Itgad</v>
      </c>
      <c r="D3627" s="8"/>
      <c r="E3627" s="8">
        <v>129203</v>
      </c>
      <c r="F3627" s="8"/>
      <c r="G3627" s="15">
        <v>0.41178736147287659</v>
      </c>
      <c r="H3627" s="15">
        <v>0.41178736147287659</v>
      </c>
      <c r="I3627" s="15" t="s">
        <v>10</v>
      </c>
      <c r="J3627" s="15" t="s">
        <v>10</v>
      </c>
      <c r="K3627" s="15">
        <v>0.31401021862963369</v>
      </c>
      <c r="L3627" s="15">
        <v>0.31401021862963369</v>
      </c>
      <c r="M3627" s="15">
        <v>0.28946764669088831</v>
      </c>
      <c r="N3627" s="15">
        <v>0.28946764669088831</v>
      </c>
      <c r="O3627" s="15" t="s">
        <v>10</v>
      </c>
      <c r="P3627" s="15" t="s">
        <v>10</v>
      </c>
      <c r="Q3627" s="8"/>
      <c r="R3627" s="9" t="s">
        <v>3368</v>
      </c>
    </row>
    <row r="3628" spans="1:18" x14ac:dyDescent="0.25">
      <c r="A3628" s="6" t="str">
        <f>HYPERLINK("proteomic_fractions_linear_files/Yang_linear_img/154240716.jpg", "154240716")</f>
        <v>154240716</v>
      </c>
      <c r="B3628" s="7"/>
      <c r="C3628" s="6" t="str">
        <f>HYPERLINK("http://www.ncbi.nlm.nih.gov/protein/154240716","Itgav")</f>
        <v>Itgav</v>
      </c>
      <c r="D3628" s="8"/>
      <c r="E3628" s="8">
        <v>112290</v>
      </c>
      <c r="F3628" s="8"/>
      <c r="G3628" s="15">
        <v>1.3701149208593022</v>
      </c>
      <c r="H3628" s="15">
        <v>1.3701149208593022</v>
      </c>
      <c r="I3628" s="15">
        <v>1.3701149208593022</v>
      </c>
      <c r="J3628" s="15">
        <v>1.3701149208593022</v>
      </c>
      <c r="K3628" s="15">
        <v>1.3701149208593022</v>
      </c>
      <c r="L3628" s="15">
        <v>1.3701149208593022</v>
      </c>
      <c r="M3628" s="15">
        <v>1.3701149208593022</v>
      </c>
      <c r="N3628" s="15">
        <v>0.21923946976140105</v>
      </c>
      <c r="O3628" s="15" t="s">
        <v>10</v>
      </c>
      <c r="P3628" s="15" t="s">
        <v>10</v>
      </c>
      <c r="Q3628" s="8"/>
      <c r="R3628" s="9" t="s">
        <v>3369</v>
      </c>
    </row>
    <row r="3629" spans="1:18" x14ac:dyDescent="0.25">
      <c r="A3629" s="6" t="str">
        <f>HYPERLINK("proteomic_fractions_linear_files/Yang_linear_img/45504394.jpg", "45504394")</f>
        <v>45504394</v>
      </c>
      <c r="B3629" s="7"/>
      <c r="C3629" s="6" t="str">
        <f>HYPERLINK("http://www.ncbi.nlm.nih.gov/protein/45504394","Itgb1")</f>
        <v>Itgb1</v>
      </c>
      <c r="D3629" s="8"/>
      <c r="E3629" s="8">
        <v>86056</v>
      </c>
      <c r="F3629" s="8"/>
      <c r="G3629" s="15">
        <v>1.784335710886533</v>
      </c>
      <c r="H3629" s="15">
        <v>1.784335710886533</v>
      </c>
      <c r="I3629" s="15">
        <v>1.784335710886533</v>
      </c>
      <c r="J3629" s="15">
        <v>1.784335710886533</v>
      </c>
      <c r="K3629" s="15">
        <v>2.1716957167434927</v>
      </c>
      <c r="L3629" s="15">
        <v>2.1716957167434927</v>
      </c>
      <c r="M3629" s="15">
        <v>1.784335710886533</v>
      </c>
      <c r="N3629" s="15">
        <v>1.784335710886533</v>
      </c>
      <c r="O3629" s="15" t="s">
        <v>10</v>
      </c>
      <c r="P3629" s="15" t="s">
        <v>10</v>
      </c>
      <c r="Q3629" s="8"/>
      <c r="R3629" s="9" t="s">
        <v>3370</v>
      </c>
    </row>
    <row r="3630" spans="1:18" x14ac:dyDescent="0.25">
      <c r="A3630" s="6" t="str">
        <f>HYPERLINK("proteomic_fractions_linear_files/Yang_linear_img/6680488.jpg", "6680488")</f>
        <v>6680488</v>
      </c>
      <c r="B3630" s="7"/>
      <c r="C3630" s="6" t="str">
        <f>HYPERLINK("http://www.ncbi.nlm.nih.gov/protein/6680488","Itgb1bp1")</f>
        <v>Itgb1bp1</v>
      </c>
      <c r="D3630" s="8"/>
      <c r="E3630" s="8">
        <v>21513</v>
      </c>
      <c r="F3630" s="8"/>
      <c r="G3630" s="15" t="s">
        <v>10</v>
      </c>
      <c r="H3630" s="15" t="s">
        <v>10</v>
      </c>
      <c r="I3630" s="15" t="s">
        <v>10</v>
      </c>
      <c r="J3630" s="15" t="s">
        <v>10</v>
      </c>
      <c r="K3630" s="15">
        <v>0.93624732666619426</v>
      </c>
      <c r="L3630" s="15">
        <v>0.93624732666619426</v>
      </c>
      <c r="M3630" s="15">
        <v>0.93624732666619426</v>
      </c>
      <c r="N3630" s="15">
        <v>0.93624732666619426</v>
      </c>
      <c r="O3630" s="15" t="s">
        <v>10</v>
      </c>
      <c r="P3630" s="15" t="s">
        <v>10</v>
      </c>
      <c r="Q3630" s="8"/>
      <c r="R3630" s="9" t="s">
        <v>3371</v>
      </c>
    </row>
    <row r="3631" spans="1:18" x14ac:dyDescent="0.25">
      <c r="A3631" s="6" t="str">
        <f>HYPERLINK("proteomic_fractions_linear_files/Yang_linear_img/111607447.jpg", "111607447")</f>
        <v>111607447</v>
      </c>
      <c r="B3631" s="7"/>
      <c r="C3631" s="6" t="str">
        <f>HYPERLINK("http://www.ncbi.nlm.nih.gov/protein/111607447","Itgb2")</f>
        <v>Itgb2</v>
      </c>
      <c r="D3631" s="8"/>
      <c r="E3631" s="8">
        <v>82698</v>
      </c>
      <c r="F3631" s="8"/>
      <c r="G3631" s="15" t="s">
        <v>10</v>
      </c>
      <c r="H3631" s="15" t="s">
        <v>10</v>
      </c>
      <c r="I3631" s="15" t="s">
        <v>10</v>
      </c>
      <c r="J3631" s="15" t="s">
        <v>10</v>
      </c>
      <c r="K3631" s="15">
        <v>1.5508629897002044</v>
      </c>
      <c r="L3631" s="15">
        <v>1.5508629897002044</v>
      </c>
      <c r="M3631" s="15" t="s">
        <v>10</v>
      </c>
      <c r="N3631" s="15" t="s">
        <v>10</v>
      </c>
      <c r="O3631" s="15" t="s">
        <v>10</v>
      </c>
      <c r="P3631" s="15" t="s">
        <v>10</v>
      </c>
      <c r="Q3631" s="8"/>
      <c r="R3631" s="9" t="s">
        <v>3372</v>
      </c>
    </row>
    <row r="3632" spans="1:18" x14ac:dyDescent="0.25">
      <c r="A3632" s="6" t="str">
        <f>HYPERLINK("proteomic_fractions_linear_files/Yang_linear_img/110735426.jpg", "110735426")</f>
        <v>110735426</v>
      </c>
      <c r="B3632" s="7"/>
      <c r="C3632" s="6" t="str">
        <f>HYPERLINK("http://www.ncbi.nlm.nih.gov/protein/110735426","Itgb4")</f>
        <v>Itgb4</v>
      </c>
      <c r="D3632" s="8"/>
      <c r="E3632" s="8">
        <v>197056</v>
      </c>
      <c r="F3632" s="8"/>
      <c r="G3632" s="15">
        <v>1.1845728305982186</v>
      </c>
      <c r="H3632" s="15">
        <v>1.1845728305982186</v>
      </c>
      <c r="I3632" s="15">
        <v>1.1845728305982186</v>
      </c>
      <c r="J3632" s="15">
        <v>1.1845728305982186</v>
      </c>
      <c r="K3632" s="15">
        <v>1.1845728305982186</v>
      </c>
      <c r="L3632" s="15">
        <v>1.1845728305982186</v>
      </c>
      <c r="M3632" s="15" t="s">
        <v>10</v>
      </c>
      <c r="N3632" s="15" t="s">
        <v>10</v>
      </c>
      <c r="O3632" s="15" t="s">
        <v>10</v>
      </c>
      <c r="P3632" s="15" t="s">
        <v>10</v>
      </c>
      <c r="Q3632" s="8"/>
      <c r="R3632" s="9" t="s">
        <v>3373</v>
      </c>
    </row>
    <row r="3633" spans="1:18" x14ac:dyDescent="0.25">
      <c r="A3633" s="6" t="str">
        <f>HYPERLINK("proteomic_fractions_linear_files/Yang_linear_img/110735428.jpg", "110735428")</f>
        <v>110735428</v>
      </c>
      <c r="B3633" s="7"/>
      <c r="C3633" s="6" t="str">
        <f>HYPERLINK("http://www.ncbi.nlm.nih.gov/protein/110735428","Itgb4")</f>
        <v>Itgb4</v>
      </c>
      <c r="D3633" s="8"/>
      <c r="E3633" s="8">
        <v>191871</v>
      </c>
      <c r="F3633" s="8"/>
      <c r="G3633" s="15">
        <v>1.2154210813950472</v>
      </c>
      <c r="H3633" s="15">
        <v>1.2154210813950472</v>
      </c>
      <c r="I3633" s="15">
        <v>1.2154210813950472</v>
      </c>
      <c r="J3633" s="15">
        <v>1.2154210813950472</v>
      </c>
      <c r="K3633" s="15">
        <v>1.2154210813950472</v>
      </c>
      <c r="L3633" s="15">
        <v>1.2154210813950472</v>
      </c>
      <c r="M3633" s="15" t="s">
        <v>10</v>
      </c>
      <c r="N3633" s="15" t="s">
        <v>10</v>
      </c>
      <c r="O3633" s="15" t="s">
        <v>10</v>
      </c>
      <c r="P3633" s="15" t="s">
        <v>10</v>
      </c>
      <c r="Q3633" s="8"/>
      <c r="R3633" s="9" t="s">
        <v>3374</v>
      </c>
    </row>
    <row r="3634" spans="1:18" x14ac:dyDescent="0.25">
      <c r="A3634" s="6" t="str">
        <f>HYPERLINK("proteomic_fractions_linear_files/Yang_linear_img/225007617.jpg", "225007617")</f>
        <v>225007617</v>
      </c>
      <c r="B3634" s="7"/>
      <c r="C3634" s="6" t="str">
        <f>HYPERLINK("http://www.ncbi.nlm.nih.gov/protein/225007617","Itgb5")</f>
        <v>Itgb5</v>
      </c>
      <c r="D3634" s="8"/>
      <c r="E3634" s="8">
        <v>87582</v>
      </c>
      <c r="F3634" s="8"/>
      <c r="G3634" s="15">
        <v>1.4627457743763292</v>
      </c>
      <c r="H3634" s="15">
        <v>1.4627457743763292</v>
      </c>
      <c r="I3634" s="15">
        <v>1.2477450434219486</v>
      </c>
      <c r="J3634" s="15">
        <v>1.2477450434219486</v>
      </c>
      <c r="K3634" s="15">
        <v>1.4627457743763292</v>
      </c>
      <c r="L3634" s="15">
        <v>1.4627457743763292</v>
      </c>
      <c r="M3634" s="15" t="s">
        <v>10</v>
      </c>
      <c r="N3634" s="15" t="s">
        <v>10</v>
      </c>
      <c r="O3634" s="15" t="s">
        <v>10</v>
      </c>
      <c r="P3634" s="15" t="s">
        <v>10</v>
      </c>
      <c r="Q3634" s="8"/>
      <c r="R3634" s="9" t="s">
        <v>3375</v>
      </c>
    </row>
    <row r="3635" spans="1:18" x14ac:dyDescent="0.25">
      <c r="A3635" s="6" t="str">
        <f>HYPERLINK("proteomic_fractions_linear_files/Yang_linear_img/225007621.jpg", "225007621")</f>
        <v>225007621</v>
      </c>
      <c r="B3635" s="7"/>
      <c r="C3635" s="6" t="str">
        <f>HYPERLINK("http://www.ncbi.nlm.nih.gov/protein/225007621","Itgb5")</f>
        <v>Itgb5</v>
      </c>
      <c r="D3635" s="8"/>
      <c r="E3635" s="8">
        <v>85513</v>
      </c>
      <c r="F3635" s="8"/>
      <c r="G3635" s="15">
        <v>1.4967631179664764</v>
      </c>
      <c r="H3635" s="15">
        <v>1.4967631179664764</v>
      </c>
      <c r="I3635" s="15">
        <v>1.2767623700131565</v>
      </c>
      <c r="J3635" s="15">
        <v>1.2767623700131565</v>
      </c>
      <c r="K3635" s="15">
        <v>1.4967631179664764</v>
      </c>
      <c r="L3635" s="15">
        <v>1.4967631179664764</v>
      </c>
      <c r="M3635" s="15" t="s">
        <v>10</v>
      </c>
      <c r="N3635" s="15" t="s">
        <v>10</v>
      </c>
      <c r="O3635" s="15" t="s">
        <v>10</v>
      </c>
      <c r="P3635" s="15" t="s">
        <v>10</v>
      </c>
      <c r="Q3635" s="8"/>
      <c r="R3635" s="9" t="s">
        <v>3376</v>
      </c>
    </row>
    <row r="3636" spans="1:18" x14ac:dyDescent="0.25">
      <c r="A3636" s="6" t="str">
        <f>HYPERLINK("proteomic_fractions_linear_files/Yang_linear_img/10946686.jpg", "10946686")</f>
        <v>10946686</v>
      </c>
      <c r="B3636" s="7"/>
      <c r="C3636" s="6" t="str">
        <f>HYPERLINK("http://www.ncbi.nlm.nih.gov/protein/10946686","Itgb6")</f>
        <v>Itgb6</v>
      </c>
      <c r="D3636" s="8"/>
      <c r="E3636" s="8">
        <v>83720</v>
      </c>
      <c r="F3636" s="8"/>
      <c r="G3636" s="15" t="s">
        <v>10</v>
      </c>
      <c r="H3636" s="15" t="s">
        <v>10</v>
      </c>
      <c r="I3636" s="15">
        <v>1.8268198944790695</v>
      </c>
      <c r="J3636" s="15">
        <v>1.8268198944790695</v>
      </c>
      <c r="K3636" s="15">
        <v>1.8268198944790695</v>
      </c>
      <c r="L3636" s="15">
        <v>1.8268198944790695</v>
      </c>
      <c r="M3636" s="15" t="s">
        <v>10</v>
      </c>
      <c r="N3636" s="15" t="s">
        <v>10</v>
      </c>
      <c r="O3636" s="15" t="s">
        <v>10</v>
      </c>
      <c r="P3636" s="15" t="s">
        <v>10</v>
      </c>
      <c r="Q3636" s="8"/>
      <c r="R3636" s="9" t="s">
        <v>3377</v>
      </c>
    </row>
    <row r="3637" spans="1:18" x14ac:dyDescent="0.25">
      <c r="A3637" s="6" t="str">
        <f>HYPERLINK("proteomic_fractions_linear_files/Yang_linear_img/160708008.jpg", "160708008")</f>
        <v>160708008</v>
      </c>
      <c r="B3637" s="7"/>
      <c r="C3637" s="6" t="str">
        <f>HYPERLINK("http://www.ncbi.nlm.nih.gov/protein/160708008","Itgb7")</f>
        <v>Itgb7</v>
      </c>
      <c r="D3637" s="8"/>
      <c r="E3637" s="8">
        <v>85494</v>
      </c>
      <c r="F3637" s="8"/>
      <c r="G3637" s="15" t="s">
        <v>10</v>
      </c>
      <c r="H3637" s="15" t="s">
        <v>10</v>
      </c>
      <c r="I3637" s="15" t="s">
        <v>10</v>
      </c>
      <c r="J3637" s="15" t="s">
        <v>10</v>
      </c>
      <c r="K3637" s="15">
        <v>1.5143720958249054</v>
      </c>
      <c r="L3637" s="15">
        <v>1.5143720958249054</v>
      </c>
      <c r="M3637" s="15" t="s">
        <v>10</v>
      </c>
      <c r="N3637" s="15" t="s">
        <v>10</v>
      </c>
      <c r="O3637" s="15" t="s">
        <v>10</v>
      </c>
      <c r="P3637" s="15" t="s">
        <v>10</v>
      </c>
      <c r="Q3637" s="8"/>
      <c r="R3637" s="9" t="s">
        <v>3378</v>
      </c>
    </row>
    <row r="3638" spans="1:18" x14ac:dyDescent="0.25">
      <c r="A3638" s="6" t="str">
        <f>HYPERLINK("proteomic_fractions_linear_files/Yang_linear_img/6680502.jpg", "6680502")</f>
        <v>6680502</v>
      </c>
      <c r="B3638" s="7"/>
      <c r="C3638" s="6" t="str">
        <f>HYPERLINK("http://www.ncbi.nlm.nih.gov/protein/6680502","Itm2b")</f>
        <v>Itm2b</v>
      </c>
      <c r="D3638" s="8"/>
      <c r="E3638" s="8">
        <v>30129</v>
      </c>
      <c r="F3638" s="8"/>
      <c r="G3638" s="15">
        <v>0.42490731139792087</v>
      </c>
      <c r="H3638" s="15">
        <v>0.42490731139792087</v>
      </c>
      <c r="I3638" s="15">
        <v>1.1517792176825061</v>
      </c>
      <c r="J3638" s="15">
        <v>1.1517792176825061</v>
      </c>
      <c r="K3638" s="15">
        <v>1.2447108807708198</v>
      </c>
      <c r="L3638" s="15">
        <v>1.2447108807708198</v>
      </c>
      <c r="M3638" s="15">
        <v>0.44323546743338443</v>
      </c>
      <c r="N3638" s="15">
        <v>0.44323546743338443</v>
      </c>
      <c r="O3638" s="15" t="s">
        <v>10</v>
      </c>
      <c r="P3638" s="15" t="s">
        <v>10</v>
      </c>
      <c r="Q3638" s="8"/>
      <c r="R3638" s="9" t="s">
        <v>3379</v>
      </c>
    </row>
    <row r="3639" spans="1:18" x14ac:dyDescent="0.25">
      <c r="A3639" s="6" t="str">
        <f>HYPERLINK("proteomic_fractions_linear_files/Yang_linear_img/160333680.jpg", "160333680")</f>
        <v>160333680</v>
      </c>
      <c r="B3639" s="7"/>
      <c r="C3639" s="6" t="str">
        <f>HYPERLINK("http://www.ncbi.nlm.nih.gov/protein/160333680","Itm2c")</f>
        <v>Itm2c</v>
      </c>
      <c r="D3639" s="8"/>
      <c r="E3639" s="8">
        <v>30351</v>
      </c>
      <c r="F3639" s="8"/>
      <c r="G3639" s="15" t="s">
        <v>10</v>
      </c>
      <c r="H3639" s="15" t="s">
        <v>10</v>
      </c>
      <c r="I3639" s="15">
        <v>0.93060704325606869</v>
      </c>
      <c r="J3639" s="15">
        <v>0.93060704325606869</v>
      </c>
      <c r="K3639" s="15" t="s">
        <v>10</v>
      </c>
      <c r="L3639" s="15" t="s">
        <v>10</v>
      </c>
      <c r="M3639" s="15" t="s">
        <v>10</v>
      </c>
      <c r="N3639" s="15" t="s">
        <v>10</v>
      </c>
      <c r="O3639" s="15" t="s">
        <v>10</v>
      </c>
      <c r="P3639" s="15" t="s">
        <v>10</v>
      </c>
      <c r="Q3639" s="8"/>
      <c r="R3639" s="9" t="s">
        <v>3380</v>
      </c>
    </row>
    <row r="3640" spans="1:18" x14ac:dyDescent="0.25">
      <c r="A3640" s="6" t="str">
        <f>HYPERLINK("proteomic_fractions_linear_files/Yang_linear_img/31982664.jpg", "31982664")</f>
        <v>31982664</v>
      </c>
      <c r="B3640" s="7"/>
      <c r="C3640" s="6" t="str">
        <f>HYPERLINK("http://www.ncbi.nlm.nih.gov/protein/31982664","Itpa")</f>
        <v>Itpa</v>
      </c>
      <c r="D3640" s="8"/>
      <c r="E3640" s="8">
        <v>21766</v>
      </c>
      <c r="F3640" s="8"/>
      <c r="G3640" s="15" t="s">
        <v>10</v>
      </c>
      <c r="H3640" s="15" t="s">
        <v>10</v>
      </c>
      <c r="I3640" s="15">
        <v>0.99071555775812503</v>
      </c>
      <c r="J3640" s="15">
        <v>0.99071555775812503</v>
      </c>
      <c r="K3640" s="15">
        <v>0.99071555775812503</v>
      </c>
      <c r="L3640" s="15">
        <v>0.99071555775812503</v>
      </c>
      <c r="M3640" s="15" t="s">
        <v>10</v>
      </c>
      <c r="N3640" s="15" t="s">
        <v>10</v>
      </c>
      <c r="O3640" s="15">
        <v>0.93624732666619426</v>
      </c>
      <c r="P3640" s="15">
        <v>0.93624732666619426</v>
      </c>
      <c r="Q3640" s="8"/>
      <c r="R3640" s="9" t="s">
        <v>3381</v>
      </c>
    </row>
    <row r="3641" spans="1:18" x14ac:dyDescent="0.25">
      <c r="A3641" s="6" t="str">
        <f>HYPERLINK("proteomic_fractions_linear_files/Yang_linear_img/29789389.jpg", "29789389")</f>
        <v>29789389</v>
      </c>
      <c r="B3641" s="7"/>
      <c r="C3641" s="6" t="str">
        <f>HYPERLINK("http://www.ncbi.nlm.nih.gov/protein/29789389","Itpk1")</f>
        <v>Itpk1</v>
      </c>
      <c r="D3641" s="8"/>
      <c r="E3641" s="8">
        <v>46015</v>
      </c>
      <c r="F3641" s="8"/>
      <c r="G3641" s="15" t="s">
        <v>10</v>
      </c>
      <c r="H3641" s="15" t="s">
        <v>10</v>
      </c>
      <c r="I3641" s="15" t="s">
        <v>10</v>
      </c>
      <c r="J3641" s="15" t="s">
        <v>10</v>
      </c>
      <c r="K3641" s="15">
        <v>0.95925194015142323</v>
      </c>
      <c r="L3641" s="15">
        <v>0.95925194015142323</v>
      </c>
      <c r="M3641" s="15">
        <v>0.88059387398310318</v>
      </c>
      <c r="N3641" s="15">
        <v>0.88059387398310318</v>
      </c>
      <c r="O3641" s="15">
        <v>0.88059387398310318</v>
      </c>
      <c r="P3641" s="15">
        <v>0.88059387398310318</v>
      </c>
      <c r="Q3641" s="8"/>
      <c r="R3641" s="9" t="s">
        <v>3382</v>
      </c>
    </row>
    <row r="3642" spans="1:18" x14ac:dyDescent="0.25">
      <c r="A3642" s="6" t="str">
        <f>HYPERLINK("proteomic_fractions_linear_files/Yang_linear_img/291327470.jpg", "291327470")</f>
        <v>291327470</v>
      </c>
      <c r="B3642" s="7"/>
      <c r="C3642" s="6" t="str">
        <f>HYPERLINK("http://www.ncbi.nlm.nih.gov/protein/291327470","Itpr1")</f>
        <v>Itpr1</v>
      </c>
      <c r="D3642" s="8"/>
      <c r="E3642" s="8">
        <v>313038</v>
      </c>
      <c r="F3642" s="8"/>
      <c r="G3642" s="15" t="s">
        <v>10</v>
      </c>
      <c r="H3642" s="15" t="s">
        <v>10</v>
      </c>
      <c r="I3642" s="15">
        <v>0.96416397647443697</v>
      </c>
      <c r="J3642" s="15">
        <v>0.96416397647443697</v>
      </c>
      <c r="K3642" s="15">
        <v>0.96416397647443697</v>
      </c>
      <c r="L3642" s="15">
        <v>0.96416397647443697</v>
      </c>
      <c r="M3642" s="15" t="s">
        <v>10</v>
      </c>
      <c r="N3642" s="15" t="s">
        <v>10</v>
      </c>
      <c r="O3642" s="15" t="s">
        <v>10</v>
      </c>
      <c r="P3642" s="15" t="s">
        <v>10</v>
      </c>
      <c r="Q3642" s="8"/>
      <c r="R3642" s="9" t="s">
        <v>3383</v>
      </c>
    </row>
    <row r="3643" spans="1:18" x14ac:dyDescent="0.25">
      <c r="A3643" s="6" t="str">
        <f>HYPERLINK("proteomic_fractions_linear_files/Yang_linear_img/60592758.jpg", "60592758")</f>
        <v>60592758</v>
      </c>
      <c r="B3643" s="7"/>
      <c r="C3643" s="6" t="str">
        <f>HYPERLINK("http://www.ncbi.nlm.nih.gov/protein/60592758","Itpr2")</f>
        <v>Itpr2</v>
      </c>
      <c r="D3643" s="8"/>
      <c r="E3643" s="8">
        <v>303906</v>
      </c>
      <c r="F3643" s="8"/>
      <c r="G3643" s="15" t="s">
        <v>10</v>
      </c>
      <c r="H3643" s="15" t="s">
        <v>10</v>
      </c>
      <c r="I3643" s="15">
        <v>0.9927083047253249</v>
      </c>
      <c r="J3643" s="15">
        <v>0.9927083047253249</v>
      </c>
      <c r="K3643" s="15">
        <v>0.9927083047253249</v>
      </c>
      <c r="L3643" s="15">
        <v>0.9927083047253249</v>
      </c>
      <c r="M3643" s="15" t="s">
        <v>10</v>
      </c>
      <c r="N3643" s="15" t="s">
        <v>10</v>
      </c>
      <c r="O3643" s="15" t="s">
        <v>10</v>
      </c>
      <c r="P3643" s="15" t="s">
        <v>10</v>
      </c>
      <c r="Q3643" s="8"/>
      <c r="R3643" s="9" t="s">
        <v>3384</v>
      </c>
    </row>
    <row r="3644" spans="1:18" x14ac:dyDescent="0.25">
      <c r="A3644" s="6" t="str">
        <f>HYPERLINK("proteomic_fractions_linear_files/Yang_linear_img/60593032.jpg", "60593032")</f>
        <v>60593032</v>
      </c>
      <c r="B3644" s="7"/>
      <c r="C3644" s="6" t="str">
        <f>HYPERLINK("http://www.ncbi.nlm.nih.gov/protein/60593032","Itpr2")</f>
        <v>Itpr2</v>
      </c>
      <c r="D3644" s="8"/>
      <c r="E3644" s="8">
        <v>307345</v>
      </c>
      <c r="F3644" s="8"/>
      <c r="G3644" s="15" t="s">
        <v>10</v>
      </c>
      <c r="H3644" s="15" t="s">
        <v>10</v>
      </c>
      <c r="I3644" s="15">
        <v>0.98300757210585921</v>
      </c>
      <c r="J3644" s="15">
        <v>0.98300757210585921</v>
      </c>
      <c r="K3644" s="15">
        <v>0.98300757210585921</v>
      </c>
      <c r="L3644" s="15">
        <v>0.98300757210585921</v>
      </c>
      <c r="M3644" s="15" t="s">
        <v>10</v>
      </c>
      <c r="N3644" s="15" t="s">
        <v>10</v>
      </c>
      <c r="O3644" s="15" t="s">
        <v>10</v>
      </c>
      <c r="P3644" s="15" t="s">
        <v>10</v>
      </c>
      <c r="Q3644" s="8"/>
      <c r="R3644" s="9" t="s">
        <v>3385</v>
      </c>
    </row>
    <row r="3645" spans="1:18" x14ac:dyDescent="0.25">
      <c r="A3645" s="6" t="str">
        <f>HYPERLINK("proteomic_fractions_linear_files/Yang_linear_img/61102728.jpg", "61102728")</f>
        <v>61102728</v>
      </c>
      <c r="B3645" s="7"/>
      <c r="C3645" s="6" t="str">
        <f>HYPERLINK("http://www.ncbi.nlm.nih.gov/protein/61102728","Itpr3")</f>
        <v>Itpr3</v>
      </c>
      <c r="D3645" s="8"/>
      <c r="E3645" s="8">
        <v>304145</v>
      </c>
      <c r="F3645" s="8"/>
      <c r="G3645" s="15">
        <v>0.76763436719687195</v>
      </c>
      <c r="H3645" s="15">
        <v>0.76763436719687195</v>
      </c>
      <c r="I3645" s="15">
        <v>0.9927083047253249</v>
      </c>
      <c r="J3645" s="15">
        <v>0.9927083047253249</v>
      </c>
      <c r="K3645" s="15">
        <v>0.9927083047253249</v>
      </c>
      <c r="L3645" s="15">
        <v>0.9927083047253249</v>
      </c>
      <c r="M3645" s="15" t="s">
        <v>10</v>
      </c>
      <c r="N3645" s="15" t="s">
        <v>10</v>
      </c>
      <c r="O3645" s="15" t="s">
        <v>10</v>
      </c>
      <c r="P3645" s="15" t="s">
        <v>10</v>
      </c>
      <c r="Q3645" s="8"/>
      <c r="R3645" s="9" t="s">
        <v>3386</v>
      </c>
    </row>
    <row r="3646" spans="1:18" x14ac:dyDescent="0.25">
      <c r="A3646" s="6" t="str">
        <f>HYPERLINK("proteomic_fractions_linear_files/Yang_linear_img/160333276.jpg", "160333276")</f>
        <v>160333276</v>
      </c>
      <c r="B3646" s="7"/>
      <c r="C3646" s="6" t="str">
        <f>HYPERLINK("http://www.ncbi.nlm.nih.gov/protein/160333276","Itsn1")</f>
        <v>Itsn1</v>
      </c>
      <c r="D3646" s="8"/>
      <c r="E3646" s="8">
        <v>136477</v>
      </c>
      <c r="F3646" s="8"/>
      <c r="G3646" s="15" t="s">
        <v>10</v>
      </c>
      <c r="H3646" s="15" t="s">
        <v>10</v>
      </c>
      <c r="I3646" s="15" t="s">
        <v>10</v>
      </c>
      <c r="J3646" s="15" t="s">
        <v>10</v>
      </c>
      <c r="K3646" s="15" t="s">
        <v>10</v>
      </c>
      <c r="L3646" s="15" t="s">
        <v>10</v>
      </c>
      <c r="M3646" s="15" t="s">
        <v>10</v>
      </c>
      <c r="N3646" s="15" t="s">
        <v>10</v>
      </c>
      <c r="O3646" s="15">
        <v>1.3732781738230908</v>
      </c>
      <c r="P3646" s="15">
        <v>1.3732781738230908</v>
      </c>
      <c r="Q3646" s="8"/>
      <c r="R3646" s="9" t="s">
        <v>3387</v>
      </c>
    </row>
    <row r="3647" spans="1:18" x14ac:dyDescent="0.25">
      <c r="A3647" s="6" t="str">
        <f>HYPERLINK("proteomic_fractions_linear_files/Yang_linear_img/160333280.jpg", "160333280")</f>
        <v>160333280</v>
      </c>
      <c r="B3647" s="7"/>
      <c r="C3647" s="6" t="str">
        <f>HYPERLINK("http://www.ncbi.nlm.nih.gov/protein/160333280","Itsn1")</f>
        <v>Itsn1</v>
      </c>
      <c r="D3647" s="8"/>
      <c r="E3647" s="8">
        <v>70341</v>
      </c>
      <c r="F3647" s="8"/>
      <c r="G3647" s="15" t="s">
        <v>10</v>
      </c>
      <c r="H3647" s="15" t="s">
        <v>10</v>
      </c>
      <c r="I3647" s="15" t="s">
        <v>10</v>
      </c>
      <c r="J3647" s="15" t="s">
        <v>10</v>
      </c>
      <c r="K3647" s="15" t="s">
        <v>10</v>
      </c>
      <c r="L3647" s="15" t="s">
        <v>10</v>
      </c>
      <c r="M3647" s="15" t="s">
        <v>10</v>
      </c>
      <c r="N3647" s="15" t="s">
        <v>10</v>
      </c>
      <c r="O3647" s="15">
        <v>2.6680833091420051</v>
      </c>
      <c r="P3647" s="15">
        <v>2.6680833091420051</v>
      </c>
      <c r="Q3647" s="8"/>
      <c r="R3647" s="9" t="s">
        <v>3388</v>
      </c>
    </row>
    <row r="3648" spans="1:18" x14ac:dyDescent="0.25">
      <c r="A3648" s="6" t="str">
        <f>HYPERLINK("proteomic_fractions_linear_files/Yang_linear_img/134288904.jpg", "134288904")</f>
        <v>134288904</v>
      </c>
      <c r="B3648" s="7"/>
      <c r="C3648" s="6" t="str">
        <f>HYPERLINK("http://www.ncbi.nlm.nih.gov/protein/134288904","Itsn1")</f>
        <v>Itsn1</v>
      </c>
      <c r="D3648" s="8"/>
      <c r="E3648" s="8">
        <v>194167</v>
      </c>
      <c r="F3648" s="8"/>
      <c r="G3648" s="15" t="s">
        <v>10</v>
      </c>
      <c r="H3648" s="15" t="s">
        <v>10</v>
      </c>
      <c r="I3648" s="15">
        <v>1.2028909671538612</v>
      </c>
      <c r="J3648" s="15">
        <v>1.2028909671538612</v>
      </c>
      <c r="K3648" s="15">
        <v>1.2028909671538612</v>
      </c>
      <c r="L3648" s="15">
        <v>1.2028909671538612</v>
      </c>
      <c r="M3648" s="15" t="s">
        <v>10</v>
      </c>
      <c r="N3648" s="15" t="s">
        <v>10</v>
      </c>
      <c r="O3648" s="15">
        <v>0.96271047237082663</v>
      </c>
      <c r="P3648" s="15">
        <v>0.96271047237082663</v>
      </c>
      <c r="Q3648" s="8"/>
      <c r="R3648" s="9" t="s">
        <v>3389</v>
      </c>
    </row>
    <row r="3649" spans="1:18" x14ac:dyDescent="0.25">
      <c r="A3649" s="6" t="str">
        <f>HYPERLINK("proteomic_fractions_linear_files/Yang_linear_img/312176405.jpg", "312176405")</f>
        <v>312176405</v>
      </c>
      <c r="B3649" s="7"/>
      <c r="C3649" s="6" t="str">
        <f>HYPERLINK("http://www.ncbi.nlm.nih.gov/protein/312176405","Itsn2")</f>
        <v>Itsn2</v>
      </c>
      <c r="D3649" s="8"/>
      <c r="E3649" s="8">
        <v>73759</v>
      </c>
      <c r="F3649" s="8"/>
      <c r="G3649" s="15" t="s">
        <v>10</v>
      </c>
      <c r="H3649" s="15" t="s">
        <v>10</v>
      </c>
      <c r="I3649" s="15" t="s">
        <v>10</v>
      </c>
      <c r="J3649" s="15" t="s">
        <v>10</v>
      </c>
      <c r="K3649" s="15" t="s">
        <v>10</v>
      </c>
      <c r="L3649" s="15" t="s">
        <v>10</v>
      </c>
      <c r="M3649" s="15" t="s">
        <v>10</v>
      </c>
      <c r="N3649" s="15" t="s">
        <v>10</v>
      </c>
      <c r="O3649" s="15">
        <v>2.0736874477870519</v>
      </c>
      <c r="P3649" s="15">
        <v>2.0736874477870519</v>
      </c>
      <c r="Q3649" s="8"/>
      <c r="R3649" s="9" t="s">
        <v>3390</v>
      </c>
    </row>
    <row r="3650" spans="1:18" x14ac:dyDescent="0.25">
      <c r="A3650" s="6" t="str">
        <f>HYPERLINK("proteomic_fractions_linear_files/Yang_linear_img/312176401.jpg", "312176401")</f>
        <v>312176401</v>
      </c>
      <c r="B3650" s="7"/>
      <c r="C3650" s="6" t="str">
        <f>HYPERLINK("http://www.ncbi.nlm.nih.gov/protein/312176401","Itsn2")</f>
        <v>Itsn2</v>
      </c>
      <c r="D3650" s="8"/>
      <c r="E3650" s="8">
        <v>191605</v>
      </c>
      <c r="F3650" s="8"/>
      <c r="G3650" s="15" t="s">
        <v>10</v>
      </c>
      <c r="H3650" s="15" t="s">
        <v>10</v>
      </c>
      <c r="I3650" s="15">
        <v>1.2154210813950472</v>
      </c>
      <c r="J3650" s="15">
        <v>1.2154210813950472</v>
      </c>
      <c r="K3650" s="15">
        <v>1.2154210813950472</v>
      </c>
      <c r="L3650" s="15">
        <v>1.2154210813950472</v>
      </c>
      <c r="M3650" s="15" t="s">
        <v>10</v>
      </c>
      <c r="N3650" s="15" t="s">
        <v>10</v>
      </c>
      <c r="O3650" s="15">
        <v>0.79923370383459291</v>
      </c>
      <c r="P3650" s="15">
        <v>0.79923370383459291</v>
      </c>
      <c r="Q3650" s="8"/>
      <c r="R3650" s="9" t="s">
        <v>3391</v>
      </c>
    </row>
    <row r="3651" spans="1:18" x14ac:dyDescent="0.25">
      <c r="A3651" s="6" t="str">
        <f>HYPERLINK("proteomic_fractions_linear_files/Yang_linear_img/46560563.jpg", "46560563")</f>
        <v>46560563</v>
      </c>
      <c r="B3651" s="7"/>
      <c r="C3651" s="6" t="str">
        <f>HYPERLINK("http://www.ncbi.nlm.nih.gov/protein/46560563","Itsn2")</f>
        <v>Itsn2</v>
      </c>
      <c r="D3651" s="8"/>
      <c r="E3651" s="8">
        <v>188650</v>
      </c>
      <c r="F3651" s="8"/>
      <c r="G3651" s="15" t="s">
        <v>10</v>
      </c>
      <c r="H3651" s="15" t="s">
        <v>10</v>
      </c>
      <c r="I3651" s="15">
        <v>1.2347134795124288</v>
      </c>
      <c r="J3651" s="15">
        <v>1.2347134795124288</v>
      </c>
      <c r="K3651" s="15">
        <v>1.2347134795124288</v>
      </c>
      <c r="L3651" s="15">
        <v>1.2347134795124288</v>
      </c>
      <c r="M3651" s="15" t="s">
        <v>10</v>
      </c>
      <c r="N3651" s="15" t="s">
        <v>10</v>
      </c>
      <c r="O3651" s="15">
        <v>0.81191995310180864</v>
      </c>
      <c r="P3651" s="15">
        <v>0.81191995310180864</v>
      </c>
      <c r="Q3651" s="8"/>
      <c r="R3651" s="9" t="s">
        <v>3392</v>
      </c>
    </row>
    <row r="3652" spans="1:18" x14ac:dyDescent="0.25">
      <c r="A3652" s="6" t="str">
        <f>HYPERLINK("proteomic_fractions_linear_files/Yang_linear_img/9789985.jpg", "9789985")</f>
        <v>9789985</v>
      </c>
      <c r="B3652" s="7"/>
      <c r="C3652" s="6" t="str">
        <f>HYPERLINK("http://www.ncbi.nlm.nih.gov/protein/9789985","Ivd")</f>
        <v>Ivd</v>
      </c>
      <c r="D3652" s="8"/>
      <c r="E3652" s="8">
        <v>42972</v>
      </c>
      <c r="F3652" s="8"/>
      <c r="G3652" s="15">
        <v>1.2353620844186297</v>
      </c>
      <c r="H3652" s="15">
        <v>1.2353620844186297</v>
      </c>
      <c r="I3652" s="15">
        <v>0.942030655888901</v>
      </c>
      <c r="J3652" s="15">
        <v>0.942030655888901</v>
      </c>
      <c r="K3652" s="15" t="s">
        <v>10</v>
      </c>
      <c r="L3652" s="15" t="s">
        <v>10</v>
      </c>
      <c r="M3652" s="15">
        <v>0.942030655888901</v>
      </c>
      <c r="N3652" s="15">
        <v>0.942030655888901</v>
      </c>
      <c r="O3652" s="15">
        <v>0.86840294007266494</v>
      </c>
      <c r="P3652" s="15">
        <v>0.86840294007266494</v>
      </c>
      <c r="Q3652" s="8"/>
      <c r="R3652" s="9" t="s">
        <v>3393</v>
      </c>
    </row>
    <row r="3653" spans="1:18" x14ac:dyDescent="0.25">
      <c r="A3653" s="6" t="str">
        <f>HYPERLINK("proteomic_fractions_linear_files/Yang_linear_img/83627715.jpg", "83627715")</f>
        <v>83627715</v>
      </c>
      <c r="B3653" s="7"/>
      <c r="C3653" s="6" t="str">
        <f>HYPERLINK("http://www.ncbi.nlm.nih.gov/protein/83627715","Ivl")</f>
        <v>Ivl</v>
      </c>
      <c r="D3653" s="8"/>
      <c r="E3653" s="8">
        <v>54915</v>
      </c>
      <c r="F3653" s="8"/>
      <c r="G3653" s="15" t="s">
        <v>10</v>
      </c>
      <c r="H3653" s="15" t="s">
        <v>10</v>
      </c>
      <c r="I3653" s="15" t="s">
        <v>10</v>
      </c>
      <c r="J3653" s="15" t="s">
        <v>10</v>
      </c>
      <c r="K3653" s="15" t="s">
        <v>10</v>
      </c>
      <c r="L3653" s="15" t="s">
        <v>10</v>
      </c>
      <c r="M3653" s="15" t="s">
        <v>10</v>
      </c>
      <c r="N3653" s="15" t="s">
        <v>10</v>
      </c>
      <c r="O3653" s="15">
        <v>1.5108846995117065</v>
      </c>
      <c r="P3653" s="15">
        <v>1.5108846995117065</v>
      </c>
      <c r="Q3653" s="8"/>
      <c r="R3653" s="9" t="s">
        <v>3394</v>
      </c>
    </row>
    <row r="3654" spans="1:18" x14ac:dyDescent="0.25">
      <c r="A3654" s="6" t="str">
        <f>HYPERLINK("proteomic_fractions_linear_files/Yang_linear_img/87239990.jpg", "87239990")</f>
        <v>87239990</v>
      </c>
      <c r="B3654" s="7"/>
      <c r="C3654" s="6" t="str">
        <f>HYPERLINK("http://www.ncbi.nlm.nih.gov/protein/87239990","Ivns1abp")</f>
        <v>Ivns1abp</v>
      </c>
      <c r="D3654" s="8"/>
      <c r="E3654" s="8">
        <v>71450</v>
      </c>
      <c r="F3654" s="8"/>
      <c r="G3654" s="15" t="s">
        <v>10</v>
      </c>
      <c r="H3654" s="15" t="s">
        <v>10</v>
      </c>
      <c r="I3654" s="15" t="s">
        <v>10</v>
      </c>
      <c r="J3654" s="15" t="s">
        <v>10</v>
      </c>
      <c r="K3654" s="15" t="s">
        <v>10</v>
      </c>
      <c r="L3654" s="15" t="s">
        <v>10</v>
      </c>
      <c r="M3654" s="15">
        <v>1.0343121160800317</v>
      </c>
      <c r="N3654" s="15">
        <v>1.0343121160800317</v>
      </c>
      <c r="O3654" s="15" t="s">
        <v>10</v>
      </c>
      <c r="P3654" s="15" t="s">
        <v>10</v>
      </c>
      <c r="Q3654" s="8"/>
      <c r="R3654" s="9" t="s">
        <v>3395</v>
      </c>
    </row>
    <row r="3655" spans="1:18" x14ac:dyDescent="0.25">
      <c r="A3655" s="6" t="str">
        <f>HYPERLINK("proteomic_fractions_linear_files/Yang_linear_img/87239992.jpg", "87239992")</f>
        <v>87239992</v>
      </c>
      <c r="B3655" s="7"/>
      <c r="C3655" s="6" t="str">
        <f>HYPERLINK("http://www.ncbi.nlm.nih.gov/protein/87239992","Ivns1abp")</f>
        <v>Ivns1abp</v>
      </c>
      <c r="D3655" s="8"/>
      <c r="E3655" s="8">
        <v>25202</v>
      </c>
      <c r="F3655" s="8"/>
      <c r="G3655" s="15" t="s">
        <v>10</v>
      </c>
      <c r="H3655" s="15" t="s">
        <v>10</v>
      </c>
      <c r="I3655" s="15" t="s">
        <v>10</v>
      </c>
      <c r="J3655" s="15" t="s">
        <v>10</v>
      </c>
      <c r="K3655" s="15" t="s">
        <v>10</v>
      </c>
      <c r="L3655" s="15" t="s">
        <v>10</v>
      </c>
      <c r="M3655" s="15">
        <v>2.9374464096672899</v>
      </c>
      <c r="N3655" s="15">
        <v>2.9374464096672899</v>
      </c>
      <c r="O3655" s="15" t="s">
        <v>10</v>
      </c>
      <c r="P3655" s="15" t="s">
        <v>10</v>
      </c>
      <c r="Q3655" s="8"/>
      <c r="R3655" s="9" t="s">
        <v>3396</v>
      </c>
    </row>
    <row r="3656" spans="1:18" x14ac:dyDescent="0.25">
      <c r="A3656" s="6" t="str">
        <f>HYPERLINK("proteomic_fractions_linear_files/Yang_linear_img/87239996.jpg", "87239996")</f>
        <v>87239996</v>
      </c>
      <c r="B3656" s="7"/>
      <c r="C3656" s="6" t="str">
        <f>HYPERLINK("http://www.ncbi.nlm.nih.gov/protein/87239996","Ivns1abp")</f>
        <v>Ivns1abp</v>
      </c>
      <c r="D3656" s="8"/>
      <c r="E3656" s="8">
        <v>66543</v>
      </c>
      <c r="F3656" s="8"/>
      <c r="G3656" s="15" t="s">
        <v>10</v>
      </c>
      <c r="H3656" s="15" t="s">
        <v>10</v>
      </c>
      <c r="I3656" s="15" t="s">
        <v>10</v>
      </c>
      <c r="J3656" s="15" t="s">
        <v>10</v>
      </c>
      <c r="K3656" s="15" t="s">
        <v>10</v>
      </c>
      <c r="L3656" s="15" t="s">
        <v>10</v>
      </c>
      <c r="M3656" s="15">
        <v>1.0960620931594365</v>
      </c>
      <c r="N3656" s="15">
        <v>1.0960620931594365</v>
      </c>
      <c r="O3656" s="15" t="s">
        <v>10</v>
      </c>
      <c r="P3656" s="15" t="s">
        <v>10</v>
      </c>
      <c r="Q3656" s="8"/>
      <c r="R3656" s="9" t="s">
        <v>3397</v>
      </c>
    </row>
    <row r="3657" spans="1:18" x14ac:dyDescent="0.25">
      <c r="A3657" s="6" t="str">
        <f>HYPERLINK("proteomic_fractions_linear_files/Yang_linear_img/30352010.jpg", "30352010")</f>
        <v>30352010</v>
      </c>
      <c r="B3657" s="7"/>
      <c r="C3657" s="6" t="str">
        <f>HYPERLINK("http://www.ncbi.nlm.nih.gov/protein/30352010","Iws1")</f>
        <v>Iws1</v>
      </c>
      <c r="D3657" s="8"/>
      <c r="E3657" s="8">
        <v>85118</v>
      </c>
      <c r="F3657" s="8"/>
      <c r="G3657" s="15" t="s">
        <v>10</v>
      </c>
      <c r="H3657" s="15" t="s">
        <v>10</v>
      </c>
      <c r="I3657" s="15" t="s">
        <v>10</v>
      </c>
      <c r="J3657" s="15" t="s">
        <v>10</v>
      </c>
      <c r="K3657" s="15">
        <v>0.21759175487722451</v>
      </c>
      <c r="L3657" s="15">
        <v>0.21759175487722451</v>
      </c>
      <c r="M3657" s="15" t="s">
        <v>10</v>
      </c>
      <c r="N3657" s="15" t="s">
        <v>10</v>
      </c>
      <c r="O3657" s="15">
        <v>1.5143720958249054</v>
      </c>
      <c r="P3657" s="15">
        <v>1.5143720958249054</v>
      </c>
      <c r="Q3657" s="8"/>
      <c r="R3657" s="9" t="s">
        <v>3398</v>
      </c>
    </row>
    <row r="3658" spans="1:18" x14ac:dyDescent="0.25">
      <c r="A3658" s="6" t="str">
        <f>HYPERLINK("proteomic_fractions_linear_files/Yang_linear_img/344179114.jpg", "344179114")</f>
        <v>344179114</v>
      </c>
      <c r="B3658" s="7"/>
      <c r="C3658" s="6" t="str">
        <f>HYPERLINK("http://www.ncbi.nlm.nih.gov/protein/344179114","Jagn1")</f>
        <v>Jagn1</v>
      </c>
      <c r="D3658" s="8"/>
      <c r="E3658" s="8">
        <v>7313</v>
      </c>
      <c r="F3658" s="8"/>
      <c r="G3658" s="15">
        <v>3.7357511593464285</v>
      </c>
      <c r="H3658" s="15">
        <v>3.7357511593464285</v>
      </c>
      <c r="I3658" s="15" t="s">
        <v>10</v>
      </c>
      <c r="J3658" s="15" t="s">
        <v>10</v>
      </c>
      <c r="K3658" s="15">
        <v>2.5099913950512809</v>
      </c>
      <c r="L3658" s="15">
        <v>2.5099913950512809</v>
      </c>
      <c r="M3658" s="15" t="s">
        <v>10</v>
      </c>
      <c r="N3658" s="15" t="s">
        <v>10</v>
      </c>
      <c r="O3658" s="15" t="s">
        <v>10</v>
      </c>
      <c r="P3658" s="15" t="s">
        <v>10</v>
      </c>
      <c r="Q3658" s="8"/>
      <c r="R3658" s="9" t="s">
        <v>3399</v>
      </c>
    </row>
    <row r="3659" spans="1:18" x14ac:dyDescent="0.25">
      <c r="A3659" s="6" t="str">
        <f>HYPERLINK("proteomic_fractions_linear_files/Yang_linear_img/13385862.jpg", "13385862")</f>
        <v>13385862</v>
      </c>
      <c r="B3659" s="7"/>
      <c r="C3659" s="6" t="str">
        <f>HYPERLINK("http://www.ncbi.nlm.nih.gov/protein/13385862","Jagn1")</f>
        <v>Jagn1</v>
      </c>
      <c r="D3659" s="8"/>
      <c r="E3659" s="8">
        <v>20971</v>
      </c>
      <c r="F3659" s="8"/>
      <c r="G3659" s="15">
        <v>1.2452503864488096</v>
      </c>
      <c r="H3659" s="15">
        <v>1.2452503864488096</v>
      </c>
      <c r="I3659" s="15">
        <v>0.83666379835042703</v>
      </c>
      <c r="J3659" s="15">
        <v>0.83666379835042703</v>
      </c>
      <c r="K3659" s="15">
        <v>0.83666379835042703</v>
      </c>
      <c r="L3659" s="15">
        <v>0.83666379835042703</v>
      </c>
      <c r="M3659" s="15">
        <v>0.83666379835042703</v>
      </c>
      <c r="N3659" s="15">
        <v>0.83666379835042703</v>
      </c>
      <c r="O3659" s="15" t="s">
        <v>10</v>
      </c>
      <c r="P3659" s="15" t="s">
        <v>10</v>
      </c>
      <c r="Q3659" s="8"/>
      <c r="R3659" s="9" t="s">
        <v>3400</v>
      </c>
    </row>
    <row r="3660" spans="1:18" x14ac:dyDescent="0.25">
      <c r="A3660" s="6" t="str">
        <f>HYPERLINK("proteomic_fractions_linear_files/Yang_linear_img/326439090.jpg", "326439090")</f>
        <v>326439090</v>
      </c>
      <c r="B3660" s="7"/>
      <c r="C3660" s="6" t="str">
        <f>HYPERLINK("http://www.ncbi.nlm.nih.gov/protein/326439090","Jagn1")</f>
        <v>Jagn1</v>
      </c>
      <c r="D3660" s="8"/>
      <c r="E3660" s="8">
        <v>14789</v>
      </c>
      <c r="F3660" s="8"/>
      <c r="G3660" s="15">
        <v>1.7433505410283334</v>
      </c>
      <c r="H3660" s="15">
        <v>1.7433505410283334</v>
      </c>
      <c r="I3660" s="15">
        <v>1.1713293176905979</v>
      </c>
      <c r="J3660" s="15">
        <v>1.1713293176905979</v>
      </c>
      <c r="K3660" s="15">
        <v>1.1713293176905979</v>
      </c>
      <c r="L3660" s="15">
        <v>1.1713293176905979</v>
      </c>
      <c r="M3660" s="15">
        <v>1.1713293176905979</v>
      </c>
      <c r="N3660" s="15">
        <v>1.1713293176905979</v>
      </c>
      <c r="O3660" s="15" t="s">
        <v>10</v>
      </c>
      <c r="P3660" s="15" t="s">
        <v>10</v>
      </c>
      <c r="Q3660" s="8"/>
      <c r="R3660" s="9" t="s">
        <v>3401</v>
      </c>
    </row>
    <row r="3661" spans="1:18" x14ac:dyDescent="0.25">
      <c r="A3661" s="6" t="str">
        <f>HYPERLINK("proteomic_fractions_linear_files/Yang_linear_img/111607496.jpg", "111607496")</f>
        <v>111607496</v>
      </c>
      <c r="B3661" s="7"/>
      <c r="C3661" s="6" t="str">
        <f>HYPERLINK("http://www.ncbi.nlm.nih.gov/protein/111607496","Jak1")</f>
        <v>Jak1</v>
      </c>
      <c r="D3661" s="8"/>
      <c r="E3661" s="8">
        <v>133223</v>
      </c>
      <c r="F3661" s="8"/>
      <c r="G3661" s="15" t="s">
        <v>10</v>
      </c>
      <c r="H3661" s="15" t="s">
        <v>10</v>
      </c>
      <c r="I3661" s="15" t="s">
        <v>10</v>
      </c>
      <c r="J3661" s="15" t="s">
        <v>10</v>
      </c>
      <c r="K3661" s="15">
        <v>1.1537809859867807</v>
      </c>
      <c r="L3661" s="15">
        <v>1.1537809859867807</v>
      </c>
      <c r="M3661" s="15" t="s">
        <v>10</v>
      </c>
      <c r="N3661" s="15" t="s">
        <v>10</v>
      </c>
      <c r="O3661" s="15" t="s">
        <v>10</v>
      </c>
      <c r="P3661" s="15" t="s">
        <v>10</v>
      </c>
      <c r="Q3661" s="8"/>
      <c r="R3661" s="9" t="s">
        <v>3402</v>
      </c>
    </row>
    <row r="3662" spans="1:18" x14ac:dyDescent="0.25">
      <c r="A3662" s="6" t="str">
        <f>HYPERLINK("proteomic_fractions_linear_files/Yang_linear_img/114326480.jpg", "114326480")</f>
        <v>114326480</v>
      </c>
      <c r="B3662" s="7"/>
      <c r="C3662" s="6" t="str">
        <f>HYPERLINK("http://www.ncbi.nlm.nih.gov/protein/114326480","Jak2")</f>
        <v>Jak2</v>
      </c>
      <c r="D3662" s="8"/>
      <c r="E3662" s="8">
        <v>130464</v>
      </c>
      <c r="F3662" s="8"/>
      <c r="G3662" s="15" t="s">
        <v>10</v>
      </c>
      <c r="H3662" s="15" t="s">
        <v>10</v>
      </c>
      <c r="I3662" s="15" t="s">
        <v>10</v>
      </c>
      <c r="J3662" s="15" t="s">
        <v>10</v>
      </c>
      <c r="K3662" s="15" t="s">
        <v>10</v>
      </c>
      <c r="L3662" s="15" t="s">
        <v>10</v>
      </c>
      <c r="M3662" s="15" t="s">
        <v>10</v>
      </c>
      <c r="N3662" s="15" t="s">
        <v>10</v>
      </c>
      <c r="O3662" s="15">
        <v>0.99016637034705357</v>
      </c>
      <c r="P3662" s="15">
        <v>0.99016637034705357</v>
      </c>
      <c r="Q3662" s="8"/>
      <c r="R3662" s="9" t="s">
        <v>3403</v>
      </c>
    </row>
    <row r="3663" spans="1:18" x14ac:dyDescent="0.25">
      <c r="A3663" s="6" t="str">
        <f>HYPERLINK("proteomic_fractions_linear_files/Yang_linear_img/253970431.jpg", "253970431")</f>
        <v>253970431</v>
      </c>
      <c r="B3663" s="7"/>
      <c r="C3663" s="6" t="str">
        <f>HYPERLINK("http://www.ncbi.nlm.nih.gov/protein/253970431","Jakmip3")</f>
        <v>Jakmip3</v>
      </c>
      <c r="D3663" s="8"/>
      <c r="E3663" s="8">
        <v>98585</v>
      </c>
      <c r="F3663" s="8"/>
      <c r="G3663" s="15" t="s">
        <v>10</v>
      </c>
      <c r="H3663" s="15" t="s">
        <v>10</v>
      </c>
      <c r="I3663" s="15" t="s">
        <v>10</v>
      </c>
      <c r="J3663" s="15" t="s">
        <v>10</v>
      </c>
      <c r="K3663" s="15">
        <v>0.14664114870576109</v>
      </c>
      <c r="L3663" s="15">
        <v>0.14664114870576109</v>
      </c>
      <c r="M3663" s="15" t="s">
        <v>10</v>
      </c>
      <c r="N3663" s="15" t="s">
        <v>10</v>
      </c>
      <c r="O3663" s="15" t="s">
        <v>10</v>
      </c>
      <c r="P3663" s="15" t="s">
        <v>10</v>
      </c>
      <c r="Q3663" s="8"/>
      <c r="R3663" s="9" t="s">
        <v>3404</v>
      </c>
    </row>
    <row r="3664" spans="1:18" x14ac:dyDescent="0.25">
      <c r="A3664" s="6" t="str">
        <f>HYPERLINK("proteomic_fractions_linear_files/Yang_linear_img/11230774.jpg", "11230774")</f>
        <v>11230774</v>
      </c>
      <c r="B3664" s="7"/>
      <c r="C3664" s="6" t="str">
        <f>HYPERLINK("http://www.ncbi.nlm.nih.gov/protein/11230774","Jarid2")</f>
        <v>Jarid2</v>
      </c>
      <c r="D3664" s="8"/>
      <c r="E3664" s="8">
        <v>137315</v>
      </c>
      <c r="F3664" s="8"/>
      <c r="G3664" s="15" t="s">
        <v>10</v>
      </c>
      <c r="H3664" s="15" t="s">
        <v>10</v>
      </c>
      <c r="I3664" s="15">
        <v>0.20378256421665736</v>
      </c>
      <c r="J3664" s="15">
        <v>0.20378256421665736</v>
      </c>
      <c r="K3664" s="15">
        <v>0.20378256421665736</v>
      </c>
      <c r="L3664" s="15">
        <v>0.20378256421665736</v>
      </c>
      <c r="M3664" s="15" t="s">
        <v>10</v>
      </c>
      <c r="N3664" s="15" t="s">
        <v>10</v>
      </c>
      <c r="O3664" s="15" t="s">
        <v>10</v>
      </c>
      <c r="P3664" s="15" t="s">
        <v>10</v>
      </c>
      <c r="Q3664" s="8"/>
      <c r="R3664" s="9" t="s">
        <v>3405</v>
      </c>
    </row>
    <row r="3665" spans="1:18" x14ac:dyDescent="0.25">
      <c r="A3665" s="6" t="str">
        <f>HYPERLINK("proteomic_fractions_linear_files/Yang_linear_img/226531205.jpg", "226531205")</f>
        <v>226531205</v>
      </c>
      <c r="B3665" s="7"/>
      <c r="C3665" s="6" t="str">
        <f>HYPERLINK("http://www.ncbi.nlm.nih.gov/protein/226531205","Jmjd1c")</f>
        <v>Jmjd1c</v>
      </c>
      <c r="D3665" s="8"/>
      <c r="E3665" s="8">
        <v>281407</v>
      </c>
      <c r="F3665" s="8"/>
      <c r="G3665" s="15" t="s">
        <v>10</v>
      </c>
      <c r="H3665" s="15" t="s">
        <v>10</v>
      </c>
      <c r="I3665" s="15" t="s">
        <v>10</v>
      </c>
      <c r="J3665" s="15" t="s">
        <v>10</v>
      </c>
      <c r="K3665" s="15">
        <v>9.3061416780871889E-2</v>
      </c>
      <c r="L3665" s="15">
        <v>9.3061416780871889E-2</v>
      </c>
      <c r="M3665" s="15" t="s">
        <v>10</v>
      </c>
      <c r="N3665" s="15" t="s">
        <v>10</v>
      </c>
      <c r="O3665" s="15" t="s">
        <v>10</v>
      </c>
      <c r="P3665" s="15" t="s">
        <v>10</v>
      </c>
      <c r="Q3665" s="8"/>
      <c r="R3665" s="9" t="s">
        <v>3406</v>
      </c>
    </row>
    <row r="3666" spans="1:18" x14ac:dyDescent="0.25">
      <c r="A3666" s="6" t="str">
        <f>HYPERLINK("proteomic_fractions_linear_files/Yang_linear_img/334724461.jpg", "334724461")</f>
        <v>334724461</v>
      </c>
      <c r="B3666" s="7"/>
      <c r="C3666" s="6" t="str">
        <f>HYPERLINK("http://www.ncbi.nlm.nih.gov/protein/334724461","Jmjd1c")</f>
        <v>Jmjd1c</v>
      </c>
      <c r="D3666" s="8"/>
      <c r="E3666" s="8">
        <v>260510</v>
      </c>
      <c r="F3666" s="8"/>
      <c r="G3666" s="15" t="s">
        <v>10</v>
      </c>
      <c r="H3666" s="15" t="s">
        <v>10</v>
      </c>
      <c r="I3666" s="15" t="s">
        <v>10</v>
      </c>
      <c r="J3666" s="15" t="s">
        <v>10</v>
      </c>
      <c r="K3666" s="15">
        <v>0.10019255982921456</v>
      </c>
      <c r="L3666" s="15">
        <v>0.10019255982921456</v>
      </c>
      <c r="M3666" s="15" t="s">
        <v>10</v>
      </c>
      <c r="N3666" s="15" t="s">
        <v>10</v>
      </c>
      <c r="O3666" s="15" t="s">
        <v>10</v>
      </c>
      <c r="P3666" s="15" t="s">
        <v>10</v>
      </c>
      <c r="Q3666" s="8"/>
      <c r="R3666" s="9" t="s">
        <v>3407</v>
      </c>
    </row>
    <row r="3667" spans="1:18" x14ac:dyDescent="0.25">
      <c r="A3667" s="6" t="str">
        <f>HYPERLINK("proteomic_fractions_linear_files/Yang_linear_img/167860141.jpg", "167860141")</f>
        <v>167860141</v>
      </c>
      <c r="B3667" s="7"/>
      <c r="C3667" s="6" t="str">
        <f>HYPERLINK("http://www.ncbi.nlm.nih.gov/protein/167860141","Jmjd7")</f>
        <v>Jmjd7</v>
      </c>
      <c r="D3667" s="8"/>
      <c r="E3667" s="8">
        <v>35786</v>
      </c>
      <c r="F3667" s="8"/>
      <c r="G3667" s="15" t="s">
        <v>10</v>
      </c>
      <c r="H3667" s="15" t="s">
        <v>10</v>
      </c>
      <c r="I3667" s="15" t="s">
        <v>10</v>
      </c>
      <c r="J3667" s="15" t="s">
        <v>10</v>
      </c>
      <c r="K3667" s="15" t="s">
        <v>10</v>
      </c>
      <c r="L3667" s="15" t="s">
        <v>10</v>
      </c>
      <c r="M3667" s="15" t="s">
        <v>10</v>
      </c>
      <c r="N3667" s="15" t="s">
        <v>10</v>
      </c>
      <c r="O3667" s="15">
        <v>0.89122424599259964</v>
      </c>
      <c r="P3667" s="15">
        <v>0.89122424599259964</v>
      </c>
      <c r="Q3667" s="8"/>
      <c r="R3667" s="9" t="s">
        <v>3408</v>
      </c>
    </row>
    <row r="3668" spans="1:18" x14ac:dyDescent="0.25">
      <c r="A3668" s="6" t="str">
        <f>HYPERLINK("proteomic_fractions_linear_files/Yang_linear_img/326633188.jpg", "326633188")</f>
        <v>326633188</v>
      </c>
      <c r="B3668" s="7"/>
      <c r="C3668" s="6" t="str">
        <f>HYPERLINK("http://www.ncbi.nlm.nih.gov/protein/326633188","Josd2")</f>
        <v>Josd2</v>
      </c>
      <c r="D3668" s="8"/>
      <c r="E3668" s="8">
        <v>20645</v>
      </c>
      <c r="F3668" s="8"/>
      <c r="G3668" s="15" t="s">
        <v>10</v>
      </c>
      <c r="H3668" s="15" t="s">
        <v>10</v>
      </c>
      <c r="I3668" s="15" t="s">
        <v>10</v>
      </c>
      <c r="J3668" s="15" t="s">
        <v>10</v>
      </c>
      <c r="K3668" s="15" t="s">
        <v>10</v>
      </c>
      <c r="L3668" s="15" t="s">
        <v>10</v>
      </c>
      <c r="M3668" s="15">
        <v>0.88072853164590881</v>
      </c>
      <c r="N3668" s="15">
        <v>0.88072853164590881</v>
      </c>
      <c r="O3668" s="15">
        <v>0.83666379835042703</v>
      </c>
      <c r="P3668" s="15">
        <v>0.83666379835042703</v>
      </c>
      <c r="Q3668" s="8"/>
      <c r="R3668" s="9" t="s">
        <v>3409</v>
      </c>
    </row>
    <row r="3669" spans="1:18" x14ac:dyDescent="0.25">
      <c r="A3669" s="6" t="str">
        <f>HYPERLINK("proteomic_fractions_linear_files/Yang_linear_img/46049047.jpg", "46049047")</f>
        <v>46049047</v>
      </c>
      <c r="B3669" s="7"/>
      <c r="C3669" s="6" t="str">
        <f>HYPERLINK("http://www.ncbi.nlm.nih.gov/protein/46049047","Jtb")</f>
        <v>Jtb</v>
      </c>
      <c r="D3669" s="8"/>
      <c r="E3669" s="8">
        <v>13118</v>
      </c>
      <c r="F3669" s="8"/>
      <c r="G3669" s="15" t="s">
        <v>10</v>
      </c>
      <c r="H3669" s="15" t="s">
        <v>10</v>
      </c>
      <c r="I3669" s="15">
        <v>1.5000884483104058</v>
      </c>
      <c r="J3669" s="15">
        <v>1.5000884483104058</v>
      </c>
      <c r="K3669" s="15">
        <v>1.5844185528197132</v>
      </c>
      <c r="L3669" s="15">
        <v>1.5844185528197132</v>
      </c>
      <c r="M3669" s="15">
        <v>1.5000884483104058</v>
      </c>
      <c r="N3669" s="15">
        <v>1.5844185528197132</v>
      </c>
      <c r="O3669" s="15" t="s">
        <v>10</v>
      </c>
      <c r="P3669" s="15" t="s">
        <v>10</v>
      </c>
      <c r="Q3669" s="8"/>
      <c r="R3669" s="9" t="s">
        <v>3410</v>
      </c>
    </row>
    <row r="3670" spans="1:18" x14ac:dyDescent="0.25">
      <c r="A3670" s="6" t="str">
        <f>HYPERLINK("proteomic_fractions_linear_files/Yang_linear_img/6754404.jpg", "6754404")</f>
        <v>6754404</v>
      </c>
      <c r="B3670" s="7"/>
      <c r="C3670" s="6" t="str">
        <f>HYPERLINK("http://www.ncbi.nlm.nih.gov/protein/6754404","Jund")</f>
        <v>Jund</v>
      </c>
      <c r="D3670" s="8"/>
      <c r="E3670" s="8">
        <v>34774</v>
      </c>
      <c r="F3670" s="8"/>
      <c r="G3670" s="15" t="s">
        <v>10</v>
      </c>
      <c r="H3670" s="15" t="s">
        <v>10</v>
      </c>
      <c r="I3670" s="15" t="s">
        <v>10</v>
      </c>
      <c r="J3670" s="15" t="s">
        <v>10</v>
      </c>
      <c r="K3670" s="15" t="s">
        <v>10</v>
      </c>
      <c r="L3670" s="15" t="s">
        <v>10</v>
      </c>
      <c r="M3670" s="15">
        <v>0.52843711898754531</v>
      </c>
      <c r="N3670" s="15">
        <v>0.52843711898754531</v>
      </c>
      <c r="O3670" s="15" t="s">
        <v>10</v>
      </c>
      <c r="P3670" s="15" t="s">
        <v>10</v>
      </c>
      <c r="Q3670" s="8"/>
      <c r="R3670" s="9" t="s">
        <v>3411</v>
      </c>
    </row>
    <row r="3671" spans="1:18" x14ac:dyDescent="0.25">
      <c r="A3671" s="6" t="str">
        <f>HYPERLINK("proteomic_fractions_linear_files/Yang_linear_img/28395018.jpg", "28395018")</f>
        <v>28395018</v>
      </c>
      <c r="B3671" s="7"/>
      <c r="C3671" s="6" t="str">
        <f>HYPERLINK("http://www.ncbi.nlm.nih.gov/protein/28395018","Jup")</f>
        <v>Jup</v>
      </c>
      <c r="D3671" s="8"/>
      <c r="E3671" s="8">
        <v>81670</v>
      </c>
      <c r="F3671" s="8"/>
      <c r="G3671" s="15">
        <v>1.3390434612333106</v>
      </c>
      <c r="H3671" s="15">
        <v>1.3390434612333106</v>
      </c>
      <c r="I3671" s="15">
        <v>1.0133982740627299</v>
      </c>
      <c r="J3671" s="15">
        <v>1.0133982740627299</v>
      </c>
      <c r="K3671" s="15">
        <v>1.1581461119827379</v>
      </c>
      <c r="L3671" s="15">
        <v>1.1581461119827379</v>
      </c>
      <c r="M3671" s="15">
        <v>1.1581461119827379</v>
      </c>
      <c r="N3671" s="15">
        <v>1.1581461119827379</v>
      </c>
      <c r="O3671" s="15">
        <v>1.0133982740627299</v>
      </c>
      <c r="P3671" s="15">
        <v>1.0133982740627299</v>
      </c>
      <c r="Q3671" s="8"/>
      <c r="R3671" s="9" t="s">
        <v>3412</v>
      </c>
    </row>
    <row r="3672" spans="1:18" x14ac:dyDescent="0.25">
      <c r="A3672" s="6" t="str">
        <f>HYPERLINK("proteomic_fractions_linear_files/Yang_linear_img/256017137.jpg", "256017137")</f>
        <v>256017137</v>
      </c>
      <c r="B3672" s="7"/>
      <c r="C3672" s="6" t="str">
        <f>HYPERLINK("http://www.ncbi.nlm.nih.gov/protein/256017137","Kalrn")</f>
        <v>Kalrn</v>
      </c>
      <c r="D3672" s="8"/>
      <c r="E3672" s="8">
        <v>191067</v>
      </c>
      <c r="F3672" s="8"/>
      <c r="G3672" s="15" t="s">
        <v>10</v>
      </c>
      <c r="H3672" s="15" t="s">
        <v>10</v>
      </c>
      <c r="I3672" s="15" t="s">
        <v>10</v>
      </c>
      <c r="J3672" s="15" t="s">
        <v>10</v>
      </c>
      <c r="K3672" s="15" t="s">
        <v>10</v>
      </c>
      <c r="L3672" s="15" t="s">
        <v>10</v>
      </c>
      <c r="M3672" s="15" t="s">
        <v>10</v>
      </c>
      <c r="N3672" s="15" t="s">
        <v>10</v>
      </c>
      <c r="O3672" s="15">
        <v>0.57487729749283489</v>
      </c>
      <c r="P3672" s="15">
        <v>0.57487729749283489</v>
      </c>
      <c r="Q3672" s="8"/>
      <c r="R3672" s="9" t="s">
        <v>3413</v>
      </c>
    </row>
    <row r="3673" spans="1:18" x14ac:dyDescent="0.25">
      <c r="A3673" s="6" t="str">
        <f>HYPERLINK("proteomic_fractions_linear_files/Yang_linear_img/295054244.jpg", "295054244")</f>
        <v>295054244</v>
      </c>
      <c r="B3673" s="7"/>
      <c r="C3673" s="6" t="str">
        <f>HYPERLINK("http://www.ncbi.nlm.nih.gov/protein/295054244","Kalrn")</f>
        <v>Kalrn</v>
      </c>
      <c r="D3673" s="8"/>
      <c r="E3673" s="8">
        <v>339482</v>
      </c>
      <c r="F3673" s="8"/>
      <c r="G3673" s="15" t="s">
        <v>10</v>
      </c>
      <c r="H3673" s="15" t="s">
        <v>10</v>
      </c>
      <c r="I3673" s="15" t="s">
        <v>10</v>
      </c>
      <c r="J3673" s="15" t="s">
        <v>10</v>
      </c>
      <c r="K3673" s="15" t="s">
        <v>10</v>
      </c>
      <c r="L3673" s="15" t="s">
        <v>10</v>
      </c>
      <c r="M3673" s="15" t="s">
        <v>10</v>
      </c>
      <c r="N3673" s="15" t="s">
        <v>10</v>
      </c>
      <c r="O3673" s="15">
        <v>0.32389841835142025</v>
      </c>
      <c r="P3673" s="15">
        <v>0.32389841835142025</v>
      </c>
      <c r="Q3673" s="8"/>
      <c r="R3673" s="9" t="s">
        <v>3414</v>
      </c>
    </row>
    <row r="3674" spans="1:18" x14ac:dyDescent="0.25">
      <c r="A3674" s="6" t="str">
        <f>HYPERLINK("proteomic_fractions_linear_files/Yang_linear_img/75677563.jpg", "75677563")</f>
        <v>75677563</v>
      </c>
      <c r="B3674" s="7"/>
      <c r="C3674" s="6" t="str">
        <f>HYPERLINK("http://www.ncbi.nlm.nih.gov/protein/75677563","Kank1")</f>
        <v>Kank1</v>
      </c>
      <c r="D3674" s="8"/>
      <c r="E3674" s="8">
        <v>148124</v>
      </c>
      <c r="F3674" s="8"/>
      <c r="G3674" s="15" t="s">
        <v>10</v>
      </c>
      <c r="H3674" s="15" t="s">
        <v>10</v>
      </c>
      <c r="I3674" s="15">
        <v>1.036843723893526</v>
      </c>
      <c r="J3674" s="15">
        <v>1.036843723893526</v>
      </c>
      <c r="K3674" s="15" t="s">
        <v>10</v>
      </c>
      <c r="L3674" s="15" t="s">
        <v>10</v>
      </c>
      <c r="M3674" s="15" t="s">
        <v>10</v>
      </c>
      <c r="N3674" s="15" t="s">
        <v>10</v>
      </c>
      <c r="O3674" s="15" t="s">
        <v>10</v>
      </c>
      <c r="P3674" s="15" t="s">
        <v>10</v>
      </c>
      <c r="Q3674" s="8"/>
      <c r="R3674" s="9" t="s">
        <v>3415</v>
      </c>
    </row>
    <row r="3675" spans="1:18" x14ac:dyDescent="0.25">
      <c r="A3675" s="6" t="str">
        <f>HYPERLINK("proteomic_fractions_linear_files/Yang_linear_img/16716381.jpg", "16716381")</f>
        <v>16716381</v>
      </c>
      <c r="B3675" s="7"/>
      <c r="C3675" s="6" t="str">
        <f>HYPERLINK("http://www.ncbi.nlm.nih.gov/protein/16716381","Kars")</f>
        <v>Kars</v>
      </c>
      <c r="D3675" s="8"/>
      <c r="E3675" s="8">
        <v>67709</v>
      </c>
      <c r="F3675" s="8"/>
      <c r="G3675" s="15">
        <v>1.3965879585674192</v>
      </c>
      <c r="H3675" s="15">
        <v>1.3965879585674192</v>
      </c>
      <c r="I3675" s="15">
        <v>1.0799435329659153</v>
      </c>
      <c r="J3675" s="15">
        <v>1.0799435329659153</v>
      </c>
      <c r="K3675" s="15">
        <v>1.222039095193292</v>
      </c>
      <c r="L3675" s="15">
        <v>1.222039095193292</v>
      </c>
      <c r="M3675" s="15">
        <v>1.222039095193292</v>
      </c>
      <c r="N3675" s="15">
        <v>1.222039095193292</v>
      </c>
      <c r="O3675" s="15">
        <v>1.0799435329659153</v>
      </c>
      <c r="P3675" s="15">
        <v>1.0799435329659153</v>
      </c>
      <c r="Q3675" s="8"/>
      <c r="R3675" s="9" t="s">
        <v>3416</v>
      </c>
    </row>
    <row r="3676" spans="1:18" x14ac:dyDescent="0.25">
      <c r="A3676" s="6" t="str">
        <f>HYPERLINK("proteomic_fractions_linear_files/Yang_linear_img/195963321.jpg", "195963321")</f>
        <v>195963321</v>
      </c>
      <c r="B3676" s="7"/>
      <c r="C3676" s="6" t="str">
        <f>HYPERLINK("http://www.ncbi.nlm.nih.gov/protein/195963321","Kars")</f>
        <v>Kars</v>
      </c>
      <c r="D3676" s="8"/>
      <c r="E3676" s="8">
        <v>71160</v>
      </c>
      <c r="F3676" s="8"/>
      <c r="G3676" s="15">
        <v>1.3375771997547115</v>
      </c>
      <c r="H3676" s="15">
        <v>1.3375771997547115</v>
      </c>
      <c r="I3676" s="15">
        <v>1.0343121160800317</v>
      </c>
      <c r="J3676" s="15">
        <v>1.0343121160800317</v>
      </c>
      <c r="K3676" s="15">
        <v>1.1704036404668148</v>
      </c>
      <c r="L3676" s="15">
        <v>1.1704036404668148</v>
      </c>
      <c r="M3676" s="15">
        <v>1.1704036404668148</v>
      </c>
      <c r="N3676" s="15">
        <v>1.1704036404668148</v>
      </c>
      <c r="O3676" s="15">
        <v>1.0343121160800317</v>
      </c>
      <c r="P3676" s="15">
        <v>1.0343121160800317</v>
      </c>
      <c r="Q3676" s="8"/>
      <c r="R3676" s="9" t="s">
        <v>3417</v>
      </c>
    </row>
    <row r="3677" spans="1:18" x14ac:dyDescent="0.25">
      <c r="A3677" s="6" t="str">
        <f>HYPERLINK("proteomic_fractions_linear_files/Yang_linear_img/124487239.jpg", "124487239")</f>
        <v>124487239</v>
      </c>
      <c r="B3677" s="7"/>
      <c r="C3677" s="6" t="str">
        <f>HYPERLINK("http://www.ncbi.nlm.nih.gov/protein/124487239","Kat6a")</f>
        <v>Kat6a</v>
      </c>
      <c r="D3677" s="8"/>
      <c r="E3677" s="8">
        <v>224741</v>
      </c>
      <c r="F3677" s="8"/>
      <c r="G3677" s="15" t="s">
        <v>10</v>
      </c>
      <c r="H3677" s="15" t="s">
        <v>10</v>
      </c>
      <c r="I3677" s="15" t="s">
        <v>10</v>
      </c>
      <c r="J3677" s="15" t="s">
        <v>10</v>
      </c>
      <c r="K3677" s="15">
        <v>6.1714891110829555E-2</v>
      </c>
      <c r="L3677" s="15">
        <v>6.1714891110829555E-2</v>
      </c>
      <c r="M3677" s="15" t="s">
        <v>10</v>
      </c>
      <c r="N3677" s="15" t="s">
        <v>10</v>
      </c>
      <c r="O3677" s="15" t="s">
        <v>10</v>
      </c>
      <c r="P3677" s="15" t="s">
        <v>10</v>
      </c>
      <c r="Q3677" s="8"/>
      <c r="R3677" s="9" t="s">
        <v>3418</v>
      </c>
    </row>
    <row r="3678" spans="1:18" x14ac:dyDescent="0.25">
      <c r="A3678" s="6" t="str">
        <f>HYPERLINK("proteomic_fractions_linear_files/Yang_linear_img/21313044.jpg", "21313044")</f>
        <v>21313044</v>
      </c>
      <c r="B3678" s="7"/>
      <c r="C3678" s="6" t="str">
        <f>HYPERLINK("http://www.ncbi.nlm.nih.gov/protein/21313044","Katnal2")</f>
        <v>Katnal2</v>
      </c>
      <c r="D3678" s="8"/>
      <c r="E3678" s="8">
        <v>46000</v>
      </c>
      <c r="F3678" s="8"/>
      <c r="G3678" s="15" t="s">
        <v>10</v>
      </c>
      <c r="H3678" s="15" t="s">
        <v>10</v>
      </c>
      <c r="I3678" s="15" t="s">
        <v>10</v>
      </c>
      <c r="J3678" s="15" t="s">
        <v>10</v>
      </c>
      <c r="K3678" s="15">
        <v>2.3869905178506841</v>
      </c>
      <c r="L3678" s="15">
        <v>2.3869905178506841</v>
      </c>
      <c r="M3678" s="15">
        <v>2.0645213300561851</v>
      </c>
      <c r="N3678" s="15">
        <v>2.0645213300561851</v>
      </c>
      <c r="O3678" s="15">
        <v>2.0645213300561851</v>
      </c>
      <c r="P3678" s="15">
        <v>2.0645213300561851</v>
      </c>
      <c r="Q3678" s="8"/>
      <c r="R3678" s="9" t="s">
        <v>3419</v>
      </c>
    </row>
    <row r="3679" spans="1:18" x14ac:dyDescent="0.25">
      <c r="A3679" s="6" t="str">
        <f>HYPERLINK("proteomic_fractions_linear_files/Yang_linear_img/84095201.jpg", "84095201")</f>
        <v>84095201</v>
      </c>
      <c r="B3679" s="7"/>
      <c r="C3679" s="6" t="str">
        <f>HYPERLINK("http://www.ncbi.nlm.nih.gov/protein/84095201","Katnb1")</f>
        <v>Katnb1</v>
      </c>
      <c r="D3679" s="8"/>
      <c r="E3679" s="8">
        <v>72508</v>
      </c>
      <c r="F3679" s="8"/>
      <c r="G3679" s="15" t="s">
        <v>10</v>
      </c>
      <c r="H3679" s="15" t="s">
        <v>10</v>
      </c>
      <c r="I3679" s="15">
        <v>1.1383377873033405</v>
      </c>
      <c r="J3679" s="15">
        <v>1.1383377873033405</v>
      </c>
      <c r="K3679" s="15">
        <v>1.1383377873033405</v>
      </c>
      <c r="L3679" s="15">
        <v>1.1383377873033405</v>
      </c>
      <c r="M3679" s="15" t="s">
        <v>10</v>
      </c>
      <c r="N3679" s="15" t="s">
        <v>10</v>
      </c>
      <c r="O3679" s="15" t="s">
        <v>10</v>
      </c>
      <c r="P3679" s="15" t="s">
        <v>10</v>
      </c>
      <c r="Q3679" s="8"/>
      <c r="R3679" s="9" t="s">
        <v>3420</v>
      </c>
    </row>
    <row r="3680" spans="1:18" x14ac:dyDescent="0.25">
      <c r="A3680" s="6" t="str">
        <f>HYPERLINK("proteomic_fractions_linear_files/Yang_linear_img/172072622.jpg", "172072622")</f>
        <v>172072622</v>
      </c>
      <c r="B3680" s="7"/>
      <c r="C3680" s="6" t="str">
        <f>HYPERLINK("http://www.ncbi.nlm.nih.gov/protein/172072622","Kbtbd2")</f>
        <v>Kbtbd2</v>
      </c>
      <c r="D3680" s="8"/>
      <c r="E3680" s="8">
        <v>71155</v>
      </c>
      <c r="F3680" s="8"/>
      <c r="G3680" s="15" t="s">
        <v>10</v>
      </c>
      <c r="H3680" s="15" t="s">
        <v>10</v>
      </c>
      <c r="I3680" s="15" t="s">
        <v>10</v>
      </c>
      <c r="J3680" s="15" t="s">
        <v>10</v>
      </c>
      <c r="K3680" s="15" t="s">
        <v>10</v>
      </c>
      <c r="L3680" s="15" t="s">
        <v>10</v>
      </c>
      <c r="M3680" s="15">
        <v>1.0343121160800317</v>
      </c>
      <c r="N3680" s="15">
        <v>1.0343121160800317</v>
      </c>
      <c r="O3680" s="15" t="s">
        <v>10</v>
      </c>
      <c r="P3680" s="15" t="s">
        <v>10</v>
      </c>
      <c r="Q3680" s="8"/>
      <c r="R3680" s="9" t="s">
        <v>3421</v>
      </c>
    </row>
    <row r="3681" spans="1:18" x14ac:dyDescent="0.25">
      <c r="A3681" s="6" t="str">
        <f>HYPERLINK("proteomic_fractions_linear_files/Yang_linear_img/257153339.jpg", "257153339")</f>
        <v>257153339</v>
      </c>
      <c r="B3681" s="7"/>
      <c r="C3681" s="6" t="str">
        <f>HYPERLINK("http://www.ncbi.nlm.nih.gov/protein/257153339","Kbtbd3")</f>
        <v>Kbtbd3</v>
      </c>
      <c r="D3681" s="8"/>
      <c r="E3681" s="8">
        <v>69420</v>
      </c>
      <c r="F3681" s="8"/>
      <c r="G3681" s="15">
        <v>0.50077357290543745</v>
      </c>
      <c r="H3681" s="15">
        <v>0.69985471861471382</v>
      </c>
      <c r="I3681" s="15">
        <v>0.17030312501193676</v>
      </c>
      <c r="J3681" s="15">
        <v>0.17030312501193676</v>
      </c>
      <c r="K3681" s="15">
        <v>0.50077357290543745</v>
      </c>
      <c r="L3681" s="15">
        <v>0.50077357290543745</v>
      </c>
      <c r="M3681" s="15">
        <v>0.46498656312657372</v>
      </c>
      <c r="N3681" s="15">
        <v>0.46498656312657372</v>
      </c>
      <c r="O3681" s="15" t="s">
        <v>10</v>
      </c>
      <c r="P3681" s="15" t="s">
        <v>10</v>
      </c>
      <c r="Q3681" s="8"/>
      <c r="R3681" s="9" t="s">
        <v>3422</v>
      </c>
    </row>
    <row r="3682" spans="1:18" x14ac:dyDescent="0.25">
      <c r="A3682" s="6" t="str">
        <f>HYPERLINK("proteomic_fractions_linear_files/Yang_linear_img/126517505.jpg", "126517505")</f>
        <v>126517505</v>
      </c>
      <c r="B3682" s="7"/>
      <c r="C3682" s="6" t="str">
        <f>HYPERLINK("http://www.ncbi.nlm.nih.gov/protein/126517505","Kcmf1")</f>
        <v>Kcmf1</v>
      </c>
      <c r="D3682" s="8"/>
      <c r="E3682" s="8">
        <v>41660</v>
      </c>
      <c r="F3682" s="8"/>
      <c r="G3682" s="15" t="s">
        <v>10</v>
      </c>
      <c r="H3682" s="15" t="s">
        <v>10</v>
      </c>
      <c r="I3682" s="15" t="s">
        <v>10</v>
      </c>
      <c r="J3682" s="15" t="s">
        <v>10</v>
      </c>
      <c r="K3682" s="15" t="s">
        <v>10</v>
      </c>
      <c r="L3682" s="15" t="s">
        <v>10</v>
      </c>
      <c r="M3682" s="15">
        <v>1.1497613234384585</v>
      </c>
      <c r="N3682" s="15">
        <v>1.1497613234384585</v>
      </c>
      <c r="O3682" s="15" t="s">
        <v>10</v>
      </c>
      <c r="P3682" s="15" t="s">
        <v>10</v>
      </c>
      <c r="Q3682" s="8"/>
      <c r="R3682" s="9" t="s">
        <v>3423</v>
      </c>
    </row>
    <row r="3683" spans="1:18" x14ac:dyDescent="0.25">
      <c r="A3683" s="6" t="str">
        <f>HYPERLINK("proteomic_fractions_linear_files/Yang_linear_img/358030294.jpg", "358030294")</f>
        <v>358030294</v>
      </c>
      <c r="B3683" s="7"/>
      <c r="C3683" s="6" t="str">
        <f>HYPERLINK("http://www.ncbi.nlm.nih.gov/protein/358030294","Kcnab2")</f>
        <v>Kcnab2</v>
      </c>
      <c r="D3683" s="8"/>
      <c r="E3683" s="8">
        <v>39177</v>
      </c>
      <c r="F3683" s="8"/>
      <c r="G3683" s="15" t="s">
        <v>10</v>
      </c>
      <c r="H3683" s="15" t="s">
        <v>10</v>
      </c>
      <c r="I3683" s="15" t="s">
        <v>10</v>
      </c>
      <c r="J3683" s="15" t="s">
        <v>10</v>
      </c>
      <c r="K3683" s="15">
        <v>0.8859840136019278</v>
      </c>
      <c r="L3683" s="15">
        <v>0.8859840136019278</v>
      </c>
      <c r="M3683" s="15">
        <v>0.8859840136019278</v>
      </c>
      <c r="N3683" s="15">
        <v>0.8859840136019278</v>
      </c>
      <c r="O3683" s="15" t="s">
        <v>10</v>
      </c>
      <c r="P3683" s="15" t="s">
        <v>10</v>
      </c>
      <c r="Q3683" s="8"/>
      <c r="R3683" s="9" t="s">
        <v>3424</v>
      </c>
    </row>
    <row r="3684" spans="1:18" x14ac:dyDescent="0.25">
      <c r="A3684" s="6" t="str">
        <f>HYPERLINK("proteomic_fractions_linear_files/Yang_linear_img/358030297.jpg", "358030297")</f>
        <v>358030297</v>
      </c>
      <c r="B3684" s="7"/>
      <c r="C3684" s="6" t="str">
        <f>HYPERLINK("http://www.ncbi.nlm.nih.gov/protein/358030297","Kcnab2")</f>
        <v>Kcnab2</v>
      </c>
      <c r="D3684" s="8"/>
      <c r="E3684" s="8">
        <v>40890</v>
      </c>
      <c r="F3684" s="8"/>
      <c r="G3684" s="15" t="s">
        <v>10</v>
      </c>
      <c r="H3684" s="15" t="s">
        <v>10</v>
      </c>
      <c r="I3684" s="15" t="s">
        <v>10</v>
      </c>
      <c r="J3684" s="15" t="s">
        <v>10</v>
      </c>
      <c r="K3684" s="15">
        <v>0.84276528123110206</v>
      </c>
      <c r="L3684" s="15">
        <v>0.84276528123110206</v>
      </c>
      <c r="M3684" s="15">
        <v>0.84276528123110206</v>
      </c>
      <c r="N3684" s="15">
        <v>0.84276528123110206</v>
      </c>
      <c r="O3684" s="15" t="s">
        <v>10</v>
      </c>
      <c r="P3684" s="15" t="s">
        <v>10</v>
      </c>
      <c r="Q3684" s="8"/>
      <c r="R3684" s="9" t="s">
        <v>3425</v>
      </c>
    </row>
    <row r="3685" spans="1:18" x14ac:dyDescent="0.25">
      <c r="A3685" s="6" t="str">
        <f>HYPERLINK("proteomic_fractions_linear_files/Yang_linear_img/28076887.jpg", "28076887")</f>
        <v>28076887</v>
      </c>
      <c r="B3685" s="7"/>
      <c r="C3685" s="6" t="str">
        <f>HYPERLINK("http://www.ncbi.nlm.nih.gov/protein/28076887","Kcng4")</f>
        <v>Kcng4</v>
      </c>
      <c r="D3685" s="8"/>
      <c r="E3685" s="8">
        <v>57046</v>
      </c>
      <c r="F3685" s="8"/>
      <c r="G3685" s="15">
        <v>0.65511098987937877</v>
      </c>
      <c r="H3685" s="15">
        <v>0.65511098987937877</v>
      </c>
      <c r="I3685" s="15">
        <v>0.43078632654871785</v>
      </c>
      <c r="J3685" s="15">
        <v>0.43078632654871785</v>
      </c>
      <c r="K3685" s="15">
        <v>0.4587764581653509</v>
      </c>
      <c r="L3685" s="15">
        <v>0.4587764581653509</v>
      </c>
      <c r="M3685" s="15">
        <v>0.43078632654871785</v>
      </c>
      <c r="N3685" s="15">
        <v>0.43078632654871785</v>
      </c>
      <c r="O3685" s="15">
        <v>0.38238144334524127</v>
      </c>
      <c r="P3685" s="15">
        <v>0.38238144334524127</v>
      </c>
      <c r="Q3685" s="8"/>
      <c r="R3685" s="9" t="s">
        <v>3426</v>
      </c>
    </row>
    <row r="3686" spans="1:18" x14ac:dyDescent="0.25">
      <c r="A3686" s="6" t="str">
        <f>HYPERLINK("proteomic_fractions_linear_files/Yang_linear_img/40445393.jpg", "40445393")</f>
        <v>40445393</v>
      </c>
      <c r="B3686" s="7"/>
      <c r="C3686" s="6" t="str">
        <f>HYPERLINK("http://www.ncbi.nlm.nih.gov/protein/40445393","Kcnk12")</f>
        <v>Kcnk12</v>
      </c>
      <c r="D3686" s="8"/>
      <c r="E3686" s="8">
        <v>46818</v>
      </c>
      <c r="F3686" s="8"/>
      <c r="G3686" s="15" t="s">
        <v>10</v>
      </c>
      <c r="H3686" s="15" t="s">
        <v>10</v>
      </c>
      <c r="I3686" s="15" t="s">
        <v>10</v>
      </c>
      <c r="J3686" s="15" t="s">
        <v>10</v>
      </c>
      <c r="K3686" s="15">
        <v>2.7387580456407865</v>
      </c>
      <c r="L3686" s="15">
        <v>2.7387580456407865</v>
      </c>
      <c r="M3686" s="15" t="s">
        <v>10</v>
      </c>
      <c r="N3686" s="15" t="s">
        <v>10</v>
      </c>
      <c r="O3686" s="15" t="s">
        <v>10</v>
      </c>
      <c r="P3686" s="15" t="s">
        <v>10</v>
      </c>
      <c r="Q3686" s="8"/>
      <c r="R3686" s="9" t="s">
        <v>3427</v>
      </c>
    </row>
    <row r="3687" spans="1:18" x14ac:dyDescent="0.25">
      <c r="A3687" s="6" t="str">
        <f>HYPERLINK("proteomic_fractions_linear_files/Yang_linear_img/27370096.jpg", "27370096")</f>
        <v>27370096</v>
      </c>
      <c r="B3687" s="7"/>
      <c r="C3687" s="6" t="str">
        <f>HYPERLINK("http://www.ncbi.nlm.nih.gov/protein/27370096","Kctd13")</f>
        <v>Kctd13</v>
      </c>
      <c r="D3687" s="8"/>
      <c r="E3687" s="8">
        <v>36311</v>
      </c>
      <c r="F3687" s="8"/>
      <c r="G3687" s="15" t="s">
        <v>10</v>
      </c>
      <c r="H3687" s="15" t="s">
        <v>10</v>
      </c>
      <c r="I3687" s="15" t="s">
        <v>10</v>
      </c>
      <c r="J3687" s="15" t="s">
        <v>10</v>
      </c>
      <c r="K3687" s="15">
        <v>8.3828701287916321</v>
      </c>
      <c r="L3687" s="15">
        <v>8.3828701287916321</v>
      </c>
      <c r="M3687" s="15">
        <v>1.8181462036262315</v>
      </c>
      <c r="N3687" s="15">
        <v>1.8181462036262315</v>
      </c>
      <c r="O3687" s="15" t="s">
        <v>10</v>
      </c>
      <c r="P3687" s="15" t="s">
        <v>10</v>
      </c>
      <c r="Q3687" s="8"/>
      <c r="R3687" s="9" t="s">
        <v>3428</v>
      </c>
    </row>
    <row r="3688" spans="1:18" x14ac:dyDescent="0.25">
      <c r="A3688" s="6" t="str">
        <f>HYPERLINK("proteomic_fractions_linear_files/Yang_linear_img/27369698.jpg", "27369698")</f>
        <v>27369698</v>
      </c>
      <c r="B3688" s="7"/>
      <c r="C3688" s="6" t="str">
        <f>HYPERLINK("http://www.ncbi.nlm.nih.gov/protein/27369698","Kctd7")</f>
        <v>Kctd7</v>
      </c>
      <c r="D3688" s="8"/>
      <c r="E3688" s="8">
        <v>32949</v>
      </c>
      <c r="F3688" s="8"/>
      <c r="G3688" s="15" t="s">
        <v>10</v>
      </c>
      <c r="H3688" s="15" t="s">
        <v>10</v>
      </c>
      <c r="I3688" s="15" t="s">
        <v>10</v>
      </c>
      <c r="J3688" s="15" t="s">
        <v>10</v>
      </c>
      <c r="K3688" s="15">
        <v>0.9722446319919269</v>
      </c>
      <c r="L3688" s="15">
        <v>0.9722446319919269</v>
      </c>
      <c r="M3688" s="15" t="s">
        <v>10</v>
      </c>
      <c r="N3688" s="15" t="s">
        <v>10</v>
      </c>
      <c r="O3688" s="15" t="s">
        <v>10</v>
      </c>
      <c r="P3688" s="15" t="s">
        <v>10</v>
      </c>
      <c r="Q3688" s="8"/>
      <c r="R3688" s="9" t="s">
        <v>3429</v>
      </c>
    </row>
    <row r="3689" spans="1:18" x14ac:dyDescent="0.25">
      <c r="A3689" s="6" t="str">
        <f>HYPERLINK("proteomic_fractions_linear_files/Yang_linear_img/12963767.jpg", "12963767")</f>
        <v>12963767</v>
      </c>
      <c r="B3689" s="7"/>
      <c r="C3689" s="6" t="str">
        <f>HYPERLINK("http://www.ncbi.nlm.nih.gov/protein/12963767","Kdelc1")</f>
        <v>Kdelc1</v>
      </c>
      <c r="D3689" s="8"/>
      <c r="E3689" s="8">
        <v>56020</v>
      </c>
      <c r="F3689" s="8"/>
      <c r="G3689" s="15" t="s">
        <v>10</v>
      </c>
      <c r="H3689" s="15" t="s">
        <v>10</v>
      </c>
      <c r="I3689" s="15" t="s">
        <v>10</v>
      </c>
      <c r="J3689" s="15" t="s">
        <v>10</v>
      </c>
      <c r="K3689" s="15">
        <v>1.1688082737597203</v>
      </c>
      <c r="L3689" s="15">
        <v>1.1688082737597203</v>
      </c>
      <c r="M3689" s="15" t="s">
        <v>10</v>
      </c>
      <c r="N3689" s="15" t="s">
        <v>10</v>
      </c>
      <c r="O3689" s="15">
        <v>0.94858160053573359</v>
      </c>
      <c r="P3689" s="15">
        <v>0.94858160053573359</v>
      </c>
      <c r="Q3689" s="8"/>
      <c r="R3689" s="9" t="s">
        <v>3430</v>
      </c>
    </row>
    <row r="3690" spans="1:18" x14ac:dyDescent="0.25">
      <c r="A3690" s="6" t="str">
        <f>HYPERLINK("proteomic_fractions_linear_files/Yang_linear_img/47078285.jpg", "47078285")</f>
        <v>47078285</v>
      </c>
      <c r="B3690" s="7"/>
      <c r="C3690" s="6" t="str">
        <f>HYPERLINK("http://www.ncbi.nlm.nih.gov/protein/47078285","Kdelc2")</f>
        <v>Kdelc2</v>
      </c>
      <c r="D3690" s="8"/>
      <c r="E3690" s="8">
        <v>55897</v>
      </c>
      <c r="F3690" s="8"/>
      <c r="G3690" s="15">
        <v>1.4839046155918545</v>
      </c>
      <c r="H3690" s="15">
        <v>1.4839046155918545</v>
      </c>
      <c r="I3690" s="15">
        <v>1.1688082737597203</v>
      </c>
      <c r="J3690" s="15">
        <v>1.1688082737597203</v>
      </c>
      <c r="K3690" s="15" t="s">
        <v>10</v>
      </c>
      <c r="L3690" s="15" t="s">
        <v>10</v>
      </c>
      <c r="M3690" s="15" t="s">
        <v>10</v>
      </c>
      <c r="N3690" s="15" t="s">
        <v>10</v>
      </c>
      <c r="O3690" s="15" t="s">
        <v>10</v>
      </c>
      <c r="P3690" s="15" t="s">
        <v>10</v>
      </c>
      <c r="Q3690" s="8"/>
      <c r="R3690" s="9" t="s">
        <v>3431</v>
      </c>
    </row>
    <row r="3691" spans="1:18" x14ac:dyDescent="0.25">
      <c r="A3691" s="6" t="str">
        <f>HYPERLINK("proteomic_fractions_linear_files/Yang_linear_img/19527170.jpg", "19527170")</f>
        <v>19527170</v>
      </c>
      <c r="B3691" s="7"/>
      <c r="C3691" s="6" t="str">
        <f>HYPERLINK("http://www.ncbi.nlm.nih.gov/protein/19527170","Kdelr1")</f>
        <v>Kdelr1</v>
      </c>
      <c r="D3691" s="8"/>
      <c r="E3691" s="8">
        <v>24429</v>
      </c>
      <c r="F3691" s="8"/>
      <c r="G3691" s="15">
        <v>1.1632588040700858</v>
      </c>
      <c r="H3691" s="15">
        <v>1.1632588040700858</v>
      </c>
      <c r="I3691" s="15">
        <v>0.81254790950146971</v>
      </c>
      <c r="J3691" s="15">
        <v>0.81254790950146971</v>
      </c>
      <c r="K3691" s="15">
        <v>0.81254790950146971</v>
      </c>
      <c r="L3691" s="15">
        <v>0.81254790950146971</v>
      </c>
      <c r="M3691" s="15">
        <v>0.77063746519017018</v>
      </c>
      <c r="N3691" s="15">
        <v>0.77063746519017018</v>
      </c>
      <c r="O3691" s="15" t="s">
        <v>10</v>
      </c>
      <c r="P3691" s="15" t="s">
        <v>10</v>
      </c>
      <c r="Q3691" s="8"/>
      <c r="R3691" s="9" t="s">
        <v>3432</v>
      </c>
    </row>
    <row r="3692" spans="1:18" x14ac:dyDescent="0.25">
      <c r="A3692" s="6" t="str">
        <f>HYPERLINK("proteomic_fractions_linear_files/Yang_linear_img/13385318.jpg", "13385318")</f>
        <v>13385318</v>
      </c>
      <c r="B3692" s="7"/>
      <c r="C3692" s="6" t="str">
        <f>HYPERLINK("http://www.ncbi.nlm.nih.gov/protein/13385318","Kdelr2")</f>
        <v>Kdelr2</v>
      </c>
      <c r="D3692" s="8"/>
      <c r="E3692" s="8">
        <v>24323</v>
      </c>
      <c r="F3692" s="8"/>
      <c r="G3692" s="15">
        <v>1.1632588040700858</v>
      </c>
      <c r="H3692" s="15">
        <v>1.1632588040700858</v>
      </c>
      <c r="I3692" s="15">
        <v>0.81254790950146971</v>
      </c>
      <c r="J3692" s="15">
        <v>0.81254790950146971</v>
      </c>
      <c r="K3692" s="15">
        <v>0.81254790950146971</v>
      </c>
      <c r="L3692" s="15">
        <v>0.81254790950146971</v>
      </c>
      <c r="M3692" s="15">
        <v>0.77063746519017018</v>
      </c>
      <c r="N3692" s="15">
        <v>0.77063746519017018</v>
      </c>
      <c r="O3692" s="15" t="s">
        <v>10</v>
      </c>
      <c r="P3692" s="15" t="s">
        <v>10</v>
      </c>
      <c r="Q3692" s="8"/>
      <c r="R3692" s="9" t="s">
        <v>3433</v>
      </c>
    </row>
    <row r="3693" spans="1:18" x14ac:dyDescent="0.25">
      <c r="A3693" s="6" t="str">
        <f>HYPERLINK("proteomic_fractions_linear_files/Yang_linear_img/224994233.jpg", "224994233")</f>
        <v>224994233</v>
      </c>
      <c r="B3693" s="7"/>
      <c r="C3693" s="6" t="str">
        <f>HYPERLINK("http://www.ncbi.nlm.nih.gov/protein/224994233","Kdm1a")</f>
        <v>Kdm1a</v>
      </c>
      <c r="D3693" s="8"/>
      <c r="E3693" s="8">
        <v>92720</v>
      </c>
      <c r="F3693" s="8"/>
      <c r="G3693" s="15" t="s">
        <v>10</v>
      </c>
      <c r="H3693" s="15" t="s">
        <v>10</v>
      </c>
      <c r="I3693" s="15">
        <v>1.180661976571306</v>
      </c>
      <c r="J3693" s="15">
        <v>1.180661976571306</v>
      </c>
      <c r="K3693" s="15">
        <v>1.3841035284421179</v>
      </c>
      <c r="L3693" s="15">
        <v>1.3841035284421179</v>
      </c>
      <c r="M3693" s="15">
        <v>1.3841035284421179</v>
      </c>
      <c r="N3693" s="15">
        <v>1.3841035284421179</v>
      </c>
      <c r="O3693" s="15">
        <v>1.3841035284421179</v>
      </c>
      <c r="P3693" s="15">
        <v>1.3841035284421179</v>
      </c>
      <c r="Q3693" s="8"/>
      <c r="R3693" s="9" t="s">
        <v>3434</v>
      </c>
    </row>
    <row r="3694" spans="1:18" x14ac:dyDescent="0.25">
      <c r="A3694" s="6" t="str">
        <f>HYPERLINK("proteomic_fractions_linear_files/Yang_linear_img/26986559.jpg", "26986559")</f>
        <v>26986559</v>
      </c>
      <c r="B3694" s="7"/>
      <c r="C3694" s="6" t="str">
        <f>HYPERLINK("http://www.ncbi.nlm.nih.gov/protein/26986559","Kdm1b")</f>
        <v>Kdm1b</v>
      </c>
      <c r="D3694" s="8"/>
      <c r="E3694" s="8">
        <v>92502</v>
      </c>
      <c r="F3694" s="8"/>
      <c r="G3694" s="15" t="s">
        <v>10</v>
      </c>
      <c r="H3694" s="15" t="s">
        <v>10</v>
      </c>
      <c r="I3694" s="15" t="s">
        <v>10</v>
      </c>
      <c r="J3694" s="15" t="s">
        <v>10</v>
      </c>
      <c r="K3694" s="15">
        <v>1.650030872432708</v>
      </c>
      <c r="L3694" s="15">
        <v>1.650030872432708</v>
      </c>
      <c r="M3694" s="15" t="s">
        <v>10</v>
      </c>
      <c r="N3694" s="15" t="s">
        <v>10</v>
      </c>
      <c r="O3694" s="15" t="s">
        <v>10</v>
      </c>
      <c r="P3694" s="15" t="s">
        <v>10</v>
      </c>
      <c r="Q3694" s="8"/>
      <c r="R3694" s="9" t="s">
        <v>3435</v>
      </c>
    </row>
    <row r="3695" spans="1:18" x14ac:dyDescent="0.25">
      <c r="A3695" s="6" t="str">
        <f>HYPERLINK("proteomic_fractions_linear_files/Yang_linear_img/124486935.jpg", "124486935")</f>
        <v>124486935</v>
      </c>
      <c r="B3695" s="7"/>
      <c r="C3695" s="6" t="str">
        <f>HYPERLINK("http://www.ncbi.nlm.nih.gov/protein/124486935","Kdm3b")</f>
        <v>Kdm3b</v>
      </c>
      <c r="D3695" s="8"/>
      <c r="E3695" s="8">
        <v>191329</v>
      </c>
      <c r="F3695" s="8"/>
      <c r="G3695" s="15" t="s">
        <v>10</v>
      </c>
      <c r="H3695" s="15" t="s">
        <v>10</v>
      </c>
      <c r="I3695" s="15">
        <v>0.67393522589066479</v>
      </c>
      <c r="J3695" s="15">
        <v>0.67393522589066479</v>
      </c>
      <c r="K3695" s="15">
        <v>1.2217845425541836</v>
      </c>
      <c r="L3695" s="15">
        <v>1.2217845425541836</v>
      </c>
      <c r="M3695" s="15" t="s">
        <v>10</v>
      </c>
      <c r="N3695" s="15" t="s">
        <v>10</v>
      </c>
      <c r="O3695" s="15">
        <v>0.9778315792667035</v>
      </c>
      <c r="P3695" s="15">
        <v>0.9778315792667035</v>
      </c>
      <c r="Q3695" s="8"/>
      <c r="R3695" s="9" t="s">
        <v>3436</v>
      </c>
    </row>
    <row r="3696" spans="1:18" x14ac:dyDescent="0.25">
      <c r="A3696" s="6" t="str">
        <f>HYPERLINK("proteomic_fractions_linear_files/Yang_linear_img/165905607.jpg", "165905607")</f>
        <v>165905607</v>
      </c>
      <c r="B3696" s="7"/>
      <c r="C3696" s="6" t="str">
        <f>HYPERLINK("http://www.ncbi.nlm.nih.gov/protein/165905607","Kdm5c")</f>
        <v>Kdm5c</v>
      </c>
      <c r="D3696" s="8"/>
      <c r="E3696" s="8">
        <v>174841</v>
      </c>
      <c r="F3696" s="8"/>
      <c r="G3696" s="15" t="s">
        <v>10</v>
      </c>
      <c r="H3696" s="15" t="s">
        <v>10</v>
      </c>
      <c r="I3696" s="15" t="s">
        <v>10</v>
      </c>
      <c r="J3696" s="15" t="s">
        <v>10</v>
      </c>
      <c r="K3696" s="15" t="s">
        <v>10</v>
      </c>
      <c r="L3696" s="15" t="s">
        <v>10</v>
      </c>
      <c r="M3696" s="15" t="s">
        <v>10</v>
      </c>
      <c r="N3696" s="15" t="s">
        <v>10</v>
      </c>
      <c r="O3696" s="15">
        <v>1.3334905578734233</v>
      </c>
      <c r="P3696" s="15">
        <v>1.3334905578734233</v>
      </c>
      <c r="Q3696" s="8"/>
      <c r="R3696" s="9" t="s">
        <v>3437</v>
      </c>
    </row>
    <row r="3697" spans="1:18" x14ac:dyDescent="0.25">
      <c r="A3697" s="6" t="str">
        <f>HYPERLINK("proteomic_fractions_linear_files/Yang_linear_img/27777648.jpg", "27777648")</f>
        <v>27777648</v>
      </c>
      <c r="B3697" s="7"/>
      <c r="C3697" s="6" t="str">
        <f>HYPERLINK("http://www.ncbi.nlm.nih.gov/protein/27777648","Kdr")</f>
        <v>Kdr</v>
      </c>
      <c r="D3697" s="8"/>
      <c r="E3697" s="8">
        <v>148342</v>
      </c>
      <c r="F3697" s="8"/>
      <c r="G3697" s="15" t="s">
        <v>10</v>
      </c>
      <c r="H3697" s="15" t="s">
        <v>10</v>
      </c>
      <c r="I3697" s="15">
        <v>0.25230625961570669</v>
      </c>
      <c r="J3697" s="15">
        <v>0.25230625961570669</v>
      </c>
      <c r="K3697" s="15">
        <v>0.27369809596772127</v>
      </c>
      <c r="L3697" s="15">
        <v>0.27369809596772127</v>
      </c>
      <c r="M3697" s="15">
        <v>0.25230625961570669</v>
      </c>
      <c r="N3697" s="15">
        <v>0.25230625961570669</v>
      </c>
      <c r="O3697" s="15">
        <v>0.23346876034104855</v>
      </c>
      <c r="P3697" s="15">
        <v>0.23346876034104855</v>
      </c>
      <c r="Q3697" s="8"/>
      <c r="R3697" s="9" t="s">
        <v>3438</v>
      </c>
    </row>
    <row r="3698" spans="1:18" x14ac:dyDescent="0.25">
      <c r="A3698" s="6" t="str">
        <f>HYPERLINK("proteomic_fractions_linear_files/Yang_linear_img/110625780.jpg", "110625780")</f>
        <v>110625780</v>
      </c>
      <c r="B3698" s="7"/>
      <c r="C3698" s="6" t="str">
        <f>HYPERLINK("http://www.ncbi.nlm.nih.gov/protein/110625780","Kdsr")</f>
        <v>Kdsr</v>
      </c>
      <c r="D3698" s="8"/>
      <c r="E3698" s="8">
        <v>33358</v>
      </c>
      <c r="F3698" s="8"/>
      <c r="G3698" s="15" t="s">
        <v>10</v>
      </c>
      <c r="H3698" s="15" t="s">
        <v>10</v>
      </c>
      <c r="I3698" s="15">
        <v>1.0470720160750056</v>
      </c>
      <c r="J3698" s="15">
        <v>1.0470720160750056</v>
      </c>
      <c r="K3698" s="15">
        <v>1.0470720160750056</v>
      </c>
      <c r="L3698" s="15">
        <v>1.0470720160750056</v>
      </c>
      <c r="M3698" s="15" t="s">
        <v>10</v>
      </c>
      <c r="N3698" s="15" t="s">
        <v>10</v>
      </c>
      <c r="O3698" s="15" t="s">
        <v>10</v>
      </c>
      <c r="P3698" s="15" t="s">
        <v>10</v>
      </c>
      <c r="Q3698" s="8"/>
      <c r="R3698" s="9" t="s">
        <v>3439</v>
      </c>
    </row>
    <row r="3699" spans="1:18" x14ac:dyDescent="0.25">
      <c r="A3699" s="6" t="str">
        <f>HYPERLINK("proteomic_fractions_linear_files/Yang_linear_img/160333659;7710044.jpg", "160333659;7710044")</f>
        <v>160333659;7710044</v>
      </c>
      <c r="B3699" s="8"/>
      <c r="C3699" s="6" t="str">
        <f>HYPERLINK("http://www.ncbi.nlm.nih.gov/protein/160333659;7710044","Keap1")</f>
        <v>Keap1</v>
      </c>
      <c r="D3699" s="8"/>
      <c r="E3699" s="8">
        <v>69422</v>
      </c>
      <c r="F3699" s="8"/>
      <c r="G3699" s="15" t="s">
        <v>10</v>
      </c>
      <c r="H3699" s="15" t="s">
        <v>10</v>
      </c>
      <c r="I3699" s="15" t="s">
        <v>10</v>
      </c>
      <c r="J3699" s="15" t="s">
        <v>10</v>
      </c>
      <c r="K3699" s="15">
        <v>1.0642921774156846</v>
      </c>
      <c r="L3699" s="15">
        <v>1.0642921774156846</v>
      </c>
      <c r="M3699" s="15" t="s">
        <v>10</v>
      </c>
      <c r="N3699" s="15" t="s">
        <v>10</v>
      </c>
      <c r="O3699" s="15" t="s">
        <v>10</v>
      </c>
      <c r="P3699" s="15" t="s">
        <v>10</v>
      </c>
      <c r="Q3699" s="8"/>
      <c r="R3699" s="9" t="s">
        <v>3440</v>
      </c>
    </row>
    <row r="3700" spans="1:18" x14ac:dyDescent="0.25">
      <c r="A3700" s="6" t="str">
        <f>HYPERLINK("proteomic_fractions_linear_files/Yang_linear_img/7710044.jpg", "7710044")</f>
        <v>7710044</v>
      </c>
      <c r="B3700" s="7"/>
      <c r="C3700" s="6" t="str">
        <f>HYPERLINK("http://www.ncbi.nlm.nih.gov/protein/7710044","Keap1")</f>
        <v>Keap1</v>
      </c>
      <c r="D3700" s="8"/>
      <c r="E3700" s="8">
        <v>69422</v>
      </c>
      <c r="F3700" s="8"/>
      <c r="G3700" s="15" t="s">
        <v>10</v>
      </c>
      <c r="H3700" s="15" t="s">
        <v>10</v>
      </c>
      <c r="I3700" s="15">
        <v>1.0642921774156846</v>
      </c>
      <c r="J3700" s="15">
        <v>1.0642921774156846</v>
      </c>
      <c r="K3700" s="15" t="s">
        <v>10</v>
      </c>
      <c r="L3700" s="15" t="s">
        <v>10</v>
      </c>
      <c r="M3700" s="15">
        <v>1.0642921774156846</v>
      </c>
      <c r="N3700" s="15">
        <v>1.0642921774156846</v>
      </c>
      <c r="O3700" s="15" t="s">
        <v>10</v>
      </c>
      <c r="P3700" s="15" t="s">
        <v>10</v>
      </c>
      <c r="Q3700" s="8"/>
      <c r="R3700" s="9" t="s">
        <v>3440</v>
      </c>
    </row>
    <row r="3701" spans="1:18" x14ac:dyDescent="0.25">
      <c r="A3701" s="6" t="str">
        <f>HYPERLINK("proteomic_fractions_linear_files/Yang_linear_img/110626031.jpg", "110626031")</f>
        <v>110626031</v>
      </c>
      <c r="B3701" s="7"/>
      <c r="C3701" s="6" t="str">
        <f>HYPERLINK("http://www.ncbi.nlm.nih.gov/protein/110626031","Khdrbs1")</f>
        <v>Khdrbs1</v>
      </c>
      <c r="D3701" s="8"/>
      <c r="E3701" s="8">
        <v>48240</v>
      </c>
      <c r="F3701" s="8"/>
      <c r="G3701" s="15">
        <v>1.7312220515238304</v>
      </c>
      <c r="H3701" s="15">
        <v>1.7312220515238304</v>
      </c>
      <c r="I3701" s="15">
        <v>1.3636096527196735</v>
      </c>
      <c r="J3701" s="15">
        <v>1.3636096527196735</v>
      </c>
      <c r="K3701" s="15">
        <v>1.5299200050350468</v>
      </c>
      <c r="L3701" s="15">
        <v>1.5299200050350468</v>
      </c>
      <c r="M3701" s="15">
        <v>1.5299200050350468</v>
      </c>
      <c r="N3701" s="15">
        <v>1.5299200050350468</v>
      </c>
      <c r="O3701" s="15" t="s">
        <v>10</v>
      </c>
      <c r="P3701" s="15" t="s">
        <v>10</v>
      </c>
      <c r="Q3701" s="8"/>
      <c r="R3701" s="9" t="s">
        <v>3441</v>
      </c>
    </row>
    <row r="3702" spans="1:18" x14ac:dyDescent="0.25">
      <c r="A3702" s="6" t="str">
        <f>HYPERLINK("proteomic_fractions_linear_files/Yang_linear_img/18875400.jpg", "18875400")</f>
        <v>18875400</v>
      </c>
      <c r="B3702" s="7"/>
      <c r="C3702" s="6" t="str">
        <f>HYPERLINK("http://www.ncbi.nlm.nih.gov/protein/18875400","Khdrbs2")</f>
        <v>Khdrbs2</v>
      </c>
      <c r="D3702" s="8"/>
      <c r="E3702" s="8">
        <v>38735</v>
      </c>
      <c r="F3702" s="8"/>
      <c r="G3702" s="15">
        <v>2.1307348326447144</v>
      </c>
      <c r="H3702" s="15">
        <v>2.1307348326447144</v>
      </c>
      <c r="I3702" s="15" t="s">
        <v>10</v>
      </c>
      <c r="J3702" s="15" t="s">
        <v>10</v>
      </c>
      <c r="K3702" s="15">
        <v>1.8829784677354422</v>
      </c>
      <c r="L3702" s="15">
        <v>1.8829784677354422</v>
      </c>
      <c r="M3702" s="15">
        <v>1.8829784677354422</v>
      </c>
      <c r="N3702" s="15">
        <v>1.8829784677354422</v>
      </c>
      <c r="O3702" s="15" t="s">
        <v>10</v>
      </c>
      <c r="P3702" s="15" t="s">
        <v>10</v>
      </c>
      <c r="Q3702" s="8"/>
      <c r="R3702" s="9" t="s">
        <v>3442</v>
      </c>
    </row>
    <row r="3703" spans="1:18" x14ac:dyDescent="0.25">
      <c r="A3703" s="6" t="str">
        <f>HYPERLINK("proteomic_fractions_linear_files/Yang_linear_img/117647236.jpg", "117647236")</f>
        <v>117647236</v>
      </c>
      <c r="B3703" s="7"/>
      <c r="C3703" s="6" t="str">
        <f>HYPERLINK("http://www.ncbi.nlm.nih.gov/protein/117647236","Khdrbs3")</f>
        <v>Khdrbs3</v>
      </c>
      <c r="D3703" s="8"/>
      <c r="E3703" s="8">
        <v>38676</v>
      </c>
      <c r="F3703" s="8"/>
      <c r="G3703" s="15">
        <v>2.1307348326447144</v>
      </c>
      <c r="H3703" s="15">
        <v>2.1307348326447144</v>
      </c>
      <c r="I3703" s="15" t="s">
        <v>10</v>
      </c>
      <c r="J3703" s="15" t="s">
        <v>10</v>
      </c>
      <c r="K3703" s="15">
        <v>1.8829784677354422</v>
      </c>
      <c r="L3703" s="15">
        <v>1.8829784677354422</v>
      </c>
      <c r="M3703" s="15">
        <v>1.8829784677354422</v>
      </c>
      <c r="N3703" s="15">
        <v>1.8829784677354422</v>
      </c>
      <c r="O3703" s="15" t="s">
        <v>10</v>
      </c>
      <c r="P3703" s="15" t="s">
        <v>10</v>
      </c>
      <c r="Q3703" s="8"/>
      <c r="R3703" s="9" t="s">
        <v>3443</v>
      </c>
    </row>
    <row r="3704" spans="1:18" x14ac:dyDescent="0.25">
      <c r="A3704" s="6" t="str">
        <f>HYPERLINK("proteomic_fractions_linear_files/Yang_linear_img/31982229.jpg", "31982229")</f>
        <v>31982229</v>
      </c>
      <c r="B3704" s="7"/>
      <c r="C3704" s="6" t="str">
        <f>HYPERLINK("http://www.ncbi.nlm.nih.gov/protein/31982229","Khk")</f>
        <v>Khk</v>
      </c>
      <c r="D3704" s="8"/>
      <c r="E3704" s="8">
        <v>32609</v>
      </c>
      <c r="F3704" s="8"/>
      <c r="G3704" s="15" t="s">
        <v>10</v>
      </c>
      <c r="H3704" s="15" t="s">
        <v>10</v>
      </c>
      <c r="I3704" s="15" t="s">
        <v>10</v>
      </c>
      <c r="J3704" s="15" t="s">
        <v>10</v>
      </c>
      <c r="K3704" s="15" t="s">
        <v>10</v>
      </c>
      <c r="L3704" s="15" t="s">
        <v>10</v>
      </c>
      <c r="M3704" s="15" t="s">
        <v>10</v>
      </c>
      <c r="N3704" s="15" t="s">
        <v>10</v>
      </c>
      <c r="O3704" s="15">
        <v>0.79243206410378786</v>
      </c>
      <c r="P3704" s="15">
        <v>0.79243206410378786</v>
      </c>
      <c r="Q3704" s="8"/>
      <c r="R3704" s="9" t="s">
        <v>3444</v>
      </c>
    </row>
    <row r="3705" spans="1:18" x14ac:dyDescent="0.25">
      <c r="A3705" s="6" t="str">
        <f>HYPERLINK("proteomic_fractions_linear_files/Yang_linear_img/163954948.jpg", "163954948")</f>
        <v>163954948</v>
      </c>
      <c r="B3705" s="7"/>
      <c r="C3705" s="6" t="str">
        <f>HYPERLINK("http://www.ncbi.nlm.nih.gov/protein/163954948","Khsrp")</f>
        <v>Khsrp</v>
      </c>
      <c r="D3705" s="8"/>
      <c r="E3705" s="8">
        <v>76645</v>
      </c>
      <c r="F3705" s="8"/>
      <c r="G3705" s="15">
        <v>1.4259943353393696</v>
      </c>
      <c r="H3705" s="15">
        <v>1.4259943353393696</v>
      </c>
      <c r="I3705" s="15">
        <v>1.2333504049686299</v>
      </c>
      <c r="J3705" s="15">
        <v>1.2333504049686299</v>
      </c>
      <c r="K3705" s="15">
        <v>1.2333504049686299</v>
      </c>
      <c r="L3705" s="15">
        <v>1.2333504049686299</v>
      </c>
      <c r="M3705" s="15">
        <v>1.2333504049686299</v>
      </c>
      <c r="N3705" s="15">
        <v>1.2333504049686299</v>
      </c>
      <c r="O3705" s="15">
        <v>1.2333504049686299</v>
      </c>
      <c r="P3705" s="15">
        <v>1.2333504049686299</v>
      </c>
      <c r="Q3705" s="8"/>
      <c r="R3705" s="9" t="s">
        <v>3445</v>
      </c>
    </row>
    <row r="3706" spans="1:18" x14ac:dyDescent="0.25">
      <c r="A3706" s="6" t="str">
        <f>HYPERLINK("proteomic_fractions_linear_files/Yang_linear_img/124487039.jpg", "124487039")</f>
        <v>124487039</v>
      </c>
      <c r="B3706" s="7"/>
      <c r="C3706" s="6" t="str">
        <f>HYPERLINK("http://www.ncbi.nlm.nih.gov/protein/124487039","Kidins220")</f>
        <v>Kidins220</v>
      </c>
      <c r="D3706" s="8"/>
      <c r="E3706" s="8">
        <v>199054</v>
      </c>
      <c r="F3706" s="8"/>
      <c r="G3706" s="15">
        <v>0.24266319389153393</v>
      </c>
      <c r="H3706" s="15">
        <v>0.24266319389153393</v>
      </c>
      <c r="I3706" s="15" t="s">
        <v>10</v>
      </c>
      <c r="J3706" s="15" t="s">
        <v>10</v>
      </c>
      <c r="K3706" s="15">
        <v>1.1726675760193421</v>
      </c>
      <c r="L3706" s="15">
        <v>1.1726675760193421</v>
      </c>
      <c r="M3706" s="15" t="s">
        <v>10</v>
      </c>
      <c r="N3706" s="15" t="s">
        <v>10</v>
      </c>
      <c r="O3706" s="15" t="s">
        <v>10</v>
      </c>
      <c r="P3706" s="15" t="s">
        <v>10</v>
      </c>
      <c r="Q3706" s="8"/>
      <c r="R3706" s="9" t="s">
        <v>3446</v>
      </c>
    </row>
    <row r="3707" spans="1:18" x14ac:dyDescent="0.25">
      <c r="A3707" s="6" t="str">
        <f>HYPERLINK("proteomic_fractions_linear_files/Yang_linear_img/45476577.jpg", "45476577")</f>
        <v>45476577</v>
      </c>
      <c r="B3707" s="7"/>
      <c r="C3707" s="6" t="str">
        <f>HYPERLINK("http://www.ncbi.nlm.nih.gov/protein/45476577","Kif11")</f>
        <v>Kif11</v>
      </c>
      <c r="D3707" s="8"/>
      <c r="E3707" s="8">
        <v>117896</v>
      </c>
      <c r="F3707" s="8"/>
      <c r="G3707" s="15" t="s">
        <v>10</v>
      </c>
      <c r="H3707" s="15" t="s">
        <v>10</v>
      </c>
      <c r="I3707" s="15" t="s">
        <v>10</v>
      </c>
      <c r="J3707" s="15" t="s">
        <v>10</v>
      </c>
      <c r="K3707" s="15">
        <v>1.3004480604766258</v>
      </c>
      <c r="L3707" s="15">
        <v>1.3004480604766258</v>
      </c>
      <c r="M3707" s="15">
        <v>1.3004480604766258</v>
      </c>
      <c r="N3707" s="15">
        <v>1.3004480604766258</v>
      </c>
      <c r="O3707" s="15">
        <v>1.3004480604766258</v>
      </c>
      <c r="P3707" s="15">
        <v>1.3004480604766258</v>
      </c>
      <c r="Q3707" s="8"/>
      <c r="R3707" s="9" t="s">
        <v>3447</v>
      </c>
    </row>
    <row r="3708" spans="1:18" x14ac:dyDescent="0.25">
      <c r="A3708" s="6" t="str">
        <f>HYPERLINK("proteomic_fractions_linear_files/Yang_linear_img/120300944.jpg", "120300944")</f>
        <v>120300944</v>
      </c>
      <c r="B3708" s="7"/>
      <c r="C3708" s="6" t="str">
        <f>HYPERLINK("http://www.ncbi.nlm.nih.gov/protein/120300944","Kif13a")</f>
        <v>Kif13a</v>
      </c>
      <c r="D3708" s="8"/>
      <c r="E3708" s="8">
        <v>195571</v>
      </c>
      <c r="F3708" s="8"/>
      <c r="G3708" s="15" t="s">
        <v>10</v>
      </c>
      <c r="H3708" s="15" t="s">
        <v>10</v>
      </c>
      <c r="I3708" s="15">
        <v>1.1906165695298423</v>
      </c>
      <c r="J3708" s="15">
        <v>1.1906165695298423</v>
      </c>
      <c r="K3708" s="15">
        <v>1.5397108399821366</v>
      </c>
      <c r="L3708" s="15">
        <v>1.5397108399821366</v>
      </c>
      <c r="M3708" s="15">
        <v>1.5397108399821366</v>
      </c>
      <c r="N3708" s="15">
        <v>1.5397108399821366</v>
      </c>
      <c r="O3708" s="15">
        <v>1.1906165695298423</v>
      </c>
      <c r="P3708" s="15">
        <v>1.1906165695298423</v>
      </c>
      <c r="Q3708" s="8"/>
      <c r="R3708" s="9" t="s">
        <v>3448</v>
      </c>
    </row>
    <row r="3709" spans="1:18" x14ac:dyDescent="0.25">
      <c r="A3709" s="6" t="str">
        <f>HYPERLINK("proteomic_fractions_linear_files/Yang_linear_img/124487163.jpg", "124487163")</f>
        <v>124487163</v>
      </c>
      <c r="B3709" s="7"/>
      <c r="C3709" s="6" t="str">
        <f>HYPERLINK("http://www.ncbi.nlm.nih.gov/protein/124487163","Kif13b")</f>
        <v>Kif13b</v>
      </c>
      <c r="D3709" s="8"/>
      <c r="E3709" s="8">
        <v>204445</v>
      </c>
      <c r="F3709" s="8"/>
      <c r="G3709" s="15">
        <v>1.1439257236659268</v>
      </c>
      <c r="H3709" s="15">
        <v>1.1439257236659268</v>
      </c>
      <c r="I3709" s="15">
        <v>1.1439257236659268</v>
      </c>
      <c r="J3709" s="15">
        <v>1.1439257236659268</v>
      </c>
      <c r="K3709" s="15">
        <v>1.4793300227279351</v>
      </c>
      <c r="L3709" s="15">
        <v>1.4793300227279351</v>
      </c>
      <c r="M3709" s="15">
        <v>1.4793300227279351</v>
      </c>
      <c r="N3709" s="15">
        <v>1.4793300227279351</v>
      </c>
      <c r="O3709" s="15">
        <v>1.1439257236659268</v>
      </c>
      <c r="P3709" s="15">
        <v>1.1439257236659268</v>
      </c>
      <c r="Q3709" s="8"/>
      <c r="R3709" s="9" t="s">
        <v>3449</v>
      </c>
    </row>
    <row r="3710" spans="1:18" x14ac:dyDescent="0.25">
      <c r="A3710" s="6" t="str">
        <f>HYPERLINK("proteomic_fractions_linear_files/Yang_linear_img/124486927.jpg", "124486927")</f>
        <v>124486927</v>
      </c>
      <c r="B3710" s="7"/>
      <c r="C3710" s="6" t="str">
        <f>HYPERLINK("http://www.ncbi.nlm.nih.gov/protein/124486927","Kif14")</f>
        <v>Kif14</v>
      </c>
      <c r="D3710" s="8"/>
      <c r="E3710" s="8">
        <v>180819</v>
      </c>
      <c r="F3710" s="8"/>
      <c r="G3710" s="15" t="s">
        <v>10</v>
      </c>
      <c r="H3710" s="15" t="s">
        <v>10</v>
      </c>
      <c r="I3710" s="15" t="s">
        <v>10</v>
      </c>
      <c r="J3710" s="15" t="s">
        <v>10</v>
      </c>
      <c r="K3710" s="15">
        <v>0.52468497890930665</v>
      </c>
      <c r="L3710" s="15">
        <v>0.60663847414989758</v>
      </c>
      <c r="M3710" s="15" t="s">
        <v>10</v>
      </c>
      <c r="N3710" s="15" t="s">
        <v>10</v>
      </c>
      <c r="O3710" s="15">
        <v>0.52468497890930665</v>
      </c>
      <c r="P3710" s="15">
        <v>0.52468497890930665</v>
      </c>
      <c r="Q3710" s="8"/>
      <c r="R3710" s="9" t="s">
        <v>3450</v>
      </c>
    </row>
    <row r="3711" spans="1:18" x14ac:dyDescent="0.25">
      <c r="A3711" s="6" t="str">
        <f>HYPERLINK("proteomic_fractions_linear_files/Yang_linear_img/39930325.jpg", "39930325")</f>
        <v>39930325</v>
      </c>
      <c r="B3711" s="7"/>
      <c r="C3711" s="6" t="str">
        <f>HYPERLINK("http://www.ncbi.nlm.nih.gov/protein/39930325","Kif15")</f>
        <v>Kif15</v>
      </c>
      <c r="D3711" s="8"/>
      <c r="E3711" s="8">
        <v>159990</v>
      </c>
      <c r="F3711" s="8"/>
      <c r="G3711" s="15" t="s">
        <v>10</v>
      </c>
      <c r="H3711" s="15" t="s">
        <v>10</v>
      </c>
      <c r="I3711" s="15" t="s">
        <v>10</v>
      </c>
      <c r="J3711" s="15" t="s">
        <v>10</v>
      </c>
      <c r="K3711" s="15" t="s">
        <v>10</v>
      </c>
      <c r="L3711" s="15" t="s">
        <v>10</v>
      </c>
      <c r="M3711" s="15" t="s">
        <v>10</v>
      </c>
      <c r="N3711" s="15" t="s">
        <v>10</v>
      </c>
      <c r="O3711" s="15">
        <v>1.1672864477496272</v>
      </c>
      <c r="P3711" s="15">
        <v>1.1672864477496272</v>
      </c>
      <c r="Q3711" s="8"/>
      <c r="R3711" s="9" t="s">
        <v>3451</v>
      </c>
    </row>
    <row r="3712" spans="1:18" x14ac:dyDescent="0.25">
      <c r="A3712" s="6" t="str">
        <f>HYPERLINK("proteomic_fractions_linear_files/Yang_linear_img/124487287.jpg", "124487287")</f>
        <v>124487287</v>
      </c>
      <c r="B3712" s="7"/>
      <c r="C3712" s="6" t="str">
        <f>HYPERLINK("http://www.ncbi.nlm.nih.gov/protein/124487287","Kif16b")</f>
        <v>Kif16b</v>
      </c>
      <c r="D3712" s="8"/>
      <c r="E3712" s="8">
        <v>149927</v>
      </c>
      <c r="F3712" s="8"/>
      <c r="G3712" s="15" t="s">
        <v>10</v>
      </c>
      <c r="H3712" s="15" t="s">
        <v>10</v>
      </c>
      <c r="I3712" s="15" t="s">
        <v>10</v>
      </c>
      <c r="J3712" s="15" t="s">
        <v>10</v>
      </c>
      <c r="K3712" s="15">
        <v>1.2451055442662691</v>
      </c>
      <c r="L3712" s="15">
        <v>1.2451055442662691</v>
      </c>
      <c r="M3712" s="15">
        <v>2.0118888309099918</v>
      </c>
      <c r="N3712" s="15">
        <v>2.0118888309099918</v>
      </c>
      <c r="O3712" s="15" t="s">
        <v>10</v>
      </c>
      <c r="P3712" s="15" t="s">
        <v>10</v>
      </c>
      <c r="Q3712" s="8"/>
      <c r="R3712" s="9" t="s">
        <v>3452</v>
      </c>
    </row>
    <row r="3713" spans="1:18" x14ac:dyDescent="0.25">
      <c r="A3713" s="6" t="str">
        <f>HYPERLINK("proteomic_fractions_linear_files/Yang_linear_img/13487898.jpg", "13487898")</f>
        <v>13487898</v>
      </c>
      <c r="B3713" s="7"/>
      <c r="C3713" s="6" t="str">
        <f>HYPERLINK("http://www.ncbi.nlm.nih.gov/protein/13487898","Kif17")</f>
        <v>Kif17</v>
      </c>
      <c r="D3713" s="8"/>
      <c r="E3713" s="8">
        <v>116242</v>
      </c>
      <c r="F3713" s="8"/>
      <c r="G3713" s="15" t="s">
        <v>10</v>
      </c>
      <c r="H3713" s="15" t="s">
        <v>10</v>
      </c>
      <c r="I3713" s="15" t="s">
        <v>10</v>
      </c>
      <c r="J3713" s="15" t="s">
        <v>10</v>
      </c>
      <c r="K3713" s="15">
        <v>0.81868949295331472</v>
      </c>
      <c r="L3713" s="15">
        <v>0.94656520535458166</v>
      </c>
      <c r="M3713" s="15" t="s">
        <v>10</v>
      </c>
      <c r="N3713" s="15" t="s">
        <v>10</v>
      </c>
      <c r="O3713" s="15">
        <v>0.81868949295331472</v>
      </c>
      <c r="P3713" s="15">
        <v>0.81868949295331472</v>
      </c>
      <c r="Q3713" s="8"/>
      <c r="R3713" s="9" t="s">
        <v>3453</v>
      </c>
    </row>
    <row r="3714" spans="1:18" x14ac:dyDescent="0.25">
      <c r="A3714" s="6" t="str">
        <f>HYPERLINK("proteomic_fractions_linear_files/Yang_linear_img/300795177.jpg", "300795177")</f>
        <v>300795177</v>
      </c>
      <c r="B3714" s="7"/>
      <c r="C3714" s="6" t="str">
        <f>HYPERLINK("http://www.ncbi.nlm.nih.gov/protein/300795177","Kif17")</f>
        <v>Kif17</v>
      </c>
      <c r="D3714" s="8"/>
      <c r="E3714" s="8">
        <v>79663</v>
      </c>
      <c r="F3714" s="8"/>
      <c r="G3714" s="15" t="s">
        <v>10</v>
      </c>
      <c r="H3714" s="15" t="s">
        <v>10</v>
      </c>
      <c r="I3714" s="15" t="s">
        <v>10</v>
      </c>
      <c r="J3714" s="15" t="s">
        <v>10</v>
      </c>
      <c r="K3714" s="15">
        <v>1.1870997647823063</v>
      </c>
      <c r="L3714" s="15">
        <v>1.3725195477641434</v>
      </c>
      <c r="M3714" s="15" t="s">
        <v>10</v>
      </c>
      <c r="N3714" s="15" t="s">
        <v>10</v>
      </c>
      <c r="O3714" s="15">
        <v>1.1870997647823063</v>
      </c>
      <c r="P3714" s="15">
        <v>1.1870997647823063</v>
      </c>
      <c r="Q3714" s="8"/>
      <c r="R3714" s="9" t="s">
        <v>3454</v>
      </c>
    </row>
    <row r="3715" spans="1:18" x14ac:dyDescent="0.25">
      <c r="A3715" s="6" t="str">
        <f>HYPERLINK("proteomic_fractions_linear_files/Yang_linear_img/160333877.jpg", "160333877")</f>
        <v>160333877</v>
      </c>
      <c r="B3715" s="7"/>
      <c r="C3715" s="6" t="str">
        <f>HYPERLINK("http://www.ncbi.nlm.nih.gov/protein/160333877","Kif1a")</f>
        <v>Kif1a</v>
      </c>
      <c r="D3715" s="8"/>
      <c r="E3715" s="8">
        <v>190846</v>
      </c>
      <c r="F3715" s="8"/>
      <c r="G3715" s="15" t="s">
        <v>10</v>
      </c>
      <c r="H3715" s="15" t="s">
        <v>10</v>
      </c>
      <c r="I3715" s="15">
        <v>1.2217845425541836</v>
      </c>
      <c r="J3715" s="15">
        <v>1.2217845425541836</v>
      </c>
      <c r="K3715" s="15">
        <v>1.2217845425541836</v>
      </c>
      <c r="L3715" s="15">
        <v>1.5800174064738155</v>
      </c>
      <c r="M3715" s="15">
        <v>1.5800174064738155</v>
      </c>
      <c r="N3715" s="15">
        <v>1.5800174064738155</v>
      </c>
      <c r="O3715" s="15">
        <v>1.2217845425541836</v>
      </c>
      <c r="P3715" s="15">
        <v>1.2217845425541836</v>
      </c>
      <c r="Q3715" s="8"/>
      <c r="R3715" s="9" t="s">
        <v>3455</v>
      </c>
    </row>
    <row r="3716" spans="1:18" x14ac:dyDescent="0.25">
      <c r="A3716" s="6" t="str">
        <f>HYPERLINK("proteomic_fractions_linear_files/Yang_linear_img/160708010.jpg", "160708010")</f>
        <v>160708010</v>
      </c>
      <c r="B3716" s="7"/>
      <c r="C3716" s="6" t="str">
        <f>HYPERLINK("http://www.ncbi.nlm.nih.gov/protein/160708010","Kif1a")</f>
        <v>Kif1a</v>
      </c>
      <c r="D3716" s="8"/>
      <c r="E3716" s="8">
        <v>191723</v>
      </c>
      <c r="F3716" s="8"/>
      <c r="G3716" s="15" t="s">
        <v>10</v>
      </c>
      <c r="H3716" s="15" t="s">
        <v>10</v>
      </c>
      <c r="I3716" s="15">
        <v>1.2154210813950472</v>
      </c>
      <c r="J3716" s="15">
        <v>1.2154210813950472</v>
      </c>
      <c r="K3716" s="15">
        <v>1.2154210813950472</v>
      </c>
      <c r="L3716" s="15">
        <v>1.5717881491484311</v>
      </c>
      <c r="M3716" s="15">
        <v>1.5717881491484311</v>
      </c>
      <c r="N3716" s="15">
        <v>1.5717881491484311</v>
      </c>
      <c r="O3716" s="15">
        <v>1.2154210813950472</v>
      </c>
      <c r="P3716" s="15">
        <v>1.2154210813950472</v>
      </c>
      <c r="Q3716" s="8"/>
      <c r="R3716" s="9" t="s">
        <v>3456</v>
      </c>
    </row>
    <row r="3717" spans="1:18" x14ac:dyDescent="0.25">
      <c r="A3717" s="6" t="str">
        <f>HYPERLINK("proteomic_fractions_linear_files/Yang_linear_img/86990458.jpg", "86990458")</f>
        <v>86990458</v>
      </c>
      <c r="B3717" s="7"/>
      <c r="C3717" s="6" t="str">
        <f>HYPERLINK("http://www.ncbi.nlm.nih.gov/protein/86990458","Kif1b")</f>
        <v>Kif1b</v>
      </c>
      <c r="D3717" s="8"/>
      <c r="E3717" s="8">
        <v>129921</v>
      </c>
      <c r="F3717" s="8"/>
      <c r="G3717" s="15" t="s">
        <v>10</v>
      </c>
      <c r="H3717" s="15" t="s">
        <v>10</v>
      </c>
      <c r="I3717" s="15">
        <v>1.7950834432911467</v>
      </c>
      <c r="J3717" s="15">
        <v>1.7950834432911467</v>
      </c>
      <c r="K3717" s="15">
        <v>1.7950834432911467</v>
      </c>
      <c r="L3717" s="15">
        <v>2.3214101895115289</v>
      </c>
      <c r="M3717" s="15">
        <v>2.3214101895115289</v>
      </c>
      <c r="N3717" s="15">
        <v>2.3214101895115289</v>
      </c>
      <c r="O3717" s="15">
        <v>1.7950834432911467</v>
      </c>
      <c r="P3717" s="15">
        <v>1.7950834432911467</v>
      </c>
      <c r="Q3717" s="8"/>
      <c r="R3717" s="9" t="s">
        <v>3457</v>
      </c>
    </row>
    <row r="3718" spans="1:18" x14ac:dyDescent="0.25">
      <c r="A3718" s="6" t="str">
        <f>HYPERLINK("proteomic_fractions_linear_files/Yang_linear_img/86990460.jpg", "86990460")</f>
        <v>86990460</v>
      </c>
      <c r="B3718" s="7"/>
      <c r="C3718" s="6" t="str">
        <f>HYPERLINK("http://www.ncbi.nlm.nih.gov/protein/86990460","Kif1b")</f>
        <v>Kif1b</v>
      </c>
      <c r="D3718" s="8"/>
      <c r="E3718" s="8">
        <v>198790</v>
      </c>
      <c r="F3718" s="8"/>
      <c r="G3718" s="15" t="s">
        <v>10</v>
      </c>
      <c r="H3718" s="15" t="s">
        <v>10</v>
      </c>
      <c r="I3718" s="15">
        <v>1.1726675760193421</v>
      </c>
      <c r="J3718" s="15">
        <v>1.1726675760193421</v>
      </c>
      <c r="K3718" s="15">
        <v>1.1726675760193421</v>
      </c>
      <c r="L3718" s="15">
        <v>1.5164991187763757</v>
      </c>
      <c r="M3718" s="15">
        <v>1.5164991187763757</v>
      </c>
      <c r="N3718" s="15">
        <v>1.5164991187763757</v>
      </c>
      <c r="O3718" s="15">
        <v>1.1726675760193421</v>
      </c>
      <c r="P3718" s="15">
        <v>1.1726675760193421</v>
      </c>
      <c r="Q3718" s="8"/>
      <c r="R3718" s="9" t="s">
        <v>3458</v>
      </c>
    </row>
    <row r="3719" spans="1:18" x14ac:dyDescent="0.25">
      <c r="A3719" s="6" t="str">
        <f>HYPERLINK("proteomic_fractions_linear_files/Yang_linear_img/145966744.jpg", "145966744")</f>
        <v>145966744</v>
      </c>
      <c r="B3719" s="7"/>
      <c r="C3719" s="6" t="str">
        <f>HYPERLINK("http://www.ncbi.nlm.nih.gov/protein/145966744","Kif1c")</f>
        <v>Kif1c</v>
      </c>
      <c r="D3719" s="8"/>
      <c r="E3719" s="8">
        <v>122304</v>
      </c>
      <c r="F3719" s="8"/>
      <c r="G3719" s="15" t="s">
        <v>10</v>
      </c>
      <c r="H3719" s="15" t="s">
        <v>10</v>
      </c>
      <c r="I3719" s="15">
        <v>1.9127938330151564</v>
      </c>
      <c r="J3719" s="15">
        <v>1.9127938330151564</v>
      </c>
      <c r="K3719" s="15">
        <v>1.5308674724585276</v>
      </c>
      <c r="L3719" s="15">
        <v>1.5308674724585276</v>
      </c>
      <c r="M3719" s="15">
        <v>2.4736338084958915</v>
      </c>
      <c r="N3719" s="15">
        <v>2.4736338084958915</v>
      </c>
      <c r="O3719" s="15">
        <v>1.9127938330151564</v>
      </c>
      <c r="P3719" s="15">
        <v>1.9127938330151564</v>
      </c>
      <c r="Q3719" s="8"/>
      <c r="R3719" s="9" t="s">
        <v>3459</v>
      </c>
    </row>
    <row r="3720" spans="1:18" x14ac:dyDescent="0.25">
      <c r="A3720" s="6" t="str">
        <f>HYPERLINK("proteomic_fractions_linear_files/Yang_linear_img/157823695.jpg", "157823695")</f>
        <v>157823695</v>
      </c>
      <c r="B3720" s="7"/>
      <c r="C3720" s="6" t="str">
        <f>HYPERLINK("http://www.ncbi.nlm.nih.gov/protein/157823695","Kif21a")</f>
        <v>Kif21a</v>
      </c>
      <c r="D3720" s="8"/>
      <c r="E3720" s="8">
        <v>175458</v>
      </c>
      <c r="F3720" s="8"/>
      <c r="G3720" s="15" t="s">
        <v>10</v>
      </c>
      <c r="H3720" s="15" t="s">
        <v>10</v>
      </c>
      <c r="I3720" s="15" t="s">
        <v>10</v>
      </c>
      <c r="J3720" s="15" t="s">
        <v>10</v>
      </c>
      <c r="K3720" s="15" t="s">
        <v>10</v>
      </c>
      <c r="L3720" s="15" t="s">
        <v>10</v>
      </c>
      <c r="M3720" s="15">
        <v>1.3334905578734233</v>
      </c>
      <c r="N3720" s="15">
        <v>1.3334905578734233</v>
      </c>
      <c r="O3720" s="15">
        <v>1.3334905578734233</v>
      </c>
      <c r="P3720" s="15">
        <v>1.3334905578734233</v>
      </c>
      <c r="Q3720" s="8"/>
      <c r="R3720" s="9" t="s">
        <v>3460</v>
      </c>
    </row>
    <row r="3721" spans="1:18" x14ac:dyDescent="0.25">
      <c r="A3721" s="6" t="str">
        <f>HYPERLINK("proteomic_fractions_linear_files/Yang_linear_img/157823731.jpg", "157823731")</f>
        <v>157823731</v>
      </c>
      <c r="B3721" s="7"/>
      <c r="C3721" s="6" t="str">
        <f>HYPERLINK("http://www.ncbi.nlm.nih.gov/protein/157823731","Kif21a")</f>
        <v>Kif21a</v>
      </c>
      <c r="D3721" s="8"/>
      <c r="E3721" s="8">
        <v>186406</v>
      </c>
      <c r="F3721" s="8"/>
      <c r="G3721" s="15" t="s">
        <v>10</v>
      </c>
      <c r="H3721" s="15" t="s">
        <v>10</v>
      </c>
      <c r="I3721" s="15" t="s">
        <v>10</v>
      </c>
      <c r="J3721" s="15" t="s">
        <v>10</v>
      </c>
      <c r="K3721" s="15" t="s">
        <v>10</v>
      </c>
      <c r="L3721" s="15" t="s">
        <v>10</v>
      </c>
      <c r="M3721" s="15">
        <v>1.254628213052952</v>
      </c>
      <c r="N3721" s="15">
        <v>1.254628213052952</v>
      </c>
      <c r="O3721" s="15">
        <v>1.254628213052952</v>
      </c>
      <c r="P3721" s="15">
        <v>1.254628213052952</v>
      </c>
      <c r="Q3721" s="8"/>
      <c r="R3721" s="9" t="s">
        <v>3461</v>
      </c>
    </row>
    <row r="3722" spans="1:18" x14ac:dyDescent="0.25">
      <c r="A3722" s="6" t="str">
        <f>HYPERLINK("proteomic_fractions_linear_files/Yang_linear_img/157823761.jpg", "157823761")</f>
        <v>157823761</v>
      </c>
      <c r="B3722" s="7"/>
      <c r="C3722" s="6" t="str">
        <f>HYPERLINK("http://www.ncbi.nlm.nih.gov/protein/157823761","Kif21a")</f>
        <v>Kif21a</v>
      </c>
      <c r="D3722" s="8"/>
      <c r="E3722" s="8">
        <v>181241</v>
      </c>
      <c r="F3722" s="8"/>
      <c r="G3722" s="15" t="s">
        <v>10</v>
      </c>
      <c r="H3722" s="15" t="s">
        <v>10</v>
      </c>
      <c r="I3722" s="15" t="s">
        <v>10</v>
      </c>
      <c r="J3722" s="15" t="s">
        <v>10</v>
      </c>
      <c r="K3722" s="15" t="s">
        <v>10</v>
      </c>
      <c r="L3722" s="15" t="s">
        <v>10</v>
      </c>
      <c r="M3722" s="15">
        <v>1.2892864509825916</v>
      </c>
      <c r="N3722" s="15">
        <v>1.2892864509825916</v>
      </c>
      <c r="O3722" s="15">
        <v>1.2892864509825916</v>
      </c>
      <c r="P3722" s="15">
        <v>1.2892864509825916</v>
      </c>
      <c r="Q3722" s="8"/>
      <c r="R3722" s="9" t="s">
        <v>3462</v>
      </c>
    </row>
    <row r="3723" spans="1:18" x14ac:dyDescent="0.25">
      <c r="A3723" s="6" t="str">
        <f>HYPERLINK("proteomic_fractions_linear_files/Yang_linear_img/157823795.jpg", "157823795")</f>
        <v>157823795</v>
      </c>
      <c r="B3723" s="7"/>
      <c r="C3723" s="6" t="str">
        <f>HYPERLINK("http://www.ncbi.nlm.nih.gov/protein/157823795","Kif21a")</f>
        <v>Kif21a</v>
      </c>
      <c r="D3723" s="8"/>
      <c r="E3723" s="8">
        <v>174676</v>
      </c>
      <c r="F3723" s="8"/>
      <c r="G3723" s="15" t="s">
        <v>10</v>
      </c>
      <c r="H3723" s="15" t="s">
        <v>10</v>
      </c>
      <c r="I3723" s="15" t="s">
        <v>10</v>
      </c>
      <c r="J3723" s="15" t="s">
        <v>10</v>
      </c>
      <c r="K3723" s="15" t="s">
        <v>10</v>
      </c>
      <c r="L3723" s="15" t="s">
        <v>10</v>
      </c>
      <c r="M3723" s="15">
        <v>1.3334905578734233</v>
      </c>
      <c r="N3723" s="15">
        <v>1.3334905578734233</v>
      </c>
      <c r="O3723" s="15">
        <v>1.3334905578734233</v>
      </c>
      <c r="P3723" s="15">
        <v>1.3334905578734233</v>
      </c>
      <c r="Q3723" s="8"/>
      <c r="R3723" s="9" t="s">
        <v>3463</v>
      </c>
    </row>
    <row r="3724" spans="1:18" x14ac:dyDescent="0.25">
      <c r="A3724" s="6" t="str">
        <f>HYPERLINK("proteomic_fractions_linear_files/Yang_linear_img/21704182.jpg", "21704182")</f>
        <v>21704182</v>
      </c>
      <c r="B3724" s="7"/>
      <c r="C3724" s="6" t="str">
        <f>HYPERLINK("http://www.ncbi.nlm.nih.gov/protein/21704182","Kif22")</f>
        <v>Kif22</v>
      </c>
      <c r="D3724" s="8"/>
      <c r="E3724" s="8">
        <v>73059</v>
      </c>
      <c r="F3724" s="8"/>
      <c r="G3724" s="15" t="s">
        <v>10</v>
      </c>
      <c r="H3724" s="15" t="s">
        <v>10</v>
      </c>
      <c r="I3724" s="15">
        <v>0.228992801652151</v>
      </c>
      <c r="J3724" s="15">
        <v>0.228992801652151</v>
      </c>
      <c r="K3724" s="15">
        <v>0.17461944304024146</v>
      </c>
      <c r="L3724" s="15">
        <v>0.17461944304024146</v>
      </c>
      <c r="M3724" s="15">
        <v>0.228992801652151</v>
      </c>
      <c r="N3724" s="15">
        <v>0.228992801652151</v>
      </c>
      <c r="O3724" s="15" t="s">
        <v>10</v>
      </c>
      <c r="P3724" s="15" t="s">
        <v>10</v>
      </c>
      <c r="Q3724" s="8"/>
      <c r="R3724" s="9" t="s">
        <v>3464</v>
      </c>
    </row>
    <row r="3725" spans="1:18" x14ac:dyDescent="0.25">
      <c r="A3725" s="6" t="str">
        <f>HYPERLINK("proteomic_fractions_linear_files/Yang_linear_img/32401469.jpg", "32401469")</f>
        <v>32401469</v>
      </c>
      <c r="B3725" s="7"/>
      <c r="C3725" s="6" t="str">
        <f>HYPERLINK("http://www.ncbi.nlm.nih.gov/protein/32401469","Kif27")</f>
        <v>Kif27</v>
      </c>
      <c r="D3725" s="8"/>
      <c r="E3725" s="8">
        <v>158825</v>
      </c>
      <c r="F3725" s="8"/>
      <c r="G3725" s="15" t="s">
        <v>10</v>
      </c>
      <c r="H3725" s="15" t="s">
        <v>10</v>
      </c>
      <c r="I3725" s="15" t="s">
        <v>10</v>
      </c>
      <c r="J3725" s="15" t="s">
        <v>10</v>
      </c>
      <c r="K3725" s="15">
        <v>0.36964281500373491</v>
      </c>
      <c r="L3725" s="15">
        <v>0.36964281500373491</v>
      </c>
      <c r="M3725" s="15" t="s">
        <v>10</v>
      </c>
      <c r="N3725" s="15" t="s">
        <v>10</v>
      </c>
      <c r="O3725" s="15" t="s">
        <v>10</v>
      </c>
      <c r="P3725" s="15" t="s">
        <v>10</v>
      </c>
      <c r="Q3725" s="8"/>
      <c r="R3725" s="9" t="s">
        <v>3465</v>
      </c>
    </row>
    <row r="3726" spans="1:18" x14ac:dyDescent="0.25">
      <c r="A3726" s="6" t="str">
        <f>HYPERLINK("proteomic_fractions_linear_files/Yang_linear_img/224809371.jpg", "224809371")</f>
        <v>224809371</v>
      </c>
      <c r="B3726" s="7"/>
      <c r="C3726" s="6" t="str">
        <f>HYPERLINK("http://www.ncbi.nlm.nih.gov/protein/224809371","Kif2a")</f>
        <v>Kif2a</v>
      </c>
      <c r="D3726" s="8"/>
      <c r="E3726" s="8">
        <v>80731</v>
      </c>
      <c r="F3726" s="8"/>
      <c r="G3726" s="15" t="s">
        <v>10</v>
      </c>
      <c r="H3726" s="15" t="s">
        <v>10</v>
      </c>
      <c r="I3726" s="15" t="s">
        <v>10</v>
      </c>
      <c r="J3726" s="15" t="s">
        <v>10</v>
      </c>
      <c r="K3726" s="15">
        <v>1.3555748619892773</v>
      </c>
      <c r="L3726" s="15">
        <v>1.3555748619892773</v>
      </c>
      <c r="M3726" s="15">
        <v>0.90661926224299072</v>
      </c>
      <c r="N3726" s="15">
        <v>0.90661926224299072</v>
      </c>
      <c r="O3726" s="15" t="s">
        <v>10</v>
      </c>
      <c r="P3726" s="15" t="s">
        <v>10</v>
      </c>
      <c r="Q3726" s="8"/>
      <c r="R3726" s="9" t="s">
        <v>3466</v>
      </c>
    </row>
    <row r="3727" spans="1:18" x14ac:dyDescent="0.25">
      <c r="A3727" s="6" t="str">
        <f>HYPERLINK("proteomic_fractions_linear_files/Yang_linear_img/224809373.jpg", "224809373")</f>
        <v>224809373</v>
      </c>
      <c r="B3727" s="7"/>
      <c r="C3727" s="6" t="str">
        <f>HYPERLINK("http://www.ncbi.nlm.nih.gov/protein/224809373","Kif2a")</f>
        <v>Kif2a</v>
      </c>
      <c r="D3727" s="8"/>
      <c r="E3727" s="8">
        <v>79626</v>
      </c>
      <c r="F3727" s="8"/>
      <c r="G3727" s="15" t="s">
        <v>10</v>
      </c>
      <c r="H3727" s="15" t="s">
        <v>10</v>
      </c>
      <c r="I3727" s="15" t="s">
        <v>10</v>
      </c>
      <c r="J3727" s="15" t="s">
        <v>10</v>
      </c>
      <c r="K3727" s="15">
        <v>1.3725195477641434</v>
      </c>
      <c r="L3727" s="15">
        <v>1.3725195477641434</v>
      </c>
      <c r="M3727" s="15">
        <v>0.91795200302102808</v>
      </c>
      <c r="N3727" s="15">
        <v>0.91795200302102808</v>
      </c>
      <c r="O3727" s="15" t="s">
        <v>10</v>
      </c>
      <c r="P3727" s="15" t="s">
        <v>10</v>
      </c>
      <c r="Q3727" s="8"/>
      <c r="R3727" s="9" t="s">
        <v>3467</v>
      </c>
    </row>
    <row r="3728" spans="1:18" x14ac:dyDescent="0.25">
      <c r="A3728" s="6" t="str">
        <f>HYPERLINK("proteomic_fractions_linear_files/Yang_linear_img/110625946.jpg", "110625946")</f>
        <v>110625946</v>
      </c>
      <c r="B3728" s="7"/>
      <c r="C3728" s="6" t="str">
        <f>HYPERLINK("http://www.ncbi.nlm.nih.gov/protein/110625946","Kif2b")</f>
        <v>Kif2b</v>
      </c>
      <c r="D3728" s="8"/>
      <c r="E3728" s="8">
        <v>75338</v>
      </c>
      <c r="F3728" s="8"/>
      <c r="G3728" s="15" t="s">
        <v>10</v>
      </c>
      <c r="H3728" s="15" t="s">
        <v>10</v>
      </c>
      <c r="I3728" s="15" t="s">
        <v>10</v>
      </c>
      <c r="J3728" s="15" t="s">
        <v>10</v>
      </c>
      <c r="K3728" s="15" t="s">
        <v>10</v>
      </c>
      <c r="L3728" s="15" t="s">
        <v>10</v>
      </c>
      <c r="M3728" s="15">
        <v>0.39847209188950844</v>
      </c>
      <c r="N3728" s="15">
        <v>0.39847209188950844</v>
      </c>
      <c r="O3728" s="15" t="s">
        <v>10</v>
      </c>
      <c r="P3728" s="15" t="s">
        <v>10</v>
      </c>
      <c r="Q3728" s="8"/>
      <c r="R3728" s="9" t="s">
        <v>3468</v>
      </c>
    </row>
    <row r="3729" spans="1:18" x14ac:dyDescent="0.25">
      <c r="A3729" s="6" t="str">
        <f>HYPERLINK("proteomic_fractions_linear_files/Yang_linear_img/34328138.jpg", "34328138")</f>
        <v>34328138</v>
      </c>
      <c r="B3729" s="7"/>
      <c r="C3729" s="6" t="str">
        <f>HYPERLINK("http://www.ncbi.nlm.nih.gov/protein/34328138","Kif3a")</f>
        <v>Kif3a</v>
      </c>
      <c r="D3729" s="8"/>
      <c r="E3729" s="8">
        <v>80039</v>
      </c>
      <c r="F3729" s="8"/>
      <c r="G3729" s="15" t="s">
        <v>10</v>
      </c>
      <c r="H3729" s="15" t="s">
        <v>10</v>
      </c>
      <c r="I3729" s="15" t="s">
        <v>10</v>
      </c>
      <c r="J3729" s="15" t="s">
        <v>10</v>
      </c>
      <c r="K3729" s="15">
        <v>1.1870997647823063</v>
      </c>
      <c r="L3729" s="15">
        <v>1.1870997647823063</v>
      </c>
      <c r="M3729" s="15" t="s">
        <v>10</v>
      </c>
      <c r="N3729" s="15" t="s">
        <v>10</v>
      </c>
      <c r="O3729" s="15">
        <v>1.0387332309142983</v>
      </c>
      <c r="P3729" s="15">
        <v>1.0387332309142983</v>
      </c>
      <c r="Q3729" s="8"/>
      <c r="R3729" s="9" t="s">
        <v>3469</v>
      </c>
    </row>
    <row r="3730" spans="1:18" x14ac:dyDescent="0.25">
      <c r="A3730" s="6" t="str">
        <f>HYPERLINK("proteomic_fractions_linear_files/Yang_linear_img/227908861.jpg", "227908861")</f>
        <v>227908861</v>
      </c>
      <c r="B3730" s="7"/>
      <c r="C3730" s="6" t="str">
        <f>HYPERLINK("http://www.ncbi.nlm.nih.gov/protein/227908861","Kif3b")</f>
        <v>Kif3b</v>
      </c>
      <c r="D3730" s="8"/>
      <c r="E3730" s="8">
        <v>85157</v>
      </c>
      <c r="F3730" s="8"/>
      <c r="G3730" s="15" t="s">
        <v>10</v>
      </c>
      <c r="H3730" s="15" t="s">
        <v>10</v>
      </c>
      <c r="I3730" s="15" t="s">
        <v>10</v>
      </c>
      <c r="J3730" s="15" t="s">
        <v>10</v>
      </c>
      <c r="K3730" s="15">
        <v>1.1172703668539354</v>
      </c>
      <c r="L3730" s="15">
        <v>1.2917831037780172</v>
      </c>
      <c r="M3730" s="15" t="s">
        <v>10</v>
      </c>
      <c r="N3730" s="15" t="s">
        <v>10</v>
      </c>
      <c r="O3730" s="15">
        <v>1.1172703668539354</v>
      </c>
      <c r="P3730" s="15">
        <v>1.1172703668539354</v>
      </c>
      <c r="Q3730" s="8"/>
      <c r="R3730" s="9" t="s">
        <v>3470</v>
      </c>
    </row>
    <row r="3731" spans="1:18" x14ac:dyDescent="0.25">
      <c r="A3731" s="6" t="str">
        <f>HYPERLINK("proteomic_fractions_linear_files/Yang_linear_img/84781817.jpg", "84781817")</f>
        <v>84781817</v>
      </c>
      <c r="B3731" s="7"/>
      <c r="C3731" s="6" t="str">
        <f>HYPERLINK("http://www.ncbi.nlm.nih.gov/protein/84781817","Kif3c")</f>
        <v>Kif3c</v>
      </c>
      <c r="D3731" s="8"/>
      <c r="E3731" s="8">
        <v>89842</v>
      </c>
      <c r="F3731" s="8"/>
      <c r="G3731" s="15" t="s">
        <v>10</v>
      </c>
      <c r="H3731" s="15" t="s">
        <v>10</v>
      </c>
      <c r="I3731" s="15" t="s">
        <v>10</v>
      </c>
      <c r="J3731" s="15" t="s">
        <v>10</v>
      </c>
      <c r="K3731" s="15">
        <v>1.2200173757903496</v>
      </c>
      <c r="L3731" s="15">
        <v>1.2200173757903496</v>
      </c>
      <c r="M3731" s="15">
        <v>1.2200173757903496</v>
      </c>
      <c r="N3731" s="15">
        <v>1.2200173757903496</v>
      </c>
      <c r="O3731" s="15">
        <v>1.0551997909176056</v>
      </c>
      <c r="P3731" s="15">
        <v>1.0551997909176056</v>
      </c>
      <c r="Q3731" s="8"/>
      <c r="R3731" s="9" t="s">
        <v>3471</v>
      </c>
    </row>
    <row r="3732" spans="1:18" x14ac:dyDescent="0.25">
      <c r="A3732" s="6" t="str">
        <f>HYPERLINK("proteomic_fractions_linear_files/Yang_linear_img/84781727;40254635.jpg", "84781727;40254635")</f>
        <v>84781727;40254635</v>
      </c>
      <c r="B3732" s="8"/>
      <c r="C3732" s="6" t="str">
        <f>HYPERLINK("http://www.ncbi.nlm.nih.gov/protein/84781727;40254635","Kif5a")</f>
        <v>Kif5a</v>
      </c>
      <c r="D3732" s="8"/>
      <c r="E3732" s="8">
        <v>116888</v>
      </c>
      <c r="F3732" s="8"/>
      <c r="G3732" s="15" t="s">
        <v>10</v>
      </c>
      <c r="H3732" s="15" t="s">
        <v>10</v>
      </c>
      <c r="I3732" s="15" t="s">
        <v>10</v>
      </c>
      <c r="J3732" s="15" t="s">
        <v>10</v>
      </c>
      <c r="K3732" s="15">
        <v>1.3115630011644601</v>
      </c>
      <c r="L3732" s="15">
        <v>1.3115630011644601</v>
      </c>
      <c r="M3732" s="15" t="s">
        <v>10</v>
      </c>
      <c r="N3732" s="15" t="s">
        <v>10</v>
      </c>
      <c r="O3732" s="15" t="s">
        <v>10</v>
      </c>
      <c r="P3732" s="15" t="s">
        <v>10</v>
      </c>
      <c r="Q3732" s="8"/>
      <c r="R3732" s="9" t="s">
        <v>3472</v>
      </c>
    </row>
    <row r="3733" spans="1:18" x14ac:dyDescent="0.25">
      <c r="A3733" s="6" t="str">
        <f>HYPERLINK("proteomic_fractions_linear_files/Yang_linear_img/40254635;84781727.jpg", "40254635;84781727")</f>
        <v>40254635;84781727</v>
      </c>
      <c r="B3733" s="8"/>
      <c r="C3733" s="6" t="str">
        <f>HYPERLINK("http://www.ncbi.nlm.nih.gov/protein/40254635;84781727","Kif5a")</f>
        <v>Kif5a</v>
      </c>
      <c r="D3733" s="8"/>
      <c r="E3733" s="8">
        <v>116888</v>
      </c>
      <c r="F3733" s="8"/>
      <c r="G3733" s="15">
        <v>1.3115630011644601</v>
      </c>
      <c r="H3733" s="15">
        <v>1.3115630011644601</v>
      </c>
      <c r="I3733" s="15" t="s">
        <v>10</v>
      </c>
      <c r="J3733" s="15" t="s">
        <v>10</v>
      </c>
      <c r="K3733" s="15" t="s">
        <v>10</v>
      </c>
      <c r="L3733" s="15" t="s">
        <v>10</v>
      </c>
      <c r="M3733" s="15">
        <v>1.3115630011644601</v>
      </c>
      <c r="N3733" s="15">
        <v>1.3115630011644601</v>
      </c>
      <c r="O3733" s="15">
        <v>1.1001848559411707</v>
      </c>
      <c r="P3733" s="15">
        <v>1.1001848559411707</v>
      </c>
      <c r="Q3733" s="8"/>
      <c r="R3733" s="9" t="s">
        <v>3472</v>
      </c>
    </row>
    <row r="3734" spans="1:18" x14ac:dyDescent="0.25">
      <c r="A3734" s="6" t="str">
        <f>HYPERLINK("proteomic_fractions_linear_files/Yang_linear_img/61657921.jpg", "61657921")</f>
        <v>61657921</v>
      </c>
      <c r="B3734" s="7"/>
      <c r="C3734" s="6" t="str">
        <f>HYPERLINK("http://www.ncbi.nlm.nih.gov/protein/61657921","Kif5b")</f>
        <v>Kif5b</v>
      </c>
      <c r="D3734" s="8"/>
      <c r="E3734" s="8">
        <v>109421</v>
      </c>
      <c r="F3734" s="8"/>
      <c r="G3734" s="15">
        <v>1.4078245058370811</v>
      </c>
      <c r="H3734" s="15">
        <v>1.4078245058370811</v>
      </c>
      <c r="I3734" s="15">
        <v>1.1809323683038253</v>
      </c>
      <c r="J3734" s="15">
        <v>1.1809323683038253</v>
      </c>
      <c r="K3734" s="15">
        <v>1.4078245058370811</v>
      </c>
      <c r="L3734" s="15">
        <v>1.4078245058370811</v>
      </c>
      <c r="M3734" s="15">
        <v>1.4078245058370811</v>
      </c>
      <c r="N3734" s="15">
        <v>1.4078245058370811</v>
      </c>
      <c r="O3734" s="15">
        <v>1.1809323683038253</v>
      </c>
      <c r="P3734" s="15">
        <v>1.1809323683038253</v>
      </c>
      <c r="Q3734" s="8"/>
      <c r="R3734" s="9" t="s">
        <v>3473</v>
      </c>
    </row>
    <row r="3735" spans="1:18" x14ac:dyDescent="0.25">
      <c r="A3735" s="6" t="str">
        <f>HYPERLINK("proteomic_fractions_linear_files/Yang_linear_img/45433560.jpg", "45433560")</f>
        <v>45433560</v>
      </c>
      <c r="B3735" s="7"/>
      <c r="C3735" s="6" t="str">
        <f>HYPERLINK("http://www.ncbi.nlm.nih.gov/protein/45433560","Kif5c")</f>
        <v>Kif5c</v>
      </c>
      <c r="D3735" s="8"/>
      <c r="E3735" s="8">
        <v>109144</v>
      </c>
      <c r="F3735" s="8"/>
      <c r="G3735" s="15">
        <v>1.4078245058370811</v>
      </c>
      <c r="H3735" s="15">
        <v>1.4078245058370811</v>
      </c>
      <c r="I3735" s="15" t="s">
        <v>10</v>
      </c>
      <c r="J3735" s="15" t="s">
        <v>10</v>
      </c>
      <c r="K3735" s="15">
        <v>1.4078245058370811</v>
      </c>
      <c r="L3735" s="15">
        <v>1.4078245058370811</v>
      </c>
      <c r="M3735" s="15">
        <v>1.4078245058370811</v>
      </c>
      <c r="N3735" s="15">
        <v>1.4078245058370811</v>
      </c>
      <c r="O3735" s="15">
        <v>1.1809323683038253</v>
      </c>
      <c r="P3735" s="15">
        <v>1.1809323683038253</v>
      </c>
      <c r="Q3735" s="8"/>
      <c r="R3735" s="9" t="s">
        <v>3474</v>
      </c>
    </row>
    <row r="3736" spans="1:18" x14ac:dyDescent="0.25">
      <c r="A3736" s="6" t="str">
        <f>HYPERLINK("proteomic_fractions_linear_files/Yang_linear_img/254675236.jpg", "254675236")</f>
        <v>254675236</v>
      </c>
      <c r="B3736" s="7"/>
      <c r="C3736" s="6" t="str">
        <f>HYPERLINK("http://www.ncbi.nlm.nih.gov/protein/254675236","Kif9")</f>
        <v>Kif9</v>
      </c>
      <c r="D3736" s="8"/>
      <c r="E3736" s="8">
        <v>89767</v>
      </c>
      <c r="F3736" s="8"/>
      <c r="G3736" s="15" t="s">
        <v>10</v>
      </c>
      <c r="H3736" s="15" t="s">
        <v>10</v>
      </c>
      <c r="I3736" s="15" t="s">
        <v>10</v>
      </c>
      <c r="J3736" s="15" t="s">
        <v>10</v>
      </c>
      <c r="K3736" s="15">
        <v>1.0551997909176056</v>
      </c>
      <c r="L3736" s="15">
        <v>1.2200173757903496</v>
      </c>
      <c r="M3736" s="15" t="s">
        <v>10</v>
      </c>
      <c r="N3736" s="15" t="s">
        <v>10</v>
      </c>
      <c r="O3736" s="15">
        <v>1.0551997909176056</v>
      </c>
      <c r="P3736" s="15">
        <v>1.0551997909176056</v>
      </c>
      <c r="Q3736" s="8"/>
      <c r="R3736" s="9" t="s">
        <v>3475</v>
      </c>
    </row>
    <row r="3737" spans="1:18" x14ac:dyDescent="0.25">
      <c r="A3737" s="6" t="str">
        <f>HYPERLINK("proteomic_fractions_linear_files/Yang_linear_img/254675238.jpg", "254675238")</f>
        <v>254675238</v>
      </c>
      <c r="B3737" s="7"/>
      <c r="C3737" s="6" t="str">
        <f>HYPERLINK("http://www.ncbi.nlm.nih.gov/protein/254675238","Kif9")</f>
        <v>Kif9</v>
      </c>
      <c r="D3737" s="8"/>
      <c r="E3737" s="8">
        <v>91968</v>
      </c>
      <c r="F3737" s="8"/>
      <c r="G3737" s="15" t="s">
        <v>10</v>
      </c>
      <c r="H3737" s="15" t="s">
        <v>10</v>
      </c>
      <c r="I3737" s="15" t="s">
        <v>10</v>
      </c>
      <c r="J3737" s="15" t="s">
        <v>10</v>
      </c>
      <c r="K3737" s="15">
        <v>1.0322606650280925</v>
      </c>
      <c r="L3737" s="15">
        <v>1.193495258925342</v>
      </c>
      <c r="M3737" s="15" t="s">
        <v>10</v>
      </c>
      <c r="N3737" s="15" t="s">
        <v>10</v>
      </c>
      <c r="O3737" s="15">
        <v>1.0322606650280925</v>
      </c>
      <c r="P3737" s="15">
        <v>1.0322606650280925</v>
      </c>
      <c r="Q3737" s="8"/>
      <c r="R3737" s="9" t="s">
        <v>3476</v>
      </c>
    </row>
    <row r="3738" spans="1:18" x14ac:dyDescent="0.25">
      <c r="A3738" s="6" t="str">
        <f>HYPERLINK("proteomic_fractions_linear_files/Yang_linear_img/224967071.jpg", "224967071")</f>
        <v>224967071</v>
      </c>
      <c r="B3738" s="7"/>
      <c r="C3738" s="6" t="str">
        <f>HYPERLINK("http://www.ncbi.nlm.nih.gov/protein/224967071","Kifc3")</f>
        <v>Kifc3</v>
      </c>
      <c r="D3738" s="8"/>
      <c r="E3738" s="8">
        <v>92426</v>
      </c>
      <c r="F3738" s="8"/>
      <c r="G3738" s="15" t="s">
        <v>10</v>
      </c>
      <c r="H3738" s="15" t="s">
        <v>10</v>
      </c>
      <c r="I3738" s="15">
        <v>1.0322606650280925</v>
      </c>
      <c r="J3738" s="15">
        <v>1.0322606650280925</v>
      </c>
      <c r="K3738" s="15">
        <v>1.0322606650280925</v>
      </c>
      <c r="L3738" s="15">
        <v>1.0322606650280925</v>
      </c>
      <c r="M3738" s="15" t="s">
        <v>10</v>
      </c>
      <c r="N3738" s="15" t="s">
        <v>10</v>
      </c>
      <c r="O3738" s="15">
        <v>1.0322606650280925</v>
      </c>
      <c r="P3738" s="15">
        <v>1.0322606650280925</v>
      </c>
      <c r="Q3738" s="8"/>
      <c r="R3738" s="9" t="s">
        <v>3477</v>
      </c>
    </row>
    <row r="3739" spans="1:18" x14ac:dyDescent="0.25">
      <c r="A3739" s="6" t="str">
        <f>HYPERLINK("proteomic_fractions_linear_files/Yang_linear_img/224967073.jpg", "224967073")</f>
        <v>224967073</v>
      </c>
      <c r="B3739" s="7"/>
      <c r="C3739" s="6" t="str">
        <f>HYPERLINK("http://www.ncbi.nlm.nih.gov/protein/224967073","Kifc3")</f>
        <v>Kifc3</v>
      </c>
      <c r="D3739" s="8"/>
      <c r="E3739" s="8">
        <v>87351</v>
      </c>
      <c r="F3739" s="8"/>
      <c r="G3739" s="15" t="s">
        <v>10</v>
      </c>
      <c r="H3739" s="15" t="s">
        <v>10</v>
      </c>
      <c r="I3739" s="15">
        <v>1.0915859906044196</v>
      </c>
      <c r="J3739" s="15">
        <v>1.0915859906044196</v>
      </c>
      <c r="K3739" s="15">
        <v>1.0915859906044196</v>
      </c>
      <c r="L3739" s="15">
        <v>1.0915859906044196</v>
      </c>
      <c r="M3739" s="15" t="s">
        <v>10</v>
      </c>
      <c r="N3739" s="15" t="s">
        <v>10</v>
      </c>
      <c r="O3739" s="15">
        <v>1.0915859906044196</v>
      </c>
      <c r="P3739" s="15">
        <v>1.0915859906044196</v>
      </c>
      <c r="Q3739" s="8"/>
      <c r="R3739" s="9" t="s">
        <v>3478</v>
      </c>
    </row>
    <row r="3740" spans="1:18" x14ac:dyDescent="0.25">
      <c r="A3740" s="6" t="str">
        <f>HYPERLINK("proteomic_fractions_linear_files/Yang_linear_img/224967075.jpg", "224967075")</f>
        <v>224967075</v>
      </c>
      <c r="B3740" s="7"/>
      <c r="C3740" s="6" t="str">
        <f>HYPERLINK("http://www.ncbi.nlm.nih.gov/protein/224967075","Kifc3")</f>
        <v>Kifc3</v>
      </c>
      <c r="D3740" s="8"/>
      <c r="E3740" s="8">
        <v>77310</v>
      </c>
      <c r="F3740" s="8"/>
      <c r="G3740" s="15" t="s">
        <v>10</v>
      </c>
      <c r="H3740" s="15" t="s">
        <v>10</v>
      </c>
      <c r="I3740" s="15">
        <v>1.2333504049686299</v>
      </c>
      <c r="J3740" s="15">
        <v>1.2333504049686299</v>
      </c>
      <c r="K3740" s="15">
        <v>1.2333504049686299</v>
      </c>
      <c r="L3740" s="15">
        <v>1.4259943353393696</v>
      </c>
      <c r="M3740" s="15" t="s">
        <v>10</v>
      </c>
      <c r="N3740" s="15" t="s">
        <v>10</v>
      </c>
      <c r="O3740" s="15">
        <v>1.2333504049686299</v>
      </c>
      <c r="P3740" s="15">
        <v>1.2333504049686299</v>
      </c>
      <c r="Q3740" s="8"/>
      <c r="R3740" s="9" t="s">
        <v>3479</v>
      </c>
    </row>
    <row r="3741" spans="1:18" x14ac:dyDescent="0.25">
      <c r="A3741" s="6" t="str">
        <f>HYPERLINK("proteomic_fractions_linear_files/Yang_linear_img/33859684.jpg", "33859684")</f>
        <v>33859684</v>
      </c>
      <c r="B3741" s="7"/>
      <c r="C3741" s="6" t="str">
        <f>HYPERLINK("http://www.ncbi.nlm.nih.gov/protein/33859684","Kin")</f>
        <v>Kin</v>
      </c>
      <c r="D3741" s="8"/>
      <c r="E3741" s="8">
        <v>44591</v>
      </c>
      <c r="F3741" s="8"/>
      <c r="G3741" s="15" t="s">
        <v>10</v>
      </c>
      <c r="H3741" s="15" t="s">
        <v>10</v>
      </c>
      <c r="I3741" s="15" t="s">
        <v>10</v>
      </c>
      <c r="J3741" s="15" t="s">
        <v>10</v>
      </c>
      <c r="K3741" s="15">
        <v>0.98056864993256598</v>
      </c>
      <c r="L3741" s="15">
        <v>0.98056864993256598</v>
      </c>
      <c r="M3741" s="15" t="s">
        <v>10</v>
      </c>
      <c r="N3741" s="15" t="s">
        <v>10</v>
      </c>
      <c r="O3741" s="15" t="s">
        <v>10</v>
      </c>
      <c r="P3741" s="15" t="s">
        <v>10</v>
      </c>
      <c r="Q3741" s="8"/>
      <c r="R3741" s="9" t="s">
        <v>3480</v>
      </c>
    </row>
    <row r="3742" spans="1:18" x14ac:dyDescent="0.25">
      <c r="A3742" s="6" t="str">
        <f>HYPERLINK("proteomic_fractions_linear_files/Yang_linear_img/70608146.jpg", "70608146")</f>
        <v>70608146</v>
      </c>
      <c r="B3742" s="7"/>
      <c r="C3742" s="6" t="str">
        <f>HYPERLINK("http://www.ncbi.nlm.nih.gov/protein/70608146","Kirrel")</f>
        <v>Kirrel</v>
      </c>
      <c r="D3742" s="8"/>
      <c r="E3742" s="8">
        <v>81874</v>
      </c>
      <c r="F3742" s="8"/>
      <c r="G3742" s="15" t="s">
        <v>10</v>
      </c>
      <c r="H3742" s="15" t="s">
        <v>10</v>
      </c>
      <c r="I3742" s="15" t="s">
        <v>10</v>
      </c>
      <c r="J3742" s="15" t="s">
        <v>10</v>
      </c>
      <c r="K3742" s="15">
        <v>1.1581461119827379</v>
      </c>
      <c r="L3742" s="15">
        <v>1.5697759529892312</v>
      </c>
      <c r="M3742" s="15" t="s">
        <v>10</v>
      </c>
      <c r="N3742" s="15" t="s">
        <v>10</v>
      </c>
      <c r="O3742" s="15" t="s">
        <v>10</v>
      </c>
      <c r="P3742" s="15" t="s">
        <v>10</v>
      </c>
      <c r="Q3742" s="8"/>
      <c r="R3742" s="9" t="s">
        <v>3481</v>
      </c>
    </row>
    <row r="3743" spans="1:18" x14ac:dyDescent="0.25">
      <c r="A3743" s="6" t="str">
        <f>HYPERLINK("proteomic_fractions_linear_files/Yang_linear_img/170650719.jpg", "170650719")</f>
        <v>170650719</v>
      </c>
      <c r="B3743" s="7"/>
      <c r="C3743" s="6" t="str">
        <f>HYPERLINK("http://www.ncbi.nlm.nih.gov/protein/170650719","Kit")</f>
        <v>Kit</v>
      </c>
      <c r="D3743" s="8"/>
      <c r="E3743" s="8">
        <v>106247</v>
      </c>
      <c r="F3743" s="8"/>
      <c r="G3743" s="15" t="s">
        <v>10</v>
      </c>
      <c r="H3743" s="15" t="s">
        <v>10</v>
      </c>
      <c r="I3743" s="15">
        <v>0.35227666436909993</v>
      </c>
      <c r="J3743" s="15">
        <v>0.35227666436909993</v>
      </c>
      <c r="K3743" s="15">
        <v>0.38214451135115796</v>
      </c>
      <c r="L3743" s="15">
        <v>0.38214451135115796</v>
      </c>
      <c r="M3743" s="15">
        <v>0.35227666436909993</v>
      </c>
      <c r="N3743" s="15">
        <v>0.35227666436909993</v>
      </c>
      <c r="O3743" s="15">
        <v>0.32597525028750174</v>
      </c>
      <c r="P3743" s="15">
        <v>0.32597525028750174</v>
      </c>
      <c r="Q3743" s="8"/>
      <c r="R3743" s="9" t="s">
        <v>3482</v>
      </c>
    </row>
    <row r="3744" spans="1:18" x14ac:dyDescent="0.25">
      <c r="A3744" s="6" t="str">
        <f>HYPERLINK("proteomic_fractions_linear_files/Yang_linear_img/170650721.jpg", "170650721")</f>
        <v>170650721</v>
      </c>
      <c r="B3744" s="7"/>
      <c r="C3744" s="6" t="str">
        <f>HYPERLINK("http://www.ncbi.nlm.nih.gov/protein/170650721","Kit")</f>
        <v>Kit</v>
      </c>
      <c r="D3744" s="8"/>
      <c r="E3744" s="8">
        <v>106660</v>
      </c>
      <c r="F3744" s="8"/>
      <c r="G3744" s="15" t="s">
        <v>10</v>
      </c>
      <c r="H3744" s="15" t="s">
        <v>10</v>
      </c>
      <c r="I3744" s="15">
        <v>0.34898435909462233</v>
      </c>
      <c r="J3744" s="15">
        <v>0.34898435909462233</v>
      </c>
      <c r="K3744" s="15">
        <v>0.37857306731983875</v>
      </c>
      <c r="L3744" s="15">
        <v>0.37857306731983875</v>
      </c>
      <c r="M3744" s="15">
        <v>0.34898435909462233</v>
      </c>
      <c r="N3744" s="15">
        <v>0.34898435909462233</v>
      </c>
      <c r="O3744" s="15">
        <v>0.32292875262126342</v>
      </c>
      <c r="P3744" s="15">
        <v>0.32292875262126342</v>
      </c>
      <c r="Q3744" s="8"/>
      <c r="R3744" s="9" t="s">
        <v>3483</v>
      </c>
    </row>
    <row r="3745" spans="1:18" x14ac:dyDescent="0.25">
      <c r="A3745" s="6" t="str">
        <f>HYPERLINK("proteomic_fractions_linear_files/Yang_linear_img/227330584.jpg", "227330584")</f>
        <v>227330584</v>
      </c>
      <c r="B3745" s="7"/>
      <c r="C3745" s="6" t="str">
        <f>HYPERLINK("http://www.ncbi.nlm.nih.gov/protein/227330584","Kl")</f>
        <v>Kl</v>
      </c>
      <c r="D3745" s="8"/>
      <c r="E3745" s="8">
        <v>112491</v>
      </c>
      <c r="F3745" s="8"/>
      <c r="G3745" s="15">
        <v>0.33340470020646956</v>
      </c>
      <c r="H3745" s="15">
        <v>0.33340470020646956</v>
      </c>
      <c r="I3745" s="15">
        <v>0.21923946976140105</v>
      </c>
      <c r="J3745" s="15">
        <v>0.21923946976140105</v>
      </c>
      <c r="K3745" s="15">
        <v>0.23348444745915178</v>
      </c>
      <c r="L3745" s="15">
        <v>0.23348444745915178</v>
      </c>
      <c r="M3745" s="15">
        <v>0.21923946976140105</v>
      </c>
      <c r="N3745" s="15">
        <v>0.21923946976140105</v>
      </c>
      <c r="O3745" s="15">
        <v>0.19460484170248885</v>
      </c>
      <c r="P3745" s="15">
        <v>0.19460484170248885</v>
      </c>
      <c r="Q3745" s="8"/>
      <c r="R3745" s="9" t="s">
        <v>3484</v>
      </c>
    </row>
    <row r="3746" spans="1:18" x14ac:dyDescent="0.25">
      <c r="A3746" s="6" t="str">
        <f>HYPERLINK("proteomic_fractions_linear_files/Yang_linear_img/131412178.jpg", "131412178")</f>
        <v>131412178</v>
      </c>
      <c r="B3746" s="7"/>
      <c r="C3746" s="6" t="str">
        <f>HYPERLINK("http://www.ncbi.nlm.nih.gov/protein/131412178","Klc1")</f>
        <v>Klc1</v>
      </c>
      <c r="D3746" s="8"/>
      <c r="E3746" s="8">
        <v>69364</v>
      </c>
      <c r="F3746" s="8"/>
      <c r="G3746" s="15" t="s">
        <v>10</v>
      </c>
      <c r="H3746" s="15" t="s">
        <v>10</v>
      </c>
      <c r="I3746" s="15" t="s">
        <v>10</v>
      </c>
      <c r="J3746" s="15" t="s">
        <v>10</v>
      </c>
      <c r="K3746" s="15">
        <v>1.0642921774156846</v>
      </c>
      <c r="L3746" s="15">
        <v>1.0642921774156846</v>
      </c>
      <c r="M3746" s="15">
        <v>1.0642921774156846</v>
      </c>
      <c r="N3746" s="15">
        <v>1.0642921774156846</v>
      </c>
      <c r="O3746" s="15">
        <v>1.0642921774156846</v>
      </c>
      <c r="P3746" s="15">
        <v>1.0642921774156846</v>
      </c>
      <c r="Q3746" s="8"/>
      <c r="R3746" s="9" t="s">
        <v>3485</v>
      </c>
    </row>
    <row r="3747" spans="1:18" x14ac:dyDescent="0.25">
      <c r="A3747" s="6" t="str">
        <f>HYPERLINK("proteomic_fractions_linear_files/Yang_linear_img/131412198.jpg", "131412198")</f>
        <v>131412198</v>
      </c>
      <c r="B3747" s="7"/>
      <c r="C3747" s="6" t="str">
        <f>HYPERLINK("http://www.ncbi.nlm.nih.gov/protein/131412198","Klc1")</f>
        <v>Klc1</v>
      </c>
      <c r="D3747" s="8"/>
      <c r="E3747" s="8">
        <v>61499</v>
      </c>
      <c r="F3747" s="8"/>
      <c r="G3747" s="15" t="s">
        <v>10</v>
      </c>
      <c r="H3747" s="15" t="s">
        <v>10</v>
      </c>
      <c r="I3747" s="15" t="s">
        <v>10</v>
      </c>
      <c r="J3747" s="15" t="s">
        <v>10</v>
      </c>
      <c r="K3747" s="15">
        <v>1.2038714793718401</v>
      </c>
      <c r="L3747" s="15">
        <v>1.2038714793718401</v>
      </c>
      <c r="M3747" s="15">
        <v>1.2038714793718401</v>
      </c>
      <c r="N3747" s="15">
        <v>1.2038714793718401</v>
      </c>
      <c r="O3747" s="15">
        <v>1.2038714793718401</v>
      </c>
      <c r="P3747" s="15">
        <v>1.2038714793718401</v>
      </c>
      <c r="Q3747" s="8"/>
      <c r="R3747" s="9" t="s">
        <v>3486</v>
      </c>
    </row>
    <row r="3748" spans="1:18" x14ac:dyDescent="0.25">
      <c r="A3748" s="6" t="str">
        <f>HYPERLINK("proteomic_fractions_linear_files/Yang_linear_img/131412207.jpg", "131412207")</f>
        <v>131412207</v>
      </c>
      <c r="B3748" s="7"/>
      <c r="C3748" s="6" t="str">
        <f>HYPERLINK("http://www.ncbi.nlm.nih.gov/protein/131412207","Klc1")</f>
        <v>Klc1</v>
      </c>
      <c r="D3748" s="8"/>
      <c r="E3748" s="8">
        <v>68472</v>
      </c>
      <c r="F3748" s="8"/>
      <c r="G3748" s="15" t="s">
        <v>10</v>
      </c>
      <c r="H3748" s="15" t="s">
        <v>10</v>
      </c>
      <c r="I3748" s="15" t="s">
        <v>10</v>
      </c>
      <c r="J3748" s="15" t="s">
        <v>10</v>
      </c>
      <c r="K3748" s="15">
        <v>1.0799435329659153</v>
      </c>
      <c r="L3748" s="15">
        <v>1.0799435329659153</v>
      </c>
      <c r="M3748" s="15">
        <v>1.0799435329659153</v>
      </c>
      <c r="N3748" s="15">
        <v>1.0799435329659153</v>
      </c>
      <c r="O3748" s="15">
        <v>1.0799435329659153</v>
      </c>
      <c r="P3748" s="15">
        <v>1.0799435329659153</v>
      </c>
      <c r="Q3748" s="8"/>
      <c r="R3748" s="9" t="s">
        <v>3487</v>
      </c>
    </row>
    <row r="3749" spans="1:18" x14ac:dyDescent="0.25">
      <c r="A3749" s="6" t="str">
        <f>HYPERLINK("proteomic_fractions_linear_files/Yang_linear_img/133778983.jpg", "133778983")</f>
        <v>133778983</v>
      </c>
      <c r="B3749" s="7"/>
      <c r="C3749" s="6" t="str">
        <f>HYPERLINK("http://www.ncbi.nlm.nih.gov/protein/133778983","Klc2")</f>
        <v>Klc2</v>
      </c>
      <c r="D3749" s="8"/>
      <c r="E3749" s="8">
        <v>68289</v>
      </c>
      <c r="F3749" s="8"/>
      <c r="G3749" s="15" t="s">
        <v>10</v>
      </c>
      <c r="H3749" s="15" t="s">
        <v>10</v>
      </c>
      <c r="I3749" s="15">
        <v>1.0799435329659153</v>
      </c>
      <c r="J3749" s="15">
        <v>1.0799435329659153</v>
      </c>
      <c r="K3749" s="15">
        <v>1.222039095193292</v>
      </c>
      <c r="L3749" s="15">
        <v>1.222039095193292</v>
      </c>
      <c r="M3749" s="15">
        <v>1.222039095193292</v>
      </c>
      <c r="N3749" s="15">
        <v>1.0799435329659153</v>
      </c>
      <c r="O3749" s="15">
        <v>1.0799435329659153</v>
      </c>
      <c r="P3749" s="15">
        <v>1.0799435329659153</v>
      </c>
      <c r="Q3749" s="8"/>
      <c r="R3749" s="9" t="s">
        <v>3488</v>
      </c>
    </row>
    <row r="3750" spans="1:18" x14ac:dyDescent="0.25">
      <c r="A3750" s="6" t="str">
        <f>HYPERLINK("proteomic_fractions_linear_files/Yang_linear_img/22122725.jpg", "22122725")</f>
        <v>22122725</v>
      </c>
      <c r="B3750" s="7"/>
      <c r="C3750" s="6" t="str">
        <f>HYPERLINK("http://www.ncbi.nlm.nih.gov/protein/22122725","Klc3")</f>
        <v>Klc3</v>
      </c>
      <c r="D3750" s="8"/>
      <c r="E3750" s="8">
        <v>55875</v>
      </c>
      <c r="F3750" s="8"/>
      <c r="G3750" s="15" t="s">
        <v>10</v>
      </c>
      <c r="H3750" s="15" t="s">
        <v>10</v>
      </c>
      <c r="I3750" s="15" t="s">
        <v>10</v>
      </c>
      <c r="J3750" s="15" t="s">
        <v>10</v>
      </c>
      <c r="K3750" s="15">
        <v>1.3113600043157543</v>
      </c>
      <c r="L3750" s="15">
        <v>1.3113600043157543</v>
      </c>
      <c r="M3750" s="15">
        <v>1.0495215640284616</v>
      </c>
      <c r="N3750" s="15">
        <v>1.0495215640284616</v>
      </c>
      <c r="O3750" s="15">
        <v>1.3113600043157543</v>
      </c>
      <c r="P3750" s="15">
        <v>1.3113600043157543</v>
      </c>
      <c r="Q3750" s="8"/>
      <c r="R3750" s="9" t="s">
        <v>3489</v>
      </c>
    </row>
    <row r="3751" spans="1:18" x14ac:dyDescent="0.25">
      <c r="A3751" s="6" t="str">
        <f>HYPERLINK("proteomic_fractions_linear_files/Yang_linear_img/13386370.jpg", "13386370")</f>
        <v>13386370</v>
      </c>
      <c r="B3751" s="7"/>
      <c r="C3751" s="6" t="str">
        <f>HYPERLINK("http://www.ncbi.nlm.nih.gov/protein/13386370","Klc4")</f>
        <v>Klc4</v>
      </c>
      <c r="D3751" s="8"/>
      <c r="E3751" s="8">
        <v>68482</v>
      </c>
      <c r="F3751" s="8"/>
      <c r="G3751" s="15" t="s">
        <v>10</v>
      </c>
      <c r="H3751" s="15" t="s">
        <v>10</v>
      </c>
      <c r="I3751" s="15">
        <v>1.0799435329659153</v>
      </c>
      <c r="J3751" s="15">
        <v>1.0799435329659153</v>
      </c>
      <c r="K3751" s="15">
        <v>1.0799435329659153</v>
      </c>
      <c r="L3751" s="15">
        <v>1.0799435329659153</v>
      </c>
      <c r="M3751" s="15">
        <v>1.0799435329659153</v>
      </c>
      <c r="N3751" s="15">
        <v>1.0799435329659153</v>
      </c>
      <c r="O3751" s="15">
        <v>1.0799435329659153</v>
      </c>
      <c r="P3751" s="15">
        <v>1.0799435329659153</v>
      </c>
      <c r="Q3751" s="8"/>
      <c r="R3751" s="9" t="s">
        <v>3490</v>
      </c>
    </row>
    <row r="3752" spans="1:18" x14ac:dyDescent="0.25">
      <c r="A3752" s="6" t="str">
        <f>HYPERLINK("proteomic_fractions_linear_files/Yang_linear_img/58037463.jpg", "58037463")</f>
        <v>58037463</v>
      </c>
      <c r="B3752" s="7"/>
      <c r="C3752" s="6" t="str">
        <f>HYPERLINK("http://www.ncbi.nlm.nih.gov/protein/58037463","Klhdc10")</f>
        <v>Klhdc10</v>
      </c>
      <c r="D3752" s="8"/>
      <c r="E3752" s="8">
        <v>48881</v>
      </c>
      <c r="F3752" s="8"/>
      <c r="G3752" s="15" t="s">
        <v>10</v>
      </c>
      <c r="H3752" s="15" t="s">
        <v>10</v>
      </c>
      <c r="I3752" s="15" t="s">
        <v>10</v>
      </c>
      <c r="J3752" s="15" t="s">
        <v>10</v>
      </c>
      <c r="K3752" s="15" t="s">
        <v>10</v>
      </c>
      <c r="L3752" s="15" t="s">
        <v>10</v>
      </c>
      <c r="M3752" s="15">
        <v>0.82667996333107641</v>
      </c>
      <c r="N3752" s="15">
        <v>0.82667996333107641</v>
      </c>
      <c r="O3752" s="15">
        <v>2.2408482412475808</v>
      </c>
      <c r="P3752" s="15">
        <v>2.2408482412475808</v>
      </c>
      <c r="Q3752" s="8"/>
      <c r="R3752" s="9" t="s">
        <v>3491</v>
      </c>
    </row>
    <row r="3753" spans="1:18" x14ac:dyDescent="0.25">
      <c r="A3753" s="6" t="str">
        <f>HYPERLINK("proteomic_fractions_linear_files/Yang_linear_img/226246638.jpg", "226246638")</f>
        <v>226246638</v>
      </c>
      <c r="B3753" s="7"/>
      <c r="C3753" s="6" t="str">
        <f>HYPERLINK("http://www.ncbi.nlm.nih.gov/protein/226246638","Klhdc2")</f>
        <v>Klhdc2</v>
      </c>
      <c r="D3753" s="8"/>
      <c r="E3753" s="8">
        <v>45778</v>
      </c>
      <c r="F3753" s="8"/>
      <c r="G3753" s="15" t="s">
        <v>10</v>
      </c>
      <c r="H3753" s="15" t="s">
        <v>10</v>
      </c>
      <c r="I3753" s="15" t="s">
        <v>10</v>
      </c>
      <c r="J3753" s="15" t="s">
        <v>10</v>
      </c>
      <c r="K3753" s="15" t="s">
        <v>10</v>
      </c>
      <c r="L3753" s="15" t="s">
        <v>10</v>
      </c>
      <c r="M3753" s="15" t="s">
        <v>10</v>
      </c>
      <c r="N3753" s="15" t="s">
        <v>10</v>
      </c>
      <c r="O3753" s="15">
        <v>0.88059387398310318</v>
      </c>
      <c r="P3753" s="15">
        <v>0.88059387398310318</v>
      </c>
      <c r="Q3753" s="8"/>
      <c r="R3753" s="9" t="s">
        <v>3492</v>
      </c>
    </row>
    <row r="3754" spans="1:18" x14ac:dyDescent="0.25">
      <c r="A3754" s="6" t="str">
        <f>HYPERLINK("proteomic_fractions_linear_files/Yang_linear_img/255683384.jpg", "255683384")</f>
        <v>255683384</v>
      </c>
      <c r="B3754" s="7"/>
      <c r="C3754" s="6" t="str">
        <f>HYPERLINK("http://www.ncbi.nlm.nih.gov/protein/255683384","Klhdc4")</f>
        <v>Klhdc4</v>
      </c>
      <c r="D3754" s="8"/>
      <c r="E3754" s="8">
        <v>64715</v>
      </c>
      <c r="F3754" s="8"/>
      <c r="G3754" s="15" t="s">
        <v>10</v>
      </c>
      <c r="H3754" s="15" t="s">
        <v>10</v>
      </c>
      <c r="I3754" s="15">
        <v>92.201538461538462</v>
      </c>
      <c r="J3754" s="15">
        <v>92.201538461538462</v>
      </c>
      <c r="K3754" s="15">
        <v>1.2784408995868286</v>
      </c>
      <c r="L3754" s="15">
        <v>1.2784408995868286</v>
      </c>
      <c r="M3754" s="15">
        <v>1.2784408995868286</v>
      </c>
      <c r="N3754" s="15">
        <v>1.2784408995868286</v>
      </c>
      <c r="O3754" s="15" t="s">
        <v>10</v>
      </c>
      <c r="P3754" s="15" t="s">
        <v>10</v>
      </c>
      <c r="Q3754" s="8"/>
      <c r="R3754" s="9" t="s">
        <v>3493</v>
      </c>
    </row>
    <row r="3755" spans="1:18" x14ac:dyDescent="0.25">
      <c r="A3755" s="6" t="str">
        <f>HYPERLINK("proteomic_fractions_linear_files/Yang_linear_img/237513007.jpg", "237513007")</f>
        <v>237513007</v>
      </c>
      <c r="B3755" s="7"/>
      <c r="C3755" s="6" t="str">
        <f>HYPERLINK("http://www.ncbi.nlm.nih.gov/protein/237513007","Klhdc7b")</f>
        <v>Klhdc7b</v>
      </c>
      <c r="D3755" s="8"/>
      <c r="E3755" s="8">
        <v>66475</v>
      </c>
      <c r="F3755" s="8"/>
      <c r="G3755" s="15" t="s">
        <v>10</v>
      </c>
      <c r="H3755" s="15" t="s">
        <v>10</v>
      </c>
      <c r="I3755" s="15">
        <v>0.52353600803750278</v>
      </c>
      <c r="J3755" s="15">
        <v>0.52353600803750278</v>
      </c>
      <c r="K3755" s="15" t="s">
        <v>10</v>
      </c>
      <c r="L3755" s="15" t="s">
        <v>10</v>
      </c>
      <c r="M3755" s="15">
        <v>0.52353600803750278</v>
      </c>
      <c r="N3755" s="15">
        <v>0.52353600803750278</v>
      </c>
      <c r="O3755" s="15" t="s">
        <v>10</v>
      </c>
      <c r="P3755" s="15" t="s">
        <v>10</v>
      </c>
      <c r="Q3755" s="8"/>
      <c r="R3755" s="9" t="s">
        <v>3494</v>
      </c>
    </row>
    <row r="3756" spans="1:18" x14ac:dyDescent="0.25">
      <c r="A3756" s="6" t="str">
        <f>HYPERLINK("proteomic_fractions_linear_files/Yang_linear_img/84794655.jpg", "84794655")</f>
        <v>84794655</v>
      </c>
      <c r="B3756" s="7"/>
      <c r="C3756" s="6" t="str">
        <f>HYPERLINK("http://www.ncbi.nlm.nih.gov/protein/84794655","Klhl15")</f>
        <v>Klhl15</v>
      </c>
      <c r="D3756" s="8"/>
      <c r="E3756" s="8">
        <v>69614</v>
      </c>
      <c r="F3756" s="8"/>
      <c r="G3756" s="15" t="s">
        <v>10</v>
      </c>
      <c r="H3756" s="15" t="s">
        <v>10</v>
      </c>
      <c r="I3756" s="15" t="s">
        <v>10</v>
      </c>
      <c r="J3756" s="15" t="s">
        <v>10</v>
      </c>
      <c r="K3756" s="15">
        <v>2.6680833091420051</v>
      </c>
      <c r="L3756" s="15">
        <v>2.6680833091420051</v>
      </c>
      <c r="M3756" s="15" t="s">
        <v>10</v>
      </c>
      <c r="N3756" s="15" t="s">
        <v>10</v>
      </c>
      <c r="O3756" s="15" t="s">
        <v>10</v>
      </c>
      <c r="P3756" s="15" t="s">
        <v>10</v>
      </c>
      <c r="Q3756" s="8"/>
      <c r="R3756" s="9" t="s">
        <v>3495</v>
      </c>
    </row>
    <row r="3757" spans="1:18" x14ac:dyDescent="0.25">
      <c r="A3757" s="6" t="str">
        <f>HYPERLINK("proteomic_fractions_linear_files/Yang_linear_img/159032012.jpg", "159032012")</f>
        <v>159032012</v>
      </c>
      <c r="B3757" s="7"/>
      <c r="C3757" s="6" t="str">
        <f>HYPERLINK("http://www.ncbi.nlm.nih.gov/protein/159032012","Klhl22")</f>
        <v>Klhl22</v>
      </c>
      <c r="D3757" s="8"/>
      <c r="E3757" s="8">
        <v>71556</v>
      </c>
      <c r="F3757" s="8"/>
      <c r="G3757" s="15" t="s">
        <v>10</v>
      </c>
      <c r="H3757" s="15" t="s">
        <v>10</v>
      </c>
      <c r="I3757" s="15">
        <v>1.0199466700233646</v>
      </c>
      <c r="J3757" s="15">
        <v>1.0199466700233646</v>
      </c>
      <c r="K3757" s="15">
        <v>1.1541480343492203</v>
      </c>
      <c r="L3757" s="15">
        <v>1.1541480343492203</v>
      </c>
      <c r="M3757" s="15" t="s">
        <v>10</v>
      </c>
      <c r="N3757" s="15" t="s">
        <v>10</v>
      </c>
      <c r="O3757" s="15">
        <v>1.0199466700233646</v>
      </c>
      <c r="P3757" s="15">
        <v>1.0199466700233646</v>
      </c>
      <c r="Q3757" s="8"/>
      <c r="R3757" s="9" t="s">
        <v>3496</v>
      </c>
    </row>
    <row r="3758" spans="1:18" x14ac:dyDescent="0.25">
      <c r="A3758" s="6" t="str">
        <f>HYPERLINK("proteomic_fractions_linear_files/Yang_linear_img/109288014.jpg", "109288014")</f>
        <v>109288014</v>
      </c>
      <c r="B3758" s="7"/>
      <c r="C3758" s="6" t="str">
        <f>HYPERLINK("http://www.ncbi.nlm.nih.gov/protein/109288014","Kntc1")</f>
        <v>Kntc1</v>
      </c>
      <c r="D3758" s="8"/>
      <c r="E3758" s="8">
        <v>250228</v>
      </c>
      <c r="F3758" s="8"/>
      <c r="G3758" s="15" t="s">
        <v>10</v>
      </c>
      <c r="H3758" s="15" t="s">
        <v>10</v>
      </c>
      <c r="I3758" s="15">
        <v>0.93344339051139624</v>
      </c>
      <c r="J3758" s="15">
        <v>0.93344339051139624</v>
      </c>
      <c r="K3758" s="15">
        <v>0.93344339051139624</v>
      </c>
      <c r="L3758" s="15">
        <v>0.93344339051139624</v>
      </c>
      <c r="M3758" s="15">
        <v>0.93344339051139624</v>
      </c>
      <c r="N3758" s="15">
        <v>0.93344339051139624</v>
      </c>
      <c r="O3758" s="15">
        <v>0.93344339051139624</v>
      </c>
      <c r="P3758" s="15">
        <v>0.93344339051139624</v>
      </c>
      <c r="Q3758" s="8"/>
      <c r="R3758" s="9" t="s">
        <v>3497</v>
      </c>
    </row>
    <row r="3759" spans="1:18" x14ac:dyDescent="0.25">
      <c r="A3759" s="6" t="str">
        <f>HYPERLINK("proteomic_fractions_linear_files/Yang_linear_img/31543047.jpg", "31543047")</f>
        <v>31543047</v>
      </c>
      <c r="B3759" s="7"/>
      <c r="C3759" s="6" t="str">
        <f>HYPERLINK("http://www.ncbi.nlm.nih.gov/protein/31543047","Kpna1")</f>
        <v>Kpna1</v>
      </c>
      <c r="D3759" s="8"/>
      <c r="E3759" s="8">
        <v>60052</v>
      </c>
      <c r="F3759" s="8"/>
      <c r="G3759" s="15" t="s">
        <v>10</v>
      </c>
      <c r="H3759" s="15" t="s">
        <v>10</v>
      </c>
      <c r="I3759" s="15">
        <v>1.0908877221757389</v>
      </c>
      <c r="J3759" s="15">
        <v>1.0908877221757389</v>
      </c>
      <c r="K3759" s="15">
        <v>1.2239360040280374</v>
      </c>
      <c r="L3759" s="15">
        <v>1.2239360040280374</v>
      </c>
      <c r="M3759" s="15" t="s">
        <v>10</v>
      </c>
      <c r="N3759" s="15" t="s">
        <v>10</v>
      </c>
      <c r="O3759" s="15" t="s">
        <v>10</v>
      </c>
      <c r="P3759" s="15" t="s">
        <v>10</v>
      </c>
      <c r="Q3759" s="8"/>
      <c r="R3759" s="9" t="s">
        <v>3498</v>
      </c>
    </row>
    <row r="3760" spans="1:18" x14ac:dyDescent="0.25">
      <c r="A3760" s="6" t="str">
        <f>HYPERLINK("proteomic_fractions_linear_files/Yang_linear_img/6754474.jpg", "6754474")</f>
        <v>6754474</v>
      </c>
      <c r="B3760" s="7"/>
      <c r="C3760" s="6" t="str">
        <f>HYPERLINK("http://www.ncbi.nlm.nih.gov/protein/6754474","Kpna2")</f>
        <v>Kpna2</v>
      </c>
      <c r="D3760" s="8"/>
      <c r="E3760" s="8">
        <v>57797</v>
      </c>
      <c r="F3760" s="8"/>
      <c r="G3760" s="15">
        <v>1.2661406938221076</v>
      </c>
      <c r="H3760" s="15">
        <v>1.2661406938221076</v>
      </c>
      <c r="I3760" s="15">
        <v>1.0133311652688595</v>
      </c>
      <c r="J3760" s="15">
        <v>1.0133311652688595</v>
      </c>
      <c r="K3760" s="15">
        <v>1.0133311652688595</v>
      </c>
      <c r="L3760" s="15">
        <v>1.0133311652688595</v>
      </c>
      <c r="M3760" s="15">
        <v>1.0133311652688595</v>
      </c>
      <c r="N3760" s="15">
        <v>1.0133311652688595</v>
      </c>
      <c r="O3760" s="15">
        <v>0.91587189017243242</v>
      </c>
      <c r="P3760" s="15">
        <v>0.91587189017243242</v>
      </c>
      <c r="Q3760" s="8"/>
      <c r="R3760" s="9" t="s">
        <v>3498</v>
      </c>
    </row>
    <row r="3761" spans="1:18" x14ac:dyDescent="0.25">
      <c r="A3761" s="6" t="str">
        <f>HYPERLINK("proteomic_fractions_linear_files/Yang_linear_img/6680596.jpg", "6680596")</f>
        <v>6680596</v>
      </c>
      <c r="B3761" s="7"/>
      <c r="C3761" s="6" t="str">
        <f>HYPERLINK("http://www.ncbi.nlm.nih.gov/protein/6680596","Kpna3")</f>
        <v>Kpna3</v>
      </c>
      <c r="D3761" s="8"/>
      <c r="E3761" s="8">
        <v>57642</v>
      </c>
      <c r="F3761" s="8"/>
      <c r="G3761" s="15">
        <v>1.2661406938221076</v>
      </c>
      <c r="H3761" s="15">
        <v>1.2661406938221076</v>
      </c>
      <c r="I3761" s="15">
        <v>1.0133311652688595</v>
      </c>
      <c r="J3761" s="15">
        <v>1.0133311652688595</v>
      </c>
      <c r="K3761" s="15">
        <v>1.0133311652688595</v>
      </c>
      <c r="L3761" s="15">
        <v>1.0133311652688595</v>
      </c>
      <c r="M3761" s="15">
        <v>1.0133311652688595</v>
      </c>
      <c r="N3761" s="15">
        <v>1.0133311652688595</v>
      </c>
      <c r="O3761" s="15">
        <v>0.91587189017243242</v>
      </c>
      <c r="P3761" s="15">
        <v>0.91587189017243242</v>
      </c>
      <c r="Q3761" s="8"/>
      <c r="R3761" s="9" t="s">
        <v>3499</v>
      </c>
    </row>
    <row r="3762" spans="1:18" x14ac:dyDescent="0.25">
      <c r="A3762" s="6" t="str">
        <f>HYPERLINK("proteomic_fractions_linear_files/Yang_linear_img/6680598.jpg", "6680598")</f>
        <v>6680598</v>
      </c>
      <c r="B3762" s="7"/>
      <c r="C3762" s="6" t="str">
        <f>HYPERLINK("http://www.ncbi.nlm.nih.gov/protein/6680598","Kpna4")</f>
        <v>Kpna4</v>
      </c>
      <c r="D3762" s="8"/>
      <c r="E3762" s="8">
        <v>57792</v>
      </c>
      <c r="F3762" s="8"/>
      <c r="G3762" s="15">
        <v>1.2661406938221076</v>
      </c>
      <c r="H3762" s="15">
        <v>1.2661406938221076</v>
      </c>
      <c r="I3762" s="15">
        <v>1.0133311652688595</v>
      </c>
      <c r="J3762" s="15">
        <v>1.0133311652688595</v>
      </c>
      <c r="K3762" s="15">
        <v>1.0133311652688595</v>
      </c>
      <c r="L3762" s="15">
        <v>1.0133311652688595</v>
      </c>
      <c r="M3762" s="15">
        <v>1.0133311652688595</v>
      </c>
      <c r="N3762" s="15">
        <v>1.0133311652688595</v>
      </c>
      <c r="O3762" s="15">
        <v>0.91587189017243242</v>
      </c>
      <c r="P3762" s="15">
        <v>0.91587189017243242</v>
      </c>
      <c r="Q3762" s="8"/>
      <c r="R3762" s="9" t="s">
        <v>3499</v>
      </c>
    </row>
    <row r="3763" spans="1:18" x14ac:dyDescent="0.25">
      <c r="A3763" s="6" t="str">
        <f>HYPERLINK("proteomic_fractions_linear_files/Yang_linear_img/227116300.jpg", "227116300")</f>
        <v>227116300</v>
      </c>
      <c r="B3763" s="7"/>
      <c r="C3763" s="6" t="str">
        <f>HYPERLINK("http://www.ncbi.nlm.nih.gov/protein/227116300","Kpna6")</f>
        <v>Kpna6</v>
      </c>
      <c r="D3763" s="8"/>
      <c r="E3763" s="8">
        <v>59834</v>
      </c>
      <c r="F3763" s="8"/>
      <c r="G3763" s="15" t="s">
        <v>10</v>
      </c>
      <c r="H3763" s="15" t="s">
        <v>10</v>
      </c>
      <c r="I3763" s="15">
        <v>1.0908877221757389</v>
      </c>
      <c r="J3763" s="15">
        <v>1.0908877221757389</v>
      </c>
      <c r="K3763" s="15">
        <v>1.2239360040280374</v>
      </c>
      <c r="L3763" s="15">
        <v>1.2239360040280374</v>
      </c>
      <c r="M3763" s="15" t="s">
        <v>10</v>
      </c>
      <c r="N3763" s="15" t="s">
        <v>10</v>
      </c>
      <c r="O3763" s="15">
        <v>0.88534282716668466</v>
      </c>
      <c r="P3763" s="15">
        <v>0.88534282716668466</v>
      </c>
      <c r="Q3763" s="8"/>
      <c r="R3763" s="9" t="s">
        <v>3500</v>
      </c>
    </row>
    <row r="3764" spans="1:18" x14ac:dyDescent="0.25">
      <c r="A3764" s="6" t="str">
        <f>HYPERLINK("proteomic_fractions_linear_files/Yang_linear_img/88014720.jpg", "88014720")</f>
        <v>88014720</v>
      </c>
      <c r="B3764" s="7"/>
      <c r="C3764" s="6" t="str">
        <f>HYPERLINK("http://www.ncbi.nlm.nih.gov/protein/88014720","Kpnb1")</f>
        <v>Kpnb1</v>
      </c>
      <c r="D3764" s="8"/>
      <c r="E3764" s="8">
        <v>97054</v>
      </c>
      <c r="F3764" s="8"/>
      <c r="G3764" s="15">
        <v>1.1319748847539326</v>
      </c>
      <c r="H3764" s="15">
        <v>1.1319748847539326</v>
      </c>
      <c r="I3764" s="15">
        <v>0.97905135239777841</v>
      </c>
      <c r="J3764" s="15">
        <v>0.97905135239777841</v>
      </c>
      <c r="K3764" s="15">
        <v>1.1319748847539326</v>
      </c>
      <c r="L3764" s="15">
        <v>1.1319748847539326</v>
      </c>
      <c r="M3764" s="15">
        <v>0.97905135239777841</v>
      </c>
      <c r="N3764" s="15">
        <v>0.97905135239777841</v>
      </c>
      <c r="O3764" s="15">
        <v>0.97905135239777841</v>
      </c>
      <c r="P3764" s="15">
        <v>0.97905135239777841</v>
      </c>
      <c r="Q3764" s="8"/>
      <c r="R3764" s="9" t="s">
        <v>3501</v>
      </c>
    </row>
    <row r="3765" spans="1:18" x14ac:dyDescent="0.25">
      <c r="A3765" s="6" t="str">
        <f>HYPERLINK("proteomic_fractions_linear_files/Yang_linear_img/228480267.jpg", "228480267")</f>
        <v>228480267</v>
      </c>
      <c r="B3765" s="7"/>
      <c r="C3765" s="6" t="str">
        <f>HYPERLINK("http://www.ncbi.nlm.nih.gov/protein/228480267","Kptn")</f>
        <v>Kptn</v>
      </c>
      <c r="D3765" s="8"/>
      <c r="E3765" s="8">
        <v>47398</v>
      </c>
      <c r="F3765" s="8"/>
      <c r="G3765" s="15" t="s">
        <v>10</v>
      </c>
      <c r="H3765" s="15" t="s">
        <v>10</v>
      </c>
      <c r="I3765" s="15" t="s">
        <v>10</v>
      </c>
      <c r="J3765" s="15" t="s">
        <v>10</v>
      </c>
      <c r="K3765" s="15" t="s">
        <v>10</v>
      </c>
      <c r="L3765" s="15" t="s">
        <v>10</v>
      </c>
      <c r="M3765" s="15" t="s">
        <v>10</v>
      </c>
      <c r="N3765" s="15" t="s">
        <v>10</v>
      </c>
      <c r="O3765" s="15">
        <v>0.93884232440352056</v>
      </c>
      <c r="P3765" s="15">
        <v>0.93884232440352056</v>
      </c>
      <c r="Q3765" s="8"/>
      <c r="R3765" s="9" t="s">
        <v>3502</v>
      </c>
    </row>
    <row r="3766" spans="1:18" x14ac:dyDescent="0.25">
      <c r="A3766" s="6" t="str">
        <f>HYPERLINK("proteomic_fractions_linear_files/Yang_linear_img/266458391.jpg", "266458391")</f>
        <v>266458391</v>
      </c>
      <c r="B3766" s="7"/>
      <c r="C3766" s="6" t="str">
        <f>HYPERLINK("http://www.ncbi.nlm.nih.gov/protein/266458391","Kras")</f>
        <v>Kras</v>
      </c>
      <c r="D3766" s="8"/>
      <c r="E3766" s="8">
        <v>21351</v>
      </c>
      <c r="F3766" s="8"/>
      <c r="G3766" s="15">
        <v>1.3294386332229553</v>
      </c>
      <c r="H3766" s="15">
        <v>1.3294386332229553</v>
      </c>
      <c r="I3766" s="15">
        <v>0.92862618228739402</v>
      </c>
      <c r="J3766" s="15">
        <v>0.92862618228739402</v>
      </c>
      <c r="K3766" s="15">
        <v>0.92862618228739402</v>
      </c>
      <c r="L3766" s="15">
        <v>0.92862618228739402</v>
      </c>
      <c r="M3766" s="15">
        <v>0.98083053269791776</v>
      </c>
      <c r="N3766" s="15">
        <v>0.98083053269791776</v>
      </c>
      <c r="O3766" s="15">
        <v>0.92862618228739402</v>
      </c>
      <c r="P3766" s="15">
        <v>0.92862618228739402</v>
      </c>
      <c r="Q3766" s="8"/>
      <c r="R3766" s="9" t="s">
        <v>3503</v>
      </c>
    </row>
    <row r="3767" spans="1:18" x14ac:dyDescent="0.25">
      <c r="A3767" s="6" t="str">
        <f>HYPERLINK("proteomic_fractions_linear_files/Yang_linear_img/282847448.jpg", "282847448")</f>
        <v>282847448</v>
      </c>
      <c r="B3767" s="7"/>
      <c r="C3767" s="6" t="str">
        <f>HYPERLINK("http://www.ncbi.nlm.nih.gov/protein/282847448","Krit1")</f>
        <v>Krit1</v>
      </c>
      <c r="D3767" s="8"/>
      <c r="E3767" s="8">
        <v>79375</v>
      </c>
      <c r="F3767" s="8"/>
      <c r="G3767" s="15" t="s">
        <v>10</v>
      </c>
      <c r="H3767" s="15" t="s">
        <v>10</v>
      </c>
      <c r="I3767" s="15" t="s">
        <v>10</v>
      </c>
      <c r="J3767" s="15" t="s">
        <v>10</v>
      </c>
      <c r="K3767" s="15">
        <v>1.0518817528246058</v>
      </c>
      <c r="L3767" s="15">
        <v>1.0518817528246058</v>
      </c>
      <c r="M3767" s="15">
        <v>1.0518817528246058</v>
      </c>
      <c r="N3767" s="15">
        <v>1.0518817528246058</v>
      </c>
      <c r="O3767" s="15" t="s">
        <v>10</v>
      </c>
      <c r="P3767" s="15" t="s">
        <v>10</v>
      </c>
      <c r="Q3767" s="8"/>
      <c r="R3767" s="9" t="s">
        <v>3504</v>
      </c>
    </row>
    <row r="3768" spans="1:18" x14ac:dyDescent="0.25">
      <c r="A3768" s="6" t="str">
        <f>HYPERLINK("proteomic_fractions_linear_files/Yang_linear_img/282847450.jpg", "282847450")</f>
        <v>282847450</v>
      </c>
      <c r="B3768" s="7"/>
      <c r="C3768" s="6" t="str">
        <f>HYPERLINK("http://www.ncbi.nlm.nih.gov/protein/282847450","Krit1")</f>
        <v>Krit1</v>
      </c>
      <c r="D3768" s="8"/>
      <c r="E3768" s="8">
        <v>83851</v>
      </c>
      <c r="F3768" s="8"/>
      <c r="G3768" s="15" t="s">
        <v>10</v>
      </c>
      <c r="H3768" s="15" t="s">
        <v>10</v>
      </c>
      <c r="I3768" s="15" t="s">
        <v>10</v>
      </c>
      <c r="J3768" s="15" t="s">
        <v>10</v>
      </c>
      <c r="K3768" s="15">
        <v>0.98926974372790311</v>
      </c>
      <c r="L3768" s="15">
        <v>0.98926974372790311</v>
      </c>
      <c r="M3768" s="15">
        <v>0.98926974372790311</v>
      </c>
      <c r="N3768" s="15">
        <v>0.98926974372790311</v>
      </c>
      <c r="O3768" s="15" t="s">
        <v>10</v>
      </c>
      <c r="P3768" s="15" t="s">
        <v>10</v>
      </c>
      <c r="Q3768" s="8"/>
      <c r="R3768" s="9" t="s">
        <v>3505</v>
      </c>
    </row>
    <row r="3769" spans="1:18" x14ac:dyDescent="0.25">
      <c r="A3769" s="6" t="str">
        <f>HYPERLINK("proteomic_fractions_linear_files/Yang_linear_img/226442952.jpg", "226442952")</f>
        <v>226442952</v>
      </c>
      <c r="B3769" s="7"/>
      <c r="C3769" s="6" t="str">
        <f>HYPERLINK("http://www.ncbi.nlm.nih.gov/protein/226442952","Krr1")</f>
        <v>Krr1</v>
      </c>
      <c r="D3769" s="8"/>
      <c r="E3769" s="8">
        <v>43407</v>
      </c>
      <c r="F3769" s="8"/>
      <c r="G3769" s="15">
        <v>1.0261764941154761</v>
      </c>
      <c r="H3769" s="15">
        <v>1.0261764941154761</v>
      </c>
      <c r="I3769" s="15" t="s">
        <v>10</v>
      </c>
      <c r="J3769" s="15" t="s">
        <v>10</v>
      </c>
      <c r="K3769" s="15">
        <v>1.123022688009657</v>
      </c>
      <c r="L3769" s="15">
        <v>1.123022688009657</v>
      </c>
      <c r="M3769" s="15" t="s">
        <v>10</v>
      </c>
      <c r="N3769" s="15" t="s">
        <v>10</v>
      </c>
      <c r="O3769" s="15" t="s">
        <v>10</v>
      </c>
      <c r="P3769" s="15" t="s">
        <v>10</v>
      </c>
      <c r="Q3769" s="8"/>
      <c r="R3769" s="9" t="s">
        <v>3506</v>
      </c>
    </row>
    <row r="3770" spans="1:18" x14ac:dyDescent="0.25">
      <c r="A3770" s="6" t="str">
        <f>HYPERLINK("proteomic_fractions_linear_files/Yang_linear_img/20270210.jpg", "20270210")</f>
        <v>20270210</v>
      </c>
      <c r="B3770" s="7"/>
      <c r="C3770" s="6" t="str">
        <f>HYPERLINK("http://www.ncbi.nlm.nih.gov/protein/20270210","Kti12")</f>
        <v>Kti12</v>
      </c>
      <c r="D3770" s="8"/>
      <c r="E3770" s="8">
        <v>38314</v>
      </c>
      <c r="F3770" s="8"/>
      <c r="G3770" s="15" t="s">
        <v>10</v>
      </c>
      <c r="H3770" s="15" t="s">
        <v>10</v>
      </c>
      <c r="I3770" s="15" t="s">
        <v>10</v>
      </c>
      <c r="J3770" s="15" t="s">
        <v>10</v>
      </c>
      <c r="K3770" s="15" t="s">
        <v>10</v>
      </c>
      <c r="L3770" s="15" t="s">
        <v>10</v>
      </c>
      <c r="M3770" s="15" t="s">
        <v>10</v>
      </c>
      <c r="N3770" s="15" t="s">
        <v>10</v>
      </c>
      <c r="O3770" s="15">
        <v>0.90929938238092589</v>
      </c>
      <c r="P3770" s="15">
        <v>0.90929938238092589</v>
      </c>
      <c r="Q3770" s="8"/>
      <c r="R3770" s="9" t="s">
        <v>3507</v>
      </c>
    </row>
    <row r="3771" spans="1:18" x14ac:dyDescent="0.25">
      <c r="A3771" s="6" t="str">
        <f>HYPERLINK("proteomic_fractions_linear_files/Yang_linear_img/144922638.jpg", "144922638")</f>
        <v>144922638</v>
      </c>
      <c r="B3771" s="7"/>
      <c r="C3771" s="6" t="str">
        <f>HYPERLINK("http://www.ncbi.nlm.nih.gov/protein/144922638","Ktn1")</f>
        <v>Ktn1</v>
      </c>
      <c r="D3771" s="8"/>
      <c r="E3771" s="8">
        <v>152413</v>
      </c>
      <c r="F3771" s="8"/>
      <c r="G3771" s="15">
        <v>1.0095583627384332</v>
      </c>
      <c r="H3771" s="15">
        <v>1.0095583627384332</v>
      </c>
      <c r="I3771" s="15">
        <v>1.0095583627384332</v>
      </c>
      <c r="J3771" s="15">
        <v>1.0095583627384332</v>
      </c>
      <c r="K3771" s="15">
        <v>1.228722576578555</v>
      </c>
      <c r="L3771" s="15">
        <v>1.228722576578555</v>
      </c>
      <c r="M3771" s="15" t="s">
        <v>10</v>
      </c>
      <c r="N3771" s="15" t="s">
        <v>10</v>
      </c>
      <c r="O3771" s="15" t="s">
        <v>10</v>
      </c>
      <c r="P3771" s="15" t="s">
        <v>10</v>
      </c>
      <c r="Q3771" s="8"/>
      <c r="R3771" s="9" t="s">
        <v>3508</v>
      </c>
    </row>
    <row r="3772" spans="1:18" x14ac:dyDescent="0.25">
      <c r="A3772" s="6" t="str">
        <f>HYPERLINK("proteomic_fractions_linear_files/Yang_linear_img/112293279.jpg", "112293279")</f>
        <v>112293279</v>
      </c>
      <c r="B3772" s="7"/>
      <c r="C3772" s="6" t="str">
        <f>HYPERLINK("http://www.ncbi.nlm.nih.gov/protein/112293279","L1cam")</f>
        <v>L1cam</v>
      </c>
      <c r="D3772" s="8"/>
      <c r="E3772" s="8">
        <v>138685</v>
      </c>
      <c r="F3772" s="8"/>
      <c r="G3772" s="15" t="s">
        <v>10</v>
      </c>
      <c r="H3772" s="15" t="s">
        <v>10</v>
      </c>
      <c r="I3772" s="15" t="s">
        <v>10</v>
      </c>
      <c r="J3772" s="15" t="s">
        <v>10</v>
      </c>
      <c r="K3772" s="15">
        <v>2.1711030549388401</v>
      </c>
      <c r="L3772" s="15">
        <v>2.1711030549388401</v>
      </c>
      <c r="M3772" s="15" t="s">
        <v>10</v>
      </c>
      <c r="N3772" s="15" t="s">
        <v>10</v>
      </c>
      <c r="O3772" s="15">
        <v>0.78993930806569401</v>
      </c>
      <c r="P3772" s="15">
        <v>0.78993930806569401</v>
      </c>
      <c r="Q3772" s="8"/>
      <c r="R3772" s="9" t="s">
        <v>3509</v>
      </c>
    </row>
    <row r="3773" spans="1:18" x14ac:dyDescent="0.25">
      <c r="A3773" s="6" t="str">
        <f>HYPERLINK("proteomic_fractions_linear_files/Yang_linear_img/21703884.jpg", "21703884")</f>
        <v>21703884</v>
      </c>
      <c r="B3773" s="7"/>
      <c r="C3773" s="6" t="str">
        <f>HYPERLINK("http://www.ncbi.nlm.nih.gov/protein/21703884","L2hgdh")</f>
        <v>L2hgdh</v>
      </c>
      <c r="D3773" s="8"/>
      <c r="E3773" s="8">
        <v>45665</v>
      </c>
      <c r="F3773" s="8"/>
      <c r="G3773" s="15" t="s">
        <v>10</v>
      </c>
      <c r="H3773" s="15" t="s">
        <v>10</v>
      </c>
      <c r="I3773" s="15">
        <v>0.88059387398310318</v>
      </c>
      <c r="J3773" s="15">
        <v>0.95925194015142323</v>
      </c>
      <c r="K3773" s="15" t="s">
        <v>10</v>
      </c>
      <c r="L3773" s="15" t="s">
        <v>10</v>
      </c>
      <c r="M3773" s="15" t="s">
        <v>10</v>
      </c>
      <c r="N3773" s="15" t="s">
        <v>10</v>
      </c>
      <c r="O3773" s="15" t="s">
        <v>10</v>
      </c>
      <c r="P3773" s="15" t="s">
        <v>10</v>
      </c>
      <c r="Q3773" s="8"/>
      <c r="R3773" s="9" t="s">
        <v>3510</v>
      </c>
    </row>
    <row r="3774" spans="1:18" x14ac:dyDescent="0.25">
      <c r="A3774" s="6" t="str">
        <f>HYPERLINK("proteomic_fractions_linear_files/Yang_linear_img/13399318.jpg", "13399318")</f>
        <v>13399318</v>
      </c>
      <c r="B3774" s="7"/>
      <c r="C3774" s="6" t="str">
        <f>HYPERLINK("http://www.ncbi.nlm.nih.gov/protein/13399318","l7Rn6")</f>
        <v>l7Rn6</v>
      </c>
      <c r="D3774" s="8"/>
      <c r="E3774" s="8">
        <v>21488</v>
      </c>
      <c r="F3774" s="8"/>
      <c r="G3774" s="15" t="s">
        <v>10</v>
      </c>
      <c r="H3774" s="15" t="s">
        <v>10</v>
      </c>
      <c r="I3774" s="15">
        <v>0.92862618228739402</v>
      </c>
      <c r="J3774" s="15">
        <v>0.92862618228739402</v>
      </c>
      <c r="K3774" s="15">
        <v>0.98083053269791776</v>
      </c>
      <c r="L3774" s="15">
        <v>0.98083053269791776</v>
      </c>
      <c r="M3774" s="15" t="s">
        <v>10</v>
      </c>
      <c r="N3774" s="15" t="s">
        <v>10</v>
      </c>
      <c r="O3774" s="15">
        <v>0.98083053269791776</v>
      </c>
      <c r="P3774" s="15">
        <v>0.98083053269791776</v>
      </c>
      <c r="Q3774" s="8"/>
      <c r="R3774" s="9" t="s">
        <v>3511</v>
      </c>
    </row>
    <row r="3775" spans="1:18" x14ac:dyDescent="0.25">
      <c r="A3775" s="6" t="str">
        <f>HYPERLINK("proteomic_fractions_linear_files/Yang_linear_img/144922663.jpg", "144922663")</f>
        <v>144922663</v>
      </c>
      <c r="B3775" s="7"/>
      <c r="C3775" s="6" t="str">
        <f>HYPERLINK("http://www.ncbi.nlm.nih.gov/protein/144922663","Lace1")</f>
        <v>Lace1</v>
      </c>
      <c r="D3775" s="8"/>
      <c r="E3775" s="8">
        <v>54182</v>
      </c>
      <c r="F3775" s="8"/>
      <c r="G3775" s="15" t="s">
        <v>10</v>
      </c>
      <c r="H3775" s="15" t="s">
        <v>10</v>
      </c>
      <c r="I3775" s="15">
        <v>0.81714054161047167</v>
      </c>
      <c r="J3775" s="15">
        <v>0.81714054161047167</v>
      </c>
      <c r="K3775" s="15" t="s">
        <v>10</v>
      </c>
      <c r="L3775" s="15" t="s">
        <v>10</v>
      </c>
      <c r="M3775" s="15" t="s">
        <v>10</v>
      </c>
      <c r="N3775" s="15" t="s">
        <v>10</v>
      </c>
      <c r="O3775" s="15" t="s">
        <v>10</v>
      </c>
      <c r="P3775" s="15" t="s">
        <v>10</v>
      </c>
      <c r="Q3775" s="8"/>
      <c r="R3775" s="9" t="s">
        <v>3512</v>
      </c>
    </row>
    <row r="3776" spans="1:18" x14ac:dyDescent="0.25">
      <c r="A3776" s="6" t="str">
        <f>HYPERLINK("proteomic_fractions_linear_files/Yang_linear_img/13507666.jpg", "13507666")</f>
        <v>13507666</v>
      </c>
      <c r="B3776" s="7"/>
      <c r="C3776" s="6" t="str">
        <f>HYPERLINK("http://www.ncbi.nlm.nih.gov/protein/13507666","Lactb")</f>
        <v>Lactb</v>
      </c>
      <c r="D3776" s="8"/>
      <c r="E3776" s="8">
        <v>49389</v>
      </c>
      <c r="F3776" s="8"/>
      <c r="G3776" s="15">
        <v>1.3357808842968231</v>
      </c>
      <c r="H3776" s="15">
        <v>1.3357808842968231</v>
      </c>
      <c r="I3776" s="15">
        <v>1.0840932577551241</v>
      </c>
      <c r="J3776" s="15">
        <v>1.0840932577551241</v>
      </c>
      <c r="K3776" s="15" t="s">
        <v>10</v>
      </c>
      <c r="L3776" s="15" t="s">
        <v>10</v>
      </c>
      <c r="M3776" s="15" t="s">
        <v>10</v>
      </c>
      <c r="N3776" s="15" t="s">
        <v>10</v>
      </c>
      <c r="O3776" s="15" t="s">
        <v>10</v>
      </c>
      <c r="P3776" s="15" t="s">
        <v>10</v>
      </c>
      <c r="Q3776" s="8"/>
      <c r="R3776" s="9" t="s">
        <v>3513</v>
      </c>
    </row>
    <row r="3777" spans="1:18" x14ac:dyDescent="0.25">
      <c r="A3777" s="6" t="str">
        <f>HYPERLINK("proteomic_fractions_linear_files/Yang_linear_img/21703764.jpg", "21703764")</f>
        <v>21703764</v>
      </c>
      <c r="B3777" s="7"/>
      <c r="C3777" s="6" t="str">
        <f>HYPERLINK("http://www.ncbi.nlm.nih.gov/protein/21703764","Lactb2")</f>
        <v>Lactb2</v>
      </c>
      <c r="D3777" s="8"/>
      <c r="E3777" s="8">
        <v>32623</v>
      </c>
      <c r="F3777" s="8"/>
      <c r="G3777" s="15" t="s">
        <v>10</v>
      </c>
      <c r="H3777" s="15" t="s">
        <v>10</v>
      </c>
      <c r="I3777" s="15" t="s">
        <v>10</v>
      </c>
      <c r="J3777" s="15" t="s">
        <v>10</v>
      </c>
      <c r="K3777" s="15" t="s">
        <v>10</v>
      </c>
      <c r="L3777" s="15" t="s">
        <v>10</v>
      </c>
      <c r="M3777" s="15" t="s">
        <v>10</v>
      </c>
      <c r="N3777" s="15" t="s">
        <v>10</v>
      </c>
      <c r="O3777" s="15">
        <v>0.74408547312960349</v>
      </c>
      <c r="P3777" s="15">
        <v>0.74408547312960349</v>
      </c>
      <c r="Q3777" s="8"/>
      <c r="R3777" s="9" t="s">
        <v>3514</v>
      </c>
    </row>
    <row r="3778" spans="1:18" x14ac:dyDescent="0.25">
      <c r="A3778" s="6" t="str">
        <f>HYPERLINK("proteomic_fractions_linear_files/Yang_linear_img/31981555.jpg", "31981555")</f>
        <v>31981555</v>
      </c>
      <c r="B3778" s="7"/>
      <c r="C3778" s="6" t="str">
        <f>HYPERLINK("http://www.ncbi.nlm.nih.gov/protein/31981555","Lad1")</f>
        <v>Lad1</v>
      </c>
      <c r="D3778" s="8"/>
      <c r="E3778" s="8">
        <v>58733</v>
      </c>
      <c r="F3778" s="8"/>
      <c r="G3778" s="15">
        <v>1.6096267997048221</v>
      </c>
      <c r="H3778" s="15">
        <v>1.6096267997048221</v>
      </c>
      <c r="I3778" s="15">
        <v>1.244680682062411</v>
      </c>
      <c r="J3778" s="15">
        <v>1.244680682062411</v>
      </c>
      <c r="K3778" s="15">
        <v>1.4084518385278619</v>
      </c>
      <c r="L3778" s="15">
        <v>1.4084518385278619</v>
      </c>
      <c r="M3778" s="15">
        <v>1.4084518385278619</v>
      </c>
      <c r="N3778" s="15">
        <v>1.4084518385278619</v>
      </c>
      <c r="O3778" s="15">
        <v>1.244680682062411</v>
      </c>
      <c r="P3778" s="15">
        <v>1.244680682062411</v>
      </c>
      <c r="Q3778" s="8"/>
      <c r="R3778" s="9" t="s">
        <v>3515</v>
      </c>
    </row>
    <row r="3779" spans="1:18" x14ac:dyDescent="0.25">
      <c r="A3779" s="6" t="str">
        <f>HYPERLINK("proteomic_fractions_linear_files/Yang_linear_img/13384798.jpg", "13384798")</f>
        <v>13384798</v>
      </c>
      <c r="B3779" s="7"/>
      <c r="C3779" s="6" t="str">
        <f>HYPERLINK("http://www.ncbi.nlm.nih.gov/protein/13384798","Lage3")</f>
        <v>Lage3</v>
      </c>
      <c r="D3779" s="8"/>
      <c r="E3779" s="8">
        <v>15693</v>
      </c>
      <c r="F3779" s="8"/>
      <c r="G3779" s="15" t="s">
        <v>10</v>
      </c>
      <c r="H3779" s="15" t="s">
        <v>10</v>
      </c>
      <c r="I3779" s="15" t="s">
        <v>10</v>
      </c>
      <c r="J3779" s="15" t="s">
        <v>10</v>
      </c>
      <c r="K3779" s="15">
        <v>0.86786565624604062</v>
      </c>
      <c r="L3779" s="15">
        <v>0.86786565624604062</v>
      </c>
      <c r="M3779" s="15" t="s">
        <v>10</v>
      </c>
      <c r="N3779" s="15" t="s">
        <v>10</v>
      </c>
      <c r="O3779" s="15">
        <v>0.99546511144886096</v>
      </c>
      <c r="P3779" s="15">
        <v>0.99546511144886096</v>
      </c>
      <c r="Q3779" s="8"/>
      <c r="R3779" s="9" t="s">
        <v>3516</v>
      </c>
    </row>
    <row r="3780" spans="1:18" x14ac:dyDescent="0.25">
      <c r="A3780" s="6" t="str">
        <f>HYPERLINK("proteomic_fractions_linear_files/Yang_linear_img/124487155.jpg", "124487155")</f>
        <v>124487155</v>
      </c>
      <c r="B3780" s="7"/>
      <c r="C3780" s="6" t="str">
        <f>HYPERLINK("http://www.ncbi.nlm.nih.gov/protein/124487155","Lama5")</f>
        <v>Lama5</v>
      </c>
      <c r="D3780" s="8"/>
      <c r="E3780" s="8">
        <v>400223</v>
      </c>
      <c r="F3780" s="8"/>
      <c r="G3780" s="15">
        <v>0.75445831159124699</v>
      </c>
      <c r="H3780" s="15">
        <v>0.75445831159124699</v>
      </c>
      <c r="I3780" s="15">
        <v>14.982750000000001</v>
      </c>
      <c r="J3780" s="15">
        <v>14.982750000000001</v>
      </c>
      <c r="K3780" s="15">
        <v>1.0226088943485996</v>
      </c>
      <c r="L3780" s="15">
        <v>1.0226088943485996</v>
      </c>
      <c r="M3780" s="15">
        <v>14.982750000000001</v>
      </c>
      <c r="N3780" s="15">
        <v>14.982750000000001</v>
      </c>
      <c r="O3780" s="15">
        <v>1.0226088943485996</v>
      </c>
      <c r="P3780" s="15">
        <v>1.0226088943485996</v>
      </c>
      <c r="Q3780" s="8"/>
      <c r="R3780" s="9" t="s">
        <v>3517</v>
      </c>
    </row>
    <row r="3781" spans="1:18" x14ac:dyDescent="0.25">
      <c r="A3781" s="6" t="str">
        <f>HYPERLINK("proteomic_fractions_linear_files/Yang_linear_img/114326497.jpg", "114326497")</f>
        <v>114326497</v>
      </c>
      <c r="B3781" s="7"/>
      <c r="C3781" s="6" t="str">
        <f>HYPERLINK("http://www.ncbi.nlm.nih.gov/protein/114326497","Lamb1")</f>
        <v>Lamb1</v>
      </c>
      <c r="D3781" s="8"/>
      <c r="E3781" s="8">
        <v>202312</v>
      </c>
      <c r="F3781" s="8"/>
      <c r="G3781" s="15">
        <v>1.155251720929946</v>
      </c>
      <c r="H3781" s="15">
        <v>1.155251720929946</v>
      </c>
      <c r="I3781" s="15">
        <v>1.155251720929946</v>
      </c>
      <c r="J3781" s="15">
        <v>1.155251720929946</v>
      </c>
      <c r="K3781" s="15">
        <v>1.4939768546361325</v>
      </c>
      <c r="L3781" s="15">
        <v>1.4939768546361325</v>
      </c>
      <c r="M3781" s="15" t="s">
        <v>10</v>
      </c>
      <c r="N3781" s="15" t="s">
        <v>10</v>
      </c>
      <c r="O3781" s="15" t="s">
        <v>10</v>
      </c>
      <c r="P3781" s="15" t="s">
        <v>10</v>
      </c>
      <c r="Q3781" s="8"/>
      <c r="R3781" s="9" t="s">
        <v>3518</v>
      </c>
    </row>
    <row r="3782" spans="1:18" x14ac:dyDescent="0.25">
      <c r="A3782" s="6" t="str">
        <f>HYPERLINK("proteomic_fractions_linear_files/Yang_linear_img/31982223.jpg", "31982223")</f>
        <v>31982223</v>
      </c>
      <c r="B3782" s="7"/>
      <c r="C3782" s="6" t="str">
        <f>HYPERLINK("http://www.ncbi.nlm.nih.gov/protein/31982223","Lamb2")</f>
        <v>Lamb2</v>
      </c>
      <c r="D3782" s="8"/>
      <c r="E3782" s="8">
        <v>192824</v>
      </c>
      <c r="F3782" s="8"/>
      <c r="G3782" s="15" t="s">
        <v>10</v>
      </c>
      <c r="H3782" s="15" t="s">
        <v>10</v>
      </c>
      <c r="I3782" s="15" t="s">
        <v>10</v>
      </c>
      <c r="J3782" s="15" t="s">
        <v>10</v>
      </c>
      <c r="K3782" s="15">
        <v>0.43056299727017544</v>
      </c>
      <c r="L3782" s="15">
        <v>0.43056299727017544</v>
      </c>
      <c r="M3782" s="15" t="s">
        <v>10</v>
      </c>
      <c r="N3782" s="15" t="s">
        <v>10</v>
      </c>
      <c r="O3782" s="15" t="s">
        <v>10</v>
      </c>
      <c r="P3782" s="15" t="s">
        <v>10</v>
      </c>
      <c r="Q3782" s="8"/>
      <c r="R3782" s="9" t="s">
        <v>3519</v>
      </c>
    </row>
    <row r="3783" spans="1:18" x14ac:dyDescent="0.25">
      <c r="A3783" s="6" t="str">
        <f>HYPERLINK("proteomic_fractions_linear_files/Yang_linear_img/153791270.jpg", "153791270")</f>
        <v>153791270</v>
      </c>
      <c r="B3783" s="7"/>
      <c r="C3783" s="6" t="str">
        <f>HYPERLINK("http://www.ncbi.nlm.nih.gov/protein/153791270","Lamc1")</f>
        <v>Lamc1</v>
      </c>
      <c r="D3783" s="8"/>
      <c r="E3783" s="8">
        <v>173890</v>
      </c>
      <c r="F3783" s="8"/>
      <c r="G3783" s="15" t="s">
        <v>10</v>
      </c>
      <c r="H3783" s="15" t="s">
        <v>10</v>
      </c>
      <c r="I3783" s="15">
        <v>34.443103448275863</v>
      </c>
      <c r="J3783" s="15">
        <v>34.443103448275863</v>
      </c>
      <c r="K3783" s="15">
        <v>1.7343869231982689</v>
      </c>
      <c r="L3783" s="15">
        <v>1.7343869231982689</v>
      </c>
      <c r="M3783" s="15" t="s">
        <v>10</v>
      </c>
      <c r="N3783" s="15" t="s">
        <v>10</v>
      </c>
      <c r="O3783" s="15" t="s">
        <v>10</v>
      </c>
      <c r="P3783" s="15" t="s">
        <v>10</v>
      </c>
      <c r="Q3783" s="8"/>
      <c r="R3783" s="9" t="s">
        <v>3520</v>
      </c>
    </row>
    <row r="3784" spans="1:18" x14ac:dyDescent="0.25">
      <c r="A3784" s="6" t="str">
        <f>HYPERLINK("proteomic_fractions_linear_files/Yang_linear_img/110624798.jpg", "110624798")</f>
        <v>110624798</v>
      </c>
      <c r="B3784" s="7"/>
      <c r="C3784" s="6" t="str">
        <f>HYPERLINK("http://www.ncbi.nlm.nih.gov/protein/110624798","Lamc2")</f>
        <v>Lamc2</v>
      </c>
      <c r="D3784" s="8"/>
      <c r="E3784" s="8">
        <v>128216</v>
      </c>
      <c r="F3784" s="8"/>
      <c r="G3784" s="15" t="s">
        <v>10</v>
      </c>
      <c r="H3784" s="15" t="s">
        <v>10</v>
      </c>
      <c r="I3784" s="15">
        <v>1.1988505557518894</v>
      </c>
      <c r="J3784" s="15">
        <v>1.1988505557518894</v>
      </c>
      <c r="K3784" s="15">
        <v>1.4591080596870341</v>
      </c>
      <c r="L3784" s="15">
        <v>1.4591080596870341</v>
      </c>
      <c r="M3784" s="15" t="s">
        <v>10</v>
      </c>
      <c r="N3784" s="15" t="s">
        <v>10</v>
      </c>
      <c r="O3784" s="15" t="s">
        <v>10</v>
      </c>
      <c r="P3784" s="15" t="s">
        <v>10</v>
      </c>
      <c r="Q3784" s="8"/>
      <c r="R3784" s="9" t="s">
        <v>3521</v>
      </c>
    </row>
    <row r="3785" spans="1:18" x14ac:dyDescent="0.25">
      <c r="A3785" s="6" t="str">
        <f>HYPERLINK("proteomic_fractions_linear_files/Yang_linear_img/113195678.jpg", "113195678")</f>
        <v>113195678</v>
      </c>
      <c r="B3785" s="7"/>
      <c r="C3785" s="6" t="str">
        <f>HYPERLINK("http://www.ncbi.nlm.nih.gov/protein/113195678","Lamp1")</f>
        <v>Lamp1</v>
      </c>
      <c r="D3785" s="8"/>
      <c r="E3785" s="8">
        <v>41542</v>
      </c>
      <c r="F3785" s="8"/>
      <c r="G3785" s="15">
        <v>3.6536397889581389</v>
      </c>
      <c r="H3785" s="15">
        <v>3.6536397889581389</v>
      </c>
      <c r="I3785" s="15">
        <v>2.6143229481221777</v>
      </c>
      <c r="J3785" s="15">
        <v>2.6143229481221777</v>
      </c>
      <c r="K3785" s="15">
        <v>3.0648006701218327</v>
      </c>
      <c r="L3785" s="15">
        <v>3.0648006701218327</v>
      </c>
      <c r="M3785" s="15">
        <v>3.0648006701218327</v>
      </c>
      <c r="N3785" s="15">
        <v>3.6536397889581389</v>
      </c>
      <c r="O3785" s="15">
        <v>3.0648006701218327</v>
      </c>
      <c r="P3785" s="15">
        <v>3.0648006701218327</v>
      </c>
      <c r="Q3785" s="8"/>
      <c r="R3785" s="9" t="s">
        <v>3522</v>
      </c>
    </row>
    <row r="3786" spans="1:18" x14ac:dyDescent="0.25">
      <c r="A3786" s="6" t="str">
        <f>HYPERLINK("proteomic_fractions_linear_files/Yang_linear_img/31543108.jpg", "31543108")</f>
        <v>31543108</v>
      </c>
      <c r="B3786" s="7"/>
      <c r="C3786" s="6" t="str">
        <f>HYPERLINK("http://www.ncbi.nlm.nih.gov/protein/31543108","Lamp2")</f>
        <v>Lamp2</v>
      </c>
      <c r="D3786" s="8"/>
      <c r="E3786" s="8">
        <v>43039</v>
      </c>
      <c r="F3786" s="8"/>
      <c r="G3786" s="15">
        <v>2.9935262359329529</v>
      </c>
      <c r="H3786" s="15">
        <v>2.9935262359329529</v>
      </c>
      <c r="I3786" s="15">
        <v>2.553524740026313</v>
      </c>
      <c r="J3786" s="15">
        <v>2.553524740026313</v>
      </c>
      <c r="K3786" s="15">
        <v>2.9935262359329529</v>
      </c>
      <c r="L3786" s="15">
        <v>2.9935262359329529</v>
      </c>
      <c r="M3786" s="15">
        <v>3.568671421773066</v>
      </c>
      <c r="N3786" s="15">
        <v>3.568671421773066</v>
      </c>
      <c r="O3786" s="15">
        <v>1.2353620844186297</v>
      </c>
      <c r="P3786" s="15">
        <v>1.2353620844186297</v>
      </c>
      <c r="Q3786" s="8"/>
      <c r="R3786" s="9" t="s">
        <v>3523</v>
      </c>
    </row>
    <row r="3787" spans="1:18" x14ac:dyDescent="0.25">
      <c r="A3787" s="6" t="str">
        <f>HYPERLINK("proteomic_fractions_linear_files/Yang_linear_img/63054837.jpg", "63054837")</f>
        <v>63054837</v>
      </c>
      <c r="B3787" s="7"/>
      <c r="C3787" s="6" t="str">
        <f>HYPERLINK("http://www.ncbi.nlm.nih.gov/protein/63054837","Lamp2")</f>
        <v>Lamp2</v>
      </c>
      <c r="D3787" s="8"/>
      <c r="E3787" s="8">
        <v>43065</v>
      </c>
      <c r="F3787" s="8"/>
      <c r="G3787" s="15">
        <v>2.9935262359329529</v>
      </c>
      <c r="H3787" s="15">
        <v>2.9935262359329529</v>
      </c>
      <c r="I3787" s="15">
        <v>2.553524740026313</v>
      </c>
      <c r="J3787" s="15">
        <v>2.553524740026313</v>
      </c>
      <c r="K3787" s="15">
        <v>2.9935262359329529</v>
      </c>
      <c r="L3787" s="15">
        <v>2.9935262359329529</v>
      </c>
      <c r="M3787" s="15">
        <v>3.568671421773066</v>
      </c>
      <c r="N3787" s="15">
        <v>3.568671421773066</v>
      </c>
      <c r="O3787" s="15">
        <v>1.2353620844186297</v>
      </c>
      <c r="P3787" s="15">
        <v>1.2353620844186297</v>
      </c>
      <c r="Q3787" s="8"/>
      <c r="R3787" s="9" t="s">
        <v>3524</v>
      </c>
    </row>
    <row r="3788" spans="1:18" x14ac:dyDescent="0.25">
      <c r="A3788" s="6" t="str">
        <f>HYPERLINK("proteomic_fractions_linear_files/Yang_linear_img/242332593.jpg", "242332593")</f>
        <v>242332593</v>
      </c>
      <c r="B3788" s="7"/>
      <c r="C3788" s="6" t="str">
        <f>HYPERLINK("http://www.ncbi.nlm.nih.gov/protein/242332593","Lamtor1")</f>
        <v>Lamtor1</v>
      </c>
      <c r="D3788" s="8"/>
      <c r="E3788" s="8">
        <v>17618</v>
      </c>
      <c r="F3788" s="8"/>
      <c r="G3788" s="15">
        <v>1.2838651874843026</v>
      </c>
      <c r="H3788" s="15">
        <v>1.2838651874843026</v>
      </c>
      <c r="I3788" s="15">
        <v>0.88485787684343198</v>
      </c>
      <c r="J3788" s="15">
        <v>0.88485787684343198</v>
      </c>
      <c r="K3788" s="15">
        <v>0.9286930289226123</v>
      </c>
      <c r="L3788" s="15">
        <v>0.9286930289226123</v>
      </c>
      <c r="M3788" s="15">
        <v>0.9286930289226123</v>
      </c>
      <c r="N3788" s="15">
        <v>0.9286930289226123</v>
      </c>
      <c r="O3788" s="15" t="s">
        <v>10</v>
      </c>
      <c r="P3788" s="15" t="s">
        <v>10</v>
      </c>
      <c r="Q3788" s="8"/>
      <c r="R3788" s="9" t="s">
        <v>3525</v>
      </c>
    </row>
    <row r="3789" spans="1:18" x14ac:dyDescent="0.25">
      <c r="A3789" s="6" t="str">
        <f>HYPERLINK("proteomic_fractions_linear_files/Yang_linear_img/13752573.jpg", "13752573")</f>
        <v>13752573</v>
      </c>
      <c r="B3789" s="7"/>
      <c r="C3789" s="6" t="str">
        <f>HYPERLINK("http://www.ncbi.nlm.nih.gov/protein/13752573","Lamtor2")</f>
        <v>Lamtor2</v>
      </c>
      <c r="D3789" s="8"/>
      <c r="E3789" s="8">
        <v>13349</v>
      </c>
      <c r="F3789" s="8"/>
      <c r="G3789" s="15">
        <v>0.94098933017933517</v>
      </c>
      <c r="H3789" s="15">
        <v>0.94098933017933517</v>
      </c>
      <c r="I3789" s="15">
        <v>0.98055533399520201</v>
      </c>
      <c r="J3789" s="15">
        <v>1.0228510786924256</v>
      </c>
      <c r="K3789" s="15">
        <v>1.068142346148973</v>
      </c>
      <c r="L3789" s="15">
        <v>1.068142346148973</v>
      </c>
      <c r="M3789" s="15">
        <v>1.068142346148973</v>
      </c>
      <c r="N3789" s="15">
        <v>1.068142346148973</v>
      </c>
      <c r="O3789" s="15">
        <v>0.98055533399520201</v>
      </c>
      <c r="P3789" s="15">
        <v>0.98055533399520201</v>
      </c>
      <c r="Q3789" s="8"/>
      <c r="R3789" s="9" t="s">
        <v>3526</v>
      </c>
    </row>
    <row r="3790" spans="1:18" x14ac:dyDescent="0.25">
      <c r="A3790" s="6" t="str">
        <f>HYPERLINK("proteomic_fractions_linear_files/Yang_linear_img/9910452.jpg", "9910452")</f>
        <v>9910452</v>
      </c>
      <c r="B3790" s="7"/>
      <c r="C3790" s="6" t="str">
        <f>HYPERLINK("http://www.ncbi.nlm.nih.gov/protein/9910452","Lamtor3")</f>
        <v>Lamtor3</v>
      </c>
      <c r="D3790" s="8"/>
      <c r="E3790" s="8">
        <v>13422</v>
      </c>
      <c r="F3790" s="8"/>
      <c r="G3790" s="15">
        <v>1.0228510786924256</v>
      </c>
      <c r="H3790" s="15">
        <v>1.0228510786924256</v>
      </c>
      <c r="I3790" s="15">
        <v>0.98055533399520201</v>
      </c>
      <c r="J3790" s="15">
        <v>0.98055533399520201</v>
      </c>
      <c r="K3790" s="15">
        <v>1.068142346148973</v>
      </c>
      <c r="L3790" s="15">
        <v>1.068142346148973</v>
      </c>
      <c r="M3790" s="15" t="s">
        <v>10</v>
      </c>
      <c r="N3790" s="15" t="s">
        <v>10</v>
      </c>
      <c r="O3790" s="15">
        <v>0.98055533399520201</v>
      </c>
      <c r="P3790" s="15">
        <v>0.98055533399520201</v>
      </c>
      <c r="Q3790" s="8"/>
      <c r="R3790" s="9" t="s">
        <v>3527</v>
      </c>
    </row>
    <row r="3791" spans="1:18" x14ac:dyDescent="0.25">
      <c r="A3791" s="6" t="str">
        <f>HYPERLINK("proteomic_fractions_linear_files/Yang_linear_img/237820655.jpg", "237820655")</f>
        <v>237820655</v>
      </c>
      <c r="B3791" s="7"/>
      <c r="C3791" s="6" t="str">
        <f>HYPERLINK("http://www.ncbi.nlm.nih.gov/protein/237820655","Lamtor5")</f>
        <v>Lamtor5</v>
      </c>
      <c r="D3791" s="8"/>
      <c r="E3791" s="8">
        <v>15223</v>
      </c>
      <c r="F3791" s="8"/>
      <c r="G3791" s="15" t="s">
        <v>10</v>
      </c>
      <c r="H3791" s="15" t="s">
        <v>10</v>
      </c>
      <c r="I3791" s="15">
        <v>0.84981462279584175</v>
      </c>
      <c r="J3791" s="15">
        <v>0.84981462279584175</v>
      </c>
      <c r="K3791" s="15">
        <v>0.81552408615542382</v>
      </c>
      <c r="L3791" s="15">
        <v>0.81552408615542382</v>
      </c>
      <c r="M3791" s="15" t="s">
        <v>10</v>
      </c>
      <c r="N3791" s="15" t="s">
        <v>10</v>
      </c>
      <c r="O3791" s="15" t="s">
        <v>10</v>
      </c>
      <c r="P3791" s="15" t="s">
        <v>10</v>
      </c>
      <c r="Q3791" s="8"/>
      <c r="R3791" s="9" t="s">
        <v>3528</v>
      </c>
    </row>
    <row r="3792" spans="1:18" x14ac:dyDescent="0.25">
      <c r="A3792" s="6" t="str">
        <f>HYPERLINK("proteomic_fractions_linear_files/Yang_linear_img/300795817.jpg", "300795817")</f>
        <v>300795817</v>
      </c>
      <c r="B3792" s="7"/>
      <c r="C3792" s="6" t="str">
        <f>HYPERLINK("http://www.ncbi.nlm.nih.gov/protein/300795817","Lancl1")</f>
        <v>Lancl1</v>
      </c>
      <c r="D3792" s="8"/>
      <c r="E3792" s="8">
        <v>45210</v>
      </c>
      <c r="F3792" s="8"/>
      <c r="G3792" s="15" t="s">
        <v>10</v>
      </c>
      <c r="H3792" s="15" t="s">
        <v>10</v>
      </c>
      <c r="I3792" s="15">
        <v>0.8298072538472131</v>
      </c>
      <c r="J3792" s="15">
        <v>0.8298072538472131</v>
      </c>
      <c r="K3792" s="15">
        <v>0.90016262673828318</v>
      </c>
      <c r="L3792" s="15">
        <v>0.90016262673828318</v>
      </c>
      <c r="M3792" s="15">
        <v>0.8298072538472131</v>
      </c>
      <c r="N3792" s="15">
        <v>0.8298072538472131</v>
      </c>
      <c r="O3792" s="15">
        <v>0.76785281178833742</v>
      </c>
      <c r="P3792" s="15">
        <v>0.76785281178833742</v>
      </c>
      <c r="Q3792" s="8"/>
      <c r="R3792" s="9" t="s">
        <v>3529</v>
      </c>
    </row>
    <row r="3793" spans="1:18" x14ac:dyDescent="0.25">
      <c r="A3793" s="6" t="str">
        <f>HYPERLINK("proteomic_fractions_linear_files/Yang_linear_img/19526936.jpg", "19526936")</f>
        <v>19526936</v>
      </c>
      <c r="B3793" s="7"/>
      <c r="C3793" s="6" t="str">
        <f>HYPERLINK("http://www.ncbi.nlm.nih.gov/protein/19526936","Lancl2")</f>
        <v>Lancl2</v>
      </c>
      <c r="D3793" s="8"/>
      <c r="E3793" s="8">
        <v>50646</v>
      </c>
      <c r="F3793" s="8"/>
      <c r="G3793" s="15" t="s">
        <v>10</v>
      </c>
      <c r="H3793" s="15" t="s">
        <v>10</v>
      </c>
      <c r="I3793" s="15">
        <v>0.86520763229344055</v>
      </c>
      <c r="J3793" s="15">
        <v>0.86520763229344055</v>
      </c>
      <c r="K3793" s="15">
        <v>0.94686226636108339</v>
      </c>
      <c r="L3793" s="15">
        <v>0.94686226636108339</v>
      </c>
      <c r="M3793" s="15" t="s">
        <v>10</v>
      </c>
      <c r="N3793" s="15" t="s">
        <v>10</v>
      </c>
      <c r="O3793" s="15">
        <v>0.79426114123966163</v>
      </c>
      <c r="P3793" s="15">
        <v>0.79426114123966163</v>
      </c>
      <c r="Q3793" s="8"/>
      <c r="R3793" s="9" t="s">
        <v>3530</v>
      </c>
    </row>
    <row r="3794" spans="1:18" x14ac:dyDescent="0.25">
      <c r="A3794" s="6" t="str">
        <f>HYPERLINK("proteomic_fractions_linear_files/Yang_linear_img/255069715.jpg", "255069715")</f>
        <v>255069715</v>
      </c>
      <c r="B3794" s="7"/>
      <c r="C3794" s="6" t="str">
        <f>HYPERLINK("http://www.ncbi.nlm.nih.gov/protein/255069715","Lap3")</f>
        <v>Lap3</v>
      </c>
      <c r="D3794" s="8"/>
      <c r="E3794" s="8">
        <v>56010</v>
      </c>
      <c r="F3794" s="8"/>
      <c r="G3794" s="15">
        <v>1.3113600043157543</v>
      </c>
      <c r="H3794" s="15">
        <v>0.94858160053573359</v>
      </c>
      <c r="I3794" s="15">
        <v>0.94858160053573359</v>
      </c>
      <c r="J3794" s="15">
        <v>0.94858160053573359</v>
      </c>
      <c r="K3794" s="15">
        <v>1.0495215640284616</v>
      </c>
      <c r="L3794" s="15">
        <v>1.0495215640284616</v>
      </c>
      <c r="M3794" s="15">
        <v>0.94858160053573359</v>
      </c>
      <c r="N3794" s="15">
        <v>0.94858160053573359</v>
      </c>
      <c r="O3794" s="15">
        <v>0.94858160053573359</v>
      </c>
      <c r="P3794" s="15">
        <v>0.94858160053573359</v>
      </c>
      <c r="Q3794" s="8"/>
      <c r="R3794" s="9" t="s">
        <v>3531</v>
      </c>
    </row>
    <row r="3795" spans="1:18" x14ac:dyDescent="0.25">
      <c r="A3795" s="6" t="str">
        <f>HYPERLINK("proteomic_fractions_linear_files/Yang_linear_img/109689716.jpg", "109689716")</f>
        <v>109689716</v>
      </c>
      <c r="B3795" s="7"/>
      <c r="C3795" s="6" t="str">
        <f>HYPERLINK("http://www.ncbi.nlm.nih.gov/protein/109689716","Laptm4a")</f>
        <v>Laptm4a</v>
      </c>
      <c r="D3795" s="8"/>
      <c r="E3795" s="8">
        <v>34872</v>
      </c>
      <c r="F3795" s="8"/>
      <c r="G3795" s="15" t="s">
        <v>10</v>
      </c>
      <c r="H3795" s="15" t="s">
        <v>10</v>
      </c>
      <c r="I3795" s="15">
        <v>0.45506976523376502</v>
      </c>
      <c r="J3795" s="15">
        <v>0.45506976523376502</v>
      </c>
      <c r="K3795" s="15" t="s">
        <v>10</v>
      </c>
      <c r="L3795" s="15" t="s">
        <v>10</v>
      </c>
      <c r="M3795" s="15" t="s">
        <v>10</v>
      </c>
      <c r="N3795" s="15" t="s">
        <v>10</v>
      </c>
      <c r="O3795" s="15" t="s">
        <v>10</v>
      </c>
      <c r="P3795" s="15" t="s">
        <v>10</v>
      </c>
      <c r="Q3795" s="8"/>
      <c r="R3795" s="9" t="s">
        <v>3532</v>
      </c>
    </row>
    <row r="3796" spans="1:18" x14ac:dyDescent="0.25">
      <c r="A3796" s="6" t="str">
        <f>HYPERLINK("proteomic_fractions_linear_files/Yang_linear_img/226442901.jpg", "226442901")</f>
        <v>226442901</v>
      </c>
      <c r="B3796" s="7"/>
      <c r="C3796" s="6" t="str">
        <f>HYPERLINK("http://www.ncbi.nlm.nih.gov/protein/226442901","Larp1")</f>
        <v>Larp1</v>
      </c>
      <c r="D3796" s="8"/>
      <c r="E3796" s="8">
        <v>120994</v>
      </c>
      <c r="F3796" s="8"/>
      <c r="G3796" s="15" t="s">
        <v>10</v>
      </c>
      <c r="H3796" s="15" t="s">
        <v>10</v>
      </c>
      <c r="I3796" s="15">
        <v>1.2682055465805111</v>
      </c>
      <c r="J3796" s="15">
        <v>1.2682055465805111</v>
      </c>
      <c r="K3796" s="15">
        <v>1.5435192697515732</v>
      </c>
      <c r="L3796" s="15">
        <v>1.5435192697515732</v>
      </c>
      <c r="M3796" s="15">
        <v>1.5435192697515732</v>
      </c>
      <c r="N3796" s="15">
        <v>1.5435192697515732</v>
      </c>
      <c r="O3796" s="15" t="s">
        <v>10</v>
      </c>
      <c r="P3796" s="15" t="s">
        <v>10</v>
      </c>
      <c r="Q3796" s="8"/>
      <c r="R3796" s="9" t="s">
        <v>3533</v>
      </c>
    </row>
    <row r="3797" spans="1:18" x14ac:dyDescent="0.25">
      <c r="A3797" s="6" t="str">
        <f>HYPERLINK("proteomic_fractions_linear_files/Yang_linear_img/124358932.jpg", "124358932")</f>
        <v>124358932</v>
      </c>
      <c r="B3797" s="7"/>
      <c r="C3797" s="6" t="str">
        <f>HYPERLINK("http://www.ncbi.nlm.nih.gov/protein/124358932","Larp4")</f>
        <v>Larp4</v>
      </c>
      <c r="D3797" s="8"/>
      <c r="E3797" s="8">
        <v>79471</v>
      </c>
      <c r="F3797" s="8"/>
      <c r="G3797" s="15" t="s">
        <v>10</v>
      </c>
      <c r="H3797" s="15" t="s">
        <v>10</v>
      </c>
      <c r="I3797" s="15" t="s">
        <v>10</v>
      </c>
      <c r="J3797" s="15" t="s">
        <v>10</v>
      </c>
      <c r="K3797" s="15">
        <v>1.6293876980394553</v>
      </c>
      <c r="L3797" s="15">
        <v>1.6293876980394553</v>
      </c>
      <c r="M3797" s="15">
        <v>1.6293876980394553</v>
      </c>
      <c r="N3797" s="15">
        <v>1.6293876980394553</v>
      </c>
      <c r="O3797" s="15" t="s">
        <v>10</v>
      </c>
      <c r="P3797" s="15" t="s">
        <v>10</v>
      </c>
      <c r="Q3797" s="8"/>
      <c r="R3797" s="9" t="s">
        <v>3534</v>
      </c>
    </row>
    <row r="3798" spans="1:18" x14ac:dyDescent="0.25">
      <c r="A3798" s="6" t="str">
        <f>HYPERLINK("proteomic_fractions_linear_files/Yang_linear_img/124358934.jpg", "124358934")</f>
        <v>124358934</v>
      </c>
      <c r="B3798" s="7"/>
      <c r="C3798" s="6" t="str">
        <f>HYPERLINK("http://www.ncbi.nlm.nih.gov/protein/124358934","Larp4")</f>
        <v>Larp4</v>
      </c>
      <c r="D3798" s="8"/>
      <c r="E3798" s="8">
        <v>79632</v>
      </c>
      <c r="F3798" s="8"/>
      <c r="G3798" s="15" t="s">
        <v>10</v>
      </c>
      <c r="H3798" s="15" t="s">
        <v>10</v>
      </c>
      <c r="I3798" s="15" t="s">
        <v>10</v>
      </c>
      <c r="J3798" s="15" t="s">
        <v>10</v>
      </c>
      <c r="K3798" s="15">
        <v>1.6090203518139621</v>
      </c>
      <c r="L3798" s="15">
        <v>1.6090203518139621</v>
      </c>
      <c r="M3798" s="15">
        <v>1.6090203518139621</v>
      </c>
      <c r="N3798" s="15">
        <v>1.6090203518139621</v>
      </c>
      <c r="O3798" s="15" t="s">
        <v>10</v>
      </c>
      <c r="P3798" s="15" t="s">
        <v>10</v>
      </c>
      <c r="Q3798" s="8"/>
      <c r="R3798" s="9" t="s">
        <v>3535</v>
      </c>
    </row>
    <row r="3799" spans="1:18" x14ac:dyDescent="0.25">
      <c r="A3799" s="6" t="str">
        <f>HYPERLINK("proteomic_fractions_linear_files/Yang_linear_img/27369836.jpg", "27369836")</f>
        <v>27369836</v>
      </c>
      <c r="B3799" s="7"/>
      <c r="C3799" s="6" t="str">
        <f>HYPERLINK("http://www.ncbi.nlm.nih.gov/protein/27369836","Larp4b")</f>
        <v>Larp4b</v>
      </c>
      <c r="D3799" s="8"/>
      <c r="E3799" s="8">
        <v>81497</v>
      </c>
      <c r="F3799" s="8"/>
      <c r="G3799" s="15">
        <v>1.5891559030261353</v>
      </c>
      <c r="H3799" s="15">
        <v>1.5891559030261353</v>
      </c>
      <c r="I3799" s="15">
        <v>1.3555748619892773</v>
      </c>
      <c r="J3799" s="15">
        <v>1.3555748619892773</v>
      </c>
      <c r="K3799" s="15">
        <v>1.5891559030261353</v>
      </c>
      <c r="L3799" s="15">
        <v>1.5891559030261353</v>
      </c>
      <c r="M3799" s="15">
        <v>1.3555748619892773</v>
      </c>
      <c r="N3799" s="15">
        <v>1.3555748619892773</v>
      </c>
      <c r="O3799" s="15" t="s">
        <v>10</v>
      </c>
      <c r="P3799" s="15" t="s">
        <v>10</v>
      </c>
      <c r="Q3799" s="8"/>
      <c r="R3799" s="9" t="s">
        <v>3536</v>
      </c>
    </row>
    <row r="3800" spans="1:18" x14ac:dyDescent="0.25">
      <c r="A3800" s="6" t="str">
        <f>HYPERLINK("proteomic_fractions_linear_files/Yang_linear_img/110665742.jpg", "110665742")</f>
        <v>110665742</v>
      </c>
      <c r="B3800" s="7"/>
      <c r="C3800" s="6" t="str">
        <f>HYPERLINK("http://www.ncbi.nlm.nih.gov/protein/110665742","Larp7")</f>
        <v>Larp7</v>
      </c>
      <c r="D3800" s="8"/>
      <c r="E3800" s="8">
        <v>64671</v>
      </c>
      <c r="F3800" s="8"/>
      <c r="G3800" s="15">
        <v>1.461045864347454</v>
      </c>
      <c r="H3800" s="15">
        <v>1.461045864347454</v>
      </c>
      <c r="I3800" s="15">
        <v>1.2784408995868286</v>
      </c>
      <c r="J3800" s="15">
        <v>1.2784408995868286</v>
      </c>
      <c r="K3800" s="15">
        <v>1.2784408995868286</v>
      </c>
      <c r="L3800" s="15">
        <v>1.2784408995868286</v>
      </c>
      <c r="M3800" s="15">
        <v>1.2784408995868286</v>
      </c>
      <c r="N3800" s="15">
        <v>1.2784408995868286</v>
      </c>
      <c r="O3800" s="15">
        <v>1.2784408995868286</v>
      </c>
      <c r="P3800" s="15">
        <v>1.2784408995868286</v>
      </c>
      <c r="Q3800" s="8"/>
      <c r="R3800" s="9" t="s">
        <v>3537</v>
      </c>
    </row>
    <row r="3801" spans="1:18" x14ac:dyDescent="0.25">
      <c r="A3801" s="6" t="str">
        <f>HYPERLINK("proteomic_fractions_linear_files/Yang_linear_img/120537241.jpg", "120537241")</f>
        <v>120537241</v>
      </c>
      <c r="B3801" s="7"/>
      <c r="C3801" s="6" t="str">
        <f>HYPERLINK("http://www.ncbi.nlm.nih.gov/protein/120537241","Lars")</f>
        <v>Lars</v>
      </c>
      <c r="D3801" s="8"/>
      <c r="E3801" s="8">
        <v>134062</v>
      </c>
      <c r="F3801" s="8"/>
      <c r="G3801" s="15" t="s">
        <v>10</v>
      </c>
      <c r="H3801" s="15" t="s">
        <v>10</v>
      </c>
      <c r="I3801" s="15">
        <v>1.1451706801212078</v>
      </c>
      <c r="J3801" s="15">
        <v>1.1451706801212078</v>
      </c>
      <c r="K3801" s="15">
        <v>1.1451706801212078</v>
      </c>
      <c r="L3801" s="15">
        <v>1.1451706801212078</v>
      </c>
      <c r="M3801" s="15">
        <v>1.1451706801212078</v>
      </c>
      <c r="N3801" s="15">
        <v>1.1451706801212078</v>
      </c>
      <c r="O3801" s="15">
        <v>1.1451706801212078</v>
      </c>
      <c r="P3801" s="15">
        <v>1.1451706801212078</v>
      </c>
      <c r="Q3801" s="8"/>
      <c r="R3801" s="9" t="s">
        <v>3538</v>
      </c>
    </row>
    <row r="3802" spans="1:18" x14ac:dyDescent="0.25">
      <c r="A3802" s="6" t="str">
        <f>HYPERLINK("proteomic_fractions_linear_files/Yang_linear_img/23346617.jpg", "23346617")</f>
        <v>23346617</v>
      </c>
      <c r="B3802" s="7"/>
      <c r="C3802" s="6" t="str">
        <f>HYPERLINK("http://www.ncbi.nlm.nih.gov/protein/23346617","Lars2")</f>
        <v>Lars2</v>
      </c>
      <c r="D3802" s="8"/>
      <c r="E3802" s="8">
        <v>101349</v>
      </c>
      <c r="F3802" s="8"/>
      <c r="G3802" s="15" t="s">
        <v>10</v>
      </c>
      <c r="H3802" s="15" t="s">
        <v>10</v>
      </c>
      <c r="I3802" s="15">
        <v>0.94027704141172785</v>
      </c>
      <c r="J3802" s="15">
        <v>0.94027704141172785</v>
      </c>
      <c r="K3802" s="15" t="s">
        <v>10</v>
      </c>
      <c r="L3802" s="15" t="s">
        <v>10</v>
      </c>
      <c r="M3802" s="15" t="s">
        <v>10</v>
      </c>
      <c r="N3802" s="15" t="s">
        <v>10</v>
      </c>
      <c r="O3802" s="15" t="s">
        <v>10</v>
      </c>
      <c r="P3802" s="15" t="s">
        <v>10</v>
      </c>
      <c r="Q3802" s="8"/>
      <c r="R3802" s="9" t="s">
        <v>3539</v>
      </c>
    </row>
    <row r="3803" spans="1:18" x14ac:dyDescent="0.25">
      <c r="A3803" s="6" t="str">
        <f>HYPERLINK("proteomic_fractions_linear_files/Yang_linear_img/407262453.jpg", "407262453")</f>
        <v>407262453</v>
      </c>
      <c r="B3803" s="7"/>
      <c r="C3803" s="6" t="str">
        <f>HYPERLINK("http://www.ncbi.nlm.nih.gov/protein/407262453","Las1l")</f>
        <v>Las1l</v>
      </c>
      <c r="D3803" s="8"/>
      <c r="E3803" s="8">
        <v>86087</v>
      </c>
      <c r="F3803" s="8"/>
      <c r="G3803" s="15" t="s">
        <v>10</v>
      </c>
      <c r="H3803" s="15" t="s">
        <v>10</v>
      </c>
      <c r="I3803" s="15" t="s">
        <v>10</v>
      </c>
      <c r="J3803" s="15" t="s">
        <v>10</v>
      </c>
      <c r="K3803" s="15">
        <v>1.2767623700131565</v>
      </c>
      <c r="L3803" s="15">
        <v>1.2767623700131565</v>
      </c>
      <c r="M3803" s="15" t="s">
        <v>10</v>
      </c>
      <c r="N3803" s="15" t="s">
        <v>10</v>
      </c>
      <c r="O3803" s="15" t="s">
        <v>10</v>
      </c>
      <c r="P3803" s="15" t="s">
        <v>10</v>
      </c>
      <c r="Q3803" s="8"/>
      <c r="R3803" s="9" t="s">
        <v>8183</v>
      </c>
    </row>
    <row r="3804" spans="1:18" x14ac:dyDescent="0.25">
      <c r="A3804" s="6" t="str">
        <f>HYPERLINK("proteomic_fractions_linear_files/Yang_linear_img/71979675.jpg", "71979675")</f>
        <v>71979675</v>
      </c>
      <c r="B3804" s="7"/>
      <c r="C3804" s="6" t="str">
        <f>HYPERLINK("http://www.ncbi.nlm.nih.gov/protein/71979675","Las1l")</f>
        <v>Las1l</v>
      </c>
      <c r="D3804" s="8"/>
      <c r="E3804" s="8">
        <v>87448</v>
      </c>
      <c r="F3804" s="8"/>
      <c r="G3804" s="15" t="s">
        <v>10</v>
      </c>
      <c r="H3804" s="15" t="s">
        <v>10</v>
      </c>
      <c r="I3804" s="15" t="s">
        <v>10</v>
      </c>
      <c r="J3804" s="15" t="s">
        <v>10</v>
      </c>
      <c r="K3804" s="15">
        <v>1.2620869404727755</v>
      </c>
      <c r="L3804" s="15">
        <v>1.2620869404727755</v>
      </c>
      <c r="M3804" s="15" t="s">
        <v>10</v>
      </c>
      <c r="N3804" s="15" t="s">
        <v>10</v>
      </c>
      <c r="O3804" s="15" t="s">
        <v>10</v>
      </c>
      <c r="P3804" s="15" t="s">
        <v>10</v>
      </c>
      <c r="Q3804" s="8"/>
      <c r="R3804" s="9" t="s">
        <v>3540</v>
      </c>
    </row>
    <row r="3805" spans="1:18" x14ac:dyDescent="0.25">
      <c r="A3805" s="6" t="str">
        <f>HYPERLINK("proteomic_fractions_linear_files/Yang_linear_img/6754508.jpg", "6754508")</f>
        <v>6754508</v>
      </c>
      <c r="B3805" s="7"/>
      <c r="C3805" s="6" t="str">
        <f>HYPERLINK("http://www.ncbi.nlm.nih.gov/protein/6754508","Lasp1")</f>
        <v>Lasp1</v>
      </c>
      <c r="D3805" s="8"/>
      <c r="E3805" s="8">
        <v>29863</v>
      </c>
      <c r="F3805" s="8"/>
      <c r="G3805" s="15">
        <v>1.470852974898849</v>
      </c>
      <c r="H3805" s="15">
        <v>1.470852974898849</v>
      </c>
      <c r="I3805" s="15">
        <v>1.1517792176825061</v>
      </c>
      <c r="J3805" s="15">
        <v>0.87167527051416671</v>
      </c>
      <c r="K3805" s="15">
        <v>1.2447108807708198</v>
      </c>
      <c r="L3805" s="15">
        <v>1.2447108807708198</v>
      </c>
      <c r="M3805" s="15">
        <v>0.87167527051416671</v>
      </c>
      <c r="N3805" s="15">
        <v>0.87167527051416671</v>
      </c>
      <c r="O3805" s="15">
        <v>1.0694690951911197</v>
      </c>
      <c r="P3805" s="15">
        <v>1.0694690951911197</v>
      </c>
      <c r="Q3805" s="8"/>
      <c r="R3805" s="9" t="s">
        <v>3541</v>
      </c>
    </row>
    <row r="3806" spans="1:18" x14ac:dyDescent="0.25">
      <c r="A3806" s="6" t="str">
        <f>HYPERLINK("proteomic_fractions_linear_files/Yang_linear_img/229608895.jpg", "229608895")</f>
        <v>229608895</v>
      </c>
      <c r="B3806" s="7"/>
      <c r="C3806" s="6" t="str">
        <f>HYPERLINK("http://www.ncbi.nlm.nih.gov/protein/229608895","Lbr")</f>
        <v>Lbr</v>
      </c>
      <c r="D3806" s="8"/>
      <c r="E3806" s="8">
        <v>71309</v>
      </c>
      <c r="F3806" s="8"/>
      <c r="G3806" s="15">
        <v>1.0343121160800317</v>
      </c>
      <c r="H3806" s="15">
        <v>1.0343121160800317</v>
      </c>
      <c r="I3806" s="15">
        <v>0.82779165613512462</v>
      </c>
      <c r="J3806" s="15">
        <v>0.82779165613512462</v>
      </c>
      <c r="K3806" s="15">
        <v>0.92187694831752576</v>
      </c>
      <c r="L3806" s="15">
        <v>0.92187694831752576</v>
      </c>
      <c r="M3806" s="15" t="s">
        <v>10</v>
      </c>
      <c r="N3806" s="15" t="s">
        <v>10</v>
      </c>
      <c r="O3806" s="15" t="s">
        <v>10</v>
      </c>
      <c r="P3806" s="15" t="s">
        <v>10</v>
      </c>
      <c r="Q3806" s="8"/>
      <c r="R3806" s="9" t="s">
        <v>3542</v>
      </c>
    </row>
    <row r="3807" spans="1:18" x14ac:dyDescent="0.25">
      <c r="A3807" s="6" t="str">
        <f>HYPERLINK("proteomic_fractions_linear_files/Yang_linear_img/244791455.jpg", "244791455")</f>
        <v>244791455</v>
      </c>
      <c r="B3807" s="7"/>
      <c r="C3807" s="6" t="str">
        <f>HYPERLINK("http://www.ncbi.nlm.nih.gov/protein/244791455","Lck")</f>
        <v>Lck</v>
      </c>
      <c r="D3807" s="8"/>
      <c r="E3807" s="8">
        <v>58872</v>
      </c>
      <c r="F3807" s="8"/>
      <c r="G3807" s="15" t="s">
        <v>10</v>
      </c>
      <c r="H3807" s="15" t="s">
        <v>10</v>
      </c>
      <c r="I3807" s="15">
        <v>0.47319002199461119</v>
      </c>
      <c r="J3807" s="15">
        <v>0.47319002199461119</v>
      </c>
      <c r="K3807" s="15">
        <v>0.99615606077277719</v>
      </c>
      <c r="L3807" s="15">
        <v>0.99615606077277719</v>
      </c>
      <c r="M3807" s="15">
        <v>0.99615606077277719</v>
      </c>
      <c r="N3807" s="15">
        <v>0.99615606077277719</v>
      </c>
      <c r="O3807" s="15">
        <v>0.44322471382076273</v>
      </c>
      <c r="P3807" s="15">
        <v>0.44322471382076273</v>
      </c>
      <c r="Q3807" s="8"/>
      <c r="R3807" s="9" t="s">
        <v>3543</v>
      </c>
    </row>
    <row r="3808" spans="1:18" x14ac:dyDescent="0.25">
      <c r="A3808" s="6" t="str">
        <f>HYPERLINK("proteomic_fractions_linear_files/Yang_linear_img/33859570.jpg", "33859570")</f>
        <v>33859570</v>
      </c>
      <c r="B3808" s="7"/>
      <c r="C3808" s="6" t="str">
        <f>HYPERLINK("http://www.ncbi.nlm.nih.gov/protein/33859570","Lck")</f>
        <v>Lck</v>
      </c>
      <c r="D3808" s="8"/>
      <c r="E3808" s="8">
        <v>57812</v>
      </c>
      <c r="F3808" s="8"/>
      <c r="G3808" s="15" t="s">
        <v>10</v>
      </c>
      <c r="H3808" s="15" t="s">
        <v>10</v>
      </c>
      <c r="I3808" s="15">
        <v>0.48134847064969066</v>
      </c>
      <c r="J3808" s="15">
        <v>0.48134847064969066</v>
      </c>
      <c r="K3808" s="15">
        <v>1.0133311652688595</v>
      </c>
      <c r="L3808" s="15">
        <v>1.0133311652688595</v>
      </c>
      <c r="M3808" s="15">
        <v>1.0133311652688595</v>
      </c>
      <c r="N3808" s="15">
        <v>1.0133311652688595</v>
      </c>
      <c r="O3808" s="15">
        <v>0.45086651923146553</v>
      </c>
      <c r="P3808" s="15">
        <v>0.45086651923146553</v>
      </c>
      <c r="Q3808" s="8"/>
      <c r="R3808" s="9" t="s">
        <v>3544</v>
      </c>
    </row>
    <row r="3809" spans="1:18" x14ac:dyDescent="0.25">
      <c r="A3809" s="6" t="str">
        <f>HYPERLINK("proteomic_fractions_linear_files/Yang_linear_img/295789100;295789098.jpg", "295789100;295789098")</f>
        <v>295789100;295789098</v>
      </c>
      <c r="B3809" s="8"/>
      <c r="C3809" s="6" t="str">
        <f>HYPERLINK("http://www.ncbi.nlm.nih.gov/protein/295789100;295789098","Lclat1")</f>
        <v>Lclat1</v>
      </c>
      <c r="D3809" s="8"/>
      <c r="E3809" s="8">
        <v>44269</v>
      </c>
      <c r="F3809" s="8"/>
      <c r="G3809" s="15" t="s">
        <v>10</v>
      </c>
      <c r="H3809" s="15" t="s">
        <v>10</v>
      </c>
      <c r="I3809" s="15">
        <v>0.78530401205625422</v>
      </c>
      <c r="J3809" s="15">
        <v>0.78530401205625422</v>
      </c>
      <c r="K3809" s="15" t="s">
        <v>10</v>
      </c>
      <c r="L3809" s="15" t="s">
        <v>10</v>
      </c>
      <c r="M3809" s="15" t="s">
        <v>10</v>
      </c>
      <c r="N3809" s="15" t="s">
        <v>10</v>
      </c>
      <c r="O3809" s="15" t="s">
        <v>10</v>
      </c>
      <c r="P3809" s="15" t="s">
        <v>10</v>
      </c>
      <c r="Q3809" s="8"/>
      <c r="R3809" s="9" t="s">
        <v>3545</v>
      </c>
    </row>
    <row r="3810" spans="1:18" x14ac:dyDescent="0.25">
      <c r="A3810" s="6" t="str">
        <f>HYPERLINK("proteomic_fractions_linear_files/Yang_linear_img/42794773.jpg", "42794773")</f>
        <v>42794773</v>
      </c>
      <c r="B3810" s="7"/>
      <c r="C3810" s="6" t="str">
        <f>HYPERLINK("http://www.ncbi.nlm.nih.gov/protein/42794773","Lcmt1")</f>
        <v>Lcmt1</v>
      </c>
      <c r="D3810" s="8"/>
      <c r="E3810" s="8">
        <v>38061</v>
      </c>
      <c r="F3810" s="8"/>
      <c r="G3810" s="15" t="s">
        <v>10</v>
      </c>
      <c r="H3810" s="15" t="s">
        <v>10</v>
      </c>
      <c r="I3810" s="15" t="s">
        <v>10</v>
      </c>
      <c r="J3810" s="15" t="s">
        <v>10</v>
      </c>
      <c r="K3810" s="15">
        <v>1.0659820579795458</v>
      </c>
      <c r="L3810" s="15">
        <v>1.0659820579795458</v>
      </c>
      <c r="M3810" s="15">
        <v>0.98266648481906815</v>
      </c>
      <c r="N3810" s="15">
        <v>0.98266648481906815</v>
      </c>
      <c r="O3810" s="15">
        <v>0.90929938238092589</v>
      </c>
      <c r="P3810" s="15">
        <v>0.90929938238092589</v>
      </c>
      <c r="Q3810" s="8"/>
      <c r="R3810" s="9" t="s">
        <v>3546</v>
      </c>
    </row>
    <row r="3811" spans="1:18" x14ac:dyDescent="0.25">
      <c r="A3811" s="6" t="str">
        <f>HYPERLINK("proteomic_fractions_linear_files/Yang_linear_img/34328049.jpg", "34328049")</f>
        <v>34328049</v>
      </c>
      <c r="B3811" s="7"/>
      <c r="C3811" s="6" t="str">
        <f>HYPERLINK("http://www.ncbi.nlm.nih.gov/protein/34328049","Lcn2")</f>
        <v>Lcn2</v>
      </c>
      <c r="D3811" s="8"/>
      <c r="E3811" s="8">
        <v>20875</v>
      </c>
      <c r="F3811" s="8"/>
      <c r="G3811" s="15" t="s">
        <v>10</v>
      </c>
      <c r="H3811" s="15" t="s">
        <v>10</v>
      </c>
      <c r="I3811" s="15">
        <v>0.98083053269791776</v>
      </c>
      <c r="J3811" s="15">
        <v>0.98083053269791776</v>
      </c>
      <c r="K3811" s="15">
        <v>1.0378924890799406</v>
      </c>
      <c r="L3811" s="15">
        <v>1.0378924890799406</v>
      </c>
      <c r="M3811" s="15" t="s">
        <v>10</v>
      </c>
      <c r="N3811" s="15" t="s">
        <v>10</v>
      </c>
      <c r="O3811" s="15" t="s">
        <v>10</v>
      </c>
      <c r="P3811" s="15" t="s">
        <v>10</v>
      </c>
      <c r="Q3811" s="8"/>
      <c r="R3811" s="9" t="s">
        <v>3547</v>
      </c>
    </row>
    <row r="3812" spans="1:18" x14ac:dyDescent="0.25">
      <c r="A3812" s="6" t="str">
        <f>HYPERLINK("proteomic_fractions_linear_files/Yang_linear_img/31543113;350606354.jpg", "31543113;350606354")</f>
        <v>31543113;350606354</v>
      </c>
      <c r="B3812" s="8"/>
      <c r="C3812" s="6" t="str">
        <f>HYPERLINK("http://www.ncbi.nlm.nih.gov/protein/31543113;350606354","Lcp1")</f>
        <v>Lcp1</v>
      </c>
      <c r="D3812" s="8"/>
      <c r="E3812" s="8">
        <v>70018</v>
      </c>
      <c r="F3812" s="8"/>
      <c r="G3812" s="15" t="s">
        <v>10</v>
      </c>
      <c r="H3812" s="15" t="s">
        <v>10</v>
      </c>
      <c r="I3812" s="15">
        <v>1.0490880034526036</v>
      </c>
      <c r="J3812" s="15">
        <v>1.0490880034526036</v>
      </c>
      <c r="K3812" s="15">
        <v>1.0490880034526036</v>
      </c>
      <c r="L3812" s="15">
        <v>1.0490880034526036</v>
      </c>
      <c r="M3812" s="15">
        <v>1.0490880034526036</v>
      </c>
      <c r="N3812" s="15">
        <v>1.0490880034526036</v>
      </c>
      <c r="O3812" s="15">
        <v>0.93504661900777619</v>
      </c>
      <c r="P3812" s="15">
        <v>0.93504661900777619</v>
      </c>
      <c r="Q3812" s="8"/>
      <c r="R3812" s="9" t="s">
        <v>3548</v>
      </c>
    </row>
    <row r="3813" spans="1:18" x14ac:dyDescent="0.25">
      <c r="A3813" s="6" t="str">
        <f>HYPERLINK("proteomic_fractions_linear_files/Yang_linear_img/257743039.jpg", "257743039")</f>
        <v>257743039</v>
      </c>
      <c r="B3813" s="7"/>
      <c r="C3813" s="6" t="str">
        <f>HYPERLINK("http://www.ncbi.nlm.nih.gov/protein/257743039","Ldha")</f>
        <v>Ldha</v>
      </c>
      <c r="D3813" s="8"/>
      <c r="E3813" s="8">
        <v>39627</v>
      </c>
      <c r="F3813" s="8"/>
      <c r="G3813" s="15">
        <v>1.1031397311741367</v>
      </c>
      <c r="H3813" s="15">
        <v>1.1031397311741367</v>
      </c>
      <c r="I3813" s="15">
        <v>0.80210182139333974</v>
      </c>
      <c r="J3813" s="15">
        <v>0.80210182139333974</v>
      </c>
      <c r="K3813" s="15">
        <v>0.8638344132618796</v>
      </c>
      <c r="L3813" s="15">
        <v>0.8638344132618796</v>
      </c>
      <c r="M3813" s="15">
        <v>0.80210182139333974</v>
      </c>
      <c r="N3813" s="15">
        <v>0.80210182139333974</v>
      </c>
      <c r="O3813" s="15">
        <v>0.69795528244205152</v>
      </c>
      <c r="P3813" s="15">
        <v>0.69795528244205152</v>
      </c>
      <c r="Q3813" s="8"/>
      <c r="R3813" s="9" t="s">
        <v>3549</v>
      </c>
    </row>
    <row r="3814" spans="1:18" x14ac:dyDescent="0.25">
      <c r="A3814" s="6" t="str">
        <f>HYPERLINK("proteomic_fractions_linear_files/Yang_linear_img/6754524.jpg", "6754524")</f>
        <v>6754524</v>
      </c>
      <c r="B3814" s="7"/>
      <c r="C3814" s="6" t="str">
        <f>HYPERLINK("http://www.ncbi.nlm.nih.gov/protein/6754524","Ldha")</f>
        <v>Ldha</v>
      </c>
      <c r="D3814" s="8"/>
      <c r="E3814" s="8">
        <v>36368</v>
      </c>
      <c r="F3814" s="8"/>
      <c r="G3814" s="15">
        <v>1.2257108124157075</v>
      </c>
      <c r="H3814" s="15">
        <v>1.2257108124157075</v>
      </c>
      <c r="I3814" s="15">
        <v>0.89122424599259964</v>
      </c>
      <c r="J3814" s="15">
        <v>0.89122424599259964</v>
      </c>
      <c r="K3814" s="15">
        <v>0.95981601473542177</v>
      </c>
      <c r="L3814" s="15">
        <v>0.95981601473542177</v>
      </c>
      <c r="M3814" s="15">
        <v>0.89122424599259964</v>
      </c>
      <c r="N3814" s="15">
        <v>0.89122424599259964</v>
      </c>
      <c r="O3814" s="15">
        <v>0.77550586938005717</v>
      </c>
      <c r="P3814" s="15">
        <v>0.77550586938005717</v>
      </c>
      <c r="Q3814" s="8"/>
      <c r="R3814" s="9" t="s">
        <v>3550</v>
      </c>
    </row>
    <row r="3815" spans="1:18" x14ac:dyDescent="0.25">
      <c r="A3815" s="6" t="str">
        <f>HYPERLINK("proteomic_fractions_linear_files/Yang_linear_img/30425048.jpg", "30425048")</f>
        <v>30425048</v>
      </c>
      <c r="B3815" s="7"/>
      <c r="C3815" s="6" t="str">
        <f>HYPERLINK("http://www.ncbi.nlm.nih.gov/protein/30425048","Ldhal6b")</f>
        <v>Ldhal6b</v>
      </c>
      <c r="D3815" s="8"/>
      <c r="E3815" s="8">
        <v>41918</v>
      </c>
      <c r="F3815" s="8"/>
      <c r="G3815" s="15" t="s">
        <v>10</v>
      </c>
      <c r="H3815" s="15" t="s">
        <v>10</v>
      </c>
      <c r="I3815" s="15">
        <v>0.76390649656508547</v>
      </c>
      <c r="J3815" s="15">
        <v>0.76390649656508547</v>
      </c>
      <c r="K3815" s="15">
        <v>0.76390649656508547</v>
      </c>
      <c r="L3815" s="15">
        <v>0.76390649656508547</v>
      </c>
      <c r="M3815" s="15">
        <v>0.71155730694555075</v>
      </c>
      <c r="N3815" s="15">
        <v>0.71155730694555075</v>
      </c>
      <c r="O3815" s="15">
        <v>0.62262519322440479</v>
      </c>
      <c r="P3815" s="15">
        <v>0.62262519322440479</v>
      </c>
      <c r="Q3815" s="8"/>
      <c r="R3815" s="9" t="s">
        <v>3551</v>
      </c>
    </row>
    <row r="3816" spans="1:18" x14ac:dyDescent="0.25">
      <c r="A3816" s="6" t="str">
        <f>HYPERLINK("proteomic_fractions_linear_files/Yang_linear_img/6678674.jpg", "6678674")</f>
        <v>6678674</v>
      </c>
      <c r="B3816" s="7"/>
      <c r="C3816" s="6" t="str">
        <f>HYPERLINK("http://www.ncbi.nlm.nih.gov/protein/6678674","Ldhb")</f>
        <v>Ldhb</v>
      </c>
      <c r="D3816" s="8"/>
      <c r="E3816" s="8">
        <v>36441</v>
      </c>
      <c r="F3816" s="8"/>
      <c r="G3816" s="15">
        <v>6.4822457674402516</v>
      </c>
      <c r="H3816" s="15">
        <v>6.4822457674402516</v>
      </c>
      <c r="I3816" s="15">
        <v>0.89122424599259964</v>
      </c>
      <c r="J3816" s="15">
        <v>0.89122424599259964</v>
      </c>
      <c r="K3816" s="15">
        <v>0.95981601473542177</v>
      </c>
      <c r="L3816" s="15">
        <v>0.95981601473542177</v>
      </c>
      <c r="M3816" s="15">
        <v>1.0372590673090165</v>
      </c>
      <c r="N3816" s="15">
        <v>1.0372590673090165</v>
      </c>
      <c r="O3816" s="15">
        <v>0.95981601473542177</v>
      </c>
      <c r="P3816" s="15">
        <v>0.95981601473542177</v>
      </c>
      <c r="Q3816" s="8"/>
      <c r="R3816" s="9" t="s">
        <v>3552</v>
      </c>
    </row>
    <row r="3817" spans="1:18" x14ac:dyDescent="0.25">
      <c r="A3817" s="6" t="str">
        <f>HYPERLINK("proteomic_fractions_linear_files/Yang_linear_img/7305229.jpg", "7305229")</f>
        <v>7305229</v>
      </c>
      <c r="B3817" s="7"/>
      <c r="C3817" s="6" t="str">
        <f>HYPERLINK("http://www.ncbi.nlm.nih.gov/protein/7305229","Ldhc")</f>
        <v>Ldhc</v>
      </c>
      <c r="D3817" s="8"/>
      <c r="E3817" s="8">
        <v>35781</v>
      </c>
      <c r="F3817" s="8"/>
      <c r="G3817" s="15">
        <v>0.89122424599259964</v>
      </c>
      <c r="H3817" s="15">
        <v>0.89122424599259964</v>
      </c>
      <c r="I3817" s="15">
        <v>0.89122424599259964</v>
      </c>
      <c r="J3817" s="15">
        <v>0.89122424599259964</v>
      </c>
      <c r="K3817" s="15">
        <v>0.95981601473542177</v>
      </c>
      <c r="L3817" s="15">
        <v>0.95981601473542177</v>
      </c>
      <c r="M3817" s="15">
        <v>1.0372590673090165</v>
      </c>
      <c r="N3817" s="15">
        <v>1.0372590673090165</v>
      </c>
      <c r="O3817" s="15">
        <v>1.0372590673090165</v>
      </c>
      <c r="P3817" s="15">
        <v>1.0372590673090165</v>
      </c>
      <c r="Q3817" s="8"/>
      <c r="R3817" s="9" t="s">
        <v>3553</v>
      </c>
    </row>
    <row r="3818" spans="1:18" x14ac:dyDescent="0.25">
      <c r="A3818" s="6" t="str">
        <f>HYPERLINK("proteomic_fractions_linear_files/Yang_linear_img/34328379.jpg", "34328379")</f>
        <v>34328379</v>
      </c>
      <c r="B3818" s="7"/>
      <c r="C3818" s="6" t="str">
        <f>HYPERLINK("http://www.ncbi.nlm.nih.gov/protein/34328379","Ldhd")</f>
        <v>Ldhd</v>
      </c>
      <c r="D3818" s="8"/>
      <c r="E3818" s="8">
        <v>51717</v>
      </c>
      <c r="F3818" s="8"/>
      <c r="G3818" s="15" t="s">
        <v>10</v>
      </c>
      <c r="H3818" s="15" t="s">
        <v>10</v>
      </c>
      <c r="I3818" s="15">
        <v>0.92865337662337022</v>
      </c>
      <c r="J3818" s="15">
        <v>0.92865337662337022</v>
      </c>
      <c r="K3818" s="15" t="s">
        <v>10</v>
      </c>
      <c r="L3818" s="15" t="s">
        <v>10</v>
      </c>
      <c r="M3818" s="15" t="s">
        <v>10</v>
      </c>
      <c r="N3818" s="15" t="s">
        <v>10</v>
      </c>
      <c r="O3818" s="15" t="s">
        <v>10</v>
      </c>
      <c r="P3818" s="15" t="s">
        <v>10</v>
      </c>
      <c r="Q3818" s="8"/>
      <c r="R3818" s="9" t="s">
        <v>3554</v>
      </c>
    </row>
    <row r="3819" spans="1:18" x14ac:dyDescent="0.25">
      <c r="A3819" s="6" t="str">
        <f>HYPERLINK("proteomic_fractions_linear_files/Yang_linear_img/113195700.jpg", "113195700")</f>
        <v>113195700</v>
      </c>
      <c r="B3819" s="7"/>
      <c r="C3819" s="6" t="str">
        <f>HYPERLINK("http://www.ncbi.nlm.nih.gov/protein/113195700","Ldlr")</f>
        <v>Ldlr</v>
      </c>
      <c r="D3819" s="8"/>
      <c r="E3819" s="8">
        <v>92707</v>
      </c>
      <c r="F3819" s="8"/>
      <c r="G3819" s="15" t="s">
        <v>10</v>
      </c>
      <c r="H3819" s="15" t="s">
        <v>10</v>
      </c>
      <c r="I3819" s="15" t="s">
        <v>10</v>
      </c>
      <c r="J3819" s="15" t="s">
        <v>10</v>
      </c>
      <c r="K3819" s="15">
        <v>2.509256426105904</v>
      </c>
      <c r="L3819" s="15">
        <v>2.509256426105904</v>
      </c>
      <c r="M3819" s="15" t="s">
        <v>10</v>
      </c>
      <c r="N3819" s="15" t="s">
        <v>10</v>
      </c>
      <c r="O3819" s="15" t="s">
        <v>10</v>
      </c>
      <c r="P3819" s="15" t="s">
        <v>10</v>
      </c>
      <c r="Q3819" s="8"/>
      <c r="R3819" s="9" t="s">
        <v>3555</v>
      </c>
    </row>
    <row r="3820" spans="1:18" x14ac:dyDescent="0.25">
      <c r="A3820" s="6" t="str">
        <f>HYPERLINK("proteomic_fractions_linear_files/Yang_linear_img/358030301.jpg", "358030301")</f>
        <v>358030301</v>
      </c>
      <c r="B3820" s="7"/>
      <c r="C3820" s="6" t="str">
        <f>HYPERLINK("http://www.ncbi.nlm.nih.gov/protein/358030301","Ldlr")</f>
        <v>Ldlr</v>
      </c>
      <c r="D3820" s="8"/>
      <c r="E3820" s="8">
        <v>87058</v>
      </c>
      <c r="F3820" s="8"/>
      <c r="G3820" s="15" t="s">
        <v>10</v>
      </c>
      <c r="H3820" s="15" t="s">
        <v>10</v>
      </c>
      <c r="I3820" s="15" t="s">
        <v>10</v>
      </c>
      <c r="J3820" s="15" t="s">
        <v>10</v>
      </c>
      <c r="K3820" s="15">
        <v>2.6823085934235524</v>
      </c>
      <c r="L3820" s="15">
        <v>2.6823085934235524</v>
      </c>
      <c r="M3820" s="15" t="s">
        <v>10</v>
      </c>
      <c r="N3820" s="15" t="s">
        <v>10</v>
      </c>
      <c r="O3820" s="15" t="s">
        <v>10</v>
      </c>
      <c r="P3820" s="15" t="s">
        <v>10</v>
      </c>
      <c r="Q3820" s="8"/>
      <c r="R3820" s="9" t="s">
        <v>3556</v>
      </c>
    </row>
    <row r="3821" spans="1:18" x14ac:dyDescent="0.25">
      <c r="A3821" s="6" t="str">
        <f>HYPERLINK("proteomic_fractions_linear_files/Yang_linear_img/358030304.jpg", "358030304")</f>
        <v>358030304</v>
      </c>
      <c r="B3821" s="7"/>
      <c r="C3821" s="6" t="str">
        <f>HYPERLINK("http://www.ncbi.nlm.nih.gov/protein/358030304","Ldlr")</f>
        <v>Ldlr</v>
      </c>
      <c r="D3821" s="8"/>
      <c r="E3821" s="8">
        <v>92565</v>
      </c>
      <c r="F3821" s="8"/>
      <c r="G3821" s="15" t="s">
        <v>10</v>
      </c>
      <c r="H3821" s="15" t="s">
        <v>10</v>
      </c>
      <c r="I3821" s="15" t="s">
        <v>10</v>
      </c>
      <c r="J3821" s="15" t="s">
        <v>10</v>
      </c>
      <c r="K3821" s="15">
        <v>2.509256426105904</v>
      </c>
      <c r="L3821" s="15">
        <v>2.509256426105904</v>
      </c>
      <c r="M3821" s="15" t="s">
        <v>10</v>
      </c>
      <c r="N3821" s="15" t="s">
        <v>10</v>
      </c>
      <c r="O3821" s="15" t="s">
        <v>10</v>
      </c>
      <c r="P3821" s="15" t="s">
        <v>10</v>
      </c>
      <c r="Q3821" s="8"/>
      <c r="R3821" s="9" t="s">
        <v>3557</v>
      </c>
    </row>
    <row r="3822" spans="1:18" x14ac:dyDescent="0.25">
      <c r="A3822" s="6" t="str">
        <f>HYPERLINK("proteomic_fractions_linear_files/Yang_linear_img/160333775.jpg", "160333775")</f>
        <v>160333775</v>
      </c>
      <c r="B3822" s="7"/>
      <c r="C3822" s="6" t="str">
        <f>HYPERLINK("http://www.ncbi.nlm.nih.gov/protein/160333775","Ldlrap1")</f>
        <v>Ldlrap1</v>
      </c>
      <c r="D3822" s="8"/>
      <c r="E3822" s="8">
        <v>33844</v>
      </c>
      <c r="F3822" s="8"/>
      <c r="G3822" s="15" t="s">
        <v>10</v>
      </c>
      <c r="H3822" s="15" t="s">
        <v>10</v>
      </c>
      <c r="I3822" s="15">
        <v>0.94364920163922317</v>
      </c>
      <c r="J3822" s="15">
        <v>0.94364920163922317</v>
      </c>
      <c r="K3822" s="15">
        <v>1.0162757803080937</v>
      </c>
      <c r="L3822" s="15">
        <v>1.0162757803080937</v>
      </c>
      <c r="M3822" s="15">
        <v>0.94364920163922317</v>
      </c>
      <c r="N3822" s="15">
        <v>0.94364920163922317</v>
      </c>
      <c r="O3822" s="15" t="s">
        <v>10</v>
      </c>
      <c r="P3822" s="15" t="s">
        <v>10</v>
      </c>
      <c r="Q3822" s="8"/>
      <c r="R3822" s="9" t="s">
        <v>3558</v>
      </c>
    </row>
    <row r="3823" spans="1:18" x14ac:dyDescent="0.25">
      <c r="A3823" s="6" t="str">
        <f>HYPERLINK("proteomic_fractions_linear_files/Yang_linear_img/170932462.jpg", "170932462")</f>
        <v>170932462</v>
      </c>
      <c r="B3823" s="7"/>
      <c r="C3823" s="6" t="str">
        <f>HYPERLINK("http://www.ncbi.nlm.nih.gov/protein/170932462","Lect1")</f>
        <v>Lect1</v>
      </c>
      <c r="D3823" s="8"/>
      <c r="E3823" s="8">
        <v>37094</v>
      </c>
      <c r="F3823" s="8"/>
      <c r="G3823" s="15" t="s">
        <v>10</v>
      </c>
      <c r="H3823" s="15" t="s">
        <v>10</v>
      </c>
      <c r="I3823" s="15" t="s">
        <v>10</v>
      </c>
      <c r="J3823" s="15" t="s">
        <v>10</v>
      </c>
      <c r="K3823" s="15" t="s">
        <v>10</v>
      </c>
      <c r="L3823" s="15" t="s">
        <v>10</v>
      </c>
      <c r="M3823" s="15">
        <v>25.918600482876197</v>
      </c>
      <c r="N3823" s="15">
        <v>50.97201092251327</v>
      </c>
      <c r="O3823" s="15">
        <v>6.3070499358878127</v>
      </c>
      <c r="P3823" s="15">
        <v>6.3070499358878127</v>
      </c>
      <c r="Q3823" s="8"/>
      <c r="R3823" s="9" t="s">
        <v>3559</v>
      </c>
    </row>
    <row r="3824" spans="1:18" x14ac:dyDescent="0.25">
      <c r="A3824" s="6" t="str">
        <f>HYPERLINK("proteomic_fractions_linear_files/Yang_linear_img/145864461.jpg", "145864461")</f>
        <v>145864461</v>
      </c>
      <c r="B3824" s="7"/>
      <c r="C3824" s="6" t="str">
        <f>HYPERLINK("http://www.ncbi.nlm.nih.gov/protein/145864461","Lemd3")</f>
        <v>Lemd3</v>
      </c>
      <c r="D3824" s="8"/>
      <c r="E3824" s="8">
        <v>100035</v>
      </c>
      <c r="F3824" s="8"/>
      <c r="G3824" s="15">
        <v>1.5345287113624184</v>
      </c>
      <c r="H3824" s="15">
        <v>1.5345287113624184</v>
      </c>
      <c r="I3824" s="15" t="s">
        <v>10</v>
      </c>
      <c r="J3824" s="15" t="s">
        <v>10</v>
      </c>
      <c r="K3824" s="15" t="s">
        <v>10</v>
      </c>
      <c r="L3824" s="15" t="s">
        <v>10</v>
      </c>
      <c r="M3824" s="15" t="s">
        <v>10</v>
      </c>
      <c r="N3824" s="15" t="s">
        <v>10</v>
      </c>
      <c r="O3824" s="15" t="s">
        <v>10</v>
      </c>
      <c r="P3824" s="15" t="s">
        <v>10</v>
      </c>
      <c r="Q3824" s="8"/>
      <c r="R3824" s="9" t="s">
        <v>3560</v>
      </c>
    </row>
    <row r="3825" spans="1:18" x14ac:dyDescent="0.25">
      <c r="A3825" s="6" t="str">
        <f>HYPERLINK("proteomic_fractions_linear_files/Yang_linear_img/87299619.jpg", "87299619")</f>
        <v>87299619</v>
      </c>
      <c r="B3825" s="7"/>
      <c r="C3825" s="6" t="str">
        <f>HYPERLINK("http://www.ncbi.nlm.nih.gov/protein/87299619","Leo1")</f>
        <v>Leo1</v>
      </c>
      <c r="D3825" s="8"/>
      <c r="E3825" s="8">
        <v>75466</v>
      </c>
      <c r="F3825" s="8"/>
      <c r="G3825" s="15" t="s">
        <v>10</v>
      </c>
      <c r="H3825" s="15" t="s">
        <v>10</v>
      </c>
      <c r="I3825" s="15" t="s">
        <v>10</v>
      </c>
      <c r="J3825" s="15" t="s">
        <v>10</v>
      </c>
      <c r="K3825" s="15" t="s">
        <v>10</v>
      </c>
      <c r="L3825" s="15" t="s">
        <v>10</v>
      </c>
      <c r="M3825" s="15">
        <v>1.7162883752682263</v>
      </c>
      <c r="N3825" s="15">
        <v>1.7162883752682263</v>
      </c>
      <c r="O3825" s="15">
        <v>1.7162883752682263</v>
      </c>
      <c r="P3825" s="15">
        <v>1.7162883752682263</v>
      </c>
      <c r="Q3825" s="8"/>
      <c r="R3825" s="9" t="s">
        <v>3561</v>
      </c>
    </row>
    <row r="3826" spans="1:18" x14ac:dyDescent="0.25">
      <c r="A3826" s="6" t="str">
        <f>HYPERLINK("proteomic_fractions_linear_files/Yang_linear_img/28077089.jpg", "28077089")</f>
        <v>28077089</v>
      </c>
      <c r="B3826" s="7"/>
      <c r="C3826" s="6" t="str">
        <f>HYPERLINK("http://www.ncbi.nlm.nih.gov/protein/28077089","Leprot")</f>
        <v>Leprot</v>
      </c>
      <c r="D3826" s="8"/>
      <c r="E3826" s="8">
        <v>14185</v>
      </c>
      <c r="F3826" s="8"/>
      <c r="G3826" s="15" t="s">
        <v>10</v>
      </c>
      <c r="H3826" s="15" t="s">
        <v>10</v>
      </c>
      <c r="I3826" s="15">
        <v>1.1376744130844125</v>
      </c>
      <c r="J3826" s="15">
        <v>1.1376744130844125</v>
      </c>
      <c r="K3826" s="15">
        <v>1.2549956975256404</v>
      </c>
      <c r="L3826" s="15">
        <v>1.2549956975256404</v>
      </c>
      <c r="M3826" s="15">
        <v>1.2549956975256404</v>
      </c>
      <c r="N3826" s="15">
        <v>1.2549956975256404</v>
      </c>
      <c r="O3826" s="15" t="s">
        <v>10</v>
      </c>
      <c r="P3826" s="15" t="s">
        <v>10</v>
      </c>
      <c r="Q3826" s="8"/>
      <c r="R3826" s="9" t="s">
        <v>3562</v>
      </c>
    </row>
    <row r="3827" spans="1:18" x14ac:dyDescent="0.25">
      <c r="A3827" s="6" t="str">
        <f>HYPERLINK("proteomic_fractions_linear_files/Yang_linear_img/13386094.jpg", "13386094")</f>
        <v>13386094</v>
      </c>
      <c r="B3827" s="7"/>
      <c r="C3827" s="6" t="str">
        <f>HYPERLINK("http://www.ncbi.nlm.nih.gov/protein/13386094","Leprotl1")</f>
        <v>Leprotl1</v>
      </c>
      <c r="D3827" s="8"/>
      <c r="E3827" s="8">
        <v>14283</v>
      </c>
      <c r="F3827" s="8"/>
      <c r="G3827" s="15" t="s">
        <v>10</v>
      </c>
      <c r="H3827" s="15" t="s">
        <v>10</v>
      </c>
      <c r="I3827" s="15" t="s">
        <v>10</v>
      </c>
      <c r="J3827" s="15" t="s">
        <v>10</v>
      </c>
      <c r="K3827" s="15">
        <v>1.085452735272449</v>
      </c>
      <c r="L3827" s="15">
        <v>1.085452735272449</v>
      </c>
      <c r="M3827" s="15" t="s">
        <v>10</v>
      </c>
      <c r="N3827" s="15" t="s">
        <v>10</v>
      </c>
      <c r="O3827" s="15" t="s">
        <v>10</v>
      </c>
      <c r="P3827" s="15" t="s">
        <v>10</v>
      </c>
      <c r="Q3827" s="8"/>
      <c r="R3827" s="9" t="s">
        <v>3563</v>
      </c>
    </row>
    <row r="3828" spans="1:18" x14ac:dyDescent="0.25">
      <c r="A3828" s="6" t="str">
        <f>HYPERLINK("proteomic_fractions_linear_files/Yang_linear_img/9789997.jpg", "9789997")</f>
        <v>9789997</v>
      </c>
      <c r="B3828" s="7"/>
      <c r="C3828" s="6" t="str">
        <f>HYPERLINK("http://www.ncbi.nlm.nih.gov/protein/9789997","Letm1")</f>
        <v>Letm1</v>
      </c>
      <c r="D3828" s="8"/>
      <c r="E3828" s="8">
        <v>70685</v>
      </c>
      <c r="F3828" s="8"/>
      <c r="G3828" s="15">
        <v>1.1704036404668148</v>
      </c>
      <c r="H3828" s="15">
        <v>1.3375771997547115</v>
      </c>
      <c r="I3828" s="15">
        <v>1.1704036404668148</v>
      </c>
      <c r="J3828" s="15">
        <v>1.1704036404668148</v>
      </c>
      <c r="K3828" s="15">
        <v>1.3375771997547115</v>
      </c>
      <c r="L3828" s="15">
        <v>1.3375771997547115</v>
      </c>
      <c r="M3828" s="15" t="s">
        <v>10</v>
      </c>
      <c r="N3828" s="15" t="s">
        <v>10</v>
      </c>
      <c r="O3828" s="15" t="s">
        <v>10</v>
      </c>
      <c r="P3828" s="15" t="s">
        <v>10</v>
      </c>
      <c r="Q3828" s="8"/>
      <c r="R3828" s="9" t="s">
        <v>3564</v>
      </c>
    </row>
    <row r="3829" spans="1:18" x14ac:dyDescent="0.25">
      <c r="A3829" s="6" t="str">
        <f>HYPERLINK("proteomic_fractions_linear_files/Yang_linear_img/6678682.jpg", "6678682")</f>
        <v>6678682</v>
      </c>
      <c r="B3829" s="7"/>
      <c r="C3829" s="6" t="str">
        <f>HYPERLINK("http://www.ncbi.nlm.nih.gov/protein/6678682","Lgals1")</f>
        <v>Lgals1</v>
      </c>
      <c r="D3829" s="8"/>
      <c r="E3829" s="8">
        <v>14735</v>
      </c>
      <c r="F3829" s="8"/>
      <c r="G3829" s="15">
        <v>1.3731627457770847</v>
      </c>
      <c r="H3829" s="15">
        <v>1.3731627457770847</v>
      </c>
      <c r="I3829" s="15">
        <v>0.92572336666244337</v>
      </c>
      <c r="J3829" s="15">
        <v>0.92572336666244337</v>
      </c>
      <c r="K3829" s="15">
        <v>0.96783158145802317</v>
      </c>
      <c r="L3829" s="15">
        <v>0.96783158145802317</v>
      </c>
      <c r="M3829" s="15">
        <v>0.96783158145802317</v>
      </c>
      <c r="N3829" s="15">
        <v>0.96783158145802317</v>
      </c>
      <c r="O3829" s="15">
        <v>0.92572336666244337</v>
      </c>
      <c r="P3829" s="15">
        <v>0.92572336666244337</v>
      </c>
      <c r="Q3829" s="8"/>
      <c r="R3829" s="9" t="s">
        <v>3565</v>
      </c>
    </row>
    <row r="3830" spans="1:18" x14ac:dyDescent="0.25">
      <c r="A3830" s="6" t="str">
        <f>HYPERLINK("proteomic_fractions_linear_files/Yang_linear_img/9506757.jpg", "9506757")</f>
        <v>9506757</v>
      </c>
      <c r="B3830" s="7"/>
      <c r="C3830" s="6" t="str">
        <f>HYPERLINK("http://www.ncbi.nlm.nih.gov/protein/9506757","Lgals12")</f>
        <v>Lgals12</v>
      </c>
      <c r="D3830" s="8"/>
      <c r="E3830" s="8">
        <v>35329</v>
      </c>
      <c r="F3830" s="8"/>
      <c r="G3830" s="15" t="s">
        <v>10</v>
      </c>
      <c r="H3830" s="15" t="s">
        <v>10</v>
      </c>
      <c r="I3830" s="15">
        <v>0.85386876833466085</v>
      </c>
      <c r="J3830" s="15">
        <v>0.85386876833466085</v>
      </c>
      <c r="K3830" s="15" t="s">
        <v>10</v>
      </c>
      <c r="L3830" s="15" t="s">
        <v>10</v>
      </c>
      <c r="M3830" s="15" t="s">
        <v>10</v>
      </c>
      <c r="N3830" s="15" t="s">
        <v>10</v>
      </c>
      <c r="O3830" s="15" t="s">
        <v>10</v>
      </c>
      <c r="P3830" s="15" t="s">
        <v>10</v>
      </c>
      <c r="Q3830" s="8"/>
      <c r="R3830" s="9" t="s">
        <v>3566</v>
      </c>
    </row>
    <row r="3831" spans="1:18" x14ac:dyDescent="0.25">
      <c r="A3831" s="6" t="str">
        <f>HYPERLINK("proteomic_fractions_linear_files/Yang_linear_img/33859580;225543163.jpg", "33859580;225543163")</f>
        <v>33859580;225543163</v>
      </c>
      <c r="B3831" s="8"/>
      <c r="C3831" s="6" t="str">
        <f>HYPERLINK("http://www.ncbi.nlm.nih.gov/protein/33859580;225543163","Lgals3")</f>
        <v>Lgals3</v>
      </c>
      <c r="D3831" s="8"/>
      <c r="E3831" s="8">
        <v>27284</v>
      </c>
      <c r="F3831" s="8"/>
      <c r="G3831" s="15">
        <v>1.5002710445638054</v>
      </c>
      <c r="H3831" s="15">
        <v>1.5002710445638054</v>
      </c>
      <c r="I3831" s="15" t="s">
        <v>10</v>
      </c>
      <c r="J3831" s="15" t="s">
        <v>10</v>
      </c>
      <c r="K3831" s="15">
        <v>1.0340078258400762</v>
      </c>
      <c r="L3831" s="15">
        <v>1.0340078258400762</v>
      </c>
      <c r="M3831" s="15" t="s">
        <v>10</v>
      </c>
      <c r="N3831" s="15" t="s">
        <v>10</v>
      </c>
      <c r="O3831" s="15" t="s">
        <v>10</v>
      </c>
      <c r="P3831" s="15" t="s">
        <v>10</v>
      </c>
      <c r="Q3831" s="8"/>
      <c r="R3831" s="9" t="s">
        <v>3567</v>
      </c>
    </row>
    <row r="3832" spans="1:18" x14ac:dyDescent="0.25">
      <c r="A3832" s="6" t="str">
        <f>HYPERLINK("proteomic_fractions_linear_files/Yang_linear_img/225543163.jpg", "225543163")</f>
        <v>225543163</v>
      </c>
      <c r="B3832" s="7"/>
      <c r="C3832" s="6" t="str">
        <f>HYPERLINK("http://www.ncbi.nlm.nih.gov/protein/225543163","Lgals3")</f>
        <v>Lgals3</v>
      </c>
      <c r="D3832" s="8"/>
      <c r="E3832" s="8">
        <v>27284</v>
      </c>
      <c r="F3832" s="8"/>
      <c r="G3832" s="15" t="s">
        <v>10</v>
      </c>
      <c r="H3832" s="15" t="s">
        <v>10</v>
      </c>
      <c r="I3832" s="15">
        <v>0.96852807834907406</v>
      </c>
      <c r="J3832" s="15">
        <v>0.96852807834907406</v>
      </c>
      <c r="K3832" s="15" t="s">
        <v>10</v>
      </c>
      <c r="L3832" s="15" t="s">
        <v>10</v>
      </c>
      <c r="M3832" s="15">
        <v>0.96852807834907406</v>
      </c>
      <c r="N3832" s="15">
        <v>0.96852807834907406</v>
      </c>
      <c r="O3832" s="15">
        <v>0.90943780049173761</v>
      </c>
      <c r="P3832" s="15">
        <v>0.90943780049173761</v>
      </c>
      <c r="Q3832" s="8"/>
      <c r="R3832" s="9" t="s">
        <v>3567</v>
      </c>
    </row>
    <row r="3833" spans="1:18" x14ac:dyDescent="0.25">
      <c r="A3833" s="6" t="str">
        <f>HYPERLINK("proteomic_fractions_linear_files/Yang_linear_img/9256551.jpg", "9256551")</f>
        <v>9256551</v>
      </c>
      <c r="B3833" s="7"/>
      <c r="C3833" s="6" t="str">
        <f>HYPERLINK("http://www.ncbi.nlm.nih.gov/protein/9256551","Lgals8")</f>
        <v>Lgals8</v>
      </c>
      <c r="D3833" s="8"/>
      <c r="E3833" s="8">
        <v>36031</v>
      </c>
      <c r="F3833" s="8"/>
      <c r="G3833" s="15" t="s">
        <v>10</v>
      </c>
      <c r="H3833" s="15" t="s">
        <v>10</v>
      </c>
      <c r="I3833" s="15">
        <v>0.89122424599259964</v>
      </c>
      <c r="J3833" s="15">
        <v>0.89122424599259964</v>
      </c>
      <c r="K3833" s="15" t="s">
        <v>10</v>
      </c>
      <c r="L3833" s="15" t="s">
        <v>10</v>
      </c>
      <c r="M3833" s="15" t="s">
        <v>10</v>
      </c>
      <c r="N3833" s="15" t="s">
        <v>10</v>
      </c>
      <c r="O3833" s="15" t="s">
        <v>10</v>
      </c>
      <c r="P3833" s="15" t="s">
        <v>10</v>
      </c>
      <c r="Q3833" s="8"/>
      <c r="R3833" s="9" t="s">
        <v>3568</v>
      </c>
    </row>
    <row r="3834" spans="1:18" x14ac:dyDescent="0.25">
      <c r="A3834" s="6" t="str">
        <f>HYPERLINK("proteomic_fractions_linear_files/Yang_linear_img/312261230;9256551.jpg", "312261230;9256551")</f>
        <v>312261230;9256551</v>
      </c>
      <c r="B3834" s="8"/>
      <c r="C3834" s="6" t="str">
        <f>HYPERLINK("http://www.ncbi.nlm.nih.gov/protein/312261230;9256551","Lgals8")</f>
        <v>Lgals8</v>
      </c>
      <c r="D3834" s="8"/>
      <c r="E3834" s="8">
        <v>36031</v>
      </c>
      <c r="F3834" s="8"/>
      <c r="G3834" s="15" t="s">
        <v>10</v>
      </c>
      <c r="H3834" s="15" t="s">
        <v>10</v>
      </c>
      <c r="I3834" s="15" t="s">
        <v>10</v>
      </c>
      <c r="J3834" s="15" t="s">
        <v>10</v>
      </c>
      <c r="K3834" s="15">
        <v>0.89122424599259964</v>
      </c>
      <c r="L3834" s="15">
        <v>0.89122424599259964</v>
      </c>
      <c r="M3834" s="15" t="s">
        <v>10</v>
      </c>
      <c r="N3834" s="15" t="s">
        <v>10</v>
      </c>
      <c r="O3834" s="15" t="s">
        <v>10</v>
      </c>
      <c r="P3834" s="15" t="s">
        <v>10</v>
      </c>
      <c r="Q3834" s="8"/>
      <c r="R3834" s="9" t="s">
        <v>3568</v>
      </c>
    </row>
    <row r="3835" spans="1:18" x14ac:dyDescent="0.25">
      <c r="A3835" s="6" t="str">
        <f>HYPERLINK("proteomic_fractions_linear_files/Yang_linear_img/226531119.jpg", "226531119")</f>
        <v>226531119</v>
      </c>
      <c r="B3835" s="7"/>
      <c r="C3835" s="6" t="str">
        <f>HYPERLINK("http://www.ncbi.nlm.nih.gov/protein/226531119","Lgals9")</f>
        <v>Lgals9</v>
      </c>
      <c r="D3835" s="8"/>
      <c r="E3835" s="8">
        <v>39891</v>
      </c>
      <c r="F3835" s="8"/>
      <c r="G3835" s="15" t="s">
        <v>10</v>
      </c>
      <c r="H3835" s="15" t="s">
        <v>10</v>
      </c>
      <c r="I3835" s="15">
        <v>0.80210182139333974</v>
      </c>
      <c r="J3835" s="15">
        <v>0.80210182139333974</v>
      </c>
      <c r="K3835" s="15">
        <v>0.80210182139333974</v>
      </c>
      <c r="L3835" s="15">
        <v>0.80210182139333974</v>
      </c>
      <c r="M3835" s="15">
        <v>0.41791186301517558</v>
      </c>
      <c r="N3835" s="15">
        <v>0.43924849413397415</v>
      </c>
      <c r="O3835" s="15">
        <v>0.41791186301517558</v>
      </c>
      <c r="P3835" s="15">
        <v>0.41791186301517558</v>
      </c>
      <c r="Q3835" s="8"/>
      <c r="R3835" s="9" t="s">
        <v>3569</v>
      </c>
    </row>
    <row r="3836" spans="1:18" x14ac:dyDescent="0.25">
      <c r="A3836" s="6" t="str">
        <f>HYPERLINK("proteomic_fractions_linear_files/Yang_linear_img/226531139.jpg", "226531139")</f>
        <v>226531139</v>
      </c>
      <c r="B3836" s="7"/>
      <c r="C3836" s="6" t="str">
        <f>HYPERLINK("http://www.ncbi.nlm.nih.gov/protein/226531139","Lgals9")</f>
        <v>Lgals9</v>
      </c>
      <c r="D3836" s="8"/>
      <c r="E3836" s="8">
        <v>36413</v>
      </c>
      <c r="F3836" s="8"/>
      <c r="G3836" s="15" t="s">
        <v>10</v>
      </c>
      <c r="H3836" s="15" t="s">
        <v>10</v>
      </c>
      <c r="I3836" s="15">
        <v>0.89122424599259964</v>
      </c>
      <c r="J3836" s="15">
        <v>0.89122424599259964</v>
      </c>
      <c r="K3836" s="15">
        <v>0.89122424599259964</v>
      </c>
      <c r="L3836" s="15">
        <v>0.89122424599259964</v>
      </c>
      <c r="M3836" s="15">
        <v>0.46434651446130615</v>
      </c>
      <c r="N3836" s="15">
        <v>0.48805388237108244</v>
      </c>
      <c r="O3836" s="15">
        <v>0.46434651446130615</v>
      </c>
      <c r="P3836" s="15">
        <v>0.46434651446130615</v>
      </c>
      <c r="Q3836" s="8"/>
      <c r="R3836" s="9" t="s">
        <v>3570</v>
      </c>
    </row>
    <row r="3837" spans="1:18" x14ac:dyDescent="0.25">
      <c r="A3837" s="6" t="str">
        <f>HYPERLINK("proteomic_fractions_linear_files/Yang_linear_img/29611654.jpg", "29611654")</f>
        <v>29611654</v>
      </c>
      <c r="B3837" s="7"/>
      <c r="C3837" s="6" t="str">
        <f>HYPERLINK("http://www.ncbi.nlm.nih.gov/protein/29611654","Lgalsl")</f>
        <v>Lgalsl</v>
      </c>
      <c r="D3837" s="8"/>
      <c r="E3837" s="8">
        <v>18825</v>
      </c>
      <c r="F3837" s="8"/>
      <c r="G3837" s="15" t="s">
        <v>10</v>
      </c>
      <c r="H3837" s="15" t="s">
        <v>10</v>
      </c>
      <c r="I3837" s="15" t="s">
        <v>10</v>
      </c>
      <c r="J3837" s="15" t="s">
        <v>10</v>
      </c>
      <c r="K3837" s="15" t="s">
        <v>10</v>
      </c>
      <c r="L3837" s="15" t="s">
        <v>10</v>
      </c>
      <c r="M3837" s="15" t="s">
        <v>10</v>
      </c>
      <c r="N3837" s="15" t="s">
        <v>10</v>
      </c>
      <c r="O3837" s="15">
        <v>0.97343679813495176</v>
      </c>
      <c r="P3837" s="15">
        <v>0.97343679813495176</v>
      </c>
      <c r="Q3837" s="8"/>
      <c r="R3837" s="9" t="s">
        <v>3571</v>
      </c>
    </row>
    <row r="3838" spans="1:18" x14ac:dyDescent="0.25">
      <c r="A3838" s="6" t="str">
        <f>HYPERLINK("proteomic_fractions_linear_files/Yang_linear_img/7242187.jpg", "7242187")</f>
        <v>7242187</v>
      </c>
      <c r="B3838" s="7"/>
      <c r="C3838" s="6" t="str">
        <f>HYPERLINK("http://www.ncbi.nlm.nih.gov/protein/7242187","Lgmn")</f>
        <v>Lgmn</v>
      </c>
      <c r="D3838" s="8"/>
      <c r="E3838" s="8">
        <v>34818</v>
      </c>
      <c r="F3838" s="8"/>
      <c r="G3838" s="15">
        <v>1.2607311213418706</v>
      </c>
      <c r="H3838" s="15">
        <v>1.2607311213418706</v>
      </c>
      <c r="I3838" s="15">
        <v>0.98723932944214809</v>
      </c>
      <c r="J3838" s="15">
        <v>0.98723932944214809</v>
      </c>
      <c r="K3838" s="15">
        <v>0.91668779587810256</v>
      </c>
      <c r="L3838" s="15">
        <v>0.91668779587810256</v>
      </c>
      <c r="M3838" s="15">
        <v>0.91668779587810256</v>
      </c>
      <c r="N3838" s="15">
        <v>0.91668779587810256</v>
      </c>
      <c r="O3838" s="15">
        <v>0.74715023186928575</v>
      </c>
      <c r="P3838" s="15">
        <v>0.91668779587810256</v>
      </c>
      <c r="Q3838" s="8"/>
      <c r="R3838" s="9" t="s">
        <v>3572</v>
      </c>
    </row>
    <row r="3839" spans="1:18" x14ac:dyDescent="0.25">
      <c r="A3839" s="6" t="str">
        <f>HYPERLINK("proteomic_fractions_linear_files/Yang_linear_img/13277380.jpg", "13277380")</f>
        <v>13277380</v>
      </c>
      <c r="B3839" s="7"/>
      <c r="C3839" s="6" t="str">
        <f>HYPERLINK("http://www.ncbi.nlm.nih.gov/protein/13277380","Lias")</f>
        <v>Lias</v>
      </c>
      <c r="D3839" s="8"/>
      <c r="E3839" s="8">
        <v>38892</v>
      </c>
      <c r="F3839" s="8"/>
      <c r="G3839" s="15" t="s">
        <v>10</v>
      </c>
      <c r="H3839" s="15" t="s">
        <v>10</v>
      </c>
      <c r="I3839" s="15">
        <v>0.95746990828524592</v>
      </c>
      <c r="J3839" s="15">
        <v>0.95746990828524592</v>
      </c>
      <c r="K3839" s="15" t="s">
        <v>10</v>
      </c>
      <c r="L3839" s="15" t="s">
        <v>10</v>
      </c>
      <c r="M3839" s="15" t="s">
        <v>10</v>
      </c>
      <c r="N3839" s="15" t="s">
        <v>10</v>
      </c>
      <c r="O3839" s="15" t="s">
        <v>10</v>
      </c>
      <c r="P3839" s="15" t="s">
        <v>10</v>
      </c>
      <c r="Q3839" s="8"/>
      <c r="R3839" s="9" t="s">
        <v>3573</v>
      </c>
    </row>
    <row r="3840" spans="1:18" x14ac:dyDescent="0.25">
      <c r="A3840" s="6" t="str">
        <f>HYPERLINK("proteomic_fractions_linear_files/Yang_linear_img/313151236;133892266.jpg", "313151236;133892266")</f>
        <v>313151236;133892266</v>
      </c>
      <c r="B3840" s="8"/>
      <c r="C3840" s="6" t="str">
        <f>HYPERLINK("http://www.ncbi.nlm.nih.gov/protein/313151236;133892266","Lig1")</f>
        <v>Lig1</v>
      </c>
      <c r="D3840" s="8"/>
      <c r="E3840" s="8">
        <v>103962</v>
      </c>
      <c r="F3840" s="8"/>
      <c r="G3840" s="15" t="s">
        <v>10</v>
      </c>
      <c r="H3840" s="15" t="s">
        <v>10</v>
      </c>
      <c r="I3840" s="15" t="s">
        <v>10</v>
      </c>
      <c r="J3840" s="15" t="s">
        <v>10</v>
      </c>
      <c r="K3840" s="15">
        <v>1.4755083763100176</v>
      </c>
      <c r="L3840" s="15">
        <v>1.4755083763100176</v>
      </c>
      <c r="M3840" s="15" t="s">
        <v>10</v>
      </c>
      <c r="N3840" s="15" t="s">
        <v>10</v>
      </c>
      <c r="O3840" s="15" t="s">
        <v>10</v>
      </c>
      <c r="P3840" s="15" t="s">
        <v>10</v>
      </c>
      <c r="Q3840" s="8"/>
      <c r="R3840" s="9" t="s">
        <v>3574</v>
      </c>
    </row>
    <row r="3841" spans="1:18" x14ac:dyDescent="0.25">
      <c r="A3841" s="6" t="str">
        <f>HYPERLINK("proteomic_fractions_linear_files/Yang_linear_img/133892266.jpg", "133892266")</f>
        <v>133892266</v>
      </c>
      <c r="B3841" s="7"/>
      <c r="C3841" s="6" t="str">
        <f>HYPERLINK("http://www.ncbi.nlm.nih.gov/protein/133892266","Lig1")</f>
        <v>Lig1</v>
      </c>
      <c r="D3841" s="8"/>
      <c r="E3841" s="8">
        <v>103962</v>
      </c>
      <c r="F3841" s="8"/>
      <c r="G3841" s="15" t="s">
        <v>10</v>
      </c>
      <c r="H3841" s="15" t="s">
        <v>10</v>
      </c>
      <c r="I3841" s="15">
        <v>1.4755083763100176</v>
      </c>
      <c r="J3841" s="15">
        <v>1.4755083763100176</v>
      </c>
      <c r="K3841" s="15" t="s">
        <v>10</v>
      </c>
      <c r="L3841" s="15" t="s">
        <v>10</v>
      </c>
      <c r="M3841" s="15">
        <v>1.4755083763100176</v>
      </c>
      <c r="N3841" s="15">
        <v>1.4755083763100176</v>
      </c>
      <c r="O3841" s="15">
        <v>1.4755083763100176</v>
      </c>
      <c r="P3841" s="15">
        <v>1.4755083763100176</v>
      </c>
      <c r="Q3841" s="8"/>
      <c r="R3841" s="9" t="s">
        <v>3574</v>
      </c>
    </row>
    <row r="3842" spans="1:18" x14ac:dyDescent="0.25">
      <c r="A3842" s="6" t="str">
        <f>HYPERLINK("proteomic_fractions_linear_files/Yang_linear_img/158518433.jpg", "158518433")</f>
        <v>158518433</v>
      </c>
      <c r="B3842" s="7"/>
      <c r="C3842" s="6" t="str">
        <f>HYPERLINK("http://www.ncbi.nlm.nih.gov/protein/158518433","Lima1")</f>
        <v>Lima1</v>
      </c>
      <c r="D3842" s="8"/>
      <c r="E3842" s="8">
        <v>65887</v>
      </c>
      <c r="F3842" s="8"/>
      <c r="G3842" s="15">
        <v>1.6636600578959313</v>
      </c>
      <c r="H3842" s="15">
        <v>1.6636600578959313</v>
      </c>
      <c r="I3842" s="15">
        <v>1.6636600578959313</v>
      </c>
      <c r="J3842" s="15">
        <v>1.6636600578959313</v>
      </c>
      <c r="K3842" s="15">
        <v>1.438908805796735</v>
      </c>
      <c r="L3842" s="15">
        <v>1.438908805796735</v>
      </c>
      <c r="M3842" s="15" t="s">
        <v>10</v>
      </c>
      <c r="N3842" s="15" t="s">
        <v>10</v>
      </c>
      <c r="O3842" s="15">
        <v>1.2590705829264222</v>
      </c>
      <c r="P3842" s="15">
        <v>1.2590705829264222</v>
      </c>
      <c r="Q3842" s="8"/>
      <c r="R3842" s="9" t="s">
        <v>3575</v>
      </c>
    </row>
    <row r="3843" spans="1:18" x14ac:dyDescent="0.25">
      <c r="A3843" s="6" t="str">
        <f>HYPERLINK("proteomic_fractions_linear_files/Yang_linear_img/165905585.jpg", "165905585")</f>
        <v>165905585</v>
      </c>
      <c r="B3843" s="7"/>
      <c r="C3843" s="6" t="str">
        <f>HYPERLINK("http://www.ncbi.nlm.nih.gov/protein/165905585","Lima1")</f>
        <v>Lima1</v>
      </c>
      <c r="D3843" s="8"/>
      <c r="E3843" s="8">
        <v>83929</v>
      </c>
      <c r="F3843" s="8"/>
      <c r="G3843" s="15">
        <v>1.3071614740610888</v>
      </c>
      <c r="H3843" s="15">
        <v>1.3071614740610888</v>
      </c>
      <c r="I3843" s="15">
        <v>1.3071614740610888</v>
      </c>
      <c r="J3843" s="15">
        <v>1.3071614740610888</v>
      </c>
      <c r="K3843" s="15">
        <v>1.1305712045545775</v>
      </c>
      <c r="L3843" s="15">
        <v>1.1305712045545775</v>
      </c>
      <c r="M3843" s="15">
        <v>0.2321565455718485</v>
      </c>
      <c r="N3843" s="15">
        <v>0.2321565455718485</v>
      </c>
      <c r="O3843" s="15">
        <v>0.98926974372790311</v>
      </c>
      <c r="P3843" s="15">
        <v>0.98926974372790311</v>
      </c>
      <c r="Q3843" s="8"/>
      <c r="R3843" s="9" t="s">
        <v>3576</v>
      </c>
    </row>
    <row r="3844" spans="1:18" x14ac:dyDescent="0.25">
      <c r="A3844" s="6" t="str">
        <f>HYPERLINK("proteomic_fractions_linear_files/Yang_linear_img/224994267.jpg", "224994267")</f>
        <v>224994267</v>
      </c>
      <c r="B3844" s="7"/>
      <c r="C3844" s="6" t="str">
        <f>HYPERLINK("http://www.ncbi.nlm.nih.gov/protein/224994267","Limd1")</f>
        <v>Limd1</v>
      </c>
      <c r="D3844" s="8"/>
      <c r="E3844" s="8">
        <v>71291</v>
      </c>
      <c r="F3844" s="8"/>
      <c r="G3844" s="15" t="s">
        <v>10</v>
      </c>
      <c r="H3844" s="15" t="s">
        <v>10</v>
      </c>
      <c r="I3844" s="15" t="s">
        <v>10</v>
      </c>
      <c r="J3844" s="15" t="s">
        <v>10</v>
      </c>
      <c r="K3844" s="15" t="s">
        <v>10</v>
      </c>
      <c r="L3844" s="15" t="s">
        <v>10</v>
      </c>
      <c r="M3844" s="15" t="s">
        <v>10</v>
      </c>
      <c r="N3844" s="15" t="s">
        <v>10</v>
      </c>
      <c r="O3844" s="15">
        <v>1.1704036404668148</v>
      </c>
      <c r="P3844" s="15">
        <v>1.1704036404668148</v>
      </c>
      <c r="Q3844" s="8"/>
      <c r="R3844" s="9" t="s">
        <v>3577</v>
      </c>
    </row>
    <row r="3845" spans="1:18" x14ac:dyDescent="0.25">
      <c r="A3845" s="6" t="str">
        <f>HYPERLINK("proteomic_fractions_linear_files/Yang_linear_img/6754550.jpg", "6754550")</f>
        <v>6754550</v>
      </c>
      <c r="B3845" s="7"/>
      <c r="C3845" s="6" t="str">
        <f>HYPERLINK("http://www.ncbi.nlm.nih.gov/protein/6754550","Limk2")</f>
        <v>Limk2</v>
      </c>
      <c r="D3845" s="8"/>
      <c r="E3845" s="8">
        <v>72071</v>
      </c>
      <c r="F3845" s="8"/>
      <c r="G3845" s="15" t="s">
        <v>10</v>
      </c>
      <c r="H3845" s="15" t="s">
        <v>10</v>
      </c>
      <c r="I3845" s="15">
        <v>1.0199466700233646</v>
      </c>
      <c r="J3845" s="15">
        <v>1.0199466700233646</v>
      </c>
      <c r="K3845" s="15" t="s">
        <v>10</v>
      </c>
      <c r="L3845" s="15" t="s">
        <v>10</v>
      </c>
      <c r="M3845" s="15">
        <v>1.0199466700233646</v>
      </c>
      <c r="N3845" s="15">
        <v>1.0199466700233646</v>
      </c>
      <c r="O3845" s="15" t="s">
        <v>10</v>
      </c>
      <c r="P3845" s="15" t="s">
        <v>10</v>
      </c>
      <c r="Q3845" s="8"/>
      <c r="R3845" s="9" t="s">
        <v>3578</v>
      </c>
    </row>
    <row r="3846" spans="1:18" x14ac:dyDescent="0.25">
      <c r="A3846" s="6" t="str">
        <f>HYPERLINK("proteomic_fractions_linear_files/Yang_linear_img/76443701.jpg", "76443701")</f>
        <v>76443701</v>
      </c>
      <c r="B3846" s="7"/>
      <c r="C3846" s="6" t="str">
        <f>HYPERLINK("http://www.ncbi.nlm.nih.gov/protein/76443701","Limk2")</f>
        <v>Limk2</v>
      </c>
      <c r="D3846" s="8"/>
      <c r="E3846" s="8">
        <v>69761</v>
      </c>
      <c r="F3846" s="8"/>
      <c r="G3846" s="15" t="s">
        <v>10</v>
      </c>
      <c r="H3846" s="15" t="s">
        <v>10</v>
      </c>
      <c r="I3846" s="15">
        <v>1.0490880034526036</v>
      </c>
      <c r="J3846" s="15">
        <v>1.0490880034526036</v>
      </c>
      <c r="K3846" s="15" t="s">
        <v>10</v>
      </c>
      <c r="L3846" s="15" t="s">
        <v>10</v>
      </c>
      <c r="M3846" s="15">
        <v>1.0490880034526036</v>
      </c>
      <c r="N3846" s="15">
        <v>1.0490880034526036</v>
      </c>
      <c r="O3846" s="15" t="s">
        <v>10</v>
      </c>
      <c r="P3846" s="15" t="s">
        <v>10</v>
      </c>
      <c r="Q3846" s="8"/>
      <c r="R3846" s="9" t="s">
        <v>3579</v>
      </c>
    </row>
    <row r="3847" spans="1:18" x14ac:dyDescent="0.25">
      <c r="A3847" s="6" t="str">
        <f>HYPERLINK("proteomic_fractions_linear_files/Yang_linear_img/77404365.jpg", "77404365")</f>
        <v>77404365</v>
      </c>
      <c r="B3847" s="7"/>
      <c r="C3847" s="6" t="str">
        <f>HYPERLINK("http://www.ncbi.nlm.nih.gov/protein/77404365","Limk2")</f>
        <v>Limk2</v>
      </c>
      <c r="D3847" s="8"/>
      <c r="E3847" s="8">
        <v>51042</v>
      </c>
      <c r="F3847" s="8"/>
      <c r="G3847" s="15" t="s">
        <v>10</v>
      </c>
      <c r="H3847" s="15" t="s">
        <v>10</v>
      </c>
      <c r="I3847" s="15">
        <v>1.4399247106212205</v>
      </c>
      <c r="J3847" s="15">
        <v>1.4399247106212205</v>
      </c>
      <c r="K3847" s="15" t="s">
        <v>10</v>
      </c>
      <c r="L3847" s="15" t="s">
        <v>10</v>
      </c>
      <c r="M3847" s="15">
        <v>1.4399247106212205</v>
      </c>
      <c r="N3847" s="15">
        <v>1.4399247106212205</v>
      </c>
      <c r="O3847" s="15" t="s">
        <v>10</v>
      </c>
      <c r="P3847" s="15" t="s">
        <v>10</v>
      </c>
      <c r="Q3847" s="8"/>
      <c r="R3847" s="9" t="s">
        <v>3580</v>
      </c>
    </row>
    <row r="3848" spans="1:18" x14ac:dyDescent="0.25">
      <c r="A3848" s="6" t="str">
        <f>HYPERLINK("proteomic_fractions_linear_files/Yang_linear_img/300863087.jpg", "300863087")</f>
        <v>300863087</v>
      </c>
      <c r="B3848" s="7"/>
      <c r="C3848" s="6" t="str">
        <f>HYPERLINK("http://www.ncbi.nlm.nih.gov/protein/300863087","Lims1")</f>
        <v>Lims1</v>
      </c>
      <c r="D3848" s="8"/>
      <c r="E3848" s="8">
        <v>41476</v>
      </c>
      <c r="F3848" s="8"/>
      <c r="G3848" s="15" t="s">
        <v>10</v>
      </c>
      <c r="H3848" s="15" t="s">
        <v>10</v>
      </c>
      <c r="I3848" s="15">
        <v>0.84276528123110206</v>
      </c>
      <c r="J3848" s="15">
        <v>0.84276528123110206</v>
      </c>
      <c r="K3848" s="15">
        <v>0.84276528123110206</v>
      </c>
      <c r="L3848" s="15">
        <v>0.84276528123110206</v>
      </c>
      <c r="M3848" s="15">
        <v>0.84276528123110206</v>
      </c>
      <c r="N3848" s="15">
        <v>0.84276528123110206</v>
      </c>
      <c r="O3848" s="15">
        <v>0.7289123632125154</v>
      </c>
      <c r="P3848" s="15">
        <v>0.7289123632125154</v>
      </c>
      <c r="Q3848" s="8"/>
      <c r="R3848" s="9" t="s">
        <v>3581</v>
      </c>
    </row>
    <row r="3849" spans="1:18" x14ac:dyDescent="0.25">
      <c r="A3849" s="6" t="str">
        <f>HYPERLINK("proteomic_fractions_linear_files/Yang_linear_img/300863089.jpg", "300863089")</f>
        <v>300863089</v>
      </c>
      <c r="B3849" s="7"/>
      <c r="C3849" s="6" t="str">
        <f>HYPERLINK("http://www.ncbi.nlm.nih.gov/protein/300863089","Lims1")</f>
        <v>Lims1</v>
      </c>
      <c r="D3849" s="8"/>
      <c r="E3849" s="8">
        <v>45463</v>
      </c>
      <c r="F3849" s="8"/>
      <c r="G3849" s="15" t="s">
        <v>10</v>
      </c>
      <c r="H3849" s="15" t="s">
        <v>10</v>
      </c>
      <c r="I3849" s="15">
        <v>0.76785281178833742</v>
      </c>
      <c r="J3849" s="15">
        <v>0.76785281178833742</v>
      </c>
      <c r="K3849" s="15">
        <v>0.76785281178833742</v>
      </c>
      <c r="L3849" s="15">
        <v>0.76785281178833742</v>
      </c>
      <c r="M3849" s="15">
        <v>0.76785281178833742</v>
      </c>
      <c r="N3849" s="15">
        <v>0.76785281178833742</v>
      </c>
      <c r="O3849" s="15">
        <v>0.66412015314918071</v>
      </c>
      <c r="P3849" s="15">
        <v>0.66412015314918071</v>
      </c>
      <c r="Q3849" s="8"/>
      <c r="R3849" s="9" t="s">
        <v>3582</v>
      </c>
    </row>
    <row r="3850" spans="1:18" x14ac:dyDescent="0.25">
      <c r="A3850" s="6" t="str">
        <f>HYPERLINK("proteomic_fractions_linear_files/Yang_linear_img/84794647.jpg", "84794647")</f>
        <v>84794647</v>
      </c>
      <c r="B3850" s="7"/>
      <c r="C3850" s="6" t="str">
        <f>HYPERLINK("http://www.ncbi.nlm.nih.gov/protein/84794647","Lims1")</f>
        <v>Lims1</v>
      </c>
      <c r="D3850" s="8"/>
      <c r="E3850" s="8">
        <v>38257</v>
      </c>
      <c r="F3850" s="8"/>
      <c r="G3850" s="15" t="s">
        <v>10</v>
      </c>
      <c r="H3850" s="15" t="s">
        <v>10</v>
      </c>
      <c r="I3850" s="15">
        <v>0.90929938238092589</v>
      </c>
      <c r="J3850" s="15">
        <v>0.90929938238092589</v>
      </c>
      <c r="K3850" s="15">
        <v>0.90929938238092589</v>
      </c>
      <c r="L3850" s="15">
        <v>0.90929938238092589</v>
      </c>
      <c r="M3850" s="15">
        <v>0.90929938238092589</v>
      </c>
      <c r="N3850" s="15">
        <v>0.90929938238092589</v>
      </c>
      <c r="O3850" s="15">
        <v>0.78645807609771401</v>
      </c>
      <c r="P3850" s="15">
        <v>0.78645807609771401</v>
      </c>
      <c r="Q3850" s="8"/>
      <c r="R3850" s="9" t="s">
        <v>3583</v>
      </c>
    </row>
    <row r="3851" spans="1:18" x14ac:dyDescent="0.25">
      <c r="A3851" s="6" t="str">
        <f>HYPERLINK("proteomic_fractions_linear_files/Yang_linear_img/21450085.jpg", "21450085")</f>
        <v>21450085</v>
      </c>
      <c r="B3851" s="7"/>
      <c r="C3851" s="6" t="str">
        <f>HYPERLINK("http://www.ncbi.nlm.nih.gov/protein/21450085","Lims2")</f>
        <v>Lims2</v>
      </c>
      <c r="D3851" s="8"/>
      <c r="E3851" s="8">
        <v>38900</v>
      </c>
      <c r="F3851" s="8"/>
      <c r="G3851" s="15" t="s">
        <v>10</v>
      </c>
      <c r="H3851" s="15" t="s">
        <v>10</v>
      </c>
      <c r="I3851" s="15" t="s">
        <v>10</v>
      </c>
      <c r="J3851" s="15" t="s">
        <v>10</v>
      </c>
      <c r="K3851" s="15">
        <v>0.8859840136019278</v>
      </c>
      <c r="L3851" s="15">
        <v>0.8859840136019278</v>
      </c>
      <c r="M3851" s="15">
        <v>0.8859840136019278</v>
      </c>
      <c r="N3851" s="15">
        <v>0.8859840136019278</v>
      </c>
      <c r="O3851" s="15" t="s">
        <v>10</v>
      </c>
      <c r="P3851" s="15" t="s">
        <v>10</v>
      </c>
      <c r="Q3851" s="8"/>
      <c r="R3851" s="9" t="s">
        <v>3584</v>
      </c>
    </row>
    <row r="3852" spans="1:18" x14ac:dyDescent="0.25">
      <c r="A3852" s="6" t="str">
        <f>HYPERLINK("proteomic_fractions_linear_files/Yang_linear_img/85701728.jpg", "85701728")</f>
        <v>85701728</v>
      </c>
      <c r="B3852" s="7"/>
      <c r="C3852" s="6" t="str">
        <f>HYPERLINK("http://www.ncbi.nlm.nih.gov/protein/85701728","Lin7a")</f>
        <v>Lin7a</v>
      </c>
      <c r="D3852" s="8"/>
      <c r="E3852" s="8">
        <v>12546</v>
      </c>
      <c r="F3852" s="8"/>
      <c r="G3852" s="15">
        <v>1.5844185528197132</v>
      </c>
      <c r="H3852" s="15">
        <v>1.5844185528197132</v>
      </c>
      <c r="I3852" s="15">
        <v>1.6765955592829809</v>
      </c>
      <c r="J3852" s="15">
        <v>1.6765955592829809</v>
      </c>
      <c r="K3852" s="15">
        <v>1.7776594903628804</v>
      </c>
      <c r="L3852" s="15">
        <v>1.7776594903628804</v>
      </c>
      <c r="M3852" s="15" t="s">
        <v>10</v>
      </c>
      <c r="N3852" s="15" t="s">
        <v>10</v>
      </c>
      <c r="O3852" s="15" t="s">
        <v>10</v>
      </c>
      <c r="P3852" s="15" t="s">
        <v>10</v>
      </c>
      <c r="Q3852" s="8"/>
      <c r="R3852" s="9" t="s">
        <v>3585</v>
      </c>
    </row>
    <row r="3853" spans="1:18" x14ac:dyDescent="0.25">
      <c r="A3853" s="6" t="str">
        <f>HYPERLINK("proteomic_fractions_linear_files/Yang_linear_img/86991442.jpg", "86991442")</f>
        <v>86991442</v>
      </c>
      <c r="B3853" s="7"/>
      <c r="C3853" s="6" t="str">
        <f>HYPERLINK("http://www.ncbi.nlm.nih.gov/protein/86991442","Lin7a")</f>
        <v>Lin7a</v>
      </c>
      <c r="D3853" s="8"/>
      <c r="E3853" s="8">
        <v>25862</v>
      </c>
      <c r="F3853" s="8"/>
      <c r="G3853" s="15">
        <v>0.79220927640985661</v>
      </c>
      <c r="H3853" s="15">
        <v>0.79220927640985661</v>
      </c>
      <c r="I3853" s="15">
        <v>0.83829777964149044</v>
      </c>
      <c r="J3853" s="15">
        <v>0.83829777964149044</v>
      </c>
      <c r="K3853" s="15">
        <v>0.8888297451814402</v>
      </c>
      <c r="L3853" s="15">
        <v>0.8888297451814402</v>
      </c>
      <c r="M3853" s="15" t="s">
        <v>10</v>
      </c>
      <c r="N3853" s="15" t="s">
        <v>10</v>
      </c>
      <c r="O3853" s="15" t="s">
        <v>10</v>
      </c>
      <c r="P3853" s="15" t="s">
        <v>10</v>
      </c>
      <c r="Q3853" s="8"/>
      <c r="R3853" s="9" t="s">
        <v>3586</v>
      </c>
    </row>
    <row r="3854" spans="1:18" x14ac:dyDescent="0.25">
      <c r="A3854" s="6" t="str">
        <f>HYPERLINK("proteomic_fractions_linear_files/Yang_linear_img/6755971.jpg", "6755971")</f>
        <v>6755971</v>
      </c>
      <c r="B3854" s="7"/>
      <c r="C3854" s="6" t="str">
        <f>HYPERLINK("http://www.ncbi.nlm.nih.gov/protein/6755971","Lin7b")</f>
        <v>Lin7b</v>
      </c>
      <c r="D3854" s="8"/>
      <c r="E3854" s="8">
        <v>22783</v>
      </c>
      <c r="F3854" s="8"/>
      <c r="G3854" s="15">
        <v>0.89554092115896833</v>
      </c>
      <c r="H3854" s="15">
        <v>0.89554092115896833</v>
      </c>
      <c r="I3854" s="15">
        <v>0.94764096829038047</v>
      </c>
      <c r="J3854" s="15">
        <v>0.94764096829038047</v>
      </c>
      <c r="K3854" s="15">
        <v>1.0047640597703238</v>
      </c>
      <c r="L3854" s="15">
        <v>1.0047640597703238</v>
      </c>
      <c r="M3854" s="15" t="s">
        <v>10</v>
      </c>
      <c r="N3854" s="15" t="s">
        <v>10</v>
      </c>
      <c r="O3854" s="15" t="s">
        <v>10</v>
      </c>
      <c r="P3854" s="15" t="s">
        <v>10</v>
      </c>
      <c r="Q3854" s="8"/>
      <c r="R3854" s="9" t="s">
        <v>3587</v>
      </c>
    </row>
    <row r="3855" spans="1:18" x14ac:dyDescent="0.25">
      <c r="A3855" s="6" t="str">
        <f>HYPERLINK("proteomic_fractions_linear_files/Yang_linear_img/6755973.jpg", "6755973")</f>
        <v>6755973</v>
      </c>
      <c r="B3855" s="7"/>
      <c r="C3855" s="6" t="str">
        <f>HYPERLINK("http://www.ncbi.nlm.nih.gov/protein/6755973","Lin7c")</f>
        <v>Lin7c</v>
      </c>
      <c r="D3855" s="8"/>
      <c r="E3855" s="8">
        <v>21703</v>
      </c>
      <c r="F3855" s="8"/>
      <c r="G3855" s="15">
        <v>1.4583669479878905</v>
      </c>
      <c r="H3855" s="15">
        <v>1.4583669479878905</v>
      </c>
      <c r="I3855" s="15">
        <v>0.99071555775812503</v>
      </c>
      <c r="J3855" s="15">
        <v>0.99071555775812503</v>
      </c>
      <c r="K3855" s="15">
        <v>1.0504351533962475</v>
      </c>
      <c r="L3855" s="15">
        <v>1.0504351533962475</v>
      </c>
      <c r="M3855" s="15" t="s">
        <v>10</v>
      </c>
      <c r="N3855" s="15" t="s">
        <v>10</v>
      </c>
      <c r="O3855" s="15">
        <v>0.99071555775812503</v>
      </c>
      <c r="P3855" s="15">
        <v>0.99071555775812503</v>
      </c>
      <c r="Q3855" s="8"/>
      <c r="R3855" s="9" t="s">
        <v>3588</v>
      </c>
    </row>
    <row r="3856" spans="1:18" x14ac:dyDescent="0.25">
      <c r="A3856" s="6" t="str">
        <f>HYPERLINK("proteomic_fractions_linear_files/Yang_linear_img/161760651.jpg", "161760651")</f>
        <v>161760651</v>
      </c>
      <c r="B3856" s="7"/>
      <c r="C3856" s="6" t="str">
        <f>HYPERLINK("http://www.ncbi.nlm.nih.gov/protein/161760651","Lipa")</f>
        <v>Lipa</v>
      </c>
      <c r="D3856" s="8"/>
      <c r="E3856" s="8">
        <v>42666</v>
      </c>
      <c r="F3856" s="8"/>
      <c r="G3856" s="15" t="s">
        <v>10</v>
      </c>
      <c r="H3856" s="15" t="s">
        <v>10</v>
      </c>
      <c r="I3856" s="15">
        <v>0.942030655888901</v>
      </c>
      <c r="J3856" s="15">
        <v>0.942030655888901</v>
      </c>
      <c r="K3856" s="15">
        <v>0.942030655888901</v>
      </c>
      <c r="L3856" s="15">
        <v>0.942030655888901</v>
      </c>
      <c r="M3856" s="15" t="s">
        <v>10</v>
      </c>
      <c r="N3856" s="15" t="s">
        <v>10</v>
      </c>
      <c r="O3856" s="15" t="s">
        <v>10</v>
      </c>
      <c r="P3856" s="15" t="s">
        <v>10</v>
      </c>
      <c r="Q3856" s="8"/>
      <c r="R3856" s="9" t="s">
        <v>3589</v>
      </c>
    </row>
    <row r="3857" spans="1:18" x14ac:dyDescent="0.25">
      <c r="A3857" s="6" t="str">
        <f>HYPERLINK("proteomic_fractions_linear_files/Yang_linear_img/87239970.jpg", "87239970")</f>
        <v>87239970</v>
      </c>
      <c r="B3857" s="7"/>
      <c r="C3857" s="6" t="str">
        <f>HYPERLINK("http://www.ncbi.nlm.nih.gov/protein/87239970","Lipe")</f>
        <v>Lipe</v>
      </c>
      <c r="D3857" s="8"/>
      <c r="E3857" s="8">
        <v>87896</v>
      </c>
      <c r="F3857" s="8"/>
      <c r="G3857" s="15" t="s">
        <v>10</v>
      </c>
      <c r="H3857" s="15" t="s">
        <v>10</v>
      </c>
      <c r="I3857" s="15">
        <v>0.94430293719481651</v>
      </c>
      <c r="J3857" s="15">
        <v>0.94430293719481651</v>
      </c>
      <c r="K3857" s="15">
        <v>1.0791816043475513</v>
      </c>
      <c r="L3857" s="15">
        <v>1.0791816043475513</v>
      </c>
      <c r="M3857" s="15">
        <v>1.0791816043475513</v>
      </c>
      <c r="N3857" s="15">
        <v>1.0791816043475513</v>
      </c>
      <c r="O3857" s="15" t="s">
        <v>10</v>
      </c>
      <c r="P3857" s="15" t="s">
        <v>10</v>
      </c>
      <c r="Q3857" s="8"/>
      <c r="R3857" s="9" t="s">
        <v>3590</v>
      </c>
    </row>
    <row r="3858" spans="1:18" x14ac:dyDescent="0.25">
      <c r="A3858" s="6" t="str">
        <f>HYPERLINK("proteomic_fractions_linear_files/Yang_linear_img/87239972.jpg", "87239972")</f>
        <v>87239972</v>
      </c>
      <c r="B3858" s="7"/>
      <c r="C3858" s="6" t="str">
        <f>HYPERLINK("http://www.ncbi.nlm.nih.gov/protein/87239972","Lipe")</f>
        <v>Lipe</v>
      </c>
      <c r="D3858" s="8"/>
      <c r="E3858" s="8">
        <v>83217</v>
      </c>
      <c r="F3858" s="8"/>
      <c r="G3858" s="15" t="s">
        <v>10</v>
      </c>
      <c r="H3858" s="15" t="s">
        <v>10</v>
      </c>
      <c r="I3858" s="15">
        <v>1.001188656302938</v>
      </c>
      <c r="J3858" s="15">
        <v>1.001188656302938</v>
      </c>
      <c r="K3858" s="15">
        <v>1.1441925443684882</v>
      </c>
      <c r="L3858" s="15">
        <v>1.1441925443684882</v>
      </c>
      <c r="M3858" s="15">
        <v>1.1441925443684882</v>
      </c>
      <c r="N3858" s="15">
        <v>1.1441925443684882</v>
      </c>
      <c r="O3858" s="15" t="s">
        <v>10</v>
      </c>
      <c r="P3858" s="15" t="s">
        <v>10</v>
      </c>
      <c r="Q3858" s="8"/>
      <c r="R3858" s="9" t="s">
        <v>3591</v>
      </c>
    </row>
    <row r="3859" spans="1:18" x14ac:dyDescent="0.25">
      <c r="A3859" s="6" t="str">
        <f>HYPERLINK("proteomic_fractions_linear_files/Yang_linear_img/226874865.jpg", "226874865")</f>
        <v>226874865</v>
      </c>
      <c r="B3859" s="7"/>
      <c r="C3859" s="6" t="str">
        <f>HYPERLINK("http://www.ncbi.nlm.nih.gov/protein/226874865","Llgl1")</f>
        <v>Llgl1</v>
      </c>
      <c r="D3859" s="8"/>
      <c r="E3859" s="8">
        <v>112487</v>
      </c>
      <c r="F3859" s="8"/>
      <c r="G3859" s="15" t="s">
        <v>10</v>
      </c>
      <c r="H3859" s="15" t="s">
        <v>10</v>
      </c>
      <c r="I3859" s="15" t="s">
        <v>10</v>
      </c>
      <c r="J3859" s="15" t="s">
        <v>10</v>
      </c>
      <c r="K3859" s="15">
        <v>1.3701149208593022</v>
      </c>
      <c r="L3859" s="15">
        <v>1.3701149208593022</v>
      </c>
      <c r="M3859" s="15">
        <v>1.3701149208593022</v>
      </c>
      <c r="N3859" s="15">
        <v>1.3701149208593022</v>
      </c>
      <c r="O3859" s="15">
        <v>1.1493002512956871</v>
      </c>
      <c r="P3859" s="15">
        <v>1.1493002512956871</v>
      </c>
      <c r="Q3859" s="8"/>
      <c r="R3859" s="9" t="s">
        <v>3592</v>
      </c>
    </row>
    <row r="3860" spans="1:18" x14ac:dyDescent="0.25">
      <c r="A3860" s="6" t="str">
        <f>HYPERLINK("proteomic_fractions_linear_files/Yang_linear_img/226874867.jpg", "226874867")</f>
        <v>226874867</v>
      </c>
      <c r="B3860" s="7"/>
      <c r="C3860" s="6" t="str">
        <f>HYPERLINK("http://www.ncbi.nlm.nih.gov/protein/226874867","Llgl1")</f>
        <v>Llgl1</v>
      </c>
      <c r="D3860" s="8"/>
      <c r="E3860" s="8">
        <v>115435</v>
      </c>
      <c r="F3860" s="8"/>
      <c r="G3860" s="15" t="s">
        <v>10</v>
      </c>
      <c r="H3860" s="15" t="s">
        <v>10</v>
      </c>
      <c r="I3860" s="15" t="s">
        <v>10</v>
      </c>
      <c r="J3860" s="15" t="s">
        <v>10</v>
      </c>
      <c r="K3860" s="15">
        <v>1.3343727924890594</v>
      </c>
      <c r="L3860" s="15">
        <v>1.3343727924890594</v>
      </c>
      <c r="M3860" s="15">
        <v>1.3343727924890594</v>
      </c>
      <c r="N3860" s="15">
        <v>1.3343727924890594</v>
      </c>
      <c r="O3860" s="15">
        <v>1.1193185056097128</v>
      </c>
      <c r="P3860" s="15">
        <v>1.1193185056097128</v>
      </c>
      <c r="Q3860" s="8"/>
      <c r="R3860" s="9" t="s">
        <v>3593</v>
      </c>
    </row>
    <row r="3861" spans="1:18" x14ac:dyDescent="0.25">
      <c r="A3861" s="6" t="str">
        <f>HYPERLINK("proteomic_fractions_linear_files/Yang_linear_img/6678696.jpg", "6678696")</f>
        <v>6678696</v>
      </c>
      <c r="B3861" s="7"/>
      <c r="C3861" s="6" t="str">
        <f>HYPERLINK("http://www.ncbi.nlm.nih.gov/protein/6678696","Llgl1")</f>
        <v>Llgl1</v>
      </c>
      <c r="D3861" s="8"/>
      <c r="E3861" s="8">
        <v>112246</v>
      </c>
      <c r="F3861" s="8"/>
      <c r="G3861" s="15" t="s">
        <v>10</v>
      </c>
      <c r="H3861" s="15" t="s">
        <v>10</v>
      </c>
      <c r="I3861" s="15" t="s">
        <v>10</v>
      </c>
      <c r="J3861" s="15" t="s">
        <v>10</v>
      </c>
      <c r="K3861" s="15">
        <v>1.3701149208593022</v>
      </c>
      <c r="L3861" s="15">
        <v>1.3701149208593022</v>
      </c>
      <c r="M3861" s="15">
        <v>1.3701149208593022</v>
      </c>
      <c r="N3861" s="15">
        <v>1.3701149208593022</v>
      </c>
      <c r="O3861" s="15">
        <v>1.1493002512956871</v>
      </c>
      <c r="P3861" s="15">
        <v>1.1493002512956871</v>
      </c>
      <c r="Q3861" s="8"/>
      <c r="R3861" s="9" t="s">
        <v>3594</v>
      </c>
    </row>
    <row r="3862" spans="1:18" x14ac:dyDescent="0.25">
      <c r="A3862" s="6" t="str">
        <f>HYPERLINK("proteomic_fractions_linear_files/Yang_linear_img/144922656.jpg", "144922656")</f>
        <v>144922656</v>
      </c>
      <c r="B3862" s="7"/>
      <c r="C3862" s="6" t="str">
        <f>HYPERLINK("http://www.ncbi.nlm.nih.gov/protein/144922656","Llgl2")</f>
        <v>Llgl2</v>
      </c>
      <c r="D3862" s="8"/>
      <c r="E3862" s="8">
        <v>114192</v>
      </c>
      <c r="F3862" s="8"/>
      <c r="G3862" s="15">
        <v>1.3460778169845775</v>
      </c>
      <c r="H3862" s="15">
        <v>1.3460778169845775</v>
      </c>
      <c r="I3862" s="15">
        <v>0.72893560064161278</v>
      </c>
      <c r="J3862" s="15">
        <v>0.72893560064161278</v>
      </c>
      <c r="K3862" s="15">
        <v>1.3460778169845775</v>
      </c>
      <c r="L3862" s="15">
        <v>1.3460778169845775</v>
      </c>
      <c r="M3862" s="15">
        <v>1.1291370889922541</v>
      </c>
      <c r="N3862" s="15">
        <v>1.1291370889922541</v>
      </c>
      <c r="O3862" s="15">
        <v>1.1291370889922541</v>
      </c>
      <c r="P3862" s="15">
        <v>1.1291370889922541</v>
      </c>
      <c r="Q3862" s="8"/>
      <c r="R3862" s="9" t="s">
        <v>3595</v>
      </c>
    </row>
    <row r="3863" spans="1:18" x14ac:dyDescent="0.25">
      <c r="A3863" s="6" t="str">
        <f>HYPERLINK("proteomic_fractions_linear_files/Yang_linear_img/357527422.jpg", "357527422")</f>
        <v>357527422</v>
      </c>
      <c r="B3863" s="7"/>
      <c r="C3863" s="6" t="str">
        <f>HYPERLINK("http://www.ncbi.nlm.nih.gov/protein/357527422","Llgl2")</f>
        <v>Llgl2</v>
      </c>
      <c r="D3863" s="8"/>
      <c r="E3863" s="8">
        <v>116870</v>
      </c>
      <c r="F3863" s="8"/>
      <c r="G3863" s="15">
        <v>1.3115630011644601</v>
      </c>
      <c r="H3863" s="15">
        <v>1.3115630011644601</v>
      </c>
      <c r="I3863" s="15">
        <v>0.71024494421490481</v>
      </c>
      <c r="J3863" s="15">
        <v>0.71024494421490481</v>
      </c>
      <c r="K3863" s="15">
        <v>1.3115630011644601</v>
      </c>
      <c r="L3863" s="15">
        <v>1.3115630011644601</v>
      </c>
      <c r="M3863" s="15">
        <v>1.1001848559411707</v>
      </c>
      <c r="N3863" s="15">
        <v>1.1001848559411707</v>
      </c>
      <c r="O3863" s="15">
        <v>1.1001848559411707</v>
      </c>
      <c r="P3863" s="15">
        <v>1.1001848559411707</v>
      </c>
      <c r="Q3863" s="8"/>
      <c r="R3863" s="9" t="s">
        <v>3596</v>
      </c>
    </row>
    <row r="3864" spans="1:18" x14ac:dyDescent="0.25">
      <c r="A3864" s="6" t="str">
        <f>HYPERLINK("proteomic_fractions_linear_files/Yang_linear_img/21313566.jpg", "21313566")</f>
        <v>21313566</v>
      </c>
      <c r="B3864" s="7"/>
      <c r="C3864" s="6" t="str">
        <f>HYPERLINK("http://www.ncbi.nlm.nih.gov/protein/21313566","Llph")</f>
        <v>Llph</v>
      </c>
      <c r="D3864" s="8"/>
      <c r="E3864" s="8">
        <v>15260</v>
      </c>
      <c r="F3864" s="8"/>
      <c r="G3864" s="15" t="s">
        <v>10</v>
      </c>
      <c r="H3864" s="15" t="s">
        <v>10</v>
      </c>
      <c r="I3864" s="15" t="s">
        <v>10</v>
      </c>
      <c r="J3864" s="15" t="s">
        <v>10</v>
      </c>
      <c r="K3864" s="15" t="s">
        <v>10</v>
      </c>
      <c r="L3864" s="15" t="s">
        <v>10</v>
      </c>
      <c r="M3864" s="15">
        <v>1.2330199443042722</v>
      </c>
      <c r="N3864" s="15">
        <v>1.2330199443042722</v>
      </c>
      <c r="O3864" s="15" t="s">
        <v>10</v>
      </c>
      <c r="P3864" s="15" t="s">
        <v>10</v>
      </c>
      <c r="Q3864" s="8"/>
      <c r="R3864" s="9" t="s">
        <v>3597</v>
      </c>
    </row>
    <row r="3865" spans="1:18" x14ac:dyDescent="0.25">
      <c r="A3865" s="6" t="str">
        <f>HYPERLINK("proteomic_fractions_linear_files/Yang_linear_img/149270995.jpg", "149270995")</f>
        <v>149270995</v>
      </c>
      <c r="B3865" s="7"/>
      <c r="C3865" s="6" t="str">
        <f>HYPERLINK("http://www.ncbi.nlm.nih.gov/protein/149270995","Llph-ps2")</f>
        <v>Llph-ps2</v>
      </c>
      <c r="D3865" s="8"/>
      <c r="E3865" s="8">
        <v>15290</v>
      </c>
      <c r="F3865" s="8"/>
      <c r="G3865" s="15" t="s">
        <v>10</v>
      </c>
      <c r="H3865" s="15" t="s">
        <v>10</v>
      </c>
      <c r="I3865" s="15" t="s">
        <v>10</v>
      </c>
      <c r="J3865" s="15" t="s">
        <v>10</v>
      </c>
      <c r="K3865" s="15" t="s">
        <v>10</v>
      </c>
      <c r="L3865" s="15" t="s">
        <v>10</v>
      </c>
      <c r="M3865" s="15">
        <v>1.2330199443042722</v>
      </c>
      <c r="N3865" s="15">
        <v>1.2330199443042722</v>
      </c>
      <c r="O3865" s="15" t="s">
        <v>10</v>
      </c>
      <c r="P3865" s="15" t="s">
        <v>10</v>
      </c>
      <c r="Q3865" s="8"/>
      <c r="R3865" s="9" t="s">
        <v>8082</v>
      </c>
    </row>
    <row r="3866" spans="1:18" x14ac:dyDescent="0.25">
      <c r="A3866" s="6" t="str">
        <f>HYPERLINK("proteomic_fractions_linear_files/Yang_linear_img/21312570.jpg", "21312570")</f>
        <v>21312570</v>
      </c>
      <c r="B3866" s="7"/>
      <c r="C3866" s="6" t="str">
        <f>HYPERLINK("http://www.ncbi.nlm.nih.gov/protein/21312570","Lman1")</f>
        <v>Lman1</v>
      </c>
      <c r="D3866" s="8"/>
      <c r="E3866" s="8">
        <v>54515</v>
      </c>
      <c r="F3866" s="8"/>
      <c r="G3866" s="15" t="s">
        <v>10</v>
      </c>
      <c r="H3866" s="15" t="s">
        <v>10</v>
      </c>
      <c r="I3866" s="15">
        <v>1.0686037742835246</v>
      </c>
      <c r="J3866" s="15">
        <v>1.0686037742835246</v>
      </c>
      <c r="K3866" s="15">
        <v>1.1900593332826241</v>
      </c>
      <c r="L3866" s="15">
        <v>1.1900593332826241</v>
      </c>
      <c r="M3866" s="15">
        <v>1.0686037742835246</v>
      </c>
      <c r="N3866" s="15">
        <v>1.0686037742835246</v>
      </c>
      <c r="O3866" s="15" t="s">
        <v>10</v>
      </c>
      <c r="P3866" s="15" t="s">
        <v>10</v>
      </c>
      <c r="Q3866" s="8"/>
      <c r="R3866" s="9" t="s">
        <v>3598</v>
      </c>
    </row>
    <row r="3867" spans="1:18" x14ac:dyDescent="0.25">
      <c r="A3867" s="6" t="str">
        <f>HYPERLINK("proteomic_fractions_linear_files/Yang_linear_img/34328278.jpg", "34328278")</f>
        <v>34328278</v>
      </c>
      <c r="B3867" s="7"/>
      <c r="C3867" s="6" t="str">
        <f>HYPERLINK("http://www.ncbi.nlm.nih.gov/protein/34328278","Lman2")</f>
        <v>Lman2</v>
      </c>
      <c r="D3867" s="8"/>
      <c r="E3867" s="8">
        <v>35469</v>
      </c>
      <c r="F3867" s="8"/>
      <c r="G3867" s="15">
        <v>0.85386876833466085</v>
      </c>
      <c r="H3867" s="15">
        <v>0.85386876833466085</v>
      </c>
      <c r="I3867" s="15">
        <v>0.91668779587810256</v>
      </c>
      <c r="J3867" s="15">
        <v>0.91668779587810256</v>
      </c>
      <c r="K3867" s="15">
        <v>0.98723932944214809</v>
      </c>
      <c r="L3867" s="15">
        <v>0.98723932944214809</v>
      </c>
      <c r="M3867" s="15">
        <v>0.91668779587810256</v>
      </c>
      <c r="N3867" s="15">
        <v>0.91668779587810256</v>
      </c>
      <c r="O3867" s="15" t="s">
        <v>10</v>
      </c>
      <c r="P3867" s="15" t="s">
        <v>10</v>
      </c>
      <c r="Q3867" s="8"/>
      <c r="R3867" s="9" t="s">
        <v>3599</v>
      </c>
    </row>
    <row r="3868" spans="1:18" x14ac:dyDescent="0.25">
      <c r="A3868" s="6" t="str">
        <f>HYPERLINK("proteomic_fractions_linear_files/Yang_linear_img/61656186.jpg", "61656186")</f>
        <v>61656186</v>
      </c>
      <c r="B3868" s="7"/>
      <c r="C3868" s="6" t="str">
        <f>HYPERLINK("http://www.ncbi.nlm.nih.gov/protein/61656186","Lman2l")</f>
        <v>Lman2l</v>
      </c>
      <c r="D3868" s="8"/>
      <c r="E3868" s="8">
        <v>34930</v>
      </c>
      <c r="F3868" s="8"/>
      <c r="G3868" s="15" t="s">
        <v>10</v>
      </c>
      <c r="H3868" s="15" t="s">
        <v>10</v>
      </c>
      <c r="I3868" s="15">
        <v>0.85386876833466085</v>
      </c>
      <c r="J3868" s="15">
        <v>0.85386876833466085</v>
      </c>
      <c r="K3868" s="15">
        <v>0.91668779587810256</v>
      </c>
      <c r="L3868" s="15">
        <v>0.91668779587810256</v>
      </c>
      <c r="M3868" s="15" t="s">
        <v>10</v>
      </c>
      <c r="N3868" s="15" t="s">
        <v>10</v>
      </c>
      <c r="O3868" s="15" t="s">
        <v>10</v>
      </c>
      <c r="P3868" s="15" t="s">
        <v>10</v>
      </c>
      <c r="Q3868" s="8"/>
      <c r="R3868" s="9" t="s">
        <v>3600</v>
      </c>
    </row>
    <row r="3869" spans="1:18" x14ac:dyDescent="0.25">
      <c r="A3869" s="6" t="str">
        <f>HYPERLINK("proteomic_fractions_linear_files/Yang_linear_img/123701962.jpg", "123701962")</f>
        <v>123701962</v>
      </c>
      <c r="B3869" s="7"/>
      <c r="C3869" s="6" t="str">
        <f>HYPERLINK("http://www.ncbi.nlm.nih.gov/protein/123701962","Lmbrd1")</f>
        <v>Lmbrd1</v>
      </c>
      <c r="D3869" s="8"/>
      <c r="E3869" s="8">
        <v>60932</v>
      </c>
      <c r="F3869" s="8"/>
      <c r="G3869" s="15" t="s">
        <v>10</v>
      </c>
      <c r="H3869" s="15" t="s">
        <v>10</v>
      </c>
      <c r="I3869" s="15">
        <v>2.5156208382990464</v>
      </c>
      <c r="J3869" s="15">
        <v>2.5156208382990464</v>
      </c>
      <c r="K3869" s="15" t="s">
        <v>10</v>
      </c>
      <c r="L3869" s="15" t="s">
        <v>10</v>
      </c>
      <c r="M3869" s="15" t="s">
        <v>10</v>
      </c>
      <c r="N3869" s="15" t="s">
        <v>10</v>
      </c>
      <c r="O3869" s="15" t="s">
        <v>10</v>
      </c>
      <c r="P3869" s="15" t="s">
        <v>10</v>
      </c>
      <c r="Q3869" s="8"/>
      <c r="R3869" s="9" t="s">
        <v>3601</v>
      </c>
    </row>
    <row r="3870" spans="1:18" x14ac:dyDescent="0.25">
      <c r="A3870" s="6" t="str">
        <f>HYPERLINK("proteomic_fractions_linear_files/Yang_linear_img/254939582.jpg", "254939582")</f>
        <v>254939582</v>
      </c>
      <c r="B3870" s="7"/>
      <c r="C3870" s="6" t="str">
        <f>HYPERLINK("http://www.ncbi.nlm.nih.gov/protein/254939582","Lmf1")</f>
        <v>Lmf1</v>
      </c>
      <c r="D3870" s="8"/>
      <c r="E3870" s="8">
        <v>65747</v>
      </c>
      <c r="F3870" s="8"/>
      <c r="G3870" s="15">
        <v>0.56577767307764537</v>
      </c>
      <c r="H3870" s="15">
        <v>0.56577767307764537</v>
      </c>
      <c r="I3870" s="15">
        <v>0.37204273656480175</v>
      </c>
      <c r="J3870" s="15">
        <v>0.37204273656480175</v>
      </c>
      <c r="K3870" s="15">
        <v>0.39621603205189393</v>
      </c>
      <c r="L3870" s="15">
        <v>0.39621603205189393</v>
      </c>
      <c r="M3870" s="15">
        <v>0.37204273656480175</v>
      </c>
      <c r="N3870" s="15">
        <v>0.37204273656480175</v>
      </c>
      <c r="O3870" s="15">
        <v>0.33023851925270836</v>
      </c>
      <c r="P3870" s="15">
        <v>0.33023851925270836</v>
      </c>
      <c r="Q3870" s="8"/>
      <c r="R3870" s="9" t="s">
        <v>3602</v>
      </c>
    </row>
    <row r="3871" spans="1:18" x14ac:dyDescent="0.25">
      <c r="A3871" s="6" t="str">
        <f>HYPERLINK("proteomic_fractions_linear_files/Yang_linear_img/30725786.jpg", "30725786")</f>
        <v>30725786</v>
      </c>
      <c r="B3871" s="7"/>
      <c r="C3871" s="6" t="str">
        <f>HYPERLINK("http://www.ncbi.nlm.nih.gov/protein/30725786","Lmf2")</f>
        <v>Lmf2</v>
      </c>
      <c r="D3871" s="8"/>
      <c r="E3871" s="8">
        <v>79866</v>
      </c>
      <c r="F3871" s="8"/>
      <c r="G3871" s="15">
        <v>3.7722915579562346</v>
      </c>
      <c r="H3871" s="15">
        <v>3.7722915579562346</v>
      </c>
      <c r="I3871" s="15">
        <v>0.73466509481992315</v>
      </c>
      <c r="J3871" s="15">
        <v>0.73466509481992315</v>
      </c>
      <c r="K3871" s="15">
        <v>0.81816579163180414</v>
      </c>
      <c r="L3871" s="15">
        <v>0.81816579163180414</v>
      </c>
      <c r="M3871" s="15" t="s">
        <v>10</v>
      </c>
      <c r="N3871" s="15" t="s">
        <v>10</v>
      </c>
      <c r="O3871" s="15" t="s">
        <v>10</v>
      </c>
      <c r="P3871" s="15" t="s">
        <v>10</v>
      </c>
      <c r="Q3871" s="8"/>
      <c r="R3871" s="9" t="s">
        <v>3603</v>
      </c>
    </row>
    <row r="3872" spans="1:18" x14ac:dyDescent="0.25">
      <c r="A3872" s="6" t="str">
        <f>HYPERLINK("proteomic_fractions_linear_files/Yang_linear_img/9506843.jpg", "9506843")</f>
        <v>9506843</v>
      </c>
      <c r="B3872" s="7"/>
      <c r="C3872" s="6" t="str">
        <f>HYPERLINK("http://www.ncbi.nlm.nih.gov/protein/9506843","Lmna")</f>
        <v>Lmna</v>
      </c>
      <c r="D3872" s="8"/>
      <c r="E3872" s="8">
        <v>52521</v>
      </c>
      <c r="F3872" s="8"/>
      <c r="G3872" s="15">
        <v>1.5678992164744123</v>
      </c>
      <c r="H3872" s="15">
        <v>1.5678992164744123</v>
      </c>
      <c r="I3872" s="15">
        <v>1.3855879290883442</v>
      </c>
      <c r="J3872" s="15">
        <v>1.3855879290883442</v>
      </c>
      <c r="K3872" s="15">
        <v>1.5678992164744123</v>
      </c>
      <c r="L3872" s="15">
        <v>1.5678992164744123</v>
      </c>
      <c r="M3872" s="15" t="s">
        <v>10</v>
      </c>
      <c r="N3872" s="15" t="s">
        <v>10</v>
      </c>
      <c r="O3872" s="15">
        <v>1.2349672326517798</v>
      </c>
      <c r="P3872" s="15">
        <v>1.2349672326517798</v>
      </c>
      <c r="Q3872" s="8"/>
      <c r="R3872" s="9" t="s">
        <v>3604</v>
      </c>
    </row>
    <row r="3873" spans="1:18" x14ac:dyDescent="0.25">
      <c r="A3873" s="6" t="str">
        <f>HYPERLINK("proteomic_fractions_linear_files/Yang_linear_img/161760667.jpg", "161760667")</f>
        <v>161760667</v>
      </c>
      <c r="B3873" s="7"/>
      <c r="C3873" s="6" t="str">
        <f>HYPERLINK("http://www.ncbi.nlm.nih.gov/protein/161760667","Lmna")</f>
        <v>Lmna</v>
      </c>
      <c r="D3873" s="8"/>
      <c r="E3873" s="8">
        <v>65315</v>
      </c>
      <c r="F3873" s="8"/>
      <c r="G3873" s="15">
        <v>1.2784408995868286</v>
      </c>
      <c r="H3873" s="15">
        <v>1.2784408995868286</v>
      </c>
      <c r="I3873" s="15">
        <v>1.1297870806412653</v>
      </c>
      <c r="J3873" s="15">
        <v>1.1297870806412653</v>
      </c>
      <c r="K3873" s="15">
        <v>1.0069732820083743</v>
      </c>
      <c r="L3873" s="15">
        <v>1.0069732820083743</v>
      </c>
      <c r="M3873" s="15">
        <v>1.0069732820083743</v>
      </c>
      <c r="N3873" s="15">
        <v>1.0069732820083743</v>
      </c>
      <c r="O3873" s="15">
        <v>0.31688371056394266</v>
      </c>
      <c r="P3873" s="15">
        <v>0.31688371056394266</v>
      </c>
      <c r="Q3873" s="8"/>
      <c r="R3873" s="9" t="s">
        <v>3605</v>
      </c>
    </row>
    <row r="3874" spans="1:18" x14ac:dyDescent="0.25">
      <c r="A3874" s="6" t="str">
        <f>HYPERLINK("proteomic_fractions_linear_files/Yang_linear_img/162287370.jpg", "162287370")</f>
        <v>162287370</v>
      </c>
      <c r="B3874" s="7"/>
      <c r="C3874" s="6" t="str">
        <f>HYPERLINK("http://www.ncbi.nlm.nih.gov/protein/162287370","Lmna")</f>
        <v>Lmna</v>
      </c>
      <c r="D3874" s="8"/>
      <c r="E3874" s="8">
        <v>74107</v>
      </c>
      <c r="F3874" s="8"/>
      <c r="G3874" s="15">
        <v>1.1229548442316737</v>
      </c>
      <c r="H3874" s="15">
        <v>1.2833510970619528</v>
      </c>
      <c r="I3874" s="15">
        <v>0.99238054380651686</v>
      </c>
      <c r="J3874" s="15">
        <v>0.99238054380651686</v>
      </c>
      <c r="K3874" s="15">
        <v>0.88450355852086937</v>
      </c>
      <c r="L3874" s="15">
        <v>0.88450355852086937</v>
      </c>
      <c r="M3874" s="15">
        <v>0.88450355852086937</v>
      </c>
      <c r="N3874" s="15">
        <v>0.88450355852086937</v>
      </c>
      <c r="O3874" s="15">
        <v>0.27834379981967938</v>
      </c>
      <c r="P3874" s="15">
        <v>0.27834379981967938</v>
      </c>
      <c r="Q3874" s="8"/>
      <c r="R3874" s="9" t="s">
        <v>3606</v>
      </c>
    </row>
    <row r="3875" spans="1:18" x14ac:dyDescent="0.25">
      <c r="A3875" s="6" t="str">
        <f>HYPERLINK("proteomic_fractions_linear_files/Yang_linear_img/188219589.jpg", "188219589")</f>
        <v>188219589</v>
      </c>
      <c r="B3875" s="7"/>
      <c r="C3875" s="6" t="str">
        <f>HYPERLINK("http://www.ncbi.nlm.nih.gov/protein/188219589","Lmnb1")</f>
        <v>Lmnb1</v>
      </c>
      <c r="D3875" s="8"/>
      <c r="E3875" s="8">
        <v>66655</v>
      </c>
      <c r="F3875" s="8"/>
      <c r="G3875" s="15">
        <v>1.2402784846737889</v>
      </c>
      <c r="H3875" s="15">
        <v>1.2402784846737889</v>
      </c>
      <c r="I3875" s="15">
        <v>1.0960620931594365</v>
      </c>
      <c r="J3875" s="15">
        <v>1.0960620931594365</v>
      </c>
      <c r="K3875" s="15">
        <v>1.0960620931594365</v>
      </c>
      <c r="L3875" s="15">
        <v>1.0960620931594365</v>
      </c>
      <c r="M3875" s="15" t="s">
        <v>10</v>
      </c>
      <c r="N3875" s="15" t="s">
        <v>10</v>
      </c>
      <c r="O3875" s="15">
        <v>1.0960620931594365</v>
      </c>
      <c r="P3875" s="15">
        <v>1.0960620931594365</v>
      </c>
      <c r="Q3875" s="8"/>
      <c r="R3875" s="9" t="s">
        <v>3607</v>
      </c>
    </row>
    <row r="3876" spans="1:18" x14ac:dyDescent="0.25">
      <c r="A3876" s="6" t="str">
        <f>HYPERLINK("proteomic_fractions_linear_files/Yang_linear_img/113195686.jpg", "113195686")</f>
        <v>113195686</v>
      </c>
      <c r="B3876" s="7"/>
      <c r="C3876" s="6" t="str">
        <f>HYPERLINK("http://www.ncbi.nlm.nih.gov/protein/113195686","Lmnb2")</f>
        <v>Lmnb2</v>
      </c>
      <c r="D3876" s="8"/>
      <c r="E3876" s="8">
        <v>67187</v>
      </c>
      <c r="F3876" s="8"/>
      <c r="G3876" s="15">
        <v>1.2402784846737889</v>
      </c>
      <c r="H3876" s="15">
        <v>1.2402784846737889</v>
      </c>
      <c r="I3876" s="15" t="s">
        <v>10</v>
      </c>
      <c r="J3876" s="15" t="s">
        <v>10</v>
      </c>
      <c r="K3876" s="15" t="s">
        <v>10</v>
      </c>
      <c r="L3876" s="15" t="s">
        <v>10</v>
      </c>
      <c r="M3876" s="15" t="s">
        <v>10</v>
      </c>
      <c r="N3876" s="15" t="s">
        <v>10</v>
      </c>
      <c r="O3876" s="15" t="s">
        <v>10</v>
      </c>
      <c r="P3876" s="15" t="s">
        <v>10</v>
      </c>
      <c r="Q3876" s="8"/>
      <c r="R3876" s="9" t="s">
        <v>3608</v>
      </c>
    </row>
    <row r="3877" spans="1:18" x14ac:dyDescent="0.25">
      <c r="A3877" s="6" t="str">
        <f>HYPERLINK("proteomic_fractions_linear_files/Yang_linear_img/157311641.jpg", "157311641")</f>
        <v>157311641</v>
      </c>
      <c r="B3877" s="7"/>
      <c r="C3877" s="6" t="str">
        <f>HYPERLINK("http://www.ncbi.nlm.nih.gov/protein/157311641","Lmo7")</f>
        <v>Lmo7</v>
      </c>
      <c r="D3877" s="8"/>
      <c r="E3877" s="8">
        <v>192423</v>
      </c>
      <c r="F3877" s="8"/>
      <c r="G3877" s="15" t="s">
        <v>10</v>
      </c>
      <c r="H3877" s="15" t="s">
        <v>10</v>
      </c>
      <c r="I3877" s="15" t="s">
        <v>10</v>
      </c>
      <c r="J3877" s="15" t="s">
        <v>10</v>
      </c>
      <c r="K3877" s="15">
        <v>1.2154210813950472</v>
      </c>
      <c r="L3877" s="15">
        <v>1.2154210813950472</v>
      </c>
      <c r="M3877" s="15" t="s">
        <v>10</v>
      </c>
      <c r="N3877" s="15" t="s">
        <v>10</v>
      </c>
      <c r="O3877" s="15">
        <v>0.97273870645802274</v>
      </c>
      <c r="P3877" s="15">
        <v>0.97273870645802274</v>
      </c>
      <c r="Q3877" s="8"/>
      <c r="R3877" s="9" t="s">
        <v>3609</v>
      </c>
    </row>
    <row r="3878" spans="1:18" x14ac:dyDescent="0.25">
      <c r="A3878" s="6" t="str">
        <f>HYPERLINK("proteomic_fractions_linear_files/Yang_linear_img/124487401.jpg", "124487401")</f>
        <v>124487401</v>
      </c>
      <c r="B3878" s="7"/>
      <c r="C3878" s="6" t="str">
        <f>HYPERLINK("http://www.ncbi.nlm.nih.gov/protein/124487401","Lmtk2")</f>
        <v>Lmtk2</v>
      </c>
      <c r="D3878" s="8"/>
      <c r="E3878" s="8">
        <v>157900</v>
      </c>
      <c r="F3878" s="8"/>
      <c r="G3878" s="15" t="s">
        <v>10</v>
      </c>
      <c r="H3878" s="15" t="s">
        <v>10</v>
      </c>
      <c r="I3878" s="15" t="s">
        <v>10</v>
      </c>
      <c r="J3878" s="15" t="s">
        <v>10</v>
      </c>
      <c r="K3878" s="15">
        <v>1.9100210420031567</v>
      </c>
      <c r="L3878" s="15">
        <v>1.9100210420031567</v>
      </c>
      <c r="M3878" s="15" t="s">
        <v>10</v>
      </c>
      <c r="N3878" s="15" t="s">
        <v>10</v>
      </c>
      <c r="O3878" s="15" t="s">
        <v>10</v>
      </c>
      <c r="P3878" s="15" t="s">
        <v>10</v>
      </c>
      <c r="Q3878" s="8"/>
      <c r="R3878" s="9" t="s">
        <v>3610</v>
      </c>
    </row>
    <row r="3879" spans="1:18" x14ac:dyDescent="0.25">
      <c r="A3879" s="6" t="str">
        <f>HYPERLINK("proteomic_fractions_linear_files/Yang_linear_img/27370240.jpg", "27370240")</f>
        <v>27370240</v>
      </c>
      <c r="B3879" s="7"/>
      <c r="C3879" s="6" t="str">
        <f>HYPERLINK("http://www.ncbi.nlm.nih.gov/protein/27370240","Lnpep")</f>
        <v>Lnpep</v>
      </c>
      <c r="D3879" s="8"/>
      <c r="E3879" s="8">
        <v>117173</v>
      </c>
      <c r="F3879" s="8"/>
      <c r="G3879" s="15">
        <v>0.3462163948993397</v>
      </c>
      <c r="H3879" s="15">
        <v>0.3462163948993397</v>
      </c>
      <c r="I3879" s="15">
        <v>0.37714178843560231</v>
      </c>
      <c r="J3879" s="15">
        <v>0.37714178843560231</v>
      </c>
      <c r="K3879" s="15">
        <v>1.9945371592123853</v>
      </c>
      <c r="L3879" s="15">
        <v>1.9945371592123853</v>
      </c>
      <c r="M3879" s="15">
        <v>1.9945371592123853</v>
      </c>
      <c r="N3879" s="15">
        <v>1.9945371592123853</v>
      </c>
      <c r="O3879" s="15" t="s">
        <v>10</v>
      </c>
      <c r="P3879" s="15" t="s">
        <v>10</v>
      </c>
      <c r="Q3879" s="8"/>
      <c r="R3879" s="9" t="s">
        <v>3611</v>
      </c>
    </row>
    <row r="3880" spans="1:18" x14ac:dyDescent="0.25">
      <c r="A3880" s="6" t="str">
        <f>HYPERLINK("proteomic_fractions_linear_files/Yang_linear_img/407260881.jpg", "407260881")</f>
        <v>407260881</v>
      </c>
      <c r="B3880" s="7"/>
      <c r="C3880" s="6" t="str">
        <f>HYPERLINK("http://www.ncbi.nlm.nih.gov/protein/407260881","LOC100044322")</f>
        <v>LOC100044322</v>
      </c>
      <c r="D3880" s="8"/>
      <c r="E3880" s="8">
        <v>6409</v>
      </c>
      <c r="F3880" s="8"/>
      <c r="G3880" s="15">
        <v>31.127638606656728</v>
      </c>
      <c r="H3880" s="15">
        <v>31.127638606656728</v>
      </c>
      <c r="I3880" s="15" t="s">
        <v>10</v>
      </c>
      <c r="J3880" s="15" t="s">
        <v>10</v>
      </c>
      <c r="K3880" s="15">
        <v>38.893474604641511</v>
      </c>
      <c r="L3880" s="15">
        <v>38.893474604641511</v>
      </c>
      <c r="M3880" s="15" t="s">
        <v>10</v>
      </c>
      <c r="N3880" s="15" t="s">
        <v>10</v>
      </c>
      <c r="O3880" s="15" t="s">
        <v>10</v>
      </c>
      <c r="P3880" s="15" t="s">
        <v>10</v>
      </c>
      <c r="Q3880" s="8"/>
      <c r="R3880" s="9" t="s">
        <v>8184</v>
      </c>
    </row>
    <row r="3881" spans="1:18" x14ac:dyDescent="0.25">
      <c r="A3881" s="6" t="str">
        <f>HYPERLINK("proteomic_fractions_linear_files/Yang_linear_img/149257848.jpg", "149257848")</f>
        <v>149257848</v>
      </c>
      <c r="B3881" s="7"/>
      <c r="C3881" s="6" t="str">
        <f>HYPERLINK("http://www.ncbi.nlm.nih.gov/protein/149257848","LOC100044391")</f>
        <v>LOC100044391</v>
      </c>
      <c r="D3881" s="8"/>
      <c r="E3881" s="8">
        <v>10021</v>
      </c>
      <c r="F3881" s="8"/>
      <c r="G3881" s="15" t="s">
        <v>10</v>
      </c>
      <c r="H3881" s="15" t="s">
        <v>10</v>
      </c>
      <c r="I3881" s="15">
        <v>1.8495299164564085</v>
      </c>
      <c r="J3881" s="15">
        <v>1.8495299164564085</v>
      </c>
      <c r="K3881" s="15" t="s">
        <v>10</v>
      </c>
      <c r="L3881" s="15" t="s">
        <v>10</v>
      </c>
      <c r="M3881" s="15">
        <v>1.8495299164564085</v>
      </c>
      <c r="N3881" s="15">
        <v>1.8495299164564085</v>
      </c>
      <c r="O3881" s="15">
        <v>1.7569939765358966</v>
      </c>
      <c r="P3881" s="15">
        <v>1.7569939765358966</v>
      </c>
      <c r="Q3881" s="8"/>
      <c r="R3881" s="9" t="s">
        <v>8185</v>
      </c>
    </row>
    <row r="3882" spans="1:18" x14ac:dyDescent="0.25">
      <c r="A3882" s="6" t="str">
        <f>HYPERLINK("proteomic_fractions_linear_files/Yang_linear_img/377837128.jpg", "377837128")</f>
        <v>377837128</v>
      </c>
      <c r="B3882" s="7"/>
      <c r="C3882" s="6" t="str">
        <f>HYPERLINK("http://www.ncbi.nlm.nih.gov/protein/377837128","LOC100044627")</f>
        <v>LOC100044627</v>
      </c>
      <c r="D3882" s="8"/>
      <c r="E3882" s="8">
        <v>14734</v>
      </c>
      <c r="F3882" s="8"/>
      <c r="G3882" s="15">
        <v>1.540638224981163</v>
      </c>
      <c r="H3882" s="15">
        <v>1.540638224981163</v>
      </c>
      <c r="I3882" s="15">
        <v>1.0130892195876191</v>
      </c>
      <c r="J3882" s="15">
        <v>1.0130892195876191</v>
      </c>
      <c r="K3882" s="15">
        <v>1.0130892195876191</v>
      </c>
      <c r="L3882" s="15">
        <v>1.0130892195876191</v>
      </c>
      <c r="M3882" s="15">
        <v>1.0618294522121183</v>
      </c>
      <c r="N3882" s="15">
        <v>1.0618294522121183</v>
      </c>
      <c r="O3882" s="15">
        <v>1.0130892195876191</v>
      </c>
      <c r="P3882" s="15">
        <v>1.0130892195876191</v>
      </c>
      <c r="Q3882" s="8"/>
      <c r="R3882" s="9" t="s">
        <v>8086</v>
      </c>
    </row>
    <row r="3883" spans="1:18" x14ac:dyDescent="0.25">
      <c r="A3883" s="6" t="str">
        <f>HYPERLINK("proteomic_fractions_linear_files/Yang_linear_img/149255928.jpg", "149255928")</f>
        <v>149255928</v>
      </c>
      <c r="B3883" s="7"/>
      <c r="C3883" s="6" t="str">
        <f>HYPERLINK("http://www.ncbi.nlm.nih.gov/protein/149255928","LOC100044742")</f>
        <v>LOC100044742</v>
      </c>
      <c r="D3883" s="8"/>
      <c r="E3883" s="8">
        <v>19684</v>
      </c>
      <c r="F3883" s="8"/>
      <c r="G3883" s="15" t="s">
        <v>10</v>
      </c>
      <c r="H3883" s="15" t="s">
        <v>10</v>
      </c>
      <c r="I3883" s="15">
        <v>0.97505749140176368</v>
      </c>
      <c r="J3883" s="15">
        <v>0.97505749140176368</v>
      </c>
      <c r="K3883" s="15">
        <v>0.92476495822820426</v>
      </c>
      <c r="L3883" s="15">
        <v>0.92476495822820426</v>
      </c>
      <c r="M3883" s="15">
        <v>0.97505749140176368</v>
      </c>
      <c r="N3883" s="15">
        <v>0.97505749140176368</v>
      </c>
      <c r="O3883" s="15">
        <v>0.92476495822820426</v>
      </c>
      <c r="P3883" s="15">
        <v>0.92476495822820426</v>
      </c>
      <c r="Q3883" s="8"/>
      <c r="R3883" s="9" t="s">
        <v>8186</v>
      </c>
    </row>
    <row r="3884" spans="1:18" x14ac:dyDescent="0.25">
      <c r="A3884" s="6" t="str">
        <f>HYPERLINK("proteomic_fractions_linear_files/Yang_linear_img/149251501.jpg", "149251501")</f>
        <v>149251501</v>
      </c>
      <c r="B3884" s="7"/>
      <c r="C3884" s="6" t="str">
        <f>HYPERLINK("http://www.ncbi.nlm.nih.gov/protein/149251501","LOC100044829")</f>
        <v>LOC100044829</v>
      </c>
      <c r="D3884" s="8"/>
      <c r="E3884" s="8">
        <v>34176</v>
      </c>
      <c r="F3884" s="8"/>
      <c r="G3884" s="15">
        <v>1.4202933995416251</v>
      </c>
      <c r="H3884" s="15">
        <v>1.4202933995416251</v>
      </c>
      <c r="I3884" s="15">
        <v>1.0162757803080937</v>
      </c>
      <c r="J3884" s="15">
        <v>1.0162757803080937</v>
      </c>
      <c r="K3884" s="15">
        <v>1.0162757803080937</v>
      </c>
      <c r="L3884" s="15">
        <v>1.0162757803080937</v>
      </c>
      <c r="M3884" s="15">
        <v>1.0162757803080937</v>
      </c>
      <c r="N3884" s="15">
        <v>1.0162757803080937</v>
      </c>
      <c r="O3884" s="15" t="s">
        <v>10</v>
      </c>
      <c r="P3884" s="15" t="s">
        <v>10</v>
      </c>
      <c r="Q3884" s="8"/>
      <c r="R3884" s="9" t="s">
        <v>8187</v>
      </c>
    </row>
    <row r="3885" spans="1:18" x14ac:dyDescent="0.25">
      <c r="A3885" s="6" t="str">
        <f>HYPERLINK("proteomic_fractions_linear_files/Yang_linear_img/407262350.jpg", "407262350")</f>
        <v>407262350</v>
      </c>
      <c r="B3885" s="7"/>
      <c r="C3885" s="6" t="str">
        <f>HYPERLINK("http://www.ncbi.nlm.nih.gov/protein/407262350","LOC100044900")</f>
        <v>LOC100044900</v>
      </c>
      <c r="D3885" s="8"/>
      <c r="E3885" s="8">
        <v>17876</v>
      </c>
      <c r="F3885" s="8"/>
      <c r="G3885" s="15">
        <v>1.2838651874843026</v>
      </c>
      <c r="H3885" s="15">
        <v>1.2838651874843026</v>
      </c>
      <c r="I3885" s="15" t="s">
        <v>10</v>
      </c>
      <c r="J3885" s="15" t="s">
        <v>10</v>
      </c>
      <c r="K3885" s="15" t="s">
        <v>10</v>
      </c>
      <c r="L3885" s="15" t="s">
        <v>10</v>
      </c>
      <c r="M3885" s="15" t="s">
        <v>10</v>
      </c>
      <c r="N3885" s="15" t="s">
        <v>10</v>
      </c>
      <c r="O3885" s="15" t="s">
        <v>10</v>
      </c>
      <c r="P3885" s="15" t="s">
        <v>10</v>
      </c>
      <c r="Q3885" s="8"/>
      <c r="R3885" s="9" t="s">
        <v>8188</v>
      </c>
    </row>
    <row r="3886" spans="1:18" x14ac:dyDescent="0.25">
      <c r="A3886" s="6" t="str">
        <f>HYPERLINK("proteomic_fractions_linear_files/Yang_linear_img/407262350;35493987.jpg", "407262350;35493987")</f>
        <v>407262350;35493987</v>
      </c>
      <c r="B3886" s="8"/>
      <c r="C3886" s="6" t="str">
        <f>HYPERLINK("http://www.ncbi.nlm.nih.gov/protein/407262350;35493987","LOC100044900")</f>
        <v>LOC100044900</v>
      </c>
      <c r="D3886" s="8"/>
      <c r="E3886" s="8">
        <v>17876</v>
      </c>
      <c r="F3886" s="8"/>
      <c r="G3886" s="15" t="s">
        <v>10</v>
      </c>
      <c r="H3886" s="15" t="s">
        <v>10</v>
      </c>
      <c r="I3886" s="15" t="s">
        <v>10</v>
      </c>
      <c r="J3886" s="15" t="s">
        <v>10</v>
      </c>
      <c r="K3886" s="15">
        <v>0.9286930289226123</v>
      </c>
      <c r="L3886" s="15">
        <v>0.9286930289226123</v>
      </c>
      <c r="M3886" s="15" t="s">
        <v>10</v>
      </c>
      <c r="N3886" s="15" t="s">
        <v>10</v>
      </c>
      <c r="O3886" s="15" t="s">
        <v>10</v>
      </c>
      <c r="P3886" s="15" t="s">
        <v>10</v>
      </c>
      <c r="Q3886" s="8"/>
      <c r="R3886" s="9" t="s">
        <v>8188</v>
      </c>
    </row>
    <row r="3887" spans="1:18" x14ac:dyDescent="0.25">
      <c r="A3887" s="6" t="str">
        <f>HYPERLINK("proteomic_fractions_linear_files/Yang_linear_img/407262157.jpg", "407262157")</f>
        <v>407262157</v>
      </c>
      <c r="B3887" s="7"/>
      <c r="C3887" s="6" t="str">
        <f>HYPERLINK("http://www.ncbi.nlm.nih.gov/protein/407262157","LOC100045148")</f>
        <v>LOC100045148</v>
      </c>
      <c r="D3887" s="8"/>
      <c r="E3887" s="8">
        <v>153196</v>
      </c>
      <c r="F3887" s="8"/>
      <c r="G3887" s="15" t="s">
        <v>10</v>
      </c>
      <c r="H3887" s="15" t="s">
        <v>10</v>
      </c>
      <c r="I3887" s="15" t="s">
        <v>10</v>
      </c>
      <c r="J3887" s="15" t="s">
        <v>10</v>
      </c>
      <c r="K3887" s="15">
        <v>1.0029599420669402</v>
      </c>
      <c r="L3887" s="15">
        <v>1.0029599420669402</v>
      </c>
      <c r="M3887" s="15" t="s">
        <v>10</v>
      </c>
      <c r="N3887" s="15" t="s">
        <v>10</v>
      </c>
      <c r="O3887" s="15" t="s">
        <v>10</v>
      </c>
      <c r="P3887" s="15" t="s">
        <v>10</v>
      </c>
      <c r="Q3887" s="8"/>
      <c r="R3887" s="9" t="s">
        <v>8189</v>
      </c>
    </row>
    <row r="3888" spans="1:18" x14ac:dyDescent="0.25">
      <c r="A3888" s="6" t="str">
        <f>HYPERLINK("proteomic_fractions_linear_files/Yang_linear_img/309267107.jpg", "309267107")</f>
        <v>309267107</v>
      </c>
      <c r="B3888" s="7"/>
      <c r="C3888" s="6" t="str">
        <f>HYPERLINK("http://www.ncbi.nlm.nih.gov/protein/309267107","LOC100045191")</f>
        <v>LOC100045191</v>
      </c>
      <c r="D3888" s="8"/>
      <c r="E3888" s="8">
        <v>35848</v>
      </c>
      <c r="F3888" s="8"/>
      <c r="G3888" s="15">
        <v>1.2257108124157075</v>
      </c>
      <c r="H3888" s="15">
        <v>1.2257108124157075</v>
      </c>
      <c r="I3888" s="15" t="s">
        <v>10</v>
      </c>
      <c r="J3888" s="15" t="s">
        <v>10</v>
      </c>
      <c r="K3888" s="15" t="s">
        <v>10</v>
      </c>
      <c r="L3888" s="15" t="s">
        <v>10</v>
      </c>
      <c r="M3888" s="15" t="s">
        <v>10</v>
      </c>
      <c r="N3888" s="15" t="s">
        <v>10</v>
      </c>
      <c r="O3888" s="15" t="s">
        <v>10</v>
      </c>
      <c r="P3888" s="15" t="s">
        <v>10</v>
      </c>
      <c r="Q3888" s="8"/>
      <c r="R3888" s="9" t="s">
        <v>8190</v>
      </c>
    </row>
    <row r="3889" spans="1:18" x14ac:dyDescent="0.25">
      <c r="A3889" s="6" t="str">
        <f>HYPERLINK("proteomic_fractions_linear_files/Yang_linear_img/309267107;109134362.jpg", "309267107;109134362")</f>
        <v>309267107;109134362</v>
      </c>
      <c r="B3889" s="8"/>
      <c r="C3889" s="6" t="str">
        <f>HYPERLINK("http://www.ncbi.nlm.nih.gov/protein/309267107;109134362","LOC100045191")</f>
        <v>LOC100045191</v>
      </c>
      <c r="D3889" s="8"/>
      <c r="E3889" s="8">
        <v>35848</v>
      </c>
      <c r="F3889" s="8"/>
      <c r="G3889" s="15" t="s">
        <v>10</v>
      </c>
      <c r="H3889" s="15" t="s">
        <v>10</v>
      </c>
      <c r="I3889" s="15" t="s">
        <v>10</v>
      </c>
      <c r="J3889" s="15" t="s">
        <v>10</v>
      </c>
      <c r="K3889" s="15">
        <v>0.95981601473542177</v>
      </c>
      <c r="L3889" s="15">
        <v>0.95981601473542177</v>
      </c>
      <c r="M3889" s="15" t="s">
        <v>10</v>
      </c>
      <c r="N3889" s="15" t="s">
        <v>10</v>
      </c>
      <c r="O3889" s="15" t="s">
        <v>10</v>
      </c>
      <c r="P3889" s="15" t="s">
        <v>10</v>
      </c>
      <c r="Q3889" s="8"/>
      <c r="R3889" s="9" t="s">
        <v>8190</v>
      </c>
    </row>
    <row r="3890" spans="1:18" x14ac:dyDescent="0.25">
      <c r="A3890" s="6" t="str">
        <f>HYPERLINK("proteomic_fractions_linear_files/Yang_linear_img/149274502.jpg", "149274502")</f>
        <v>149274502</v>
      </c>
      <c r="B3890" s="7"/>
      <c r="C3890" s="6" t="str">
        <f>HYPERLINK("http://www.ncbi.nlm.nih.gov/protein/149274502","LOC100045688")</f>
        <v>LOC100045688</v>
      </c>
      <c r="D3890" s="8"/>
      <c r="E3890" s="8">
        <v>15539</v>
      </c>
      <c r="F3890" s="8"/>
      <c r="G3890" s="15">
        <v>0.90734210761689671</v>
      </c>
      <c r="H3890" s="15">
        <v>0.90734210761689671</v>
      </c>
      <c r="I3890" s="15">
        <v>1.1559561977852553</v>
      </c>
      <c r="J3890" s="15">
        <v>1.1559561977852553</v>
      </c>
      <c r="K3890" s="15" t="s">
        <v>10</v>
      </c>
      <c r="L3890" s="15" t="s">
        <v>10</v>
      </c>
      <c r="M3890" s="15" t="s">
        <v>10</v>
      </c>
      <c r="N3890" s="15" t="s">
        <v>10</v>
      </c>
      <c r="O3890" s="15">
        <v>1.0981212353349354</v>
      </c>
      <c r="P3890" s="15">
        <v>1.1559561977852553</v>
      </c>
      <c r="Q3890" s="8"/>
      <c r="R3890" s="9" t="s">
        <v>8075</v>
      </c>
    </row>
    <row r="3891" spans="1:18" x14ac:dyDescent="0.25">
      <c r="A3891" s="6" t="str">
        <f>HYPERLINK("proteomic_fractions_linear_files/Yang_linear_img/149271901.jpg", "149271901")</f>
        <v>149271901</v>
      </c>
      <c r="B3891" s="7"/>
      <c r="C3891" s="6" t="str">
        <f>HYPERLINK("http://www.ncbi.nlm.nih.gov/protein/149271901","LOC100045848")</f>
        <v>LOC100045848</v>
      </c>
      <c r="D3891" s="8"/>
      <c r="E3891" s="8">
        <v>16797</v>
      </c>
      <c r="F3891" s="8"/>
      <c r="G3891" s="15">
        <v>1.4444012125457011</v>
      </c>
      <c r="H3891" s="15">
        <v>1.4444012125457011</v>
      </c>
      <c r="I3891" s="15">
        <v>0.98332203062394252</v>
      </c>
      <c r="J3891" s="15">
        <v>0.98332203062394252</v>
      </c>
      <c r="K3891" s="15">
        <v>0.98332203062394252</v>
      </c>
      <c r="L3891" s="15">
        <v>0.98332203062394252</v>
      </c>
      <c r="M3891" s="15">
        <v>1.0335258685505275</v>
      </c>
      <c r="N3891" s="15">
        <v>1.0335258685505275</v>
      </c>
      <c r="O3891" s="15">
        <v>0.98332203062394252</v>
      </c>
      <c r="P3891" s="15">
        <v>0.98332203062394252</v>
      </c>
      <c r="Q3891" s="8"/>
      <c r="R3891" s="9" t="s">
        <v>8191</v>
      </c>
    </row>
    <row r="3892" spans="1:18" x14ac:dyDescent="0.25">
      <c r="A3892" s="6" t="str">
        <f>HYPERLINK("proteomic_fractions_linear_files/Yang_linear_img/149251548.jpg", "149251548")</f>
        <v>149251548</v>
      </c>
      <c r="B3892" s="7"/>
      <c r="C3892" s="6" t="str">
        <f>HYPERLINK("http://www.ncbi.nlm.nih.gov/protein/149251548","LOC100045901")</f>
        <v>LOC100045901</v>
      </c>
      <c r="D3892" s="8"/>
      <c r="E3892" s="8">
        <v>17825</v>
      </c>
      <c r="F3892" s="8"/>
      <c r="G3892" s="15">
        <v>1.3641567007376065</v>
      </c>
      <c r="H3892" s="15">
        <v>1.3641567007376065</v>
      </c>
      <c r="I3892" s="15">
        <v>0.9286930289226123</v>
      </c>
      <c r="J3892" s="15">
        <v>0.9286930289226123</v>
      </c>
      <c r="K3892" s="15">
        <v>0.9286930289226123</v>
      </c>
      <c r="L3892" s="15">
        <v>0.9286930289226123</v>
      </c>
      <c r="M3892" s="15">
        <v>0.97610776474216487</v>
      </c>
      <c r="N3892" s="15">
        <v>0.97610776474216487</v>
      </c>
      <c r="O3892" s="15">
        <v>0.88485787684343198</v>
      </c>
      <c r="P3892" s="15">
        <v>0.88485787684343198</v>
      </c>
      <c r="Q3892" s="8"/>
      <c r="R3892" s="9" t="s">
        <v>8051</v>
      </c>
    </row>
    <row r="3893" spans="1:18" x14ac:dyDescent="0.25">
      <c r="A3893" s="6" t="str">
        <f>HYPERLINK("proteomic_fractions_linear_files/Yang_linear_img/149262068.jpg", "149262068")</f>
        <v>149262068</v>
      </c>
      <c r="B3893" s="7"/>
      <c r="C3893" s="6" t="str">
        <f>HYPERLINK("http://www.ncbi.nlm.nih.gov/protein/149262068","LOC100045924")</f>
        <v>LOC100045924</v>
      </c>
      <c r="D3893" s="8"/>
      <c r="E3893" s="8">
        <v>23437</v>
      </c>
      <c r="F3893" s="8"/>
      <c r="G3893" s="15">
        <v>1.3949596893797211</v>
      </c>
      <c r="H3893" s="15">
        <v>1.3949596893797211</v>
      </c>
      <c r="I3893" s="15">
        <v>0.94764096829038047</v>
      </c>
      <c r="J3893" s="15">
        <v>0.94764096829038047</v>
      </c>
      <c r="K3893" s="15">
        <v>0.94764096829038047</v>
      </c>
      <c r="L3893" s="15">
        <v>0.94764096829038047</v>
      </c>
      <c r="M3893" s="15" t="s">
        <v>10</v>
      </c>
      <c r="N3893" s="15" t="s">
        <v>10</v>
      </c>
      <c r="O3893" s="15">
        <v>0.94764096829038047</v>
      </c>
      <c r="P3893" s="15">
        <v>0.94764096829038047</v>
      </c>
      <c r="Q3893" s="8"/>
      <c r="R3893" s="9" t="s">
        <v>8192</v>
      </c>
    </row>
    <row r="3894" spans="1:18" x14ac:dyDescent="0.25">
      <c r="A3894" s="6" t="str">
        <f>HYPERLINK("proteomic_fractions_linear_files/Yang_linear_img/149260287.jpg", "149260287")</f>
        <v>149260287</v>
      </c>
      <c r="B3894" s="7"/>
      <c r="C3894" s="6" t="str">
        <f>HYPERLINK("http://www.ncbi.nlm.nih.gov/protein/149260287","LOC100045999")</f>
        <v>LOC100045999</v>
      </c>
      <c r="D3894" s="8"/>
      <c r="E3894" s="8">
        <v>24292</v>
      </c>
      <c r="F3894" s="8"/>
      <c r="G3894" s="15">
        <v>1.4397240221031327</v>
      </c>
      <c r="H3894" s="15">
        <v>1.4397240221031327</v>
      </c>
      <c r="I3894" s="15">
        <v>1.0231175255532048</v>
      </c>
      <c r="J3894" s="15">
        <v>1.0231175255532048</v>
      </c>
      <c r="K3894" s="15">
        <v>1.0231175255532048</v>
      </c>
      <c r="L3894" s="15">
        <v>1.0231175255532048</v>
      </c>
      <c r="M3894" s="15">
        <v>1.0231175255532048</v>
      </c>
      <c r="N3894" s="15">
        <v>1.0231175255532048</v>
      </c>
      <c r="O3894" s="15">
        <v>0.90815592794494793</v>
      </c>
      <c r="P3894" s="15">
        <v>0.90815592794494793</v>
      </c>
      <c r="Q3894" s="8"/>
      <c r="R3894" s="9" t="s">
        <v>8193</v>
      </c>
    </row>
    <row r="3895" spans="1:18" x14ac:dyDescent="0.25">
      <c r="A3895" s="6" t="str">
        <f>HYPERLINK("proteomic_fractions_linear_files/Yang_linear_img/149263037.jpg", "149263037")</f>
        <v>149263037</v>
      </c>
      <c r="B3895" s="7"/>
      <c r="C3895" s="6" t="str">
        <f>HYPERLINK("http://www.ncbi.nlm.nih.gov/protein/149263037","LOC100046079")</f>
        <v>LOC100046079</v>
      </c>
      <c r="D3895" s="8"/>
      <c r="E3895" s="8">
        <v>13716</v>
      </c>
      <c r="F3895" s="8"/>
      <c r="G3895" s="15">
        <v>1.5568387336199108</v>
      </c>
      <c r="H3895" s="15">
        <v>1.5568387336199108</v>
      </c>
      <c r="I3895" s="15">
        <v>0.99184646428118928</v>
      </c>
      <c r="J3895" s="15">
        <v>0.99184646428118928</v>
      </c>
      <c r="K3895" s="15">
        <v>1.085452735272449</v>
      </c>
      <c r="L3895" s="15">
        <v>1.085452735272449</v>
      </c>
      <c r="M3895" s="15" t="s">
        <v>10</v>
      </c>
      <c r="N3895" s="15" t="s">
        <v>10</v>
      </c>
      <c r="O3895" s="15" t="s">
        <v>10</v>
      </c>
      <c r="P3895" s="15" t="s">
        <v>10</v>
      </c>
      <c r="Q3895" s="8"/>
      <c r="R3895" s="9" t="s">
        <v>8194</v>
      </c>
    </row>
    <row r="3896" spans="1:18" x14ac:dyDescent="0.25">
      <c r="A3896" s="6" t="str">
        <f>HYPERLINK("proteomic_fractions_linear_files/Yang_linear_img/149258501.jpg", "149258501")</f>
        <v>149258501</v>
      </c>
      <c r="B3896" s="7"/>
      <c r="C3896" s="6" t="str">
        <f>HYPERLINK("http://www.ncbi.nlm.nih.gov/protein/149258501","LOC100046151")</f>
        <v>LOC100046151</v>
      </c>
      <c r="D3896" s="8"/>
      <c r="E3896" s="8">
        <v>39515</v>
      </c>
      <c r="F3896" s="8"/>
      <c r="G3896" s="15">
        <v>1.0126829550805687</v>
      </c>
      <c r="H3896" s="15">
        <v>1.0126829550805687</v>
      </c>
      <c r="I3896" s="15">
        <v>0.69795528244205152</v>
      </c>
      <c r="J3896" s="15">
        <v>0.69795528244205152</v>
      </c>
      <c r="K3896" s="15">
        <v>0.74713517229282833</v>
      </c>
      <c r="L3896" s="15">
        <v>0.74713517229282833</v>
      </c>
      <c r="M3896" s="15">
        <v>0.43924849413397415</v>
      </c>
      <c r="N3896" s="15">
        <v>0.43924849413397415</v>
      </c>
      <c r="O3896" s="15" t="s">
        <v>10</v>
      </c>
      <c r="P3896" s="15" t="s">
        <v>10</v>
      </c>
      <c r="Q3896" s="8"/>
      <c r="R3896" s="9" t="s">
        <v>8195</v>
      </c>
    </row>
    <row r="3897" spans="1:18" x14ac:dyDescent="0.25">
      <c r="A3897" s="6" t="str">
        <f>HYPERLINK("proteomic_fractions_linear_files/Yang_linear_img/407261592.jpg", "407261592")</f>
        <v>407261592</v>
      </c>
      <c r="B3897" s="7"/>
      <c r="C3897" s="6" t="str">
        <f>HYPERLINK("http://www.ncbi.nlm.nih.gov/protein/407261592","LOC100046151")</f>
        <v>LOC100046151</v>
      </c>
      <c r="D3897" s="8"/>
      <c r="E3897" s="8">
        <v>39473</v>
      </c>
      <c r="F3897" s="8"/>
      <c r="G3897" s="15">
        <v>1.038649184698019</v>
      </c>
      <c r="H3897" s="15">
        <v>1.038649184698019</v>
      </c>
      <c r="I3897" s="15">
        <v>0.71585157173543745</v>
      </c>
      <c r="J3897" s="15">
        <v>0.71585157173543745</v>
      </c>
      <c r="K3897" s="15">
        <v>0.76629248440290076</v>
      </c>
      <c r="L3897" s="15">
        <v>0.76629248440290076</v>
      </c>
      <c r="M3897" s="15">
        <v>0.45051127603484531</v>
      </c>
      <c r="N3897" s="15">
        <v>0.45051127603484531</v>
      </c>
      <c r="O3897" s="15" t="s">
        <v>10</v>
      </c>
      <c r="P3897" s="15" t="s">
        <v>10</v>
      </c>
      <c r="Q3897" s="8"/>
      <c r="R3897" s="9" t="s">
        <v>8196</v>
      </c>
    </row>
    <row r="3898" spans="1:18" x14ac:dyDescent="0.25">
      <c r="A3898" s="6" t="str">
        <f>HYPERLINK("proteomic_fractions_linear_files/Yang_linear_img/407261594.jpg", "407261594")</f>
        <v>407261594</v>
      </c>
      <c r="B3898" s="7"/>
      <c r="C3898" s="6" t="str">
        <f>HYPERLINK("http://www.ncbi.nlm.nih.gov/protein/407261594","LOC100046151")</f>
        <v>LOC100046151</v>
      </c>
      <c r="D3898" s="8"/>
      <c r="E3898" s="8">
        <v>19568</v>
      </c>
      <c r="F3898" s="8"/>
      <c r="G3898" s="15">
        <v>2.0253659101611374</v>
      </c>
      <c r="H3898" s="15">
        <v>2.0253659101611374</v>
      </c>
      <c r="I3898" s="15">
        <v>1.395910564884103</v>
      </c>
      <c r="J3898" s="15">
        <v>1.395910564884103</v>
      </c>
      <c r="K3898" s="15">
        <v>1.4942703445856567</v>
      </c>
      <c r="L3898" s="15">
        <v>1.4942703445856567</v>
      </c>
      <c r="M3898" s="15">
        <v>1.395910564884103</v>
      </c>
      <c r="N3898" s="15">
        <v>1.395910564884103</v>
      </c>
      <c r="O3898" s="15" t="s">
        <v>10</v>
      </c>
      <c r="P3898" s="15" t="s">
        <v>10</v>
      </c>
      <c r="Q3898" s="8"/>
      <c r="R3898" s="9" t="s">
        <v>8197</v>
      </c>
    </row>
    <row r="3899" spans="1:18" x14ac:dyDescent="0.25">
      <c r="A3899" s="6" t="str">
        <f>HYPERLINK("proteomic_fractions_linear_files/Yang_linear_img/149254294.jpg", "149254294")</f>
        <v>149254294</v>
      </c>
      <c r="B3899" s="7"/>
      <c r="C3899" s="6" t="str">
        <f>HYPERLINK("http://www.ncbi.nlm.nih.gov/protein/149254294","LOC100046223")</f>
        <v>LOC100046223</v>
      </c>
      <c r="D3899" s="8"/>
      <c r="E3899" s="8">
        <v>16941</v>
      </c>
      <c r="F3899" s="8"/>
      <c r="G3899" s="15">
        <v>1.5382504773779413</v>
      </c>
      <c r="H3899" s="15">
        <v>1.5382504773779413</v>
      </c>
      <c r="I3899" s="15">
        <v>0.98332203062394252</v>
      </c>
      <c r="J3899" s="15">
        <v>0.98332203062394252</v>
      </c>
      <c r="K3899" s="15">
        <v>1.0335258685505275</v>
      </c>
      <c r="L3899" s="15">
        <v>1.0335258685505275</v>
      </c>
      <c r="M3899" s="15">
        <v>1.0335258685505275</v>
      </c>
      <c r="N3899" s="15">
        <v>1.0335258685505275</v>
      </c>
      <c r="O3899" s="15" t="s">
        <v>10</v>
      </c>
      <c r="P3899" s="15" t="s">
        <v>10</v>
      </c>
      <c r="Q3899" s="8"/>
      <c r="R3899" s="9" t="s">
        <v>8157</v>
      </c>
    </row>
    <row r="3900" spans="1:18" x14ac:dyDescent="0.25">
      <c r="A3900" s="6" t="str">
        <f>HYPERLINK("proteomic_fractions_linear_files/Yang_linear_img/407261929.jpg", "407261929")</f>
        <v>407261929</v>
      </c>
      <c r="B3900" s="7"/>
      <c r="C3900" s="6" t="str">
        <f>HYPERLINK("http://www.ncbi.nlm.nih.gov/protein/407261929","LOC100046289")</f>
        <v>LOC100046289</v>
      </c>
      <c r="D3900" s="8"/>
      <c r="E3900" s="8">
        <v>12370</v>
      </c>
      <c r="F3900" s="8"/>
      <c r="G3900" s="15">
        <v>1.0194051076942798</v>
      </c>
      <c r="H3900" s="15">
        <v>1.0194051076942798</v>
      </c>
      <c r="I3900" s="15">
        <v>1.0622682784948021</v>
      </c>
      <c r="J3900" s="15">
        <v>1.0622682784948021</v>
      </c>
      <c r="K3900" s="15">
        <v>1.1080886685834612</v>
      </c>
      <c r="L3900" s="15">
        <v>1.1080886685834612</v>
      </c>
      <c r="M3900" s="15">
        <v>1.1080886685834612</v>
      </c>
      <c r="N3900" s="15">
        <v>1.1080886685834612</v>
      </c>
      <c r="O3900" s="15">
        <v>1.1080886685834612</v>
      </c>
      <c r="P3900" s="15">
        <v>1.1080886685834612</v>
      </c>
      <c r="Q3900" s="8"/>
      <c r="R3900" s="9" t="s">
        <v>8198</v>
      </c>
    </row>
    <row r="3901" spans="1:18" x14ac:dyDescent="0.25">
      <c r="A3901" s="6" t="str">
        <f>HYPERLINK("proteomic_fractions_linear_files/Yang_linear_img/149267077.jpg", "149267077")</f>
        <v>149267077</v>
      </c>
      <c r="B3901" s="7"/>
      <c r="C3901" s="6" t="str">
        <f>HYPERLINK("http://www.ncbi.nlm.nih.gov/protein/149267077","LOC100046297")</f>
        <v>LOC100046297</v>
      </c>
      <c r="D3901" s="8"/>
      <c r="E3901" s="8">
        <v>12898</v>
      </c>
      <c r="F3901" s="8"/>
      <c r="G3901" s="15">
        <v>1.1167287478361805</v>
      </c>
      <c r="H3901" s="15">
        <v>1.1167287478361805</v>
      </c>
      <c r="I3901" s="15">
        <v>1.2251878294755212</v>
      </c>
      <c r="J3901" s="15">
        <v>1.2251878294755212</v>
      </c>
      <c r="K3901" s="15">
        <v>1.2251878294755212</v>
      </c>
      <c r="L3901" s="15">
        <v>1.2251878294755212</v>
      </c>
      <c r="M3901" s="15">
        <v>1.1689490995241758</v>
      </c>
      <c r="N3901" s="15">
        <v>1.1689490995241758</v>
      </c>
      <c r="O3901" s="15">
        <v>1.1689490995241758</v>
      </c>
      <c r="P3901" s="15">
        <v>1.1689490995241758</v>
      </c>
      <c r="Q3901" s="8"/>
      <c r="R3901" s="9" t="s">
        <v>8199</v>
      </c>
    </row>
    <row r="3902" spans="1:18" x14ac:dyDescent="0.25">
      <c r="A3902" s="6" t="str">
        <f>HYPERLINK("proteomic_fractions_linear_files/Yang_linear_img/149251776.jpg", "149251776")</f>
        <v>149251776</v>
      </c>
      <c r="B3902" s="7"/>
      <c r="C3902" s="6" t="str">
        <f>HYPERLINK("http://www.ncbi.nlm.nih.gov/protein/149251776","LOC100046628")</f>
        <v>LOC100046628</v>
      </c>
      <c r="D3902" s="8"/>
      <c r="E3902" s="8">
        <v>32535</v>
      </c>
      <c r="F3902" s="8"/>
      <c r="G3902" s="15">
        <v>1.3371390680898627</v>
      </c>
      <c r="H3902" s="15">
        <v>1.3371390680898627</v>
      </c>
      <c r="I3902" s="15">
        <v>1.0470720160750056</v>
      </c>
      <c r="J3902" s="15">
        <v>1.0470720160750056</v>
      </c>
      <c r="K3902" s="15">
        <v>1.0470720160750056</v>
      </c>
      <c r="L3902" s="15">
        <v>1.0470720160750056</v>
      </c>
      <c r="M3902" s="15">
        <v>0.9722446319919269</v>
      </c>
      <c r="N3902" s="15">
        <v>0.9722446319919269</v>
      </c>
      <c r="O3902" s="15">
        <v>7.0715408372075474</v>
      </c>
      <c r="P3902" s="15">
        <v>7.0715408372075474</v>
      </c>
      <c r="Q3902" s="8"/>
      <c r="R3902" s="9" t="s">
        <v>8200</v>
      </c>
    </row>
    <row r="3903" spans="1:18" x14ac:dyDescent="0.25">
      <c r="A3903" s="6" t="str">
        <f>HYPERLINK("proteomic_fractions_linear_files/Yang_linear_img/149274885.jpg", "149274885")</f>
        <v>149274885</v>
      </c>
      <c r="B3903" s="7"/>
      <c r="C3903" s="6" t="str">
        <f>HYPERLINK("http://www.ncbi.nlm.nih.gov/protein/149274885","LOC100046684")</f>
        <v>LOC100046684</v>
      </c>
      <c r="D3903" s="8"/>
      <c r="E3903" s="8">
        <v>27959</v>
      </c>
      <c r="F3903" s="8"/>
      <c r="G3903" s="15">
        <v>1.2340491618026852</v>
      </c>
      <c r="H3903" s="15">
        <v>1.2340491618026852</v>
      </c>
      <c r="I3903" s="15">
        <v>0.82534190623990877</v>
      </c>
      <c r="J3903" s="15">
        <v>0.82534190623990877</v>
      </c>
      <c r="K3903" s="15" t="s">
        <v>10</v>
      </c>
      <c r="L3903" s="15" t="s">
        <v>10</v>
      </c>
      <c r="M3903" s="15" t="s">
        <v>10</v>
      </c>
      <c r="N3903" s="15" t="s">
        <v>10</v>
      </c>
      <c r="O3903" s="15">
        <v>0.73562289952343829</v>
      </c>
      <c r="P3903" s="15">
        <v>0.73562289952343829</v>
      </c>
      <c r="Q3903" s="8"/>
      <c r="R3903" s="9" t="s">
        <v>8201</v>
      </c>
    </row>
    <row r="3904" spans="1:18" x14ac:dyDescent="0.25">
      <c r="A3904" s="6" t="str">
        <f>HYPERLINK("proteomic_fractions_linear_files/Yang_linear_img/149274887.jpg", "149274887")</f>
        <v>149274887</v>
      </c>
      <c r="B3904" s="7"/>
      <c r="C3904" s="6" t="str">
        <f>HYPERLINK("http://www.ncbi.nlm.nih.gov/protein/149274887","LOC100046684")</f>
        <v>LOC100046684</v>
      </c>
      <c r="D3904" s="8"/>
      <c r="E3904" s="8">
        <v>24546</v>
      </c>
      <c r="F3904" s="8"/>
      <c r="G3904" s="15">
        <v>1.3821350612190073</v>
      </c>
      <c r="H3904" s="15">
        <v>1.3821350612190073</v>
      </c>
      <c r="I3904" s="15">
        <v>0.92438293498869784</v>
      </c>
      <c r="J3904" s="15">
        <v>0.92438293498869784</v>
      </c>
      <c r="K3904" s="15" t="s">
        <v>10</v>
      </c>
      <c r="L3904" s="15" t="s">
        <v>10</v>
      </c>
      <c r="M3904" s="15" t="s">
        <v>10</v>
      </c>
      <c r="N3904" s="15" t="s">
        <v>10</v>
      </c>
      <c r="O3904" s="15">
        <v>0.82389764746625094</v>
      </c>
      <c r="P3904" s="15">
        <v>0.82389764746625094</v>
      </c>
      <c r="Q3904" s="8"/>
      <c r="R3904" s="9" t="s">
        <v>8202</v>
      </c>
    </row>
    <row r="3905" spans="1:18" x14ac:dyDescent="0.25">
      <c r="A3905" s="6" t="str">
        <f>HYPERLINK("proteomic_fractions_linear_files/Yang_linear_img/309266230.jpg", "309266230")</f>
        <v>309266230</v>
      </c>
      <c r="B3905" s="7"/>
      <c r="C3905" s="6" t="str">
        <f>HYPERLINK("http://www.ncbi.nlm.nih.gov/protein/309266230","LOC100047252")</f>
        <v>LOC100047252</v>
      </c>
      <c r="D3905" s="8"/>
      <c r="E3905" s="8">
        <v>40401</v>
      </c>
      <c r="F3905" s="8"/>
      <c r="G3905" s="15">
        <v>1.2072493896103813</v>
      </c>
      <c r="H3905" s="15">
        <v>1.2072493896103813</v>
      </c>
      <c r="I3905" s="15">
        <v>0.8638344132618796</v>
      </c>
      <c r="J3905" s="15">
        <v>0.8638344132618796</v>
      </c>
      <c r="K3905" s="15">
        <v>0.93353316057811475</v>
      </c>
      <c r="L3905" s="15">
        <v>0.93353316057811475</v>
      </c>
      <c r="M3905" s="15">
        <v>0.93353316057811475</v>
      </c>
      <c r="N3905" s="15">
        <v>0.93353316057811475</v>
      </c>
      <c r="O3905" s="15">
        <v>0.80210182139333974</v>
      </c>
      <c r="P3905" s="15">
        <v>0.80210182139333974</v>
      </c>
      <c r="Q3905" s="8"/>
      <c r="R3905" s="9" t="s">
        <v>8203</v>
      </c>
    </row>
    <row r="3906" spans="1:18" x14ac:dyDescent="0.25">
      <c r="A3906" s="6" t="str">
        <f>HYPERLINK("proteomic_fractions_linear_files/Yang_linear_img/149251053.jpg", "149251053")</f>
        <v>149251053</v>
      </c>
      <c r="B3906" s="7"/>
      <c r="C3906" s="6" t="str">
        <f>HYPERLINK("http://www.ncbi.nlm.nih.gov/protein/149251053","LOC100047429")</f>
        <v>LOC100047429</v>
      </c>
      <c r="D3906" s="8"/>
      <c r="E3906" s="8">
        <v>23232</v>
      </c>
      <c r="F3906" s="8"/>
      <c r="G3906" s="15">
        <v>0.89554092115896833</v>
      </c>
      <c r="H3906" s="15">
        <v>0.89554092115896833</v>
      </c>
      <c r="I3906" s="15" t="s">
        <v>10</v>
      </c>
      <c r="J3906" s="15" t="s">
        <v>10</v>
      </c>
      <c r="K3906" s="15" t="s">
        <v>10</v>
      </c>
      <c r="L3906" s="15" t="s">
        <v>10</v>
      </c>
      <c r="M3906" s="15" t="s">
        <v>10</v>
      </c>
      <c r="N3906" s="15" t="s">
        <v>10</v>
      </c>
      <c r="O3906" s="15" t="s">
        <v>10</v>
      </c>
      <c r="P3906" s="15" t="s">
        <v>10</v>
      </c>
      <c r="Q3906" s="8"/>
      <c r="R3906" s="9" t="s">
        <v>8204</v>
      </c>
    </row>
    <row r="3907" spans="1:18" x14ac:dyDescent="0.25">
      <c r="A3907" s="6" t="str">
        <f>HYPERLINK("proteomic_fractions_linear_files/Yang_linear_img/149251053;20070412.jpg", "149251053;20070412")</f>
        <v>149251053;20070412</v>
      </c>
      <c r="B3907" s="8"/>
      <c r="C3907" s="6" t="str">
        <f>HYPERLINK("http://www.ncbi.nlm.nih.gov/protein/149251053;20070412","LOC100047429")</f>
        <v>LOC100047429</v>
      </c>
      <c r="D3907" s="8"/>
      <c r="E3907" s="8">
        <v>23232</v>
      </c>
      <c r="F3907" s="8"/>
      <c r="G3907" s="15" t="s">
        <v>10</v>
      </c>
      <c r="H3907" s="15" t="s">
        <v>10</v>
      </c>
      <c r="I3907" s="15" t="s">
        <v>10</v>
      </c>
      <c r="J3907" s="15" t="s">
        <v>10</v>
      </c>
      <c r="K3907" s="15">
        <v>0.94764096829038047</v>
      </c>
      <c r="L3907" s="15">
        <v>0.94764096829038047</v>
      </c>
      <c r="M3907" s="15" t="s">
        <v>10</v>
      </c>
      <c r="N3907" s="15" t="s">
        <v>10</v>
      </c>
      <c r="O3907" s="15" t="s">
        <v>10</v>
      </c>
      <c r="P3907" s="15" t="s">
        <v>10</v>
      </c>
      <c r="Q3907" s="8"/>
      <c r="R3907" s="9" t="s">
        <v>8204</v>
      </c>
    </row>
    <row r="3908" spans="1:18" x14ac:dyDescent="0.25">
      <c r="A3908" s="6" t="str">
        <f>HYPERLINK("proteomic_fractions_linear_files/Yang_linear_img/309264668.jpg", "309264668")</f>
        <v>309264668</v>
      </c>
      <c r="B3908" s="7"/>
      <c r="C3908" s="6" t="str">
        <f>HYPERLINK("http://www.ncbi.nlm.nih.gov/protein/309264668","LOC100047518")</f>
        <v>LOC100047518</v>
      </c>
      <c r="D3908" s="8"/>
      <c r="E3908" s="8">
        <v>13652</v>
      </c>
      <c r="F3908" s="8"/>
      <c r="G3908" s="15">
        <v>1.4712457990468766</v>
      </c>
      <c r="H3908" s="15">
        <v>1.4712457990468766</v>
      </c>
      <c r="I3908" s="15">
        <v>0.99184646428118928</v>
      </c>
      <c r="J3908" s="15">
        <v>0.99184646428118928</v>
      </c>
      <c r="K3908" s="15">
        <v>1.085452735272449</v>
      </c>
      <c r="L3908" s="15">
        <v>1.085452735272449</v>
      </c>
      <c r="M3908" s="15">
        <v>1.0369624087050249</v>
      </c>
      <c r="N3908" s="15">
        <v>1.0369624087050249</v>
      </c>
      <c r="O3908" s="15">
        <v>0.99184646428118928</v>
      </c>
      <c r="P3908" s="15">
        <v>0.99184646428118928</v>
      </c>
      <c r="Q3908" s="8"/>
      <c r="R3908" s="9" t="s">
        <v>8205</v>
      </c>
    </row>
    <row r="3909" spans="1:18" x14ac:dyDescent="0.25">
      <c r="A3909" s="6" t="str">
        <f>HYPERLINK("proteomic_fractions_linear_files/Yang_linear_img/407262733.jpg", "407262733")</f>
        <v>407262733</v>
      </c>
      <c r="B3909" s="7"/>
      <c r="C3909" s="6" t="str">
        <f>HYPERLINK("http://www.ncbi.nlm.nih.gov/protein/407262733","LOC100047577")</f>
        <v>LOC100047577</v>
      </c>
      <c r="D3909" s="8"/>
      <c r="E3909" s="8">
        <v>16198</v>
      </c>
      <c r="F3909" s="8"/>
      <c r="G3909" s="15">
        <v>1.7448882061051287</v>
      </c>
      <c r="H3909" s="15">
        <v>1.7448882061051287</v>
      </c>
      <c r="I3909" s="15">
        <v>1.1559561977852553</v>
      </c>
      <c r="J3909" s="15">
        <v>1.1559561977852553</v>
      </c>
      <c r="K3909" s="15">
        <v>1.2188218642522046</v>
      </c>
      <c r="L3909" s="15">
        <v>1.2188218642522046</v>
      </c>
      <c r="M3909" s="15">
        <v>1.2188218642522046</v>
      </c>
      <c r="N3909" s="15">
        <v>1.2188218642522046</v>
      </c>
      <c r="O3909" s="15">
        <v>1.0447796575379389</v>
      </c>
      <c r="P3909" s="15">
        <v>1.0447796575379389</v>
      </c>
      <c r="Q3909" s="8"/>
      <c r="R3909" s="9" t="s">
        <v>8206</v>
      </c>
    </row>
    <row r="3910" spans="1:18" x14ac:dyDescent="0.25">
      <c r="A3910" s="6" t="str">
        <f>HYPERLINK("proteomic_fractions_linear_files/Yang_linear_img/149261435.jpg", "149261435")</f>
        <v>149261435</v>
      </c>
      <c r="B3910" s="7"/>
      <c r="C3910" s="6" t="str">
        <f>HYPERLINK("http://www.ncbi.nlm.nih.gov/protein/149261435","LOC100047658")</f>
        <v>LOC100047658</v>
      </c>
      <c r="D3910" s="8"/>
      <c r="E3910" s="8">
        <v>48837</v>
      </c>
      <c r="F3910" s="8"/>
      <c r="G3910" s="15">
        <v>1.0840932577551241</v>
      </c>
      <c r="H3910" s="15">
        <v>1.0840932577551241</v>
      </c>
      <c r="I3910" s="15">
        <v>1.1994532160325275</v>
      </c>
      <c r="J3910" s="15">
        <v>1.1994532160325275</v>
      </c>
      <c r="K3910" s="15">
        <v>1.1994532160325275</v>
      </c>
      <c r="L3910" s="15">
        <v>1.1994532160325275</v>
      </c>
      <c r="M3910" s="15">
        <v>1.1994532160325275</v>
      </c>
      <c r="N3910" s="15">
        <v>1.1994532160325275</v>
      </c>
      <c r="O3910" s="15">
        <v>1.0840932577551241</v>
      </c>
      <c r="P3910" s="15">
        <v>1.0840932577551241</v>
      </c>
      <c r="Q3910" s="8"/>
      <c r="R3910" s="9" t="s">
        <v>8207</v>
      </c>
    </row>
    <row r="3911" spans="1:18" x14ac:dyDescent="0.25">
      <c r="A3911" s="6" t="str">
        <f>HYPERLINK("proteomic_fractions_linear_files/Yang_linear_img/407262563.jpg", "407262563")</f>
        <v>407262563</v>
      </c>
      <c r="B3911" s="7"/>
      <c r="C3911" s="6" t="str">
        <f>HYPERLINK("http://www.ncbi.nlm.nih.gov/protein/407262563","LOC100047753")</f>
        <v>LOC100047753</v>
      </c>
      <c r="D3911" s="8"/>
      <c r="E3911" s="8">
        <v>13431</v>
      </c>
      <c r="F3911" s="8"/>
      <c r="G3911" s="15">
        <v>1.7776594903628804</v>
      </c>
      <c r="H3911" s="15">
        <v>1.7776594903628804</v>
      </c>
      <c r="I3911" s="15">
        <v>1.2251878294755212</v>
      </c>
      <c r="J3911" s="15">
        <v>1.2251878294755212</v>
      </c>
      <c r="K3911" s="15">
        <v>1.2858826554313094</v>
      </c>
      <c r="L3911" s="15">
        <v>1.2858826554313094</v>
      </c>
      <c r="M3911" s="15">
        <v>1.2858826554313094</v>
      </c>
      <c r="N3911" s="15">
        <v>1.2858826554313094</v>
      </c>
      <c r="O3911" s="15">
        <v>1.2251878294755212</v>
      </c>
      <c r="P3911" s="15">
        <v>1.2251878294755212</v>
      </c>
      <c r="Q3911" s="8"/>
      <c r="R3911" s="9" t="s">
        <v>8208</v>
      </c>
    </row>
    <row r="3912" spans="1:18" x14ac:dyDescent="0.25">
      <c r="A3912" s="6" t="str">
        <f>HYPERLINK("proteomic_fractions_linear_files/Yang_linear_img/149240955.jpg", "149240955")</f>
        <v>149240955</v>
      </c>
      <c r="B3912" s="7"/>
      <c r="C3912" s="6" t="str">
        <f>HYPERLINK("http://www.ncbi.nlm.nih.gov/protein/149240955","LOC100047957")</f>
        <v>LOC100047957</v>
      </c>
      <c r="D3912" s="8"/>
      <c r="E3912" s="8">
        <v>37832</v>
      </c>
      <c r="F3912" s="8"/>
      <c r="G3912" s="15">
        <v>1.3979097271052916</v>
      </c>
      <c r="H3912" s="15">
        <v>1.3979097271052916</v>
      </c>
      <c r="I3912" s="15">
        <v>1.0659820579795458</v>
      </c>
      <c r="J3912" s="15">
        <v>1.0659820579795458</v>
      </c>
      <c r="K3912" s="15">
        <v>1.0659820579795458</v>
      </c>
      <c r="L3912" s="15">
        <v>1.0659820579795458</v>
      </c>
      <c r="M3912" s="15">
        <v>1.0659820579795458</v>
      </c>
      <c r="N3912" s="15">
        <v>1.0659820579795458</v>
      </c>
      <c r="O3912" s="15">
        <v>0.90929938238092589</v>
      </c>
      <c r="P3912" s="15">
        <v>0.90929938238092589</v>
      </c>
      <c r="Q3912" s="8"/>
      <c r="R3912" s="9" t="s">
        <v>8209</v>
      </c>
    </row>
    <row r="3913" spans="1:18" x14ac:dyDescent="0.25">
      <c r="A3913" s="6" t="str">
        <f>HYPERLINK("proteomic_fractions_linear_files/Yang_linear_img/407261725.jpg", "407261725")</f>
        <v>407261725</v>
      </c>
      <c r="B3913" s="7"/>
      <c r="C3913" s="6" t="str">
        <f>HYPERLINK("http://www.ncbi.nlm.nih.gov/protein/407261725","LOC100048117")</f>
        <v>LOC100048117</v>
      </c>
      <c r="D3913" s="8"/>
      <c r="E3913" s="8">
        <v>44132</v>
      </c>
      <c r="F3913" s="8"/>
      <c r="G3913" s="15">
        <v>0.9206208682550624</v>
      </c>
      <c r="H3913" s="15">
        <v>0.9206208682550624</v>
      </c>
      <c r="I3913" s="15">
        <v>0.78530401205625422</v>
      </c>
      <c r="J3913" s="15">
        <v>0.78530401205625422</v>
      </c>
      <c r="K3913" s="15">
        <v>0.78530401205625422</v>
      </c>
      <c r="L3913" s="15">
        <v>0.78530401205625422</v>
      </c>
      <c r="M3913" s="15">
        <v>0.72918347399394523</v>
      </c>
      <c r="N3913" s="15">
        <v>0.72918347399394523</v>
      </c>
      <c r="O3913" s="15">
        <v>0.67921379299348028</v>
      </c>
      <c r="P3913" s="15">
        <v>0.67921379299348028</v>
      </c>
      <c r="Q3913" s="8"/>
      <c r="R3913" s="9" t="s">
        <v>8210</v>
      </c>
    </row>
    <row r="3914" spans="1:18" x14ac:dyDescent="0.25">
      <c r="A3914" s="6" t="str">
        <f>HYPERLINK("proteomic_fractions_linear_files/Yang_linear_img/407261373.jpg", "407261373")</f>
        <v>407261373</v>
      </c>
      <c r="B3914" s="7"/>
      <c r="C3914" s="6" t="str">
        <f>HYPERLINK("http://www.ncbi.nlm.nih.gov/protein/407261373","LOC100048119")</f>
        <v>LOC100048119</v>
      </c>
      <c r="D3914" s="8"/>
      <c r="E3914" s="8">
        <v>18590</v>
      </c>
      <c r="F3914" s="8"/>
      <c r="G3914" s="15">
        <v>0.97343679813495176</v>
      </c>
      <c r="H3914" s="15">
        <v>0.97343679813495176</v>
      </c>
      <c r="I3914" s="15">
        <v>1.0263763067386986</v>
      </c>
      <c r="J3914" s="15">
        <v>1.0263763067386986</v>
      </c>
      <c r="K3914" s="15">
        <v>1.0263763067386986</v>
      </c>
      <c r="L3914" s="15">
        <v>1.0263763067386986</v>
      </c>
      <c r="M3914" s="15">
        <v>1.0840758519292775</v>
      </c>
      <c r="N3914" s="15">
        <v>1.0840758519292775</v>
      </c>
      <c r="O3914" s="15">
        <v>1.0263763067386986</v>
      </c>
      <c r="P3914" s="15">
        <v>1.0263763067386986</v>
      </c>
      <c r="Q3914" s="8"/>
      <c r="R3914" s="9" t="s">
        <v>8211</v>
      </c>
    </row>
    <row r="3915" spans="1:18" x14ac:dyDescent="0.25">
      <c r="A3915" s="6" t="str">
        <f>HYPERLINK("proteomic_fractions_linear_files/Yang_linear_img/377834168.jpg", "377834168")</f>
        <v>377834168</v>
      </c>
      <c r="B3915" s="7"/>
      <c r="C3915" s="6" t="str">
        <f>HYPERLINK("http://www.ncbi.nlm.nih.gov/protein/377834168","LOC100048410")</f>
        <v>LOC100048410</v>
      </c>
      <c r="D3915" s="8"/>
      <c r="E3915" s="8">
        <v>7187</v>
      </c>
      <c r="F3915" s="8"/>
      <c r="G3915" s="15">
        <v>1.6787022322605194</v>
      </c>
      <c r="H3915" s="15">
        <v>1.6787022322605194</v>
      </c>
      <c r="I3915" s="15">
        <v>1.6787022322605194</v>
      </c>
      <c r="J3915" s="15">
        <v>1.6787022322605194</v>
      </c>
      <c r="K3915" s="15">
        <v>1.821031334562518</v>
      </c>
      <c r="L3915" s="15">
        <v>1.821031334562518</v>
      </c>
      <c r="M3915" s="15" t="s">
        <v>10</v>
      </c>
      <c r="N3915" s="15" t="s">
        <v>10</v>
      </c>
      <c r="O3915" s="15" t="s">
        <v>10</v>
      </c>
      <c r="P3915" s="15" t="s">
        <v>10</v>
      </c>
      <c r="Q3915" s="8"/>
      <c r="R3915" s="9" t="s">
        <v>8212</v>
      </c>
    </row>
    <row r="3916" spans="1:18" x14ac:dyDescent="0.25">
      <c r="A3916" s="6" t="str">
        <f>HYPERLINK("proteomic_fractions_linear_files/Yang_linear_img/149255796.jpg", "149255796")</f>
        <v>149255796</v>
      </c>
      <c r="B3916" s="7"/>
      <c r="C3916" s="6" t="str">
        <f>HYPERLINK("http://www.ncbi.nlm.nih.gov/protein/149255796","LOC100048447")</f>
        <v>LOC100048447</v>
      </c>
      <c r="D3916" s="8"/>
      <c r="E3916" s="8">
        <v>25462</v>
      </c>
      <c r="F3916" s="8"/>
      <c r="G3916" s="15" t="s">
        <v>10</v>
      </c>
      <c r="H3916" s="15" t="s">
        <v>10</v>
      </c>
      <c r="I3916" s="15" t="s">
        <v>10</v>
      </c>
      <c r="J3916" s="15" t="s">
        <v>10</v>
      </c>
      <c r="K3916" s="15" t="s">
        <v>10</v>
      </c>
      <c r="L3916" s="15" t="s">
        <v>10</v>
      </c>
      <c r="M3916" s="15" t="s">
        <v>10</v>
      </c>
      <c r="N3916" s="15" t="s">
        <v>10</v>
      </c>
      <c r="O3916" s="15">
        <v>0.87182969082715001</v>
      </c>
      <c r="P3916" s="15">
        <v>0.87182969082715001</v>
      </c>
      <c r="Q3916" s="8"/>
      <c r="R3916" s="9" t="s">
        <v>8213</v>
      </c>
    </row>
    <row r="3917" spans="1:18" x14ac:dyDescent="0.25">
      <c r="A3917" s="6" t="str">
        <f>HYPERLINK("proteomic_fractions_linear_files/Yang_linear_img/407261032.jpg", "407261032")</f>
        <v>407261032</v>
      </c>
      <c r="B3917" s="7"/>
      <c r="C3917" s="6" t="str">
        <f>HYPERLINK("http://www.ncbi.nlm.nih.gov/protein/407261032","LOC100048613")</f>
        <v>LOC100048613</v>
      </c>
      <c r="D3917" s="8"/>
      <c r="E3917" s="8">
        <v>7201</v>
      </c>
      <c r="F3917" s="8"/>
      <c r="G3917" s="15" t="s">
        <v>10</v>
      </c>
      <c r="H3917" s="15" t="s">
        <v>10</v>
      </c>
      <c r="I3917" s="15">
        <v>1.6140913139436019</v>
      </c>
      <c r="J3917" s="15">
        <v>1.6140913139436019</v>
      </c>
      <c r="K3917" s="15">
        <v>1.6787022322605194</v>
      </c>
      <c r="L3917" s="15">
        <v>1.6787022322605194</v>
      </c>
      <c r="M3917" s="15" t="s">
        <v>10</v>
      </c>
      <c r="N3917" s="15" t="s">
        <v>10</v>
      </c>
      <c r="O3917" s="15" t="s">
        <v>10</v>
      </c>
      <c r="P3917" s="15" t="s">
        <v>10</v>
      </c>
      <c r="Q3917" s="8"/>
      <c r="R3917" s="9" t="s">
        <v>8214</v>
      </c>
    </row>
    <row r="3918" spans="1:18" x14ac:dyDescent="0.25">
      <c r="A3918" s="6" t="str">
        <f>HYPERLINK("proteomic_fractions_linear_files/Yang_linear_img/407262004.jpg", "407262004")</f>
        <v>407262004</v>
      </c>
      <c r="B3918" s="7"/>
      <c r="C3918" s="6" t="str">
        <f>HYPERLINK("http://www.ncbi.nlm.nih.gov/protein/407262004","LOC100503047")</f>
        <v>LOC100503047</v>
      </c>
      <c r="D3918" s="8"/>
      <c r="E3918" s="8">
        <v>16474</v>
      </c>
      <c r="F3918" s="8"/>
      <c r="G3918" s="15">
        <v>1.0447796575379389</v>
      </c>
      <c r="H3918" s="15">
        <v>1.0447796575379389</v>
      </c>
      <c r="I3918" s="15">
        <v>1.0981212353349354</v>
      </c>
      <c r="J3918" s="15">
        <v>1.0981212353349354</v>
      </c>
      <c r="K3918" s="15">
        <v>1.1559561977852553</v>
      </c>
      <c r="L3918" s="15">
        <v>1.1559561977852553</v>
      </c>
      <c r="M3918" s="15">
        <v>1.0981212353349354</v>
      </c>
      <c r="N3918" s="15">
        <v>1.0981212353349354</v>
      </c>
      <c r="O3918" s="15">
        <v>1.0981212353349354</v>
      </c>
      <c r="P3918" s="15">
        <v>1.0981212353349354</v>
      </c>
      <c r="Q3918" s="8"/>
      <c r="R3918" s="9" t="s">
        <v>8215</v>
      </c>
    </row>
    <row r="3919" spans="1:18" x14ac:dyDescent="0.25">
      <c r="A3919" s="6" t="str">
        <f>HYPERLINK("proteomic_fractions_linear_files/Yang_linear_img/309264158.jpg", "309264158")</f>
        <v>309264158</v>
      </c>
      <c r="B3919" s="7"/>
      <c r="C3919" s="6" t="str">
        <f>HYPERLINK("http://www.ncbi.nlm.nih.gov/protein/309264158","LOC100503055")</f>
        <v>LOC100503055</v>
      </c>
      <c r="D3919" s="8"/>
      <c r="E3919" s="8">
        <v>17486</v>
      </c>
      <c r="F3919" s="8"/>
      <c r="G3919" s="15">
        <v>1.757965111277243</v>
      </c>
      <c r="H3919" s="15">
        <v>1.757965111277243</v>
      </c>
      <c r="I3919" s="15">
        <v>1.2821024865105148</v>
      </c>
      <c r="J3919" s="15">
        <v>1.2821024865105148</v>
      </c>
      <c r="K3919" s="15">
        <v>1.2821024865105148</v>
      </c>
      <c r="L3919" s="15">
        <v>1.2821024865105148</v>
      </c>
      <c r="M3919" s="15">
        <v>1.211614187450369</v>
      </c>
      <c r="N3919" s="15">
        <v>1.211614187450369</v>
      </c>
      <c r="O3919" s="15" t="s">
        <v>10</v>
      </c>
      <c r="P3919" s="15" t="s">
        <v>10</v>
      </c>
      <c r="Q3919" s="8"/>
      <c r="R3919" s="9" t="s">
        <v>8064</v>
      </c>
    </row>
    <row r="3920" spans="1:18" x14ac:dyDescent="0.25">
      <c r="A3920" s="6" t="str">
        <f>HYPERLINK("proteomic_fractions_linear_files/Yang_linear_img/309264728.jpg", "309264728")</f>
        <v>309264728</v>
      </c>
      <c r="B3920" s="7"/>
      <c r="C3920" s="6" t="str">
        <f>HYPERLINK("http://www.ncbi.nlm.nih.gov/protein/309264728","LOC100503217")</f>
        <v>LOC100503217</v>
      </c>
      <c r="D3920" s="8"/>
      <c r="E3920" s="8">
        <v>28999</v>
      </c>
      <c r="F3920" s="8"/>
      <c r="G3920" s="15" t="s">
        <v>10</v>
      </c>
      <c r="H3920" s="15" t="s">
        <v>10</v>
      </c>
      <c r="I3920" s="15">
        <v>5.2914783150428217</v>
      </c>
      <c r="J3920" s="15">
        <v>5.2914783150428217</v>
      </c>
      <c r="K3920" s="15">
        <v>6.4402010910324261</v>
      </c>
      <c r="L3920" s="15">
        <v>6.4402010910324261</v>
      </c>
      <c r="M3920" s="15">
        <v>5.2914783150428217</v>
      </c>
      <c r="N3920" s="15">
        <v>5.2914783150428217</v>
      </c>
      <c r="O3920" s="15" t="s">
        <v>10</v>
      </c>
      <c r="P3920" s="15" t="s">
        <v>10</v>
      </c>
      <c r="Q3920" s="8"/>
      <c r="R3920" s="9" t="s">
        <v>8216</v>
      </c>
    </row>
    <row r="3921" spans="1:18" x14ac:dyDescent="0.25">
      <c r="A3921" s="6" t="str">
        <f>HYPERLINK("proteomic_fractions_linear_files/Yang_linear_img/309265521.jpg", "309265521")</f>
        <v>309265521</v>
      </c>
      <c r="B3921" s="7"/>
      <c r="C3921" s="6" t="str">
        <f>HYPERLINK("http://www.ncbi.nlm.nih.gov/protein/309265521","LOC100503235")</f>
        <v>LOC100503235</v>
      </c>
      <c r="D3921" s="8"/>
      <c r="E3921" s="8">
        <v>21186</v>
      </c>
      <c r="F3921" s="8"/>
      <c r="G3921" s="15" t="s">
        <v>10</v>
      </c>
      <c r="H3921" s="15" t="s">
        <v>10</v>
      </c>
      <c r="I3921" s="15">
        <v>1.100455874986545</v>
      </c>
      <c r="J3921" s="15">
        <v>1.100455874986545</v>
      </c>
      <c r="K3921" s="15">
        <v>1.100455874986545</v>
      </c>
      <c r="L3921" s="15">
        <v>1.100455874986545</v>
      </c>
      <c r="M3921" s="15" t="s">
        <v>10</v>
      </c>
      <c r="N3921" s="15" t="s">
        <v>10</v>
      </c>
      <c r="O3921" s="15">
        <v>1.0378924890799406</v>
      </c>
      <c r="P3921" s="15">
        <v>1.0378924890799406</v>
      </c>
      <c r="Q3921" s="8"/>
      <c r="R3921" s="9" t="s">
        <v>8217</v>
      </c>
    </row>
    <row r="3922" spans="1:18" x14ac:dyDescent="0.25">
      <c r="A3922" s="6" t="str">
        <f>HYPERLINK("proteomic_fractions_linear_files/Yang_linear_img/377833219.jpg", "377833219")</f>
        <v>377833219</v>
      </c>
      <c r="B3922" s="7"/>
      <c r="C3922" s="6" t="str">
        <f>HYPERLINK("http://www.ncbi.nlm.nih.gov/protein/377833219","LOC100503822")</f>
        <v>LOC100503822</v>
      </c>
      <c r="D3922" s="8"/>
      <c r="E3922" s="8">
        <v>12620</v>
      </c>
      <c r="F3922" s="8"/>
      <c r="G3922" s="15" t="s">
        <v>10</v>
      </c>
      <c r="H3922" s="15" t="s">
        <v>10</v>
      </c>
      <c r="I3922" s="15">
        <v>2.2988774532087026</v>
      </c>
      <c r="J3922" s="15">
        <v>2.2988774532087026</v>
      </c>
      <c r="K3922" s="15">
        <v>2.2988774532087026</v>
      </c>
      <c r="L3922" s="15">
        <v>2.2988774532087026</v>
      </c>
      <c r="M3922" s="15">
        <v>2.2988774532087026</v>
      </c>
      <c r="N3922" s="15">
        <v>2.2988774532087026</v>
      </c>
      <c r="O3922" s="15" t="s">
        <v>10</v>
      </c>
      <c r="P3922" s="15" t="s">
        <v>10</v>
      </c>
      <c r="Q3922" s="8"/>
      <c r="R3922" s="9" t="s">
        <v>8218</v>
      </c>
    </row>
    <row r="3923" spans="1:18" x14ac:dyDescent="0.25">
      <c r="A3923" s="6" t="str">
        <f>HYPERLINK("proteomic_fractions_linear_files/Yang_linear_img/309265792.jpg", "309265792")</f>
        <v>309265792</v>
      </c>
      <c r="B3923" s="7"/>
      <c r="C3923" s="6" t="str">
        <f>HYPERLINK("http://www.ncbi.nlm.nih.gov/protein/309265792","LOC100504863")</f>
        <v>LOC100504863</v>
      </c>
      <c r="D3923" s="8"/>
      <c r="E3923" s="8">
        <v>14628</v>
      </c>
      <c r="F3923" s="8"/>
      <c r="G3923" s="15">
        <v>0.96783158145802317</v>
      </c>
      <c r="H3923" s="15">
        <v>0.96783158145802317</v>
      </c>
      <c r="I3923" s="15">
        <v>0.96783158145802317</v>
      </c>
      <c r="J3923" s="15">
        <v>0.96783158145802317</v>
      </c>
      <c r="K3923" s="15">
        <v>1.1144316347071348</v>
      </c>
      <c r="L3923" s="15">
        <v>1.1144316347071348</v>
      </c>
      <c r="M3923" s="15">
        <v>1.1144316347071348</v>
      </c>
      <c r="N3923" s="15">
        <v>1.1144316347071348</v>
      </c>
      <c r="O3923" s="15">
        <v>1.0130892195876191</v>
      </c>
      <c r="P3923" s="15">
        <v>1.0130892195876191</v>
      </c>
      <c r="Q3923" s="8"/>
      <c r="R3923" s="9" t="s">
        <v>8176</v>
      </c>
    </row>
    <row r="3924" spans="1:18" x14ac:dyDescent="0.25">
      <c r="A3924" s="6" t="str">
        <f>HYPERLINK("proteomic_fractions_linear_files/Yang_linear_img/309263511.jpg", "309263511")</f>
        <v>309263511</v>
      </c>
      <c r="B3924" s="7"/>
      <c r="C3924" s="6" t="str">
        <f>HYPERLINK("http://www.ncbi.nlm.nih.gov/protein/309263511","LOC100504872")</f>
        <v>LOC100504872</v>
      </c>
      <c r="D3924" s="8"/>
      <c r="E3924" s="8">
        <v>15743</v>
      </c>
      <c r="F3924" s="8"/>
      <c r="G3924" s="15">
        <v>1.6343911322140625</v>
      </c>
      <c r="H3924" s="15">
        <v>1.6343911322140625</v>
      </c>
      <c r="I3924" s="15">
        <v>1.0981212353349354</v>
      </c>
      <c r="J3924" s="15">
        <v>1.0981212353349354</v>
      </c>
      <c r="K3924" s="15">
        <v>1.1559561977852553</v>
      </c>
      <c r="L3924" s="15">
        <v>1.1559561977852553</v>
      </c>
      <c r="M3924" s="15">
        <v>1.0981212353349354</v>
      </c>
      <c r="N3924" s="15">
        <v>1.0981212353349354</v>
      </c>
      <c r="O3924" s="15" t="s">
        <v>10</v>
      </c>
      <c r="P3924" s="15" t="s">
        <v>10</v>
      </c>
      <c r="Q3924" s="8"/>
      <c r="R3924" s="9" t="s">
        <v>8219</v>
      </c>
    </row>
    <row r="3925" spans="1:18" x14ac:dyDescent="0.25">
      <c r="A3925" s="6" t="str">
        <f>HYPERLINK("proteomic_fractions_linear_files/Yang_linear_img/309265053.jpg", "309265053")</f>
        <v>309265053</v>
      </c>
      <c r="B3925" s="7"/>
      <c r="C3925" s="6" t="str">
        <f>HYPERLINK("http://www.ncbi.nlm.nih.gov/protein/309265053","LOC100504912")</f>
        <v>LOC100504912</v>
      </c>
      <c r="D3925" s="8"/>
      <c r="E3925" s="8">
        <v>6250</v>
      </c>
      <c r="F3925" s="8"/>
      <c r="G3925" s="15">
        <v>3.2501916380058788</v>
      </c>
      <c r="H3925" s="15">
        <v>3.2501916380058788</v>
      </c>
      <c r="I3925" s="15">
        <v>2.0388102153885597</v>
      </c>
      <c r="J3925" s="15">
        <v>2.0388102153885597</v>
      </c>
      <c r="K3925" s="15">
        <v>2.1245365569896042</v>
      </c>
      <c r="L3925" s="15">
        <v>2.1245365569896042</v>
      </c>
      <c r="M3925" s="15">
        <v>2.1245365569896042</v>
      </c>
      <c r="N3925" s="15">
        <v>2.1245365569896042</v>
      </c>
      <c r="O3925" s="15" t="s">
        <v>10</v>
      </c>
      <c r="P3925" s="15" t="s">
        <v>10</v>
      </c>
      <c r="Q3925" s="8"/>
      <c r="R3925" s="9" t="s">
        <v>8220</v>
      </c>
    </row>
    <row r="3926" spans="1:18" x14ac:dyDescent="0.25">
      <c r="A3926" s="6" t="str">
        <f>HYPERLINK("proteomic_fractions_linear_files/Yang_linear_img/309266753.jpg", "309266753")</f>
        <v>309266753</v>
      </c>
      <c r="B3926" s="7"/>
      <c r="C3926" s="6" t="str">
        <f>HYPERLINK("http://www.ncbi.nlm.nih.gov/protein/309266753","LOC100504959")</f>
        <v>LOC100504959</v>
      </c>
      <c r="D3926" s="8"/>
      <c r="E3926" s="8">
        <v>23432</v>
      </c>
      <c r="F3926" s="8"/>
      <c r="G3926" s="15" t="s">
        <v>10</v>
      </c>
      <c r="H3926" s="15" t="s">
        <v>10</v>
      </c>
      <c r="I3926" s="15" t="s">
        <v>10</v>
      </c>
      <c r="J3926" s="15" t="s">
        <v>10</v>
      </c>
      <c r="K3926" s="15">
        <v>5.5965925280485633</v>
      </c>
      <c r="L3926" s="15">
        <v>5.5965925280485633</v>
      </c>
      <c r="M3926" s="15">
        <v>4.7739810357013681</v>
      </c>
      <c r="N3926" s="15">
        <v>4.7739810357013681</v>
      </c>
      <c r="O3926" s="15" t="s">
        <v>10</v>
      </c>
      <c r="P3926" s="15" t="s">
        <v>10</v>
      </c>
      <c r="Q3926" s="8"/>
      <c r="R3926" s="9" t="s">
        <v>8221</v>
      </c>
    </row>
    <row r="3927" spans="1:18" x14ac:dyDescent="0.25">
      <c r="A3927" s="6" t="str">
        <f>HYPERLINK("proteomic_fractions_linear_files/Yang_linear_img/309265938.jpg", "309265938")</f>
        <v>309265938</v>
      </c>
      <c r="B3927" s="7"/>
      <c r="C3927" s="6" t="str">
        <f>HYPERLINK("http://www.ncbi.nlm.nih.gov/protein/309265938","LOC100504968")</f>
        <v>LOC100504968</v>
      </c>
      <c r="D3927" s="8"/>
      <c r="E3927" s="8">
        <v>12517</v>
      </c>
      <c r="F3927" s="8"/>
      <c r="G3927" s="15">
        <v>1.6765955592829809</v>
      </c>
      <c r="H3927" s="15">
        <v>1.6765955592829809</v>
      </c>
      <c r="I3927" s="15">
        <v>1.1167287478361805</v>
      </c>
      <c r="J3927" s="15">
        <v>1.1167287478361805</v>
      </c>
      <c r="K3927" s="15">
        <v>1.1689490995241758</v>
      </c>
      <c r="L3927" s="15">
        <v>1.1689490995241758</v>
      </c>
      <c r="M3927" s="15" t="s">
        <v>10</v>
      </c>
      <c r="N3927" s="15" t="s">
        <v>10</v>
      </c>
      <c r="O3927" s="15" t="s">
        <v>10</v>
      </c>
      <c r="P3927" s="15" t="s">
        <v>10</v>
      </c>
      <c r="Q3927" s="8"/>
      <c r="R3927" s="9" t="s">
        <v>8222</v>
      </c>
    </row>
    <row r="3928" spans="1:18" x14ac:dyDescent="0.25">
      <c r="A3928" s="6" t="str">
        <f>HYPERLINK("proteomic_fractions_linear_files/Yang_linear_img/309264544.jpg", "309264544")</f>
        <v>309264544</v>
      </c>
      <c r="B3928" s="7"/>
      <c r="C3928" s="6" t="str">
        <f>HYPERLINK("http://www.ncbi.nlm.nih.gov/protein/309264544","LOC100504988")</f>
        <v>LOC100504988</v>
      </c>
      <c r="D3928" s="8"/>
      <c r="E3928" s="8">
        <v>12379</v>
      </c>
      <c r="F3928" s="8"/>
      <c r="G3928" s="15">
        <v>1.209789476822529</v>
      </c>
      <c r="H3928" s="15">
        <v>1.9257977812264537</v>
      </c>
      <c r="I3928" s="15">
        <v>1.2663615244845239</v>
      </c>
      <c r="J3928" s="15">
        <v>1.2663615244845239</v>
      </c>
      <c r="K3928" s="15">
        <v>1.2663615244845239</v>
      </c>
      <c r="L3928" s="15">
        <v>1.2663615244845239</v>
      </c>
      <c r="M3928" s="15">
        <v>1.2663615244845239</v>
      </c>
      <c r="N3928" s="15">
        <v>1.2663615244845239</v>
      </c>
      <c r="O3928" s="15">
        <v>1.209789476822529</v>
      </c>
      <c r="P3928" s="15">
        <v>1.209789476822529</v>
      </c>
      <c r="Q3928" s="8"/>
      <c r="R3928" s="9" t="s">
        <v>8223</v>
      </c>
    </row>
    <row r="3929" spans="1:18" x14ac:dyDescent="0.25">
      <c r="A3929" s="6" t="str">
        <f>HYPERLINK("proteomic_fractions_linear_files/Yang_linear_img/309266758.jpg", "309266758")</f>
        <v>309266758</v>
      </c>
      <c r="B3929" s="7"/>
      <c r="C3929" s="6" t="str">
        <f>HYPERLINK("http://www.ncbi.nlm.nih.gov/protein/309266758","LOC100505014")</f>
        <v>LOC100505014</v>
      </c>
      <c r="D3929" s="8"/>
      <c r="E3929" s="8">
        <v>23072</v>
      </c>
      <c r="F3929" s="8"/>
      <c r="G3929" s="15">
        <v>0.94764096829038047</v>
      </c>
      <c r="H3929" s="15">
        <v>0.94764096829038047</v>
      </c>
      <c r="I3929" s="15">
        <v>0.89554092115896833</v>
      </c>
      <c r="J3929" s="15">
        <v>0.89554092115896833</v>
      </c>
      <c r="K3929" s="15">
        <v>0.94764096829038047</v>
      </c>
      <c r="L3929" s="15">
        <v>0.94764096829038047</v>
      </c>
      <c r="M3929" s="15">
        <v>260.5695652173913</v>
      </c>
      <c r="N3929" s="15">
        <v>260.5695652173913</v>
      </c>
      <c r="O3929" s="15" t="s">
        <v>10</v>
      </c>
      <c r="P3929" s="15" t="s">
        <v>10</v>
      </c>
      <c r="Q3929" s="8"/>
      <c r="R3929" s="9" t="s">
        <v>8059</v>
      </c>
    </row>
    <row r="3930" spans="1:18" x14ac:dyDescent="0.25">
      <c r="A3930" s="6" t="str">
        <f>HYPERLINK("proteomic_fractions_linear_files/Yang_linear_img/309264022.jpg", "309264022")</f>
        <v>309264022</v>
      </c>
      <c r="B3930" s="7"/>
      <c r="C3930" s="6" t="str">
        <f>HYPERLINK("http://www.ncbi.nlm.nih.gov/protein/309264022","LOC100505031")</f>
        <v>LOC100505031</v>
      </c>
      <c r="D3930" s="8"/>
      <c r="E3930" s="8">
        <v>32707</v>
      </c>
      <c r="F3930" s="8"/>
      <c r="G3930" s="15">
        <v>1.1315553461552907</v>
      </c>
      <c r="H3930" s="15">
        <v>1.1315553461552907</v>
      </c>
      <c r="I3930" s="15">
        <v>1.2274944910067498</v>
      </c>
      <c r="J3930" s="15">
        <v>1.2274944910067498</v>
      </c>
      <c r="K3930" s="15">
        <v>1.2274944910067498</v>
      </c>
      <c r="L3930" s="15">
        <v>1.2274944910067498</v>
      </c>
      <c r="M3930" s="15">
        <v>1.2274944910067498</v>
      </c>
      <c r="N3930" s="15">
        <v>1.2274944910067498</v>
      </c>
      <c r="O3930" s="15">
        <v>1.1315553461552907</v>
      </c>
      <c r="P3930" s="15">
        <v>1.1315553461552907</v>
      </c>
      <c r="Q3930" s="8"/>
      <c r="R3930" s="9" t="s">
        <v>8224</v>
      </c>
    </row>
    <row r="3931" spans="1:18" x14ac:dyDescent="0.25">
      <c r="A3931" s="6" t="str">
        <f>HYPERLINK("proteomic_fractions_linear_files/Yang_linear_img/309265361.jpg", "309265361")</f>
        <v>309265361</v>
      </c>
      <c r="B3931" s="7"/>
      <c r="C3931" s="6" t="str">
        <f>HYPERLINK("http://www.ncbi.nlm.nih.gov/protein/309265361","LOC100505283")</f>
        <v>LOC100505283</v>
      </c>
      <c r="D3931" s="8"/>
      <c r="E3931" s="8">
        <v>20981</v>
      </c>
      <c r="F3931" s="8"/>
      <c r="G3931" s="15">
        <v>1.4231146138911015</v>
      </c>
      <c r="H3931" s="15">
        <v>1.4231146138911015</v>
      </c>
      <c r="I3931" s="15">
        <v>0.98083053269791776</v>
      </c>
      <c r="J3931" s="15">
        <v>0.98083053269791776</v>
      </c>
      <c r="K3931" s="15">
        <v>0.98083053269791776</v>
      </c>
      <c r="L3931" s="15">
        <v>0.98083053269791776</v>
      </c>
      <c r="M3931" s="15">
        <v>0.98083053269791776</v>
      </c>
      <c r="N3931" s="15">
        <v>0.98083053269791776</v>
      </c>
      <c r="O3931" s="15" t="s">
        <v>10</v>
      </c>
      <c r="P3931" s="15" t="s">
        <v>10</v>
      </c>
      <c r="Q3931" s="8"/>
      <c r="R3931" s="9" t="s">
        <v>8053</v>
      </c>
    </row>
    <row r="3932" spans="1:18" x14ac:dyDescent="0.25">
      <c r="A3932" s="6" t="str">
        <f>HYPERLINK("proteomic_fractions_linear_files/Yang_linear_img/377835354.jpg", "377835354")</f>
        <v>377835354</v>
      </c>
      <c r="B3932" s="7"/>
      <c r="C3932" s="6" t="str">
        <f>HYPERLINK("http://www.ncbi.nlm.nih.gov/protein/377835354","LOC100861685")</f>
        <v>LOC100861685</v>
      </c>
      <c r="D3932" s="8"/>
      <c r="E3932" s="8">
        <v>16855</v>
      </c>
      <c r="F3932" s="8"/>
      <c r="G3932" s="15">
        <v>1.0335258685505275</v>
      </c>
      <c r="H3932" s="15">
        <v>1.0335258685505275</v>
      </c>
      <c r="I3932" s="15">
        <v>1.1471264604726632</v>
      </c>
      <c r="J3932" s="15">
        <v>1.1471264604726632</v>
      </c>
      <c r="K3932" s="15">
        <v>1.1471264604726632</v>
      </c>
      <c r="L3932" s="15">
        <v>1.1471264604726632</v>
      </c>
      <c r="M3932" s="15">
        <v>1.1471264604726632</v>
      </c>
      <c r="N3932" s="15">
        <v>1.1471264604726632</v>
      </c>
      <c r="O3932" s="15" t="s">
        <v>10</v>
      </c>
      <c r="P3932" s="15" t="s">
        <v>10</v>
      </c>
      <c r="Q3932" s="8"/>
      <c r="R3932" s="9" t="s">
        <v>8113</v>
      </c>
    </row>
    <row r="3933" spans="1:18" x14ac:dyDescent="0.25">
      <c r="A3933" s="6" t="str">
        <f>HYPERLINK("proteomic_fractions_linear_files/Yang_linear_img/377834995.jpg", "377834995")</f>
        <v>377834995</v>
      </c>
      <c r="B3933" s="7"/>
      <c r="C3933" s="6" t="str">
        <f>HYPERLINK("http://www.ncbi.nlm.nih.gov/protein/377834995","LOC100861784")</f>
        <v>LOC100861784</v>
      </c>
      <c r="D3933" s="8"/>
      <c r="E3933" s="8">
        <v>13815</v>
      </c>
      <c r="F3933" s="8"/>
      <c r="G3933" s="15" t="s">
        <v>10</v>
      </c>
      <c r="H3933" s="15" t="s">
        <v>10</v>
      </c>
      <c r="I3933" s="15">
        <v>1.1940338943290729</v>
      </c>
      <c r="J3933" s="15">
        <v>1.1940338943290729</v>
      </c>
      <c r="K3933" s="15">
        <v>1.1940338943290729</v>
      </c>
      <c r="L3933" s="15">
        <v>1.1940338943290729</v>
      </c>
      <c r="M3933" s="15">
        <v>1.2549956975256404</v>
      </c>
      <c r="N3933" s="15">
        <v>1.2549956975256404</v>
      </c>
      <c r="O3933" s="15">
        <v>1.1376744130844125</v>
      </c>
      <c r="P3933" s="15">
        <v>1.1376744130844125</v>
      </c>
      <c r="Q3933" s="8"/>
      <c r="R3933" s="9" t="s">
        <v>8051</v>
      </c>
    </row>
    <row r="3934" spans="1:18" x14ac:dyDescent="0.25">
      <c r="A3934" s="6" t="str">
        <f>HYPERLINK("proteomic_fractions_linear_files/Yang_linear_img/407263800.jpg", "407263800")</f>
        <v>407263800</v>
      </c>
      <c r="B3934" s="7"/>
      <c r="C3934" s="6" t="str">
        <f>HYPERLINK("http://www.ncbi.nlm.nih.gov/protein/407263800","LOC100861898")</f>
        <v>LOC100861898</v>
      </c>
      <c r="D3934" s="8"/>
      <c r="E3934" s="8">
        <v>16467</v>
      </c>
      <c r="F3934" s="8"/>
      <c r="G3934" s="15">
        <v>1.0447796575379389</v>
      </c>
      <c r="H3934" s="15">
        <v>1.0447796575379389</v>
      </c>
      <c r="I3934" s="15">
        <v>1.0981212353349354</v>
      </c>
      <c r="J3934" s="15">
        <v>1.0981212353349354</v>
      </c>
      <c r="K3934" s="15">
        <v>1.1559561977852553</v>
      </c>
      <c r="L3934" s="15">
        <v>1.1559561977852553</v>
      </c>
      <c r="M3934" s="15">
        <v>1.0981212353349354</v>
      </c>
      <c r="N3934" s="15">
        <v>1.0981212353349354</v>
      </c>
      <c r="O3934" s="15">
        <v>1.0981212353349354</v>
      </c>
      <c r="P3934" s="15">
        <v>1.0981212353349354</v>
      </c>
      <c r="Q3934" s="8"/>
      <c r="R3934" s="9" t="s">
        <v>8101</v>
      </c>
    </row>
    <row r="3935" spans="1:18" x14ac:dyDescent="0.25">
      <c r="A3935" s="6" t="str">
        <f>HYPERLINK("proteomic_fractions_linear_files/Yang_linear_img/377833741.jpg", "377833741")</f>
        <v>377833741</v>
      </c>
      <c r="B3935" s="7"/>
      <c r="C3935" s="6" t="str">
        <f>HYPERLINK("http://www.ncbi.nlm.nih.gov/protein/377833741","LOC100861945")</f>
        <v>LOC100861945</v>
      </c>
      <c r="D3935" s="8"/>
      <c r="E3935" s="8">
        <v>40151</v>
      </c>
      <c r="F3935" s="8"/>
      <c r="G3935" s="15" t="s">
        <v>10</v>
      </c>
      <c r="H3935" s="15" t="s">
        <v>10</v>
      </c>
      <c r="I3935" s="15" t="s">
        <v>10</v>
      </c>
      <c r="J3935" s="15" t="s">
        <v>10</v>
      </c>
      <c r="K3935" s="15">
        <v>0.61387051533192294</v>
      </c>
      <c r="L3935" s="15">
        <v>0.61387051533192294</v>
      </c>
      <c r="M3935" s="15" t="s">
        <v>10</v>
      </c>
      <c r="N3935" s="15" t="s">
        <v>10</v>
      </c>
      <c r="O3935" s="15" t="s">
        <v>10</v>
      </c>
      <c r="P3935" s="15" t="s">
        <v>10</v>
      </c>
      <c r="Q3935" s="8"/>
      <c r="R3935" s="9" t="s">
        <v>8225</v>
      </c>
    </row>
    <row r="3936" spans="1:18" x14ac:dyDescent="0.25">
      <c r="A3936" s="6" t="str">
        <f>HYPERLINK("proteomic_fractions_linear_files/Yang_linear_img/377835119.jpg", "377835119")</f>
        <v>377835119</v>
      </c>
      <c r="B3936" s="7"/>
      <c r="C3936" s="6" t="str">
        <f>HYPERLINK("http://www.ncbi.nlm.nih.gov/protein/377835119","LOC100861947")</f>
        <v>LOC100861947</v>
      </c>
      <c r="D3936" s="8"/>
      <c r="E3936" s="8">
        <v>19058</v>
      </c>
      <c r="F3936" s="8"/>
      <c r="G3936" s="15" t="s">
        <v>10</v>
      </c>
      <c r="H3936" s="15" t="s">
        <v>10</v>
      </c>
      <c r="I3936" s="15">
        <v>12.282149875149951</v>
      </c>
      <c r="J3936" s="15">
        <v>12.282149875149951</v>
      </c>
      <c r="K3936" s="15">
        <v>15.883332875605198</v>
      </c>
      <c r="L3936" s="15">
        <v>15.883332875605198</v>
      </c>
      <c r="M3936" s="15">
        <v>21.528608302075778</v>
      </c>
      <c r="N3936" s="15">
        <v>15.883332875605198</v>
      </c>
      <c r="O3936" s="15">
        <v>15.883332875605198</v>
      </c>
      <c r="P3936" s="15">
        <v>15.883332875605198</v>
      </c>
      <c r="Q3936" s="8"/>
      <c r="R3936" s="9" t="s">
        <v>8226</v>
      </c>
    </row>
    <row r="3937" spans="1:18" x14ac:dyDescent="0.25">
      <c r="A3937" s="6" t="str">
        <f>HYPERLINK("proteomic_fractions_linear_files/Yang_linear_img/377834422.jpg", "377834422")</f>
        <v>377834422</v>
      </c>
      <c r="B3937" s="7"/>
      <c r="C3937" s="6" t="str">
        <f>HYPERLINK("http://www.ncbi.nlm.nih.gov/protein/377834422","LOC100862012")</f>
        <v>LOC100862012</v>
      </c>
      <c r="D3937" s="8"/>
      <c r="E3937" s="8">
        <v>22045</v>
      </c>
      <c r="F3937" s="8"/>
      <c r="G3937" s="15">
        <v>1.3584275859869606</v>
      </c>
      <c r="H3937" s="15">
        <v>1.3584275859869606</v>
      </c>
      <c r="I3937" s="15">
        <v>0.99071555775812503</v>
      </c>
      <c r="J3937" s="15">
        <v>0.99071555775812503</v>
      </c>
      <c r="K3937" s="15">
        <v>0.99071555775812503</v>
      </c>
      <c r="L3937" s="15">
        <v>0.99071555775812503</v>
      </c>
      <c r="M3937" s="15">
        <v>0.99071555775812503</v>
      </c>
      <c r="N3937" s="15">
        <v>0.99071555775812503</v>
      </c>
      <c r="O3937" s="15">
        <v>0.99071555775812503</v>
      </c>
      <c r="P3937" s="15">
        <v>0.99071555775812503</v>
      </c>
      <c r="Q3937" s="8"/>
      <c r="R3937" s="9" t="s">
        <v>8227</v>
      </c>
    </row>
    <row r="3938" spans="1:18" x14ac:dyDescent="0.25">
      <c r="A3938" s="6" t="str">
        <f>HYPERLINK("proteomic_fractions_linear_files/Yang_linear_img/377834028.jpg", "377834028")</f>
        <v>377834028</v>
      </c>
      <c r="B3938" s="7"/>
      <c r="C3938" s="6" t="str">
        <f>HYPERLINK("http://www.ncbi.nlm.nih.gov/protein/377834028","LOC100862066")</f>
        <v>LOC100862066</v>
      </c>
      <c r="D3938" s="8"/>
      <c r="E3938" s="8">
        <v>75759</v>
      </c>
      <c r="F3938" s="8"/>
      <c r="G3938" s="15" t="s">
        <v>10</v>
      </c>
      <c r="H3938" s="15" t="s">
        <v>10</v>
      </c>
      <c r="I3938" s="15" t="s">
        <v>10</v>
      </c>
      <c r="J3938" s="15" t="s">
        <v>10</v>
      </c>
      <c r="K3938" s="15">
        <v>1.2495786997708489</v>
      </c>
      <c r="L3938" s="15">
        <v>1.2495786997708489</v>
      </c>
      <c r="M3938" s="15">
        <v>0.49133324240953408</v>
      </c>
      <c r="N3938" s="15">
        <v>0.49133324240953408</v>
      </c>
      <c r="O3938" s="15" t="s">
        <v>10</v>
      </c>
      <c r="P3938" s="15" t="s">
        <v>10</v>
      </c>
      <c r="Q3938" s="8"/>
      <c r="R3938" s="9" t="s">
        <v>8228</v>
      </c>
    </row>
    <row r="3939" spans="1:18" x14ac:dyDescent="0.25">
      <c r="A3939" s="6" t="str">
        <f>HYPERLINK("proteomic_fractions_linear_files/Yang_linear_img/377837112.jpg", "377837112")</f>
        <v>377837112</v>
      </c>
      <c r="B3939" s="7"/>
      <c r="C3939" s="6" t="str">
        <f>HYPERLINK("http://www.ncbi.nlm.nih.gov/protein/377837112","LOC100862431")</f>
        <v>LOC100862431</v>
      </c>
      <c r="D3939" s="8"/>
      <c r="E3939" s="8">
        <v>39511</v>
      </c>
      <c r="F3939" s="8"/>
      <c r="G3939" s="15" t="s">
        <v>10</v>
      </c>
      <c r="H3939" s="15" t="s">
        <v>10</v>
      </c>
      <c r="I3939" s="15" t="s">
        <v>10</v>
      </c>
      <c r="J3939" s="15" t="s">
        <v>10</v>
      </c>
      <c r="K3939" s="15">
        <v>1.2072493896103813</v>
      </c>
      <c r="L3939" s="15">
        <v>1.2072493896103813</v>
      </c>
      <c r="M3939" s="15" t="s">
        <v>10</v>
      </c>
      <c r="N3939" s="15" t="s">
        <v>10</v>
      </c>
      <c r="O3939" s="15" t="s">
        <v>10</v>
      </c>
      <c r="P3939" s="15" t="s">
        <v>10</v>
      </c>
      <c r="Q3939" s="8"/>
      <c r="R3939" s="9" t="s">
        <v>8229</v>
      </c>
    </row>
    <row r="3940" spans="1:18" x14ac:dyDescent="0.25">
      <c r="A3940" s="6" t="str">
        <f>HYPERLINK("proteomic_fractions_linear_files/Yang_linear_img/377837104.jpg", "377837104")</f>
        <v>377837104</v>
      </c>
      <c r="B3940" s="7"/>
      <c r="C3940" s="6" t="str">
        <f>HYPERLINK("http://www.ncbi.nlm.nih.gov/protein/377837104","LOC100862433")</f>
        <v>LOC100862433</v>
      </c>
      <c r="D3940" s="8"/>
      <c r="E3940" s="8">
        <v>18304</v>
      </c>
      <c r="F3940" s="8"/>
      <c r="G3940" s="15">
        <v>1.2838651874843026</v>
      </c>
      <c r="H3940" s="15">
        <v>1.2838651874843026</v>
      </c>
      <c r="I3940" s="15">
        <v>0.88485787684343198</v>
      </c>
      <c r="J3940" s="15">
        <v>0.88485787684343198</v>
      </c>
      <c r="K3940" s="15">
        <v>0.88485787684343198</v>
      </c>
      <c r="L3940" s="15">
        <v>0.88485787684343198</v>
      </c>
      <c r="M3940" s="15">
        <v>0.88485787684343198</v>
      </c>
      <c r="N3940" s="15">
        <v>0.88485787684343198</v>
      </c>
      <c r="O3940" s="15" t="s">
        <v>10</v>
      </c>
      <c r="P3940" s="15" t="s">
        <v>10</v>
      </c>
      <c r="Q3940" s="8"/>
      <c r="R3940" s="9" t="s">
        <v>8230</v>
      </c>
    </row>
    <row r="3941" spans="1:18" x14ac:dyDescent="0.25">
      <c r="A3941" s="6" t="str">
        <f>HYPERLINK("proteomic_fractions_linear_files/Yang_linear_img/377837120.jpg", "377837120")</f>
        <v>377837120</v>
      </c>
      <c r="B3941" s="7"/>
      <c r="C3941" s="6" t="str">
        <f>HYPERLINK("http://www.ncbi.nlm.nih.gov/protein/377837120","LOC100862435")</f>
        <v>LOC100862435</v>
      </c>
      <c r="D3941" s="8"/>
      <c r="E3941" s="8">
        <v>47951</v>
      </c>
      <c r="F3941" s="8"/>
      <c r="G3941" s="15" t="s">
        <v>10</v>
      </c>
      <c r="H3941" s="15" t="s">
        <v>10</v>
      </c>
      <c r="I3941" s="15" t="s">
        <v>10</v>
      </c>
      <c r="J3941" s="15" t="s">
        <v>10</v>
      </c>
      <c r="K3941" s="15">
        <v>1.006041158008651</v>
      </c>
      <c r="L3941" s="15">
        <v>1.006041158008651</v>
      </c>
      <c r="M3941" s="15" t="s">
        <v>10</v>
      </c>
      <c r="N3941" s="15" t="s">
        <v>10</v>
      </c>
      <c r="O3941" s="15" t="s">
        <v>10</v>
      </c>
      <c r="P3941" s="15" t="s">
        <v>10</v>
      </c>
      <c r="Q3941" s="8"/>
      <c r="R3941" s="9" t="s">
        <v>8231</v>
      </c>
    </row>
    <row r="3942" spans="1:18" x14ac:dyDescent="0.25">
      <c r="A3942" s="6" t="str">
        <f>HYPERLINK("proteomic_fractions_linear_files/Yang_linear_img/377837231.jpg", "377837231")</f>
        <v>377837231</v>
      </c>
      <c r="B3942" s="7"/>
      <c r="C3942" s="6" t="str">
        <f>HYPERLINK("http://www.ncbi.nlm.nih.gov/protein/377837231","LOC100862445")</f>
        <v>LOC100862445</v>
      </c>
      <c r="D3942" s="8"/>
      <c r="E3942" s="8">
        <v>11287</v>
      </c>
      <c r="F3942" s="8"/>
      <c r="G3942" s="15">
        <v>1.5972672513962698</v>
      </c>
      <c r="H3942" s="15">
        <v>1.5972672513962698</v>
      </c>
      <c r="I3942" s="15">
        <v>1.447949253016525</v>
      </c>
      <c r="J3942" s="15">
        <v>1.447949253016525</v>
      </c>
      <c r="K3942" s="15">
        <v>1.5196795018733658</v>
      </c>
      <c r="L3942" s="15">
        <v>1.5196795018733658</v>
      </c>
      <c r="M3942" s="15">
        <v>1.5972672513962698</v>
      </c>
      <c r="N3942" s="15">
        <v>1.5196795018733658</v>
      </c>
      <c r="O3942" s="15">
        <v>1.447949253016525</v>
      </c>
      <c r="P3942" s="15">
        <v>1.447949253016525</v>
      </c>
      <c r="Q3942" s="8"/>
      <c r="R3942" s="9" t="s">
        <v>8074</v>
      </c>
    </row>
    <row r="3943" spans="1:18" x14ac:dyDescent="0.25">
      <c r="A3943" s="6" t="str">
        <f>HYPERLINK("proteomic_fractions_linear_files/Yang_linear_img/407262755.jpg", "407262755")</f>
        <v>407262755</v>
      </c>
      <c r="B3943" s="7"/>
      <c r="C3943" s="6" t="str">
        <f>HYPERLINK("http://www.ncbi.nlm.nih.gov/protein/407262755","LOC100862445")</f>
        <v>LOC100862445</v>
      </c>
      <c r="D3943" s="8"/>
      <c r="E3943" s="8">
        <v>11315</v>
      </c>
      <c r="F3943" s="8"/>
      <c r="G3943" s="15">
        <v>1.5972672513962698</v>
      </c>
      <c r="H3943" s="15">
        <v>1.5972672513962698</v>
      </c>
      <c r="I3943" s="15">
        <v>1.447949253016525</v>
      </c>
      <c r="J3943" s="15">
        <v>1.447949253016525</v>
      </c>
      <c r="K3943" s="15">
        <v>1.5196795018733658</v>
      </c>
      <c r="L3943" s="15">
        <v>1.5196795018733658</v>
      </c>
      <c r="M3943" s="15">
        <v>1.5972672513962698</v>
      </c>
      <c r="N3943" s="15">
        <v>1.5196795018733658</v>
      </c>
      <c r="O3943" s="15">
        <v>1.447949253016525</v>
      </c>
      <c r="P3943" s="15">
        <v>1.447949253016525</v>
      </c>
      <c r="Q3943" s="8"/>
      <c r="R3943" s="9" t="s">
        <v>8074</v>
      </c>
    </row>
    <row r="3944" spans="1:18" x14ac:dyDescent="0.25">
      <c r="A3944" s="6" t="str">
        <f>HYPERLINK("proteomic_fractions_linear_files/Yang_linear_img/407264599.jpg", "407264599")</f>
        <v>407264599</v>
      </c>
      <c r="B3944" s="7"/>
      <c r="C3944" s="6" t="str">
        <f>HYPERLINK("http://www.ncbi.nlm.nih.gov/protein/407264599","LOC100862446")</f>
        <v>LOC100862446</v>
      </c>
      <c r="D3944" s="8"/>
      <c r="E3944" s="8">
        <v>20641</v>
      </c>
      <c r="F3944" s="8"/>
      <c r="G3944" s="15">
        <v>8.89361103047335</v>
      </c>
      <c r="H3944" s="15">
        <v>8.89361103047335</v>
      </c>
      <c r="I3944" s="15">
        <v>0.79602259621938198</v>
      </c>
      <c r="J3944" s="15">
        <v>0.79602259621938198</v>
      </c>
      <c r="K3944" s="15">
        <v>19.478264654259039</v>
      </c>
      <c r="L3944" s="15">
        <v>19.478264654259039</v>
      </c>
      <c r="M3944" s="15">
        <v>0.83666379835042703</v>
      </c>
      <c r="N3944" s="15">
        <v>0.83666379835042703</v>
      </c>
      <c r="O3944" s="15">
        <v>14.370634506499941</v>
      </c>
      <c r="P3944" s="15">
        <v>14.370634506499941</v>
      </c>
      <c r="Q3944" s="8"/>
      <c r="R3944" s="9" t="s">
        <v>8232</v>
      </c>
    </row>
    <row r="3945" spans="1:18" x14ac:dyDescent="0.25">
      <c r="A3945" s="6" t="str">
        <f>HYPERLINK("proteomic_fractions_linear_files/Yang_linear_img/377834725.jpg", "377834725")</f>
        <v>377834725</v>
      </c>
      <c r="B3945" s="7"/>
      <c r="C3945" s="6" t="str">
        <f>HYPERLINK("http://www.ncbi.nlm.nih.gov/protein/377834725","LOC100862447")</f>
        <v>LOC100862447</v>
      </c>
      <c r="D3945" s="8"/>
      <c r="E3945" s="8">
        <v>39462</v>
      </c>
      <c r="F3945" s="8"/>
      <c r="G3945" s="15" t="s">
        <v>10</v>
      </c>
      <c r="H3945" s="15" t="s">
        <v>10</v>
      </c>
      <c r="I3945" s="15" t="s">
        <v>10</v>
      </c>
      <c r="J3945" s="15" t="s">
        <v>10</v>
      </c>
      <c r="K3945" s="15">
        <v>1.2382045021644936</v>
      </c>
      <c r="L3945" s="15">
        <v>1.2382045021644936</v>
      </c>
      <c r="M3945" s="15" t="s">
        <v>10</v>
      </c>
      <c r="N3945" s="15" t="s">
        <v>10</v>
      </c>
      <c r="O3945" s="15" t="s">
        <v>10</v>
      </c>
      <c r="P3945" s="15" t="s">
        <v>10</v>
      </c>
      <c r="Q3945" s="8"/>
      <c r="R3945" s="9" t="s">
        <v>8229</v>
      </c>
    </row>
    <row r="3946" spans="1:18" x14ac:dyDescent="0.25">
      <c r="A3946" s="6" t="str">
        <f>HYPERLINK("proteomic_fractions_linear_files/Yang_linear_img/407262287.jpg", "407262287")</f>
        <v>407262287</v>
      </c>
      <c r="B3946" s="7"/>
      <c r="C3946" s="6" t="str">
        <f>HYPERLINK("http://www.ncbi.nlm.nih.gov/protein/407262287","LOC100862455")</f>
        <v>LOC100862455</v>
      </c>
      <c r="D3946" s="8"/>
      <c r="E3946" s="8">
        <v>14328</v>
      </c>
      <c r="F3946" s="8"/>
      <c r="G3946" s="15">
        <v>428.07857142857148</v>
      </c>
      <c r="H3946" s="15">
        <v>428.07857142857148</v>
      </c>
      <c r="I3946" s="15">
        <v>1.085452735272449</v>
      </c>
      <c r="J3946" s="15">
        <v>1.085452735272449</v>
      </c>
      <c r="K3946" s="15">
        <v>1.085452735272449</v>
      </c>
      <c r="L3946" s="15">
        <v>1.085452735272449</v>
      </c>
      <c r="M3946" s="15">
        <v>1.1376744130844125</v>
      </c>
      <c r="N3946" s="15">
        <v>1.1376744130844125</v>
      </c>
      <c r="O3946" s="15">
        <v>1.085452735272449</v>
      </c>
      <c r="P3946" s="15">
        <v>1.085452735272449</v>
      </c>
      <c r="Q3946" s="8"/>
      <c r="R3946" s="9" t="s">
        <v>8086</v>
      </c>
    </row>
    <row r="3947" spans="1:18" x14ac:dyDescent="0.25">
      <c r="A3947" s="6" t="str">
        <f>HYPERLINK("proteomic_fractions_linear_files/Yang_linear_img/377837185.jpg", "377837185")</f>
        <v>377837185</v>
      </c>
      <c r="B3947" s="7"/>
      <c r="C3947" s="6" t="str">
        <f>HYPERLINK("http://www.ncbi.nlm.nih.gov/protein/377837185","LOC100862468")</f>
        <v>LOC100862468</v>
      </c>
      <c r="D3947" s="8"/>
      <c r="E3947" s="8">
        <v>14042</v>
      </c>
      <c r="F3947" s="8"/>
      <c r="G3947" s="15">
        <v>1.5568387336199108</v>
      </c>
      <c r="H3947" s="15">
        <v>1.4712457990468766</v>
      </c>
      <c r="I3947" s="15">
        <v>0.99184646428118928</v>
      </c>
      <c r="J3947" s="15">
        <v>0.99184646428118928</v>
      </c>
      <c r="K3947" s="15">
        <v>1.085452735272449</v>
      </c>
      <c r="L3947" s="15">
        <v>1.085452735272449</v>
      </c>
      <c r="M3947" s="15">
        <v>1.085452735272449</v>
      </c>
      <c r="N3947" s="15">
        <v>1.085452735272449</v>
      </c>
      <c r="O3947" s="15">
        <v>0.94979028735725246</v>
      </c>
      <c r="P3947" s="15">
        <v>0.94979028735725246</v>
      </c>
      <c r="Q3947" s="8"/>
      <c r="R3947" s="9" t="s">
        <v>8233</v>
      </c>
    </row>
    <row r="3948" spans="1:18" x14ac:dyDescent="0.25">
      <c r="A3948" s="6" t="str">
        <f>HYPERLINK("proteomic_fractions_linear_files/Yang_linear_img/377834690.jpg", "377834690")</f>
        <v>377834690</v>
      </c>
      <c r="B3948" s="7"/>
      <c r="C3948" s="6" t="str">
        <f>HYPERLINK("http://www.ncbi.nlm.nih.gov/protein/377834690","LOC100862531")</f>
        <v>LOC100862531</v>
      </c>
      <c r="D3948" s="8"/>
      <c r="E3948" s="8">
        <v>49889</v>
      </c>
      <c r="F3948" s="8"/>
      <c r="G3948" s="15" t="s">
        <v>10</v>
      </c>
      <c r="H3948" s="15" t="s">
        <v>10</v>
      </c>
      <c r="I3948" s="15">
        <v>0.96579951168830502</v>
      </c>
      <c r="J3948" s="15">
        <v>0.96579951168830502</v>
      </c>
      <c r="K3948" s="15" t="s">
        <v>10</v>
      </c>
      <c r="L3948" s="15" t="s">
        <v>10</v>
      </c>
      <c r="M3948" s="15" t="s">
        <v>10</v>
      </c>
      <c r="N3948" s="15" t="s">
        <v>10</v>
      </c>
      <c r="O3948" s="15" t="s">
        <v>10</v>
      </c>
      <c r="P3948" s="15" t="s">
        <v>10</v>
      </c>
      <c r="Q3948" s="8"/>
      <c r="R3948" s="9" t="s">
        <v>8234</v>
      </c>
    </row>
    <row r="3949" spans="1:18" x14ac:dyDescent="0.25">
      <c r="A3949" s="6" t="str">
        <f>HYPERLINK("proteomic_fractions_linear_files/Yang_linear_img/377833375.jpg", "377833375")</f>
        <v>377833375</v>
      </c>
      <c r="B3949" s="7"/>
      <c r="C3949" s="6" t="str">
        <f>HYPERLINK("http://www.ncbi.nlm.nih.gov/protein/377833375","LOC100862557")</f>
        <v>LOC100862557</v>
      </c>
      <c r="D3949" s="8"/>
      <c r="E3949" s="8">
        <v>210448</v>
      </c>
      <c r="F3949" s="8"/>
      <c r="G3949" s="15">
        <v>8.980782876823767</v>
      </c>
      <c r="H3949" s="15">
        <v>8.980782876823767</v>
      </c>
      <c r="I3949" s="15">
        <v>1.111242131561186</v>
      </c>
      <c r="J3949" s="15">
        <v>1.111242131561186</v>
      </c>
      <c r="K3949" s="15">
        <v>1.4370634506499942</v>
      </c>
      <c r="L3949" s="15">
        <v>1.4370634506499942</v>
      </c>
      <c r="M3949" s="15">
        <v>1.4370634506499942</v>
      </c>
      <c r="N3949" s="15">
        <v>1.4370634506499942</v>
      </c>
      <c r="O3949" s="15">
        <v>1.111242131561186</v>
      </c>
      <c r="P3949" s="15">
        <v>1.111242131561186</v>
      </c>
      <c r="Q3949" s="8"/>
      <c r="R3949" s="9" t="s">
        <v>8235</v>
      </c>
    </row>
    <row r="3950" spans="1:18" x14ac:dyDescent="0.25">
      <c r="A3950" s="6" t="str">
        <f>HYPERLINK("proteomic_fractions_linear_files/Yang_linear_img/377833339.jpg", "377833339")</f>
        <v>377833339</v>
      </c>
      <c r="B3950" s="7"/>
      <c r="C3950" s="6" t="str">
        <f>HYPERLINK("http://www.ncbi.nlm.nih.gov/protein/377833339","LOC100862587")</f>
        <v>LOC100862587</v>
      </c>
      <c r="D3950" s="8"/>
      <c r="E3950" s="8">
        <v>17442</v>
      </c>
      <c r="F3950" s="8"/>
      <c r="G3950" s="15">
        <v>1.757965111277243</v>
      </c>
      <c r="H3950" s="15">
        <v>1.757965111277243</v>
      </c>
      <c r="I3950" s="15">
        <v>1.2821024865105148</v>
      </c>
      <c r="J3950" s="15">
        <v>1.2821024865105148</v>
      </c>
      <c r="K3950" s="15">
        <v>1.2821024865105148</v>
      </c>
      <c r="L3950" s="15">
        <v>1.2821024865105148</v>
      </c>
      <c r="M3950" s="15">
        <v>1.211614187450369</v>
      </c>
      <c r="N3950" s="15">
        <v>1.211614187450369</v>
      </c>
      <c r="O3950" s="15" t="s">
        <v>10</v>
      </c>
      <c r="P3950" s="15" t="s">
        <v>10</v>
      </c>
      <c r="Q3950" s="8"/>
      <c r="R3950" s="9" t="s">
        <v>8064</v>
      </c>
    </row>
    <row r="3951" spans="1:18" x14ac:dyDescent="0.25">
      <c r="A3951" s="6" t="str">
        <f>HYPERLINK("proteomic_fractions_linear_files/Yang_linear_img/377834331.jpg", "377834331")</f>
        <v>377834331</v>
      </c>
      <c r="B3951" s="7"/>
      <c r="C3951" s="6" t="str">
        <f>HYPERLINK("http://www.ncbi.nlm.nih.gov/protein/377834331","LOC100862604")</f>
        <v>LOC100862604</v>
      </c>
      <c r="D3951" s="8"/>
      <c r="E3951" s="8">
        <v>20714</v>
      </c>
      <c r="F3951" s="8"/>
      <c r="G3951" s="15">
        <v>1.3294386332229553</v>
      </c>
      <c r="H3951" s="15">
        <v>1.3294386332229553</v>
      </c>
      <c r="I3951" s="15">
        <v>0.92862618228739402</v>
      </c>
      <c r="J3951" s="15">
        <v>0.92862618228739402</v>
      </c>
      <c r="K3951" s="15">
        <v>0.98083053269791776</v>
      </c>
      <c r="L3951" s="15">
        <v>0.98083053269791776</v>
      </c>
      <c r="M3951" s="15">
        <v>0.98083053269791776</v>
      </c>
      <c r="N3951" s="15">
        <v>0.98083053269791776</v>
      </c>
      <c r="O3951" s="15">
        <v>0.98083053269791776</v>
      </c>
      <c r="P3951" s="15">
        <v>0.98083053269791776</v>
      </c>
      <c r="Q3951" s="8"/>
      <c r="R3951" s="9" t="s">
        <v>8138</v>
      </c>
    </row>
    <row r="3952" spans="1:18" x14ac:dyDescent="0.25">
      <c r="A3952" s="6" t="str">
        <f>HYPERLINK("proteomic_fractions_linear_files/Yang_linear_img/407262330.jpg", "407262330")</f>
        <v>407262330</v>
      </c>
      <c r="B3952" s="7"/>
      <c r="C3952" s="6" t="str">
        <f>HYPERLINK("http://www.ncbi.nlm.nih.gov/protein/407262330","LOC101055631")</f>
        <v>LOC101055631</v>
      </c>
      <c r="D3952" s="8"/>
      <c r="E3952" s="8">
        <v>25868</v>
      </c>
      <c r="F3952" s="8"/>
      <c r="G3952" s="15" t="s">
        <v>10</v>
      </c>
      <c r="H3952" s="15" t="s">
        <v>10</v>
      </c>
      <c r="I3952" s="15">
        <v>0.61259391473776059</v>
      </c>
      <c r="J3952" s="15">
        <v>0.61259391473776059</v>
      </c>
      <c r="K3952" s="15" t="s">
        <v>10</v>
      </c>
      <c r="L3952" s="15" t="s">
        <v>10</v>
      </c>
      <c r="M3952" s="15" t="s">
        <v>10</v>
      </c>
      <c r="N3952" s="15" t="s">
        <v>10</v>
      </c>
      <c r="O3952" s="15" t="s">
        <v>10</v>
      </c>
      <c r="P3952" s="15" t="s">
        <v>10</v>
      </c>
      <c r="Q3952" s="8"/>
      <c r="R3952" s="9" t="s">
        <v>8236</v>
      </c>
    </row>
    <row r="3953" spans="1:18" x14ac:dyDescent="0.25">
      <c r="A3953" s="6" t="str">
        <f>HYPERLINK("proteomic_fractions_linear_files/Yang_linear_img/407262230.jpg", "407262230")</f>
        <v>407262230</v>
      </c>
      <c r="B3953" s="7"/>
      <c r="C3953" s="6" t="str">
        <f>HYPERLINK("http://www.ncbi.nlm.nih.gov/protein/407262230","LOC101055659")</f>
        <v>LOC101055659</v>
      </c>
      <c r="D3953" s="8"/>
      <c r="E3953" s="8">
        <v>14251</v>
      </c>
      <c r="F3953" s="8"/>
      <c r="G3953" s="15">
        <v>1.2549956975256404</v>
      </c>
      <c r="H3953" s="15">
        <v>1.2549956975256404</v>
      </c>
      <c r="I3953" s="15">
        <v>1.2549956975256404</v>
      </c>
      <c r="J3953" s="15">
        <v>1.2549956975256404</v>
      </c>
      <c r="K3953" s="15">
        <v>1.392939273431091</v>
      </c>
      <c r="L3953" s="15">
        <v>1.392939273431091</v>
      </c>
      <c r="M3953" s="15">
        <v>1.392939273431091</v>
      </c>
      <c r="N3953" s="15">
        <v>1.392939273431091</v>
      </c>
      <c r="O3953" s="15" t="s">
        <v>10</v>
      </c>
      <c r="P3953" s="15" t="s">
        <v>10</v>
      </c>
      <c r="Q3953" s="8"/>
      <c r="R3953" s="9" t="s">
        <v>8161</v>
      </c>
    </row>
    <row r="3954" spans="1:18" x14ac:dyDescent="0.25">
      <c r="A3954" s="6" t="str">
        <f>HYPERLINK("proteomic_fractions_linear_files/Yang_linear_img/407261331.jpg", "407261331")</f>
        <v>407261331</v>
      </c>
      <c r="B3954" s="7"/>
      <c r="C3954" s="6" t="str">
        <f>HYPERLINK("http://www.ncbi.nlm.nih.gov/protein/407261331","LOC101055675")</f>
        <v>LOC101055675</v>
      </c>
      <c r="D3954" s="8"/>
      <c r="E3954" s="8">
        <v>15468</v>
      </c>
      <c r="F3954" s="8"/>
      <c r="G3954" s="15" t="s">
        <v>10</v>
      </c>
      <c r="H3954" s="15" t="s">
        <v>10</v>
      </c>
      <c r="I3954" s="15">
        <v>1.0618294522121183</v>
      </c>
      <c r="J3954" s="15">
        <v>1.0618294522121183</v>
      </c>
      <c r="K3954" s="15">
        <v>1.1144316347071348</v>
      </c>
      <c r="L3954" s="15">
        <v>1.1144316347071348</v>
      </c>
      <c r="M3954" s="15" t="s">
        <v>10</v>
      </c>
      <c r="N3954" s="15" t="s">
        <v>10</v>
      </c>
      <c r="O3954" s="15" t="s">
        <v>10</v>
      </c>
      <c r="P3954" s="15" t="s">
        <v>10</v>
      </c>
      <c r="Q3954" s="8"/>
      <c r="R3954" s="9" t="s">
        <v>8237</v>
      </c>
    </row>
    <row r="3955" spans="1:18" x14ac:dyDescent="0.25">
      <c r="A3955" s="6" t="str">
        <f>HYPERLINK("proteomic_fractions_linear_files/Yang_linear_img/407261069.jpg", "407261069")</f>
        <v>407261069</v>
      </c>
      <c r="B3955" s="7"/>
      <c r="C3955" s="6" t="str">
        <f>HYPERLINK("http://www.ncbi.nlm.nih.gov/protein/407261069","LOC101055744")</f>
        <v>LOC101055744</v>
      </c>
      <c r="D3955" s="8"/>
      <c r="E3955" s="8">
        <v>12579</v>
      </c>
      <c r="F3955" s="8"/>
      <c r="G3955" s="15">
        <v>2.2988774532087026</v>
      </c>
      <c r="H3955" s="15">
        <v>2.2988774532087026</v>
      </c>
      <c r="I3955" s="15">
        <v>1.6765955592829809</v>
      </c>
      <c r="J3955" s="15">
        <v>1.6765955592829809</v>
      </c>
      <c r="K3955" s="15">
        <v>1.6765955592829809</v>
      </c>
      <c r="L3955" s="15">
        <v>1.6765955592829809</v>
      </c>
      <c r="M3955" s="15">
        <v>1.5844185528197132</v>
      </c>
      <c r="N3955" s="15">
        <v>1.5844185528197132</v>
      </c>
      <c r="O3955" s="15" t="s">
        <v>10</v>
      </c>
      <c r="P3955" s="15" t="s">
        <v>10</v>
      </c>
      <c r="Q3955" s="8"/>
      <c r="R3955" s="9" t="s">
        <v>8238</v>
      </c>
    </row>
    <row r="3956" spans="1:18" x14ac:dyDescent="0.25">
      <c r="A3956" s="6" t="str">
        <f>HYPERLINK("proteomic_fractions_linear_files/Yang_linear_img/407264338.jpg", "407264338")</f>
        <v>407264338</v>
      </c>
      <c r="B3956" s="7"/>
      <c r="C3956" s="6" t="str">
        <f>HYPERLINK("http://www.ncbi.nlm.nih.gov/protein/407264338","LOC101055749")</f>
        <v>LOC101055749</v>
      </c>
      <c r="D3956" s="8"/>
      <c r="E3956" s="8">
        <v>22069</v>
      </c>
      <c r="F3956" s="8"/>
      <c r="G3956" s="15">
        <v>1.6973330192329359</v>
      </c>
      <c r="H3956" s="15">
        <v>1.6973330192329359</v>
      </c>
      <c r="I3956" s="15">
        <v>1.1161282096944054</v>
      </c>
      <c r="J3956" s="15">
        <v>1.1161282096944054</v>
      </c>
      <c r="K3956" s="15">
        <v>1.1886480961556818</v>
      </c>
      <c r="L3956" s="15">
        <v>1.1886480961556818</v>
      </c>
      <c r="M3956" s="15">
        <v>1.1161282096944054</v>
      </c>
      <c r="N3956" s="15">
        <v>1.1161282096944054</v>
      </c>
      <c r="O3956" s="15">
        <v>0.99071555775812503</v>
      </c>
      <c r="P3956" s="15">
        <v>0.99071555775812503</v>
      </c>
      <c r="Q3956" s="8"/>
      <c r="R3956" s="9" t="s">
        <v>8239</v>
      </c>
    </row>
    <row r="3957" spans="1:18" x14ac:dyDescent="0.25">
      <c r="A3957" s="6" t="str">
        <f>HYPERLINK("proteomic_fractions_linear_files/Yang_linear_img/407261248.jpg", "407261248")</f>
        <v>407261248</v>
      </c>
      <c r="B3957" s="7"/>
      <c r="C3957" s="6" t="str">
        <f>HYPERLINK("http://www.ncbi.nlm.nih.gov/protein/407261248","LOC101055761")</f>
        <v>LOC101055761</v>
      </c>
      <c r="D3957" s="8"/>
      <c r="E3957" s="8">
        <v>6979</v>
      </c>
      <c r="F3957" s="8"/>
      <c r="G3957" s="15">
        <v>1.8995805747145049</v>
      </c>
      <c r="H3957" s="15">
        <v>1.8995805747145049</v>
      </c>
      <c r="I3957" s="15" t="s">
        <v>10</v>
      </c>
      <c r="J3957" s="15" t="s">
        <v>10</v>
      </c>
      <c r="K3957" s="15">
        <v>1.9836929285623786</v>
      </c>
      <c r="L3957" s="15">
        <v>1.9836929285623786</v>
      </c>
      <c r="M3957" s="15">
        <v>1.8995805747145049</v>
      </c>
      <c r="N3957" s="15">
        <v>1.8995805747145049</v>
      </c>
      <c r="O3957" s="15">
        <v>1.821031334562518</v>
      </c>
      <c r="P3957" s="15">
        <v>1.821031334562518</v>
      </c>
      <c r="Q3957" s="8"/>
      <c r="R3957" s="9" t="s">
        <v>8240</v>
      </c>
    </row>
    <row r="3958" spans="1:18" x14ac:dyDescent="0.25">
      <c r="A3958" s="6" t="str">
        <f>HYPERLINK("proteomic_fractions_linear_files/Yang_linear_img/407261857.jpg", "407261857")</f>
        <v>407261857</v>
      </c>
      <c r="B3958" s="7"/>
      <c r="C3958" s="6" t="str">
        <f>HYPERLINK("http://www.ncbi.nlm.nih.gov/protein/407261857","LOC101055799")</f>
        <v>LOC101055799</v>
      </c>
      <c r="D3958" s="8"/>
      <c r="E3958" s="8">
        <v>18364</v>
      </c>
      <c r="F3958" s="8"/>
      <c r="G3958" s="15">
        <v>0.80652631788168594</v>
      </c>
      <c r="H3958" s="15">
        <v>0.80652631788168594</v>
      </c>
      <c r="I3958" s="15">
        <v>0.80652631788168594</v>
      </c>
      <c r="J3958" s="15">
        <v>0.80652631788168594</v>
      </c>
      <c r="K3958" s="15">
        <v>0.9286930289226123</v>
      </c>
      <c r="L3958" s="15">
        <v>0.9286930289226123</v>
      </c>
      <c r="M3958" s="15">
        <v>0.9286930289226123</v>
      </c>
      <c r="N3958" s="15">
        <v>0.9286930289226123</v>
      </c>
      <c r="O3958" s="15">
        <v>0.84424101632301585</v>
      </c>
      <c r="P3958" s="15">
        <v>0.84424101632301585</v>
      </c>
      <c r="Q3958" s="8"/>
      <c r="R3958" s="9" t="s">
        <v>8176</v>
      </c>
    </row>
    <row r="3959" spans="1:18" x14ac:dyDescent="0.25">
      <c r="A3959" s="6" t="str">
        <f>HYPERLINK("proteomic_fractions_linear_files/Yang_linear_img/407262441.jpg", "407262441")</f>
        <v>407262441</v>
      </c>
      <c r="B3959" s="7"/>
      <c r="C3959" s="6" t="str">
        <f>HYPERLINK("http://www.ncbi.nlm.nih.gov/protein/407262441","LOC101055815")</f>
        <v>LOC101055815</v>
      </c>
      <c r="D3959" s="8"/>
      <c r="E3959" s="8">
        <v>12121</v>
      </c>
      <c r="F3959" s="8"/>
      <c r="G3959" s="15">
        <v>1.1080886685834612</v>
      </c>
      <c r="H3959" s="15">
        <v>1.1080886685834612</v>
      </c>
      <c r="I3959" s="15">
        <v>1.1571542083280542</v>
      </c>
      <c r="J3959" s="15">
        <v>1.1080886685834612</v>
      </c>
      <c r="K3959" s="15">
        <v>1.209789476822529</v>
      </c>
      <c r="L3959" s="15">
        <v>1.209789476822529</v>
      </c>
      <c r="M3959" s="15">
        <v>1.209789476822529</v>
      </c>
      <c r="N3959" s="15">
        <v>1.209789476822529</v>
      </c>
      <c r="O3959" s="15">
        <v>1.1080886685834612</v>
      </c>
      <c r="P3959" s="15">
        <v>1.1080886685834612</v>
      </c>
      <c r="Q3959" s="8"/>
      <c r="R3959" s="9" t="s">
        <v>8129</v>
      </c>
    </row>
    <row r="3960" spans="1:18" x14ac:dyDescent="0.25">
      <c r="A3960" s="6" t="str">
        <f>HYPERLINK("proteomic_fractions_linear_files/Yang_linear_img/407262010.jpg", "407262010")</f>
        <v>407262010</v>
      </c>
      <c r="B3960" s="7"/>
      <c r="C3960" s="6" t="str">
        <f>HYPERLINK("http://www.ncbi.nlm.nih.gov/protein/407262010","LOC101055828")</f>
        <v>LOC101055828</v>
      </c>
      <c r="D3960" s="8"/>
      <c r="E3960" s="8">
        <v>119041</v>
      </c>
      <c r="F3960" s="8"/>
      <c r="G3960" s="15" t="s">
        <v>10</v>
      </c>
      <c r="H3960" s="15" t="s">
        <v>10</v>
      </c>
      <c r="I3960" s="15">
        <v>1.961015526284446</v>
      </c>
      <c r="J3960" s="15">
        <v>1.961015526284446</v>
      </c>
      <c r="K3960" s="15">
        <v>3.4373408213398302</v>
      </c>
      <c r="L3960" s="15">
        <v>3.4373408213398302</v>
      </c>
      <c r="M3960" s="15">
        <v>4.9873345014227244</v>
      </c>
      <c r="N3960" s="15">
        <v>4.9873345014227244</v>
      </c>
      <c r="O3960" s="15">
        <v>2.5359943246764605</v>
      </c>
      <c r="P3960" s="15">
        <v>2.5359943246764605</v>
      </c>
      <c r="Q3960" s="8"/>
      <c r="R3960" s="9" t="s">
        <v>8241</v>
      </c>
    </row>
    <row r="3961" spans="1:18" x14ac:dyDescent="0.25">
      <c r="A3961" s="6" t="str">
        <f>HYPERLINK("proteomic_fractions_linear_files/Yang_linear_img/407260908.jpg", "407260908")</f>
        <v>407260908</v>
      </c>
      <c r="B3961" s="7"/>
      <c r="C3961" s="6" t="str">
        <f>HYPERLINK("http://www.ncbi.nlm.nih.gov/protein/407260908","LOC101055829")</f>
        <v>LOC101055829</v>
      </c>
      <c r="D3961" s="8"/>
      <c r="E3961" s="8">
        <v>29252</v>
      </c>
      <c r="F3961" s="8"/>
      <c r="G3961" s="15">
        <v>1.2876319456249858</v>
      </c>
      <c r="H3961" s="15">
        <v>1.2876319456249858</v>
      </c>
      <c r="I3961" s="15">
        <v>0.96269694129938133</v>
      </c>
      <c r="J3961" s="15">
        <v>0.96269694129938133</v>
      </c>
      <c r="K3961" s="15">
        <v>1.0305312721280391</v>
      </c>
      <c r="L3961" s="15">
        <v>1.0305312721280391</v>
      </c>
      <c r="M3961" s="15">
        <v>0.96269694129938133</v>
      </c>
      <c r="N3961" s="15">
        <v>0.96269694129938133</v>
      </c>
      <c r="O3961" s="15" t="s">
        <v>10</v>
      </c>
      <c r="P3961" s="15" t="s">
        <v>10</v>
      </c>
      <c r="Q3961" s="8"/>
      <c r="R3961" s="9" t="s">
        <v>8097</v>
      </c>
    </row>
    <row r="3962" spans="1:18" x14ac:dyDescent="0.25">
      <c r="A3962" s="6" t="str">
        <f>HYPERLINK("proteomic_fractions_linear_files/Yang_linear_img/407261194.jpg", "407261194")</f>
        <v>407261194</v>
      </c>
      <c r="B3962" s="7"/>
      <c r="C3962" s="6" t="str">
        <f>HYPERLINK("http://www.ncbi.nlm.nih.gov/protein/407261194","LOC101055843")</f>
        <v>LOC101055843</v>
      </c>
      <c r="D3962" s="8"/>
      <c r="E3962" s="8">
        <v>17117</v>
      </c>
      <c r="F3962" s="8"/>
      <c r="G3962" s="15" t="s">
        <v>10</v>
      </c>
      <c r="H3962" s="15" t="s">
        <v>10</v>
      </c>
      <c r="I3962" s="15">
        <v>2.5956228968803217</v>
      </c>
      <c r="J3962" s="15">
        <v>2.5956228968803217</v>
      </c>
      <c r="K3962" s="15">
        <v>2.8405867990832503</v>
      </c>
      <c r="L3962" s="15">
        <v>2.8405867990832503</v>
      </c>
      <c r="M3962" s="15" t="s">
        <v>10</v>
      </c>
      <c r="N3962" s="15" t="s">
        <v>10</v>
      </c>
      <c r="O3962" s="15" t="s">
        <v>10</v>
      </c>
      <c r="P3962" s="15" t="s">
        <v>10</v>
      </c>
      <c r="Q3962" s="8"/>
      <c r="R3962" s="9" t="s">
        <v>8242</v>
      </c>
    </row>
    <row r="3963" spans="1:18" x14ac:dyDescent="0.25">
      <c r="A3963" s="6" t="str">
        <f>HYPERLINK("proteomic_fractions_linear_files/Yang_linear_img/407262073.jpg", "407262073")</f>
        <v>407262073</v>
      </c>
      <c r="B3963" s="7"/>
      <c r="C3963" s="6" t="str">
        <f>HYPERLINK("http://www.ncbi.nlm.nih.gov/protein/407262073","LOC101055909")</f>
        <v>LOC101055909</v>
      </c>
      <c r="D3963" s="8"/>
      <c r="E3963" s="8">
        <v>10541</v>
      </c>
      <c r="F3963" s="8"/>
      <c r="G3963" s="15">
        <v>1.2623500454487864</v>
      </c>
      <c r="H3963" s="15">
        <v>1.2623500454487864</v>
      </c>
      <c r="I3963" s="15">
        <v>1.2623500454487864</v>
      </c>
      <c r="J3963" s="15">
        <v>1.2623500454487864</v>
      </c>
      <c r="K3963" s="15">
        <v>1.3197703383518498</v>
      </c>
      <c r="L3963" s="15">
        <v>1.3197703383518498</v>
      </c>
      <c r="M3963" s="15" t="s">
        <v>10</v>
      </c>
      <c r="N3963" s="15" t="s">
        <v>10</v>
      </c>
      <c r="O3963" s="15" t="s">
        <v>10</v>
      </c>
      <c r="P3963" s="15" t="s">
        <v>10</v>
      </c>
      <c r="Q3963" s="8"/>
      <c r="R3963" s="9" t="s">
        <v>8243</v>
      </c>
    </row>
    <row r="3964" spans="1:18" x14ac:dyDescent="0.25">
      <c r="A3964" s="6" t="str">
        <f>HYPERLINK("proteomic_fractions_linear_files/Yang_linear_img/407261941.jpg", "407261941")</f>
        <v>407261941</v>
      </c>
      <c r="B3964" s="7"/>
      <c r="C3964" s="6" t="str">
        <f>HYPERLINK("http://www.ncbi.nlm.nih.gov/protein/407261941","LOC101055913")</f>
        <v>LOC101055913</v>
      </c>
      <c r="D3964" s="8"/>
      <c r="E3964" s="8">
        <v>11377</v>
      </c>
      <c r="F3964" s="8"/>
      <c r="G3964" s="15">
        <v>1.5196795018733658</v>
      </c>
      <c r="H3964" s="15">
        <v>1.5196795018733658</v>
      </c>
      <c r="I3964" s="15">
        <v>1.5196795018733658</v>
      </c>
      <c r="J3964" s="15">
        <v>1.5196795018733658</v>
      </c>
      <c r="K3964" s="15">
        <v>1.5972672513962698</v>
      </c>
      <c r="L3964" s="15">
        <v>1.5972672513962698</v>
      </c>
      <c r="M3964" s="15" t="s">
        <v>10</v>
      </c>
      <c r="N3964" s="15" t="s">
        <v>10</v>
      </c>
      <c r="O3964" s="15">
        <v>1.5196795018733658</v>
      </c>
      <c r="P3964" s="15">
        <v>1.5196795018733658</v>
      </c>
      <c r="Q3964" s="8"/>
      <c r="R3964" s="9" t="s">
        <v>8244</v>
      </c>
    </row>
    <row r="3965" spans="1:18" x14ac:dyDescent="0.25">
      <c r="A3965" s="6" t="str">
        <f>HYPERLINK("proteomic_fractions_linear_files/Yang_linear_img/407262980.jpg", "407262980")</f>
        <v>407262980</v>
      </c>
      <c r="B3965" s="7"/>
      <c r="C3965" s="6" t="str">
        <f>HYPERLINK("http://www.ncbi.nlm.nih.gov/protein/407262980","LOC101055915")</f>
        <v>LOC101055915</v>
      </c>
      <c r="D3965" s="8"/>
      <c r="E3965" s="8">
        <v>28038</v>
      </c>
      <c r="F3965" s="8"/>
      <c r="G3965" s="15">
        <v>1.2340491618026852</v>
      </c>
      <c r="H3965" s="15">
        <v>1.2340491618026852</v>
      </c>
      <c r="I3965" s="15">
        <v>0.87695787904560418</v>
      </c>
      <c r="J3965" s="15">
        <v>0.87695787904560418</v>
      </c>
      <c r="K3965" s="15">
        <v>0.93393778983660714</v>
      </c>
      <c r="L3965" s="15">
        <v>0.93393778983660714</v>
      </c>
      <c r="M3965" s="15">
        <v>0.93393778983660714</v>
      </c>
      <c r="N3965" s="15">
        <v>0.93393778983660714</v>
      </c>
      <c r="O3965" s="15" t="s">
        <v>10</v>
      </c>
      <c r="P3965" s="15" t="s">
        <v>10</v>
      </c>
      <c r="Q3965" s="8"/>
      <c r="R3965" s="9" t="s">
        <v>8245</v>
      </c>
    </row>
    <row r="3966" spans="1:18" x14ac:dyDescent="0.25">
      <c r="A3966" s="6" t="str">
        <f>HYPERLINK("proteomic_fractions_linear_files/Yang_linear_img/407262455.jpg", "407262455")</f>
        <v>407262455</v>
      </c>
      <c r="B3966" s="7"/>
      <c r="C3966" s="6" t="str">
        <f>HYPERLINK("http://www.ncbi.nlm.nih.gov/protein/407262455","LOC101055925")</f>
        <v>LOC101055925</v>
      </c>
      <c r="D3966" s="8"/>
      <c r="E3966" s="8">
        <v>14667</v>
      </c>
      <c r="F3966" s="8"/>
      <c r="G3966" s="15">
        <v>1.6369880408851278</v>
      </c>
      <c r="H3966" s="15">
        <v>1.6369880408851278</v>
      </c>
      <c r="I3966" s="15">
        <v>1.2330199443042722</v>
      </c>
      <c r="J3966" s="15">
        <v>1.2330199443042722</v>
      </c>
      <c r="K3966" s="15">
        <v>1.3000766552023515</v>
      </c>
      <c r="L3966" s="15">
        <v>1.3000766552023515</v>
      </c>
      <c r="M3966" s="15">
        <v>1.2330199443042722</v>
      </c>
      <c r="N3966" s="15">
        <v>1.2330199443042722</v>
      </c>
      <c r="O3966" s="15">
        <v>1.1713293176905979</v>
      </c>
      <c r="P3966" s="15">
        <v>1.1713293176905979</v>
      </c>
      <c r="Q3966" s="8"/>
      <c r="R3966" s="9" t="s">
        <v>8246</v>
      </c>
    </row>
    <row r="3967" spans="1:18" x14ac:dyDescent="0.25">
      <c r="A3967" s="6" t="str">
        <f>HYPERLINK("proteomic_fractions_linear_files/Yang_linear_img/407262470.jpg", "407262470")</f>
        <v>407262470</v>
      </c>
      <c r="B3967" s="7"/>
      <c r="C3967" s="6" t="str">
        <f>HYPERLINK("http://www.ncbi.nlm.nih.gov/protein/407262470","LOC101055936")</f>
        <v>LOC101055936</v>
      </c>
      <c r="D3967" s="8"/>
      <c r="E3967" s="8">
        <v>30458</v>
      </c>
      <c r="F3967" s="8"/>
      <c r="G3967" s="15">
        <v>1.2447108807708198</v>
      </c>
      <c r="H3967" s="15">
        <v>1.2447108807708198</v>
      </c>
      <c r="I3967" s="15" t="s">
        <v>10</v>
      </c>
      <c r="J3967" s="15" t="s">
        <v>10</v>
      </c>
      <c r="K3967" s="15" t="s">
        <v>10</v>
      </c>
      <c r="L3967" s="15" t="s">
        <v>10</v>
      </c>
      <c r="M3967" s="15" t="s">
        <v>10</v>
      </c>
      <c r="N3967" s="15" t="s">
        <v>10</v>
      </c>
      <c r="O3967" s="15" t="s">
        <v>10</v>
      </c>
      <c r="P3967" s="15" t="s">
        <v>10</v>
      </c>
      <c r="Q3967" s="8"/>
      <c r="R3967" s="9" t="s">
        <v>8097</v>
      </c>
    </row>
    <row r="3968" spans="1:18" x14ac:dyDescent="0.25">
      <c r="A3968" s="6" t="str">
        <f>HYPERLINK("proteomic_fractions_linear_files/Yang_linear_img/407264353.jpg", "407264353")</f>
        <v>407264353</v>
      </c>
      <c r="B3968" s="7"/>
      <c r="C3968" s="6" t="str">
        <f>HYPERLINK("http://www.ncbi.nlm.nih.gov/protein/407264353","LOC101055936")</f>
        <v>LOC101055936</v>
      </c>
      <c r="D3968" s="8"/>
      <c r="E3968" s="8">
        <v>24042</v>
      </c>
      <c r="F3968" s="8"/>
      <c r="G3968" s="15">
        <v>1.5558886009635247</v>
      </c>
      <c r="H3968" s="15">
        <v>1.5558886009635247</v>
      </c>
      <c r="I3968" s="15" t="s">
        <v>10</v>
      </c>
      <c r="J3968" s="15" t="s">
        <v>10</v>
      </c>
      <c r="K3968" s="15" t="s">
        <v>10</v>
      </c>
      <c r="L3968" s="15" t="s">
        <v>10</v>
      </c>
      <c r="M3968" s="15" t="s">
        <v>10</v>
      </c>
      <c r="N3968" s="15" t="s">
        <v>10</v>
      </c>
      <c r="O3968" s="15" t="s">
        <v>10</v>
      </c>
      <c r="P3968" s="15" t="s">
        <v>10</v>
      </c>
      <c r="Q3968" s="8"/>
      <c r="R3968" s="9" t="s">
        <v>8097</v>
      </c>
    </row>
    <row r="3969" spans="1:18" x14ac:dyDescent="0.25">
      <c r="A3969" s="6" t="str">
        <f>HYPERLINK("proteomic_fractions_linear_files/Yang_linear_img/407261474.jpg", "407261474")</f>
        <v>407261474</v>
      </c>
      <c r="B3969" s="7"/>
      <c r="C3969" s="6" t="str">
        <f>HYPERLINK("http://www.ncbi.nlm.nih.gov/protein/407261474","LOC101055953")</f>
        <v>LOC101055953</v>
      </c>
      <c r="D3969" s="8"/>
      <c r="E3969" s="8">
        <v>17233</v>
      </c>
      <c r="F3969" s="8"/>
      <c r="G3969" s="15" t="s">
        <v>10</v>
      </c>
      <c r="H3969" s="15" t="s">
        <v>10</v>
      </c>
      <c r="I3969" s="15">
        <v>0.81681473529039117</v>
      </c>
      <c r="J3969" s="15">
        <v>0.81681473529039117</v>
      </c>
      <c r="K3969" s="15" t="s">
        <v>10</v>
      </c>
      <c r="L3969" s="15" t="s">
        <v>10</v>
      </c>
      <c r="M3969" s="15" t="s">
        <v>10</v>
      </c>
      <c r="N3969" s="15" t="s">
        <v>10</v>
      </c>
      <c r="O3969" s="15" t="s">
        <v>10</v>
      </c>
      <c r="P3969" s="15" t="s">
        <v>10</v>
      </c>
      <c r="Q3969" s="8"/>
      <c r="R3969" s="9" t="s">
        <v>8247</v>
      </c>
    </row>
    <row r="3970" spans="1:18" x14ac:dyDescent="0.25">
      <c r="A3970" s="6" t="str">
        <f>HYPERLINK("proteomic_fractions_linear_files/Yang_linear_img/407264058.jpg", "407264058")</f>
        <v>407264058</v>
      </c>
      <c r="B3970" s="7"/>
      <c r="C3970" s="6" t="str">
        <f>HYPERLINK("http://www.ncbi.nlm.nih.gov/protein/407264058","LOC101055956")</f>
        <v>LOC101055956</v>
      </c>
      <c r="D3970" s="8"/>
      <c r="E3970" s="8">
        <v>23415</v>
      </c>
      <c r="F3970" s="8"/>
      <c r="G3970" s="15" t="s">
        <v>10</v>
      </c>
      <c r="H3970" s="15" t="s">
        <v>10</v>
      </c>
      <c r="I3970" s="15">
        <v>2.0995641558441416</v>
      </c>
      <c r="J3970" s="15">
        <v>2.0995641558441416</v>
      </c>
      <c r="K3970" s="15" t="s">
        <v>10</v>
      </c>
      <c r="L3970" s="15" t="s">
        <v>10</v>
      </c>
      <c r="M3970" s="15">
        <v>2.0995641558441416</v>
      </c>
      <c r="N3970" s="15">
        <v>2.0995641558441416</v>
      </c>
      <c r="O3970" s="15" t="s">
        <v>10</v>
      </c>
      <c r="P3970" s="15" t="s">
        <v>10</v>
      </c>
      <c r="Q3970" s="8"/>
      <c r="R3970" s="9" t="s">
        <v>8248</v>
      </c>
    </row>
    <row r="3971" spans="1:18" x14ac:dyDescent="0.25">
      <c r="A3971" s="6" t="str">
        <f>HYPERLINK("proteomic_fractions_linear_files/Yang_linear_img/407262130.jpg", "407262130")</f>
        <v>407262130</v>
      </c>
      <c r="B3971" s="7"/>
      <c r="C3971" s="6" t="str">
        <f>HYPERLINK("http://www.ncbi.nlm.nih.gov/protein/407262130","LOC101056029")</f>
        <v>LOC101056029</v>
      </c>
      <c r="D3971" s="8"/>
      <c r="E3971" s="8">
        <v>21006</v>
      </c>
      <c r="F3971" s="8"/>
      <c r="G3971" s="15">
        <v>1.5278129931301709</v>
      </c>
      <c r="H3971" s="15">
        <v>1.5278129931301709</v>
      </c>
      <c r="I3971" s="15">
        <v>1.0378924890799406</v>
      </c>
      <c r="J3971" s="15">
        <v>1.0378924890799406</v>
      </c>
      <c r="K3971" s="15">
        <v>1.0378924890799406</v>
      </c>
      <c r="L3971" s="15">
        <v>1.0378924890799406</v>
      </c>
      <c r="M3971" s="15">
        <v>1.0378924890799406</v>
      </c>
      <c r="N3971" s="15">
        <v>1.0378924890799406</v>
      </c>
      <c r="O3971" s="15" t="s">
        <v>10</v>
      </c>
      <c r="P3971" s="15" t="s">
        <v>10</v>
      </c>
      <c r="Q3971" s="8"/>
      <c r="R3971" s="9" t="s">
        <v>8128</v>
      </c>
    </row>
    <row r="3972" spans="1:18" x14ac:dyDescent="0.25">
      <c r="A3972" s="6" t="str">
        <f>HYPERLINK("proteomic_fractions_linear_files/Yang_linear_img/407264033.jpg", "407264033")</f>
        <v>407264033</v>
      </c>
      <c r="B3972" s="7"/>
      <c r="C3972" s="6" t="str">
        <f>HYPERLINK("http://www.ncbi.nlm.nih.gov/protein/407264033","LOC101056029")</f>
        <v>LOC101056029</v>
      </c>
      <c r="D3972" s="8"/>
      <c r="E3972" s="8">
        <v>21106</v>
      </c>
      <c r="F3972" s="8"/>
      <c r="G3972" s="15">
        <v>1.5278129931301709</v>
      </c>
      <c r="H3972" s="15">
        <v>1.5278129931301709</v>
      </c>
      <c r="I3972" s="15">
        <v>1.0378924890799406</v>
      </c>
      <c r="J3972" s="15">
        <v>1.0378924890799406</v>
      </c>
      <c r="K3972" s="15">
        <v>1.0378924890799406</v>
      </c>
      <c r="L3972" s="15">
        <v>1.0378924890799406</v>
      </c>
      <c r="M3972" s="15">
        <v>1.0378924890799406</v>
      </c>
      <c r="N3972" s="15">
        <v>1.0378924890799406</v>
      </c>
      <c r="O3972" s="15" t="s">
        <v>10</v>
      </c>
      <c r="P3972" s="15" t="s">
        <v>10</v>
      </c>
      <c r="Q3972" s="8"/>
      <c r="R3972" s="9" t="s">
        <v>8128</v>
      </c>
    </row>
    <row r="3973" spans="1:18" x14ac:dyDescent="0.25">
      <c r="A3973" s="6" t="str">
        <f>HYPERLINK("proteomic_fractions_linear_files/Yang_linear_img/407261723.jpg", "407261723")</f>
        <v>407261723</v>
      </c>
      <c r="B3973" s="7"/>
      <c r="C3973" s="6" t="str">
        <f>HYPERLINK("http://www.ncbi.nlm.nih.gov/protein/407261723","LOC101056044")</f>
        <v>LOC101056044</v>
      </c>
      <c r="D3973" s="8"/>
      <c r="E3973" s="8">
        <v>41615</v>
      </c>
      <c r="F3973" s="8"/>
      <c r="G3973" s="15">
        <v>1.5584110316796269</v>
      </c>
      <c r="H3973" s="15">
        <v>1.5584110316796269</v>
      </c>
      <c r="I3973" s="15">
        <v>1.7484800057543393</v>
      </c>
      <c r="J3973" s="15">
        <v>1.7484800057543393</v>
      </c>
      <c r="K3973" s="15">
        <v>1.7484800057543393</v>
      </c>
      <c r="L3973" s="15">
        <v>1.7484800057543393</v>
      </c>
      <c r="M3973" s="15">
        <v>1.7484800057543393</v>
      </c>
      <c r="N3973" s="15">
        <v>1.7484800057543393</v>
      </c>
      <c r="O3973" s="15" t="s">
        <v>10</v>
      </c>
      <c r="P3973" s="15" t="s">
        <v>10</v>
      </c>
      <c r="Q3973" s="8"/>
      <c r="R3973" s="9" t="s">
        <v>8249</v>
      </c>
    </row>
    <row r="3974" spans="1:18" x14ac:dyDescent="0.25">
      <c r="A3974" s="6" t="str">
        <f>HYPERLINK("proteomic_fractions_linear_files/Yang_linear_img/407262307.jpg", "407262307")</f>
        <v>407262307</v>
      </c>
      <c r="B3974" s="7"/>
      <c r="C3974" s="6" t="str">
        <f>HYPERLINK("http://www.ncbi.nlm.nih.gov/protein/407262307","LOC101056061")</f>
        <v>LOC101056061</v>
      </c>
      <c r="D3974" s="8"/>
      <c r="E3974" s="8">
        <v>12056</v>
      </c>
      <c r="F3974" s="8"/>
      <c r="G3974" s="15">
        <v>1.6250958190029394</v>
      </c>
      <c r="H3974" s="15">
        <v>1.6250958190029394</v>
      </c>
      <c r="I3974" s="15">
        <v>1.0622682784948021</v>
      </c>
      <c r="J3974" s="15">
        <v>1.0622682784948021</v>
      </c>
      <c r="K3974" s="15">
        <v>1.1080886685834612</v>
      </c>
      <c r="L3974" s="15">
        <v>1.1571542083280542</v>
      </c>
      <c r="M3974" s="15" t="s">
        <v>10</v>
      </c>
      <c r="N3974" s="15" t="s">
        <v>10</v>
      </c>
      <c r="O3974" s="15" t="s">
        <v>10</v>
      </c>
      <c r="P3974" s="15" t="s">
        <v>10</v>
      </c>
      <c r="Q3974" s="8"/>
      <c r="R3974" s="9" t="s">
        <v>8250</v>
      </c>
    </row>
    <row r="3975" spans="1:18" x14ac:dyDescent="0.25">
      <c r="A3975" s="6" t="str">
        <f>HYPERLINK("proteomic_fractions_linear_files/Yang_linear_img/407261583.jpg", "407261583")</f>
        <v>407261583</v>
      </c>
      <c r="B3975" s="7"/>
      <c r="C3975" s="6" t="str">
        <f>HYPERLINK("http://www.ncbi.nlm.nih.gov/protein/407261583","LOC101056128")</f>
        <v>LOC101056128</v>
      </c>
      <c r="D3975" s="8"/>
      <c r="E3975" s="8">
        <v>20874</v>
      </c>
      <c r="F3975" s="8"/>
      <c r="G3975" s="15" t="s">
        <v>10</v>
      </c>
      <c r="H3975" s="15" t="s">
        <v>10</v>
      </c>
      <c r="I3975" s="15">
        <v>1.4231146138911015</v>
      </c>
      <c r="J3975" s="15">
        <v>1.4231146138911015</v>
      </c>
      <c r="K3975" s="15">
        <v>1.5278129931301709</v>
      </c>
      <c r="L3975" s="15">
        <v>1.5278129931301709</v>
      </c>
      <c r="M3975" s="15" t="s">
        <v>10</v>
      </c>
      <c r="N3975" s="15" t="s">
        <v>10</v>
      </c>
      <c r="O3975" s="15" t="s">
        <v>10</v>
      </c>
      <c r="P3975" s="15" t="s">
        <v>10</v>
      </c>
      <c r="Q3975" s="8"/>
      <c r="R3975" s="9" t="s">
        <v>8251</v>
      </c>
    </row>
    <row r="3976" spans="1:18" x14ac:dyDescent="0.25">
      <c r="A3976" s="6" t="str">
        <f>HYPERLINK("proteomic_fractions_linear_files/Yang_linear_img/407264228.jpg", "407264228")</f>
        <v>407264228</v>
      </c>
      <c r="B3976" s="7"/>
      <c r="C3976" s="6" t="str">
        <f>HYPERLINK("http://www.ncbi.nlm.nih.gov/protein/407264228","LOC101056140")</f>
        <v>LOC101056140</v>
      </c>
      <c r="D3976" s="8"/>
      <c r="E3976" s="8">
        <v>53324</v>
      </c>
      <c r="F3976" s="8"/>
      <c r="G3976" s="15">
        <v>0.56387560173043649</v>
      </c>
      <c r="H3976" s="15">
        <v>0.56387560173043649</v>
      </c>
      <c r="I3976" s="15">
        <v>0.3886309657859674</v>
      </c>
      <c r="J3976" s="15">
        <v>0.3886309657859674</v>
      </c>
      <c r="K3976" s="15">
        <v>0.3886309657859674</v>
      </c>
      <c r="L3976" s="15">
        <v>0.3886309657859674</v>
      </c>
      <c r="M3976" s="15">
        <v>0.3886309657859674</v>
      </c>
      <c r="N3976" s="15">
        <v>0.3886309657859674</v>
      </c>
      <c r="O3976" s="15" t="s">
        <v>10</v>
      </c>
      <c r="P3976" s="15" t="s">
        <v>10</v>
      </c>
      <c r="Q3976" s="8"/>
      <c r="R3976" s="9" t="s">
        <v>8252</v>
      </c>
    </row>
    <row r="3977" spans="1:18" x14ac:dyDescent="0.25">
      <c r="A3977" s="6" t="str">
        <f>HYPERLINK("proteomic_fractions_linear_files/Yang_linear_img/407261282.jpg", "407261282")</f>
        <v>407261282</v>
      </c>
      <c r="B3977" s="7"/>
      <c r="C3977" s="6" t="str">
        <f>HYPERLINK("http://www.ncbi.nlm.nih.gov/protein/407261282","LOC101056154")</f>
        <v>LOC101056154</v>
      </c>
      <c r="D3977" s="8"/>
      <c r="E3977" s="8">
        <v>25657</v>
      </c>
      <c r="F3977" s="8"/>
      <c r="G3977" s="15">
        <v>0.67576691405226796</v>
      </c>
      <c r="H3977" s="15">
        <v>0.67576691405226796</v>
      </c>
      <c r="I3977" s="15">
        <v>0.61259391473776059</v>
      </c>
      <c r="J3977" s="15">
        <v>0.61259391473776059</v>
      </c>
      <c r="K3977" s="15">
        <v>0.64294132771565471</v>
      </c>
      <c r="L3977" s="15">
        <v>0.64294132771565471</v>
      </c>
      <c r="M3977" s="15">
        <v>0.67576691405226796</v>
      </c>
      <c r="N3977" s="15">
        <v>0.64294132771565471</v>
      </c>
      <c r="O3977" s="15">
        <v>0.61259391473776059</v>
      </c>
      <c r="P3977" s="15">
        <v>0.61259391473776059</v>
      </c>
      <c r="Q3977" s="8"/>
      <c r="R3977" s="9" t="s">
        <v>8074</v>
      </c>
    </row>
    <row r="3978" spans="1:18" x14ac:dyDescent="0.25">
      <c r="A3978" s="6" t="str">
        <f>HYPERLINK("proteomic_fractions_linear_files/Yang_linear_img/407263193.jpg", "407263193")</f>
        <v>407263193</v>
      </c>
      <c r="B3978" s="7"/>
      <c r="C3978" s="6" t="str">
        <f>HYPERLINK("http://www.ncbi.nlm.nih.gov/protein/407263193","LOC101056154")</f>
        <v>LOC101056154</v>
      </c>
      <c r="D3978" s="8"/>
      <c r="E3978" s="8">
        <v>12573</v>
      </c>
      <c r="F3978" s="8"/>
      <c r="G3978" s="15">
        <v>1.3515338281045359</v>
      </c>
      <c r="H3978" s="15">
        <v>1.3515338281045359</v>
      </c>
      <c r="I3978" s="15">
        <v>1.2251878294755212</v>
      </c>
      <c r="J3978" s="15">
        <v>1.2251878294755212</v>
      </c>
      <c r="K3978" s="15">
        <v>1.2858826554313094</v>
      </c>
      <c r="L3978" s="15">
        <v>1.2858826554313094</v>
      </c>
      <c r="M3978" s="15">
        <v>1.3515338281045359</v>
      </c>
      <c r="N3978" s="15">
        <v>1.2858826554313094</v>
      </c>
      <c r="O3978" s="15">
        <v>1.2251878294755212</v>
      </c>
      <c r="P3978" s="15">
        <v>1.2251878294755212</v>
      </c>
      <c r="Q3978" s="8"/>
      <c r="R3978" s="9" t="s">
        <v>8074</v>
      </c>
    </row>
    <row r="3979" spans="1:18" x14ac:dyDescent="0.25">
      <c r="A3979" s="6" t="str">
        <f>HYPERLINK("proteomic_fractions_linear_files/Yang_linear_img/407263038.jpg", "407263038")</f>
        <v>407263038</v>
      </c>
      <c r="B3979" s="7"/>
      <c r="C3979" s="6" t="str">
        <f>HYPERLINK("http://www.ncbi.nlm.nih.gov/protein/407263038","LOC101056241")</f>
        <v>LOC101056241</v>
      </c>
      <c r="D3979" s="8"/>
      <c r="E3979" s="8">
        <v>30319</v>
      </c>
      <c r="F3979" s="8"/>
      <c r="G3979" s="15" t="s">
        <v>10</v>
      </c>
      <c r="H3979" s="15" t="s">
        <v>10</v>
      </c>
      <c r="I3979" s="15">
        <v>5.1150957045413943</v>
      </c>
      <c r="J3979" s="15">
        <v>5.1150957045413943</v>
      </c>
      <c r="K3979" s="15">
        <v>6.2255277213313454</v>
      </c>
      <c r="L3979" s="15">
        <v>6.2255277213313454</v>
      </c>
      <c r="M3979" s="15" t="s">
        <v>10</v>
      </c>
      <c r="N3979" s="15" t="s">
        <v>10</v>
      </c>
      <c r="O3979" s="15" t="s">
        <v>10</v>
      </c>
      <c r="P3979" s="15" t="s">
        <v>10</v>
      </c>
      <c r="Q3979" s="8"/>
      <c r="R3979" s="9" t="s">
        <v>8253</v>
      </c>
    </row>
    <row r="3980" spans="1:18" x14ac:dyDescent="0.25">
      <c r="A3980" s="6" t="str">
        <f>HYPERLINK("proteomic_fractions_linear_files/Yang_linear_img/407261825.jpg", "407261825")</f>
        <v>407261825</v>
      </c>
      <c r="B3980" s="7"/>
      <c r="C3980" s="6" t="str">
        <f>HYPERLINK("http://www.ncbi.nlm.nih.gov/protein/407261825","LOC101056244")</f>
        <v>LOC101056244</v>
      </c>
      <c r="D3980" s="8"/>
      <c r="E3980" s="8">
        <v>13934</v>
      </c>
      <c r="F3980" s="8"/>
      <c r="G3980" s="15">
        <v>1.4712457990468766</v>
      </c>
      <c r="H3980" s="15">
        <v>1.4712457990468766</v>
      </c>
      <c r="I3980" s="15" t="s">
        <v>10</v>
      </c>
      <c r="J3980" s="15" t="s">
        <v>10</v>
      </c>
      <c r="K3980" s="15">
        <v>1.0369624087050249</v>
      </c>
      <c r="L3980" s="15">
        <v>1.0369624087050249</v>
      </c>
      <c r="M3980" s="15" t="s">
        <v>10</v>
      </c>
      <c r="N3980" s="15" t="s">
        <v>10</v>
      </c>
      <c r="O3980" s="15">
        <v>0.94979028735725246</v>
      </c>
      <c r="P3980" s="15">
        <v>0.94979028735725246</v>
      </c>
      <c r="Q3980" s="8"/>
      <c r="R3980" s="9" t="s">
        <v>8254</v>
      </c>
    </row>
    <row r="3981" spans="1:18" x14ac:dyDescent="0.25">
      <c r="A3981" s="6" t="str">
        <f>HYPERLINK("proteomic_fractions_linear_files/Yang_linear_img/407262753.jpg", "407262753")</f>
        <v>407262753</v>
      </c>
      <c r="B3981" s="7"/>
      <c r="C3981" s="6" t="str">
        <f>HYPERLINK("http://www.ncbi.nlm.nih.gov/protein/407262753","LOC101056348")</f>
        <v>LOC101056348</v>
      </c>
      <c r="D3981" s="8"/>
      <c r="E3981" s="8">
        <v>6978</v>
      </c>
      <c r="F3981" s="8"/>
      <c r="G3981" s="15" t="s">
        <v>10</v>
      </c>
      <c r="H3981" s="15" t="s">
        <v>10</v>
      </c>
      <c r="I3981" s="15">
        <v>3.5078315161824167</v>
      </c>
      <c r="J3981" s="15">
        <v>3.5078315161824167</v>
      </c>
      <c r="K3981" s="15">
        <v>3.7357511593464285</v>
      </c>
      <c r="L3981" s="15">
        <v>3.7357511593464285</v>
      </c>
      <c r="M3981" s="15" t="s">
        <v>10</v>
      </c>
      <c r="N3981" s="15" t="s">
        <v>10</v>
      </c>
      <c r="O3981" s="15" t="s">
        <v>10</v>
      </c>
      <c r="P3981" s="15" t="s">
        <v>10</v>
      </c>
      <c r="Q3981" s="8"/>
      <c r="R3981" s="9" t="s">
        <v>8255</v>
      </c>
    </row>
    <row r="3982" spans="1:18" x14ac:dyDescent="0.25">
      <c r="A3982" s="6" t="str">
        <f>HYPERLINK("proteomic_fractions_linear_files/Yang_linear_img/407261656.jpg", "407261656")</f>
        <v>407261656</v>
      </c>
      <c r="B3982" s="7"/>
      <c r="C3982" s="6" t="str">
        <f>HYPERLINK("http://www.ncbi.nlm.nih.gov/protein/407261656","LOC101056352")</f>
        <v>LOC101056352</v>
      </c>
      <c r="D3982" s="8"/>
      <c r="E3982" s="8">
        <v>7265</v>
      </c>
      <c r="F3982" s="8"/>
      <c r="G3982" s="15" t="s">
        <v>10</v>
      </c>
      <c r="H3982" s="15" t="s">
        <v>10</v>
      </c>
      <c r="I3982" s="15" t="s">
        <v>10</v>
      </c>
      <c r="J3982" s="15" t="s">
        <v>10</v>
      </c>
      <c r="K3982" s="15" t="s">
        <v>10</v>
      </c>
      <c r="L3982" s="15" t="s">
        <v>10</v>
      </c>
      <c r="M3982" s="15" t="s">
        <v>10</v>
      </c>
      <c r="N3982" s="15" t="s">
        <v>10</v>
      </c>
      <c r="O3982" s="15">
        <v>6.303655606709353</v>
      </c>
      <c r="P3982" s="15">
        <v>6.303655606709353</v>
      </c>
      <c r="Q3982" s="8"/>
      <c r="R3982" s="9" t="s">
        <v>8256</v>
      </c>
    </row>
    <row r="3983" spans="1:18" x14ac:dyDescent="0.25">
      <c r="A3983" s="6" t="str">
        <f>HYPERLINK("proteomic_fractions_linear_files/Yang_linear_img/407262207.jpg", "407262207")</f>
        <v>407262207</v>
      </c>
      <c r="B3983" s="7"/>
      <c r="C3983" s="6" t="str">
        <f>HYPERLINK("http://www.ncbi.nlm.nih.gov/protein/407262207","LOC101056365")</f>
        <v>LOC101056365</v>
      </c>
      <c r="D3983" s="8"/>
      <c r="E3983" s="8">
        <v>15204</v>
      </c>
      <c r="F3983" s="8"/>
      <c r="G3983" s="15">
        <v>1.6369880408851278</v>
      </c>
      <c r="H3983" s="15">
        <v>1.6369880408851278</v>
      </c>
      <c r="I3983" s="15">
        <v>1.1144316347071348</v>
      </c>
      <c r="J3983" s="15">
        <v>1.1144316347071348</v>
      </c>
      <c r="K3983" s="15">
        <v>1.1713293176905979</v>
      </c>
      <c r="L3983" s="15">
        <v>1.1144316347071348</v>
      </c>
      <c r="M3983" s="15">
        <v>1.1713293176905979</v>
      </c>
      <c r="N3983" s="15">
        <v>1.1713293176905979</v>
      </c>
      <c r="O3983" s="15" t="s">
        <v>10</v>
      </c>
      <c r="P3983" s="15" t="s">
        <v>10</v>
      </c>
      <c r="Q3983" s="8"/>
      <c r="R3983" s="9" t="s">
        <v>8257</v>
      </c>
    </row>
    <row r="3984" spans="1:18" x14ac:dyDescent="0.25">
      <c r="A3984" s="6" t="str">
        <f>HYPERLINK("proteomic_fractions_linear_files/Yang_linear_img/407262376.jpg", "407262376")</f>
        <v>407262376</v>
      </c>
      <c r="B3984" s="7"/>
      <c r="C3984" s="6" t="str">
        <f>HYPERLINK("http://www.ncbi.nlm.nih.gov/protein/407262376","LOC101056370")</f>
        <v>LOC101056370</v>
      </c>
      <c r="D3984" s="8"/>
      <c r="E3984" s="8">
        <v>18682</v>
      </c>
      <c r="F3984" s="8"/>
      <c r="G3984" s="15">
        <v>3.8650610653516972</v>
      </c>
      <c r="H3984" s="15">
        <v>3.8650610653516972</v>
      </c>
      <c r="I3984" s="15">
        <v>2.7958194542105832</v>
      </c>
      <c r="J3984" s="15">
        <v>2.7958194542105832</v>
      </c>
      <c r="K3984" s="15">
        <v>3.0933267150312553</v>
      </c>
      <c r="L3984" s="15">
        <v>3.4449085963444386</v>
      </c>
      <c r="M3984" s="15">
        <v>3.0933267150312553</v>
      </c>
      <c r="N3984" s="15">
        <v>3.0933267150312553</v>
      </c>
      <c r="O3984" s="15">
        <v>2.7958194542105832</v>
      </c>
      <c r="P3984" s="15">
        <v>2.7958194542105832</v>
      </c>
      <c r="Q3984" s="8"/>
      <c r="R3984" s="9" t="s">
        <v>8258</v>
      </c>
    </row>
    <row r="3985" spans="1:18" x14ac:dyDescent="0.25">
      <c r="A3985" s="6" t="str">
        <f>HYPERLINK("proteomic_fractions_linear_files/Yang_linear_img/407261123.jpg", "407261123")</f>
        <v>407261123</v>
      </c>
      <c r="B3985" s="7"/>
      <c r="C3985" s="6" t="str">
        <f>HYPERLINK("http://www.ncbi.nlm.nih.gov/protein/407261123","LOC101056383")</f>
        <v>LOC101056383</v>
      </c>
      <c r="D3985" s="8"/>
      <c r="E3985" s="8">
        <v>24574</v>
      </c>
      <c r="F3985" s="8"/>
      <c r="G3985" s="15" t="s">
        <v>10</v>
      </c>
      <c r="H3985" s="15" t="s">
        <v>10</v>
      </c>
      <c r="I3985" s="15">
        <v>6.1381148454496737</v>
      </c>
      <c r="J3985" s="15">
        <v>6.1381148454496737</v>
      </c>
      <c r="K3985" s="15">
        <v>7.4706332655976144</v>
      </c>
      <c r="L3985" s="15">
        <v>7.4706332655976144</v>
      </c>
      <c r="M3985" s="15" t="s">
        <v>10</v>
      </c>
      <c r="N3985" s="15" t="s">
        <v>10</v>
      </c>
      <c r="O3985" s="15" t="s">
        <v>10</v>
      </c>
      <c r="P3985" s="15" t="s">
        <v>10</v>
      </c>
      <c r="Q3985" s="8"/>
      <c r="R3985" s="9" t="s">
        <v>8253</v>
      </c>
    </row>
    <row r="3986" spans="1:18" x14ac:dyDescent="0.25">
      <c r="A3986" s="6" t="str">
        <f>HYPERLINK("proteomic_fractions_linear_files/Yang_linear_img/407261888.jpg", "407261888")</f>
        <v>407261888</v>
      </c>
      <c r="B3986" s="7"/>
      <c r="C3986" s="6" t="str">
        <f>HYPERLINK("http://www.ncbi.nlm.nih.gov/protein/407261888","LOC101056386")</f>
        <v>LOC101056386</v>
      </c>
      <c r="D3986" s="8"/>
      <c r="E3986" s="8">
        <v>9497</v>
      </c>
      <c r="F3986" s="8"/>
      <c r="G3986" s="15">
        <v>3.3206007657459033</v>
      </c>
      <c r="H3986" s="15">
        <v>3.3206007657459033</v>
      </c>
      <c r="I3986" s="15">
        <v>2.421749141186528</v>
      </c>
      <c r="J3986" s="15">
        <v>2.421749141186528</v>
      </c>
      <c r="K3986" s="15">
        <v>45.44928419327109</v>
      </c>
      <c r="L3986" s="15">
        <v>45.44928419327109</v>
      </c>
      <c r="M3986" s="15">
        <v>1.9522155294843297</v>
      </c>
      <c r="N3986" s="15">
        <v>1.9522155294843297</v>
      </c>
      <c r="O3986" s="15">
        <v>33.531480515166528</v>
      </c>
      <c r="P3986" s="15">
        <v>33.531480515166528</v>
      </c>
      <c r="Q3986" s="8"/>
      <c r="R3986" s="9" t="s">
        <v>8102</v>
      </c>
    </row>
    <row r="3987" spans="1:18" x14ac:dyDescent="0.25">
      <c r="A3987" s="6" t="str">
        <f>HYPERLINK("proteomic_fractions_linear_files/Yang_linear_img/407260886.jpg", "407260886")</f>
        <v>407260886</v>
      </c>
      <c r="B3987" s="7"/>
      <c r="C3987" s="6" t="str">
        <f>HYPERLINK("http://www.ncbi.nlm.nih.gov/protein/407260886","LOC101056391")</f>
        <v>LOC101056391</v>
      </c>
      <c r="D3987" s="8"/>
      <c r="E3987" s="8">
        <v>23592</v>
      </c>
      <c r="F3987" s="8"/>
      <c r="G3987" s="15" t="s">
        <v>10</v>
      </c>
      <c r="H3987" s="15" t="s">
        <v>10</v>
      </c>
      <c r="I3987" s="15" t="s">
        <v>10</v>
      </c>
      <c r="J3987" s="15" t="s">
        <v>10</v>
      </c>
      <c r="K3987" s="15" t="s">
        <v>10</v>
      </c>
      <c r="L3987" s="15" t="s">
        <v>10</v>
      </c>
      <c r="M3987" s="15">
        <v>1.4397240221031327</v>
      </c>
      <c r="N3987" s="15">
        <v>1.4397240221031327</v>
      </c>
      <c r="O3987" s="15">
        <v>1.2452252871547138</v>
      </c>
      <c r="P3987" s="15">
        <v>1.2452252871547138</v>
      </c>
      <c r="Q3987" s="8"/>
      <c r="R3987" s="9" t="s">
        <v>8259</v>
      </c>
    </row>
    <row r="3988" spans="1:18" x14ac:dyDescent="0.25">
      <c r="A3988" s="6" t="str">
        <f>HYPERLINK("proteomic_fractions_linear_files/Yang_linear_img/407261870;31543471.jpg", "407261870;31543471")</f>
        <v>407261870;31543471</v>
      </c>
      <c r="B3988" s="8"/>
      <c r="C3988" s="6" t="str">
        <f>HYPERLINK("http://www.ncbi.nlm.nih.gov/protein/407261870;31543471","LOC101056392")</f>
        <v>LOC101056392</v>
      </c>
      <c r="D3988" s="8"/>
      <c r="E3988" s="8">
        <v>44479</v>
      </c>
      <c r="F3988" s="8"/>
      <c r="G3988" s="15" t="s">
        <v>10</v>
      </c>
      <c r="H3988" s="15" t="s">
        <v>10</v>
      </c>
      <c r="I3988" s="15" t="s">
        <v>10</v>
      </c>
      <c r="J3988" s="15" t="s">
        <v>10</v>
      </c>
      <c r="K3988" s="15">
        <v>1.2072856734091155</v>
      </c>
      <c r="L3988" s="15">
        <v>1.2072856734091155</v>
      </c>
      <c r="M3988" s="15" t="s">
        <v>10</v>
      </c>
      <c r="N3988" s="15" t="s">
        <v>10</v>
      </c>
      <c r="O3988" s="15" t="s">
        <v>10</v>
      </c>
      <c r="P3988" s="15" t="s">
        <v>10</v>
      </c>
      <c r="Q3988" s="8"/>
      <c r="R3988" s="9" t="s">
        <v>8260</v>
      </c>
    </row>
    <row r="3989" spans="1:18" x14ac:dyDescent="0.25">
      <c r="A3989" s="6" t="str">
        <f>HYPERLINK("proteomic_fractions_linear_files/Yang_linear_img/407262029.jpg", "407262029")</f>
        <v>407262029</v>
      </c>
      <c r="B3989" s="7"/>
      <c r="C3989" s="6" t="str">
        <f>HYPERLINK("http://www.ncbi.nlm.nih.gov/protein/407262029","LOC101056437")</f>
        <v>LOC101056437</v>
      </c>
      <c r="D3989" s="8"/>
      <c r="E3989" s="8">
        <v>20175</v>
      </c>
      <c r="F3989" s="8"/>
      <c r="G3989" s="15" t="s">
        <v>10</v>
      </c>
      <c r="H3989" s="15" t="s">
        <v>10</v>
      </c>
      <c r="I3989" s="15" t="s">
        <v>10</v>
      </c>
      <c r="J3989" s="15" t="s">
        <v>10</v>
      </c>
      <c r="K3989" s="15" t="s">
        <v>10</v>
      </c>
      <c r="L3989" s="15" t="s">
        <v>10</v>
      </c>
      <c r="M3989" s="15" t="s">
        <v>10</v>
      </c>
      <c r="N3989" s="15" t="s">
        <v>10</v>
      </c>
      <c r="O3989" s="15">
        <v>1.7276688265237592</v>
      </c>
      <c r="P3989" s="15">
        <v>1.7276688265237592</v>
      </c>
      <c r="Q3989" s="8"/>
      <c r="R3989" s="9" t="s">
        <v>8261</v>
      </c>
    </row>
    <row r="3990" spans="1:18" x14ac:dyDescent="0.25">
      <c r="A3990" s="6" t="str">
        <f>HYPERLINK("proteomic_fractions_linear_files/Yang_linear_img/407262619.jpg", "407262619")</f>
        <v>407262619</v>
      </c>
      <c r="B3990" s="7"/>
      <c r="C3990" s="6" t="str">
        <f>HYPERLINK("http://www.ncbi.nlm.nih.gov/protein/407262619","LOC101056446")</f>
        <v>LOC101056446</v>
      </c>
      <c r="D3990" s="8"/>
      <c r="E3990" s="8">
        <v>30376</v>
      </c>
      <c r="F3990" s="8"/>
      <c r="G3990" s="15">
        <v>1.959106919519795</v>
      </c>
      <c r="H3990" s="15">
        <v>1.959106919519795</v>
      </c>
      <c r="I3990" s="15" t="s">
        <v>10</v>
      </c>
      <c r="J3990" s="15" t="s">
        <v>10</v>
      </c>
      <c r="K3990" s="15">
        <v>1.6096658528138417</v>
      </c>
      <c r="L3990" s="15">
        <v>1.6096658528138417</v>
      </c>
      <c r="M3990" s="15" t="s">
        <v>10</v>
      </c>
      <c r="N3990" s="15" t="s">
        <v>10</v>
      </c>
      <c r="O3990" s="15" t="s">
        <v>10</v>
      </c>
      <c r="P3990" s="15" t="s">
        <v>10</v>
      </c>
      <c r="Q3990" s="8"/>
      <c r="R3990" s="9" t="s">
        <v>8262</v>
      </c>
    </row>
    <row r="3991" spans="1:18" x14ac:dyDescent="0.25">
      <c r="A3991" s="6" t="str">
        <f>HYPERLINK("proteomic_fractions_linear_files/Yang_linear_img/407262621.jpg", "407262621")</f>
        <v>407262621</v>
      </c>
      <c r="B3991" s="7"/>
      <c r="C3991" s="6" t="str">
        <f>HYPERLINK("http://www.ncbi.nlm.nih.gov/protein/407262621","LOC101056446")</f>
        <v>LOC101056446</v>
      </c>
      <c r="D3991" s="8"/>
      <c r="E3991" s="8">
        <v>30061</v>
      </c>
      <c r="F3991" s="8"/>
      <c r="G3991" s="15">
        <v>1.959106919519795</v>
      </c>
      <c r="H3991" s="15">
        <v>1.959106919519795</v>
      </c>
      <c r="I3991" s="15" t="s">
        <v>10</v>
      </c>
      <c r="J3991" s="15" t="s">
        <v>10</v>
      </c>
      <c r="K3991" s="15">
        <v>1.6096658528138417</v>
      </c>
      <c r="L3991" s="15">
        <v>1.6096658528138417</v>
      </c>
      <c r="M3991" s="15" t="s">
        <v>10</v>
      </c>
      <c r="N3991" s="15" t="s">
        <v>10</v>
      </c>
      <c r="O3991" s="15" t="s">
        <v>10</v>
      </c>
      <c r="P3991" s="15" t="s">
        <v>10</v>
      </c>
      <c r="Q3991" s="8"/>
      <c r="R3991" s="9" t="s">
        <v>8263</v>
      </c>
    </row>
    <row r="3992" spans="1:18" x14ac:dyDescent="0.25">
      <c r="A3992" s="6" t="str">
        <f>HYPERLINK("proteomic_fractions_linear_files/Yang_linear_img/407262603.jpg", "407262603")</f>
        <v>407262603</v>
      </c>
      <c r="B3992" s="7"/>
      <c r="C3992" s="6" t="str">
        <f>HYPERLINK("http://www.ncbi.nlm.nih.gov/protein/407262603","LOC101056446")</f>
        <v>LOC101056446</v>
      </c>
      <c r="D3992" s="8"/>
      <c r="E3992" s="8">
        <v>40665</v>
      </c>
      <c r="F3992" s="8"/>
      <c r="G3992" s="15">
        <v>1.4334928679413135</v>
      </c>
      <c r="H3992" s="15">
        <v>1.4334928679413135</v>
      </c>
      <c r="I3992" s="15">
        <v>1.0762338840723285</v>
      </c>
      <c r="J3992" s="15">
        <v>1.0762338840723285</v>
      </c>
      <c r="K3992" s="15">
        <v>1.1778042825467134</v>
      </c>
      <c r="L3992" s="15">
        <v>1.1778042825467134</v>
      </c>
      <c r="M3992" s="15" t="s">
        <v>10</v>
      </c>
      <c r="N3992" s="15" t="s">
        <v>10</v>
      </c>
      <c r="O3992" s="15" t="s">
        <v>10</v>
      </c>
      <c r="P3992" s="15" t="s">
        <v>10</v>
      </c>
      <c r="Q3992" s="8"/>
      <c r="R3992" s="9" t="s">
        <v>8264</v>
      </c>
    </row>
    <row r="3993" spans="1:18" x14ac:dyDescent="0.25">
      <c r="A3993" s="6" t="str">
        <f>HYPERLINK("proteomic_fractions_linear_files/Yang_linear_img/407262605.jpg", "407262605")</f>
        <v>407262605</v>
      </c>
      <c r="B3993" s="7"/>
      <c r="C3993" s="6" t="str">
        <f>HYPERLINK("http://www.ncbi.nlm.nih.gov/protein/407262605","LOC101056446")</f>
        <v>LOC101056446</v>
      </c>
      <c r="D3993" s="8"/>
      <c r="E3993" s="8">
        <v>40979</v>
      </c>
      <c r="F3993" s="8"/>
      <c r="G3993" s="15">
        <v>1.4334928679413135</v>
      </c>
      <c r="H3993" s="15">
        <v>1.4334928679413135</v>
      </c>
      <c r="I3993" s="15">
        <v>1.0762338840723285</v>
      </c>
      <c r="J3993" s="15">
        <v>1.0762338840723285</v>
      </c>
      <c r="K3993" s="15">
        <v>1.1778042825467134</v>
      </c>
      <c r="L3993" s="15">
        <v>1.1778042825467134</v>
      </c>
      <c r="M3993" s="15" t="s">
        <v>10</v>
      </c>
      <c r="N3993" s="15" t="s">
        <v>10</v>
      </c>
      <c r="O3993" s="15" t="s">
        <v>10</v>
      </c>
      <c r="P3993" s="15" t="s">
        <v>10</v>
      </c>
      <c r="Q3993" s="8"/>
      <c r="R3993" s="9" t="s">
        <v>8265</v>
      </c>
    </row>
    <row r="3994" spans="1:18" x14ac:dyDescent="0.25">
      <c r="A3994" s="6" t="str">
        <f>HYPERLINK("proteomic_fractions_linear_files/Yang_linear_img/407262607.jpg", "407262607")</f>
        <v>407262607</v>
      </c>
      <c r="B3994" s="7"/>
      <c r="C3994" s="6" t="str">
        <f>HYPERLINK("http://www.ncbi.nlm.nih.gov/protein/407262607","LOC101056446")</f>
        <v>LOC101056446</v>
      </c>
      <c r="D3994" s="8"/>
      <c r="E3994" s="8">
        <v>39643</v>
      </c>
      <c r="F3994" s="8"/>
      <c r="G3994" s="15">
        <v>1.4693301896398463</v>
      </c>
      <c r="H3994" s="15">
        <v>1.4693301896398463</v>
      </c>
      <c r="I3994" s="15">
        <v>1.1031397311741367</v>
      </c>
      <c r="J3994" s="15">
        <v>1.1031397311741367</v>
      </c>
      <c r="K3994" s="15">
        <v>1.2072493896103813</v>
      </c>
      <c r="L3994" s="15">
        <v>1.2072493896103813</v>
      </c>
      <c r="M3994" s="15" t="s">
        <v>10</v>
      </c>
      <c r="N3994" s="15" t="s">
        <v>10</v>
      </c>
      <c r="O3994" s="15" t="s">
        <v>10</v>
      </c>
      <c r="P3994" s="15" t="s">
        <v>10</v>
      </c>
      <c r="Q3994" s="8"/>
      <c r="R3994" s="9" t="s">
        <v>8266</v>
      </c>
    </row>
    <row r="3995" spans="1:18" x14ac:dyDescent="0.25">
      <c r="A3995" s="6" t="str">
        <f>HYPERLINK("proteomic_fractions_linear_files/Yang_linear_img/407262609.jpg", "407262609")</f>
        <v>407262609</v>
      </c>
      <c r="B3995" s="7"/>
      <c r="C3995" s="6" t="str">
        <f>HYPERLINK("http://www.ncbi.nlm.nih.gov/protein/407262609","LOC101056446")</f>
        <v>LOC101056446</v>
      </c>
      <c r="D3995" s="8"/>
      <c r="E3995" s="8">
        <v>40439</v>
      </c>
      <c r="F3995" s="8"/>
      <c r="G3995" s="15">
        <v>1.4693301896398463</v>
      </c>
      <c r="H3995" s="15">
        <v>1.4693301896398463</v>
      </c>
      <c r="I3995" s="15">
        <v>1.1031397311741367</v>
      </c>
      <c r="J3995" s="15">
        <v>1.1031397311741367</v>
      </c>
      <c r="K3995" s="15">
        <v>1.2072493896103813</v>
      </c>
      <c r="L3995" s="15">
        <v>1.2072493896103813</v>
      </c>
      <c r="M3995" s="15" t="s">
        <v>10</v>
      </c>
      <c r="N3995" s="15" t="s">
        <v>10</v>
      </c>
      <c r="O3995" s="15" t="s">
        <v>10</v>
      </c>
      <c r="P3995" s="15" t="s">
        <v>10</v>
      </c>
      <c r="Q3995" s="8"/>
      <c r="R3995" s="9" t="s">
        <v>8267</v>
      </c>
    </row>
    <row r="3996" spans="1:18" x14ac:dyDescent="0.25">
      <c r="A3996" s="6" t="str">
        <f>HYPERLINK("proteomic_fractions_linear_files/Yang_linear_img/407262611.jpg", "407262611")</f>
        <v>407262611</v>
      </c>
      <c r="B3996" s="7"/>
      <c r="C3996" s="6" t="str">
        <f>HYPERLINK("http://www.ncbi.nlm.nih.gov/protein/407262611","LOC101056446")</f>
        <v>LOC101056446</v>
      </c>
      <c r="D3996" s="8"/>
      <c r="E3996" s="8">
        <v>41635</v>
      </c>
      <c r="F3996" s="8"/>
      <c r="G3996" s="15">
        <v>1.3993620853712823</v>
      </c>
      <c r="H3996" s="15">
        <v>1.3993620853712823</v>
      </c>
      <c r="I3996" s="15">
        <v>1.0506092677848922</v>
      </c>
      <c r="J3996" s="15">
        <v>1.0506092677848922</v>
      </c>
      <c r="K3996" s="15">
        <v>1.1497613234384585</v>
      </c>
      <c r="L3996" s="15">
        <v>1.1497613234384585</v>
      </c>
      <c r="M3996" s="15" t="s">
        <v>10</v>
      </c>
      <c r="N3996" s="15" t="s">
        <v>10</v>
      </c>
      <c r="O3996" s="15" t="s">
        <v>10</v>
      </c>
      <c r="P3996" s="15" t="s">
        <v>10</v>
      </c>
      <c r="Q3996" s="8"/>
      <c r="R3996" s="9" t="s">
        <v>8268</v>
      </c>
    </row>
    <row r="3997" spans="1:18" x14ac:dyDescent="0.25">
      <c r="A3997" s="6" t="str">
        <f>HYPERLINK("proteomic_fractions_linear_files/Yang_linear_img/407262613.jpg", "407262613")</f>
        <v>407262613</v>
      </c>
      <c r="B3997" s="7"/>
      <c r="C3997" s="6" t="str">
        <f>HYPERLINK("http://www.ncbi.nlm.nih.gov/protein/407262613","LOC101056446")</f>
        <v>LOC101056446</v>
      </c>
      <c r="D3997" s="8"/>
      <c r="E3997" s="8">
        <v>40638</v>
      </c>
      <c r="F3997" s="8"/>
      <c r="G3997" s="15">
        <v>1.4334928679413135</v>
      </c>
      <c r="H3997" s="15">
        <v>1.4334928679413135</v>
      </c>
      <c r="I3997" s="15">
        <v>1.0762338840723285</v>
      </c>
      <c r="J3997" s="15">
        <v>1.0762338840723285</v>
      </c>
      <c r="K3997" s="15">
        <v>1.1778042825467134</v>
      </c>
      <c r="L3997" s="15">
        <v>1.1778042825467134</v>
      </c>
      <c r="M3997" s="15" t="s">
        <v>10</v>
      </c>
      <c r="N3997" s="15" t="s">
        <v>10</v>
      </c>
      <c r="O3997" s="15" t="s">
        <v>10</v>
      </c>
      <c r="P3997" s="15" t="s">
        <v>10</v>
      </c>
      <c r="Q3997" s="8"/>
      <c r="R3997" s="9" t="s">
        <v>8269</v>
      </c>
    </row>
    <row r="3998" spans="1:18" x14ac:dyDescent="0.25">
      <c r="A3998" s="6" t="str">
        <f>HYPERLINK("proteomic_fractions_linear_files/Yang_linear_img/407262615.jpg", "407262615")</f>
        <v>407262615</v>
      </c>
      <c r="B3998" s="7"/>
      <c r="C3998" s="6" t="str">
        <f>HYPERLINK("http://www.ncbi.nlm.nih.gov/protein/407262615","LOC101056446")</f>
        <v>LOC101056446</v>
      </c>
      <c r="D3998" s="8"/>
      <c r="E3998" s="8">
        <v>30137</v>
      </c>
      <c r="F3998" s="8"/>
      <c r="G3998" s="15">
        <v>1.959106919519795</v>
      </c>
      <c r="H3998" s="15">
        <v>1.959106919519795</v>
      </c>
      <c r="I3998" s="15">
        <v>1.470852974898849</v>
      </c>
      <c r="J3998" s="15">
        <v>1.470852974898849</v>
      </c>
      <c r="K3998" s="15">
        <v>1.6096658528138417</v>
      </c>
      <c r="L3998" s="15">
        <v>1.6096658528138417</v>
      </c>
      <c r="M3998" s="15" t="s">
        <v>10</v>
      </c>
      <c r="N3998" s="15" t="s">
        <v>10</v>
      </c>
      <c r="O3998" s="15" t="s">
        <v>10</v>
      </c>
      <c r="P3998" s="15" t="s">
        <v>10</v>
      </c>
      <c r="Q3998" s="8"/>
      <c r="R3998" s="9" t="s">
        <v>8270</v>
      </c>
    </row>
    <row r="3999" spans="1:18" x14ac:dyDescent="0.25">
      <c r="A3999" s="6" t="str">
        <f>HYPERLINK("proteomic_fractions_linear_files/Yang_linear_img/407262617.jpg", "407262617")</f>
        <v>407262617</v>
      </c>
      <c r="B3999" s="7"/>
      <c r="C3999" s="6" t="str">
        <f>HYPERLINK("http://www.ncbi.nlm.nih.gov/protein/407262617","LOC101056446")</f>
        <v>LOC101056446</v>
      </c>
      <c r="D3999" s="8"/>
      <c r="E3999" s="8">
        <v>37573</v>
      </c>
      <c r="F3999" s="8"/>
      <c r="G3999" s="15">
        <v>1.5466633575156277</v>
      </c>
      <c r="H3999" s="15">
        <v>1.5466633575156277</v>
      </c>
      <c r="I3999" s="15">
        <v>1.1611997170254071</v>
      </c>
      <c r="J3999" s="15">
        <v>1.1611997170254071</v>
      </c>
      <c r="K3999" s="15">
        <v>1.2707888311688225</v>
      </c>
      <c r="L3999" s="15">
        <v>1.2707888311688225</v>
      </c>
      <c r="M3999" s="15" t="s">
        <v>10</v>
      </c>
      <c r="N3999" s="15" t="s">
        <v>10</v>
      </c>
      <c r="O3999" s="15" t="s">
        <v>10</v>
      </c>
      <c r="P3999" s="15" t="s">
        <v>10</v>
      </c>
      <c r="Q3999" s="8"/>
      <c r="R3999" s="9" t="s">
        <v>8271</v>
      </c>
    </row>
    <row r="4000" spans="1:18" x14ac:dyDescent="0.25">
      <c r="A4000" s="6" t="str">
        <f>HYPERLINK("proteomic_fractions_linear_files/Yang_linear_img/407262576.jpg", "407262576")</f>
        <v>407262576</v>
      </c>
      <c r="B4000" s="7"/>
      <c r="C4000" s="6" t="str">
        <f>HYPERLINK("http://www.ncbi.nlm.nih.gov/protein/407262576","LOC101056452")</f>
        <v>LOC101056452</v>
      </c>
      <c r="D4000" s="8"/>
      <c r="E4000" s="8">
        <v>50657</v>
      </c>
      <c r="F4000" s="8"/>
      <c r="G4000" s="15">
        <v>1.2833973202067517</v>
      </c>
      <c r="H4000" s="15">
        <v>1.2833973202067517</v>
      </c>
      <c r="I4000" s="15">
        <v>1.0415797966666878</v>
      </c>
      <c r="J4000" s="15">
        <v>1.0415797966666878</v>
      </c>
      <c r="K4000" s="15">
        <v>1.0415797966666878</v>
      </c>
      <c r="L4000" s="15">
        <v>1.0415797966666878</v>
      </c>
      <c r="M4000" s="15">
        <v>1.0415797966666878</v>
      </c>
      <c r="N4000" s="15">
        <v>1.0415797966666878</v>
      </c>
      <c r="O4000" s="15">
        <v>0.94686226636108339</v>
      </c>
      <c r="P4000" s="15">
        <v>0.94686226636108339</v>
      </c>
      <c r="Q4000" s="8"/>
      <c r="R4000" s="9" t="s">
        <v>8272</v>
      </c>
    </row>
    <row r="4001" spans="1:18" x14ac:dyDescent="0.25">
      <c r="A4001" s="6" t="str">
        <f>HYPERLINK("proteomic_fractions_linear_files/Yang_linear_img/407262333.jpg", "407262333")</f>
        <v>407262333</v>
      </c>
      <c r="B4001" s="7"/>
      <c r="C4001" s="6" t="str">
        <f>HYPERLINK("http://www.ncbi.nlm.nih.gov/protein/407262333","LOC101056456")</f>
        <v>LOC101056456</v>
      </c>
      <c r="D4001" s="8"/>
      <c r="E4001" s="8">
        <v>70550</v>
      </c>
      <c r="F4001" s="8"/>
      <c r="G4001" s="15" t="s">
        <v>10</v>
      </c>
      <c r="H4001" s="15" t="s">
        <v>10</v>
      </c>
      <c r="I4001" s="15" t="s">
        <v>10</v>
      </c>
      <c r="J4001" s="15" t="s">
        <v>10</v>
      </c>
      <c r="K4001" s="15" t="s">
        <v>10</v>
      </c>
      <c r="L4001" s="15" t="s">
        <v>10</v>
      </c>
      <c r="M4001" s="15">
        <v>0.3683134945834507</v>
      </c>
      <c r="N4001" s="15">
        <v>0.3683134945834507</v>
      </c>
      <c r="O4001" s="15" t="s">
        <v>10</v>
      </c>
      <c r="P4001" s="15" t="s">
        <v>10</v>
      </c>
      <c r="Q4001" s="8"/>
      <c r="R4001" s="9" t="s">
        <v>8273</v>
      </c>
    </row>
    <row r="4002" spans="1:18" x14ac:dyDescent="0.25">
      <c r="A4002" s="6" t="str">
        <f>HYPERLINK("proteomic_fractions_linear_files/Yang_linear_img/407262335.jpg", "407262335")</f>
        <v>407262335</v>
      </c>
      <c r="B4002" s="7"/>
      <c r="C4002" s="6" t="str">
        <f>HYPERLINK("http://www.ncbi.nlm.nih.gov/protein/407262335","LOC101056456")</f>
        <v>LOC101056456</v>
      </c>
      <c r="D4002" s="8"/>
      <c r="E4002" s="8">
        <v>65324</v>
      </c>
      <c r="F4002" s="8"/>
      <c r="G4002" s="15" t="s">
        <v>10</v>
      </c>
      <c r="H4002" s="15" t="s">
        <v>10</v>
      </c>
      <c r="I4002" s="15" t="s">
        <v>10</v>
      </c>
      <c r="J4002" s="15" t="s">
        <v>10</v>
      </c>
      <c r="K4002" s="15" t="s">
        <v>10</v>
      </c>
      <c r="L4002" s="15" t="s">
        <v>10</v>
      </c>
      <c r="M4002" s="15">
        <v>0.40231166331423079</v>
      </c>
      <c r="N4002" s="15">
        <v>0.40231166331423079</v>
      </c>
      <c r="O4002" s="15" t="s">
        <v>10</v>
      </c>
      <c r="P4002" s="15" t="s">
        <v>10</v>
      </c>
      <c r="Q4002" s="8"/>
      <c r="R4002" s="9" t="s">
        <v>8274</v>
      </c>
    </row>
    <row r="4003" spans="1:18" x14ac:dyDescent="0.25">
      <c r="A4003" s="6" t="str">
        <f>HYPERLINK("proteomic_fractions_linear_files/Yang_linear_img/407262339.jpg", "407262339")</f>
        <v>407262339</v>
      </c>
      <c r="B4003" s="7"/>
      <c r="C4003" s="6" t="str">
        <f>HYPERLINK("http://www.ncbi.nlm.nih.gov/protein/407262339","LOC101056456")</f>
        <v>LOC101056456</v>
      </c>
      <c r="D4003" s="8"/>
      <c r="E4003" s="8">
        <v>59047</v>
      </c>
      <c r="F4003" s="8"/>
      <c r="G4003" s="15" t="s">
        <v>10</v>
      </c>
      <c r="H4003" s="15" t="s">
        <v>10</v>
      </c>
      <c r="I4003" s="15" t="s">
        <v>10</v>
      </c>
      <c r="J4003" s="15" t="s">
        <v>10</v>
      </c>
      <c r="K4003" s="15" t="s">
        <v>10</v>
      </c>
      <c r="L4003" s="15" t="s">
        <v>10</v>
      </c>
      <c r="M4003" s="15">
        <v>0.44322471382076273</v>
      </c>
      <c r="N4003" s="15">
        <v>0.44322471382076273</v>
      </c>
      <c r="O4003" s="15" t="s">
        <v>10</v>
      </c>
      <c r="P4003" s="15" t="s">
        <v>10</v>
      </c>
      <c r="Q4003" s="8"/>
      <c r="R4003" s="9" t="s">
        <v>8275</v>
      </c>
    </row>
    <row r="4004" spans="1:18" x14ac:dyDescent="0.25">
      <c r="A4004" s="6" t="str">
        <f>HYPERLINK("proteomic_fractions_linear_files/Yang_linear_img/407262341.jpg", "407262341")</f>
        <v>407262341</v>
      </c>
      <c r="B4004" s="7"/>
      <c r="C4004" s="6" t="str">
        <f>HYPERLINK("http://www.ncbi.nlm.nih.gov/protein/407262341","LOC101056456")</f>
        <v>LOC101056456</v>
      </c>
      <c r="D4004" s="8"/>
      <c r="E4004" s="8">
        <v>53387</v>
      </c>
      <c r="F4004" s="8"/>
      <c r="G4004" s="15" t="s">
        <v>10</v>
      </c>
      <c r="H4004" s="15" t="s">
        <v>10</v>
      </c>
      <c r="I4004" s="15" t="s">
        <v>10</v>
      </c>
      <c r="J4004" s="15" t="s">
        <v>10</v>
      </c>
      <c r="K4004" s="15" t="s">
        <v>10</v>
      </c>
      <c r="L4004" s="15" t="s">
        <v>10</v>
      </c>
      <c r="M4004" s="15">
        <v>0.49340109651745284</v>
      </c>
      <c r="N4004" s="15">
        <v>0.49340109651745284</v>
      </c>
      <c r="O4004" s="15" t="s">
        <v>10</v>
      </c>
      <c r="P4004" s="15" t="s">
        <v>10</v>
      </c>
      <c r="Q4004" s="8"/>
      <c r="R4004" s="9" t="s">
        <v>8276</v>
      </c>
    </row>
    <row r="4005" spans="1:18" x14ac:dyDescent="0.25">
      <c r="A4005" s="6" t="str">
        <f>HYPERLINK("proteomic_fractions_linear_files/Yang_linear_img/407262343.jpg", "407262343")</f>
        <v>407262343</v>
      </c>
      <c r="B4005" s="7"/>
      <c r="C4005" s="6" t="str">
        <f>HYPERLINK("http://www.ncbi.nlm.nih.gov/protein/407262343","LOC101056456")</f>
        <v>LOC101056456</v>
      </c>
      <c r="D4005" s="8"/>
      <c r="E4005" s="8">
        <v>53750</v>
      </c>
      <c r="F4005" s="8"/>
      <c r="G4005" s="15" t="s">
        <v>10</v>
      </c>
      <c r="H4005" s="15" t="s">
        <v>10</v>
      </c>
      <c r="I4005" s="15" t="s">
        <v>10</v>
      </c>
      <c r="J4005" s="15" t="s">
        <v>10</v>
      </c>
      <c r="K4005" s="15" t="s">
        <v>10</v>
      </c>
      <c r="L4005" s="15" t="s">
        <v>10</v>
      </c>
      <c r="M4005" s="15">
        <v>0.48426403917453703</v>
      </c>
      <c r="N4005" s="15">
        <v>0.48426403917453703</v>
      </c>
      <c r="O4005" s="15" t="s">
        <v>10</v>
      </c>
      <c r="P4005" s="15" t="s">
        <v>10</v>
      </c>
      <c r="Q4005" s="8"/>
      <c r="R4005" s="9" t="s">
        <v>8277</v>
      </c>
    </row>
    <row r="4006" spans="1:18" x14ac:dyDescent="0.25">
      <c r="A4006" s="6" t="str">
        <f>HYPERLINK("proteomic_fractions_linear_files/Yang_linear_img/407262623.jpg", "407262623")</f>
        <v>407262623</v>
      </c>
      <c r="B4006" s="7"/>
      <c r="C4006" s="6" t="str">
        <f>HYPERLINK("http://www.ncbi.nlm.nih.gov/protein/407262623","LOC101056478")</f>
        <v>LOC101056478</v>
      </c>
      <c r="D4006" s="8"/>
      <c r="E4006" s="8">
        <v>15826</v>
      </c>
      <c r="F4006" s="8"/>
      <c r="G4006" s="15">
        <v>1.5346762883298073</v>
      </c>
      <c r="H4006" s="15">
        <v>2.159586033154699</v>
      </c>
      <c r="I4006" s="15">
        <v>1.6343911322140625</v>
      </c>
      <c r="J4006" s="15">
        <v>1.6343911322140625</v>
      </c>
      <c r="K4006" s="15">
        <v>1.6343911322140625</v>
      </c>
      <c r="L4006" s="15">
        <v>1.6343911322140625</v>
      </c>
      <c r="M4006" s="15">
        <v>1.7448882061051287</v>
      </c>
      <c r="N4006" s="15">
        <v>1.7448882061051287</v>
      </c>
      <c r="O4006" s="15">
        <v>1.5346762883298073</v>
      </c>
      <c r="P4006" s="15">
        <v>1.5346762883298073</v>
      </c>
      <c r="Q4006" s="8"/>
      <c r="R4006" s="9" t="s">
        <v>8105</v>
      </c>
    </row>
    <row r="4007" spans="1:18" x14ac:dyDescent="0.25">
      <c r="A4007" s="6" t="str">
        <f>HYPERLINK("proteomic_fractions_linear_files/Yang_linear_img/407262528.jpg", "407262528")</f>
        <v>407262528</v>
      </c>
      <c r="B4007" s="7"/>
      <c r="C4007" s="6" t="str">
        <f>HYPERLINK("http://www.ncbi.nlm.nih.gov/protein/407262528","LOC101056486")</f>
        <v>LOC101056486</v>
      </c>
      <c r="D4007" s="8"/>
      <c r="E4007" s="8">
        <v>13036</v>
      </c>
      <c r="F4007" s="8"/>
      <c r="G4007" s="15">
        <v>1.2858826554313094</v>
      </c>
      <c r="H4007" s="15">
        <v>1.2858826554313094</v>
      </c>
      <c r="I4007" s="15">
        <v>1.3515338281045359</v>
      </c>
      <c r="J4007" s="15">
        <v>1.3515338281045359</v>
      </c>
      <c r="K4007" s="15">
        <v>1.4227153203510834</v>
      </c>
      <c r="L4007" s="15">
        <v>1.4227153203510834</v>
      </c>
      <c r="M4007" s="15">
        <v>1.3515338281045359</v>
      </c>
      <c r="N4007" s="15">
        <v>1.3515338281045359</v>
      </c>
      <c r="O4007" s="15">
        <v>1.2858826554313094</v>
      </c>
      <c r="P4007" s="15">
        <v>1.2858826554313094</v>
      </c>
      <c r="Q4007" s="8"/>
      <c r="R4007" s="9" t="s">
        <v>8101</v>
      </c>
    </row>
    <row r="4008" spans="1:18" x14ac:dyDescent="0.25">
      <c r="A4008" s="6" t="str">
        <f>HYPERLINK("proteomic_fractions_linear_files/Yang_linear_img/407262193.jpg", "407262193")</f>
        <v>407262193</v>
      </c>
      <c r="B4008" s="7"/>
      <c r="C4008" s="6" t="str">
        <f>HYPERLINK("http://www.ncbi.nlm.nih.gov/protein/407262193","LOC101056544")</f>
        <v>LOC101056544</v>
      </c>
      <c r="D4008" s="8"/>
      <c r="E4008" s="8">
        <v>22209</v>
      </c>
      <c r="F4008" s="8"/>
      <c r="G4008" s="15">
        <v>1.1161282096944054</v>
      </c>
      <c r="H4008" s="15">
        <v>1.1161282096944054</v>
      </c>
      <c r="I4008" s="15">
        <v>0.7239746265082625</v>
      </c>
      <c r="J4008" s="15">
        <v>0.7239746265082625</v>
      </c>
      <c r="K4008" s="15">
        <v>0.75983975093668288</v>
      </c>
      <c r="L4008" s="15">
        <v>0.75983975093668288</v>
      </c>
      <c r="M4008" s="15">
        <v>0.7239746265082625</v>
      </c>
      <c r="N4008" s="15">
        <v>0.7239746265082625</v>
      </c>
      <c r="O4008" s="15">
        <v>0.69074264971883115</v>
      </c>
      <c r="P4008" s="15">
        <v>0.69074264971883115</v>
      </c>
      <c r="Q4008" s="8"/>
      <c r="R4008" s="9" t="s">
        <v>8278</v>
      </c>
    </row>
    <row r="4009" spans="1:18" x14ac:dyDescent="0.25">
      <c r="A4009" s="6" t="str">
        <f>HYPERLINK("proteomic_fractions_linear_files/Yang_linear_img/407262152.jpg", "407262152")</f>
        <v>407262152</v>
      </c>
      <c r="B4009" s="7"/>
      <c r="C4009" s="6" t="str">
        <f>HYPERLINK("http://www.ncbi.nlm.nih.gov/protein/407262152","LOC101056551")</f>
        <v>LOC101056551</v>
      </c>
      <c r="D4009" s="8"/>
      <c r="E4009" s="8">
        <v>35456</v>
      </c>
      <c r="F4009" s="8"/>
      <c r="G4009" s="15" t="s">
        <v>10</v>
      </c>
      <c r="H4009" s="15" t="s">
        <v>10</v>
      </c>
      <c r="I4009" s="15" t="s">
        <v>10</v>
      </c>
      <c r="J4009" s="15" t="s">
        <v>10</v>
      </c>
      <c r="K4009" s="15" t="s">
        <v>10</v>
      </c>
      <c r="L4009" s="15" t="s">
        <v>10</v>
      </c>
      <c r="M4009" s="15" t="s">
        <v>10</v>
      </c>
      <c r="N4009" s="15" t="s">
        <v>10</v>
      </c>
      <c r="O4009" s="15">
        <v>3.6777608041461991</v>
      </c>
      <c r="P4009" s="15">
        <v>3.6777608041461991</v>
      </c>
      <c r="Q4009" s="8"/>
      <c r="R4009" s="9" t="s">
        <v>8279</v>
      </c>
    </row>
    <row r="4010" spans="1:18" x14ac:dyDescent="0.25">
      <c r="A4010" s="6" t="str">
        <f>HYPERLINK("proteomic_fractions_linear_files/Yang_linear_img/407262277.jpg", "407262277")</f>
        <v>407262277</v>
      </c>
      <c r="B4010" s="7"/>
      <c r="C4010" s="6" t="str">
        <f>HYPERLINK("http://www.ncbi.nlm.nih.gov/protein/407262277","LOC101056557")</f>
        <v>LOC101056557</v>
      </c>
      <c r="D4010" s="8"/>
      <c r="E4010" s="8">
        <v>22574</v>
      </c>
      <c r="F4010" s="8"/>
      <c r="G4010" s="15">
        <v>2.0995641558441416</v>
      </c>
      <c r="H4010" s="15">
        <v>2.0995641558441416</v>
      </c>
      <c r="I4010" s="15">
        <v>1.3949596893797211</v>
      </c>
      <c r="J4010" s="15">
        <v>1.3949596893797211</v>
      </c>
      <c r="K4010" s="15">
        <v>1.5023207187163123</v>
      </c>
      <c r="L4010" s="15">
        <v>1.5023207187163123</v>
      </c>
      <c r="M4010" s="15">
        <v>1.5023207187163123</v>
      </c>
      <c r="N4010" s="15">
        <v>1.5023207187163123</v>
      </c>
      <c r="O4010" s="15">
        <v>1.2993655170310057</v>
      </c>
      <c r="P4010" s="15">
        <v>1.2993655170310057</v>
      </c>
      <c r="Q4010" s="8"/>
      <c r="R4010" s="9" t="s">
        <v>8280</v>
      </c>
    </row>
    <row r="4011" spans="1:18" x14ac:dyDescent="0.25">
      <c r="A4011" s="6" t="str">
        <f>HYPERLINK("proteomic_fractions_linear_files/Yang_linear_img/407262168.jpg", "407262168")</f>
        <v>407262168</v>
      </c>
      <c r="B4011" s="7"/>
      <c r="C4011" s="6" t="str">
        <f>HYPERLINK("http://www.ncbi.nlm.nih.gov/protein/407262168","LOC101056558")</f>
        <v>LOC101056558</v>
      </c>
      <c r="D4011" s="8"/>
      <c r="E4011" s="8">
        <v>36919</v>
      </c>
      <c r="F4011" s="8"/>
      <c r="G4011" s="15">
        <v>1.0947923838708851</v>
      </c>
      <c r="H4011" s="15">
        <v>1.0947923838708851</v>
      </c>
      <c r="I4011" s="15" t="s">
        <v>10</v>
      </c>
      <c r="J4011" s="15" t="s">
        <v>10</v>
      </c>
      <c r="K4011" s="15" t="s">
        <v>10</v>
      </c>
      <c r="L4011" s="15" t="s">
        <v>10</v>
      </c>
      <c r="M4011" s="15" t="s">
        <v>10</v>
      </c>
      <c r="N4011" s="15" t="s">
        <v>10</v>
      </c>
      <c r="O4011" s="15" t="s">
        <v>10</v>
      </c>
      <c r="P4011" s="15" t="s">
        <v>10</v>
      </c>
      <c r="Q4011" s="8"/>
      <c r="R4011" s="9" t="s">
        <v>8281</v>
      </c>
    </row>
    <row r="4012" spans="1:18" x14ac:dyDescent="0.25">
      <c r="A4012" s="6" t="str">
        <f>HYPERLINK("proteomic_fractions_linear_files/Yang_linear_img/407262168;238776830.jpg", "407262168;238776830")</f>
        <v>407262168;238776830</v>
      </c>
      <c r="B4012" s="8"/>
      <c r="C4012" s="6" t="str">
        <f>HYPERLINK("http://www.ncbi.nlm.nih.gov/protein/407262168;238776830","LOC101056558")</f>
        <v>LOC101056558</v>
      </c>
      <c r="D4012" s="8"/>
      <c r="E4012" s="8">
        <v>36919</v>
      </c>
      <c r="F4012" s="8"/>
      <c r="G4012" s="15" t="s">
        <v>10</v>
      </c>
      <c r="H4012" s="15" t="s">
        <v>10</v>
      </c>
      <c r="I4012" s="15" t="s">
        <v>10</v>
      </c>
      <c r="J4012" s="15" t="s">
        <v>10</v>
      </c>
      <c r="K4012" s="15">
        <v>0.66364380035883563</v>
      </c>
      <c r="L4012" s="15">
        <v>0.66364380035883563</v>
      </c>
      <c r="M4012" s="15" t="s">
        <v>10</v>
      </c>
      <c r="N4012" s="15" t="s">
        <v>10</v>
      </c>
      <c r="O4012" s="15" t="s">
        <v>10</v>
      </c>
      <c r="P4012" s="15" t="s">
        <v>10</v>
      </c>
      <c r="Q4012" s="8"/>
      <c r="R4012" s="9" t="s">
        <v>8281</v>
      </c>
    </row>
    <row r="4013" spans="1:18" x14ac:dyDescent="0.25">
      <c r="A4013" s="6" t="str">
        <f>HYPERLINK("proteomic_fractions_linear_files/Yang_linear_img/407261780.jpg", "407261780")</f>
        <v>407261780</v>
      </c>
      <c r="B4013" s="7"/>
      <c r="C4013" s="6" t="str">
        <f>HYPERLINK("http://www.ncbi.nlm.nih.gov/protein/407261780","LOC101056559")</f>
        <v>LOC101056559</v>
      </c>
      <c r="D4013" s="8"/>
      <c r="E4013" s="8">
        <v>42420</v>
      </c>
      <c r="F4013" s="8"/>
      <c r="G4013" s="15" t="s">
        <v>10</v>
      </c>
      <c r="H4013" s="15" t="s">
        <v>10</v>
      </c>
      <c r="I4013" s="15" t="s">
        <v>10</v>
      </c>
      <c r="J4013" s="15" t="s">
        <v>10</v>
      </c>
      <c r="K4013" s="15">
        <v>1.5584110316796269</v>
      </c>
      <c r="L4013" s="15">
        <v>1.5584110316796269</v>
      </c>
      <c r="M4013" s="15" t="s">
        <v>10</v>
      </c>
      <c r="N4013" s="15" t="s">
        <v>10</v>
      </c>
      <c r="O4013" s="15" t="s">
        <v>10</v>
      </c>
      <c r="P4013" s="15" t="s">
        <v>10</v>
      </c>
      <c r="Q4013" s="8"/>
      <c r="R4013" s="9" t="s">
        <v>8282</v>
      </c>
    </row>
    <row r="4014" spans="1:18" x14ac:dyDescent="0.25">
      <c r="A4014" s="6" t="str">
        <f>HYPERLINK("proteomic_fractions_linear_files/Yang_linear_img/407262586.jpg", "407262586")</f>
        <v>407262586</v>
      </c>
      <c r="B4014" s="7"/>
      <c r="C4014" s="6" t="str">
        <f>HYPERLINK("http://www.ncbi.nlm.nih.gov/protein/407262586","LOC101056592")</f>
        <v>LOC101056592</v>
      </c>
      <c r="D4014" s="8"/>
      <c r="E4014" s="8">
        <v>16202</v>
      </c>
      <c r="F4014" s="8"/>
      <c r="G4014" s="15">
        <v>2.159586033154699</v>
      </c>
      <c r="H4014" s="15">
        <v>2.159586033154699</v>
      </c>
      <c r="I4014" s="15">
        <v>1.5346762883298073</v>
      </c>
      <c r="J4014" s="15">
        <v>1.5346762883298073</v>
      </c>
      <c r="K4014" s="15">
        <v>1.6343911322140625</v>
      </c>
      <c r="L4014" s="15">
        <v>1.6343911322140625</v>
      </c>
      <c r="M4014" s="15" t="s">
        <v>10</v>
      </c>
      <c r="N4014" s="15" t="s">
        <v>10</v>
      </c>
      <c r="O4014" s="15">
        <v>1.3622338919174219</v>
      </c>
      <c r="P4014" s="15">
        <v>1.3622338919174219</v>
      </c>
      <c r="Q4014" s="8"/>
      <c r="R4014" s="9" t="s">
        <v>8283</v>
      </c>
    </row>
    <row r="4015" spans="1:18" x14ac:dyDescent="0.25">
      <c r="A4015" s="6" t="str">
        <f>HYPERLINK("proteomic_fractions_linear_files/Yang_linear_img/407262172.jpg", "407262172")</f>
        <v>407262172</v>
      </c>
      <c r="B4015" s="7"/>
      <c r="C4015" s="6" t="str">
        <f>HYPERLINK("http://www.ncbi.nlm.nih.gov/protein/407262172","LOC101056595")</f>
        <v>LOC101056595</v>
      </c>
      <c r="D4015" s="8"/>
      <c r="E4015" s="8">
        <v>18097</v>
      </c>
      <c r="F4015" s="8"/>
      <c r="G4015" s="15">
        <v>1.5510117387601143</v>
      </c>
      <c r="H4015" s="15">
        <v>1.5510117387601143</v>
      </c>
      <c r="I4015" s="15">
        <v>332.95000000000005</v>
      </c>
      <c r="J4015" s="15">
        <v>332.95000000000005</v>
      </c>
      <c r="K4015" s="15">
        <v>1.210874570593264</v>
      </c>
      <c r="L4015" s="15">
        <v>1.210874570593264</v>
      </c>
      <c r="M4015" s="15">
        <v>1.0833972126686264</v>
      </c>
      <c r="N4015" s="15">
        <v>1.0833972126686264</v>
      </c>
      <c r="O4015" s="15">
        <v>1.1443022881475706</v>
      </c>
      <c r="P4015" s="15">
        <v>1.1443022881475706</v>
      </c>
      <c r="Q4015" s="8"/>
      <c r="R4015" s="9" t="s">
        <v>8284</v>
      </c>
    </row>
    <row r="4016" spans="1:18" x14ac:dyDescent="0.25">
      <c r="A4016" s="6" t="str">
        <f>HYPERLINK("proteomic_fractions_linear_files/Yang_linear_img/407260973.jpg", "407260973")</f>
        <v>407260973</v>
      </c>
      <c r="B4016" s="7"/>
      <c r="C4016" s="6" t="str">
        <f>HYPERLINK("http://www.ncbi.nlm.nih.gov/protein/407260973","LOC101056616")</f>
        <v>LOC101056616</v>
      </c>
      <c r="D4016" s="8"/>
      <c r="E4016" s="8">
        <v>12342</v>
      </c>
      <c r="F4016" s="8"/>
      <c r="G4016" s="15" t="s">
        <v>10</v>
      </c>
      <c r="H4016" s="15" t="s">
        <v>10</v>
      </c>
      <c r="I4016" s="15">
        <v>1.1571542083280542</v>
      </c>
      <c r="J4016" s="15">
        <v>1.1571542083280542</v>
      </c>
      <c r="K4016" s="15">
        <v>1.209789476822529</v>
      </c>
      <c r="L4016" s="15">
        <v>1.209789476822529</v>
      </c>
      <c r="M4016" s="15">
        <v>1.209789476822529</v>
      </c>
      <c r="N4016" s="15">
        <v>1.209789476822529</v>
      </c>
      <c r="O4016" s="15">
        <v>1.1080886685834612</v>
      </c>
      <c r="P4016" s="15">
        <v>1.1080886685834612</v>
      </c>
      <c r="Q4016" s="8"/>
      <c r="R4016" s="9" t="s">
        <v>8081</v>
      </c>
    </row>
    <row r="4017" spans="1:18" x14ac:dyDescent="0.25">
      <c r="A4017" s="6" t="str">
        <f>HYPERLINK("proteomic_fractions_linear_files/Yang_linear_img/407261696.jpg", "407261696")</f>
        <v>407261696</v>
      </c>
      <c r="B4017" s="7"/>
      <c r="C4017" s="6" t="str">
        <f>HYPERLINK("http://www.ncbi.nlm.nih.gov/protein/407261696","LOC101056619")</f>
        <v>LOC101056619</v>
      </c>
      <c r="D4017" s="8"/>
      <c r="E4017" s="8">
        <v>49983</v>
      </c>
      <c r="F4017" s="8"/>
      <c r="G4017" s="15">
        <v>1.1754641517118771</v>
      </c>
      <c r="H4017" s="15">
        <v>1.1754641517118771</v>
      </c>
      <c r="I4017" s="15">
        <v>0.88251178493930937</v>
      </c>
      <c r="J4017" s="15">
        <v>0.88251178493930937</v>
      </c>
      <c r="K4017" s="15">
        <v>0.88251178493930937</v>
      </c>
      <c r="L4017" s="15">
        <v>0.88251178493930937</v>
      </c>
      <c r="M4017" s="15">
        <v>0.96579951168830502</v>
      </c>
      <c r="N4017" s="15">
        <v>0.96579951168830502</v>
      </c>
      <c r="O4017" s="15">
        <v>0.81014636406445495</v>
      </c>
      <c r="P4017" s="15">
        <v>0.81014636406445495</v>
      </c>
      <c r="Q4017" s="8"/>
      <c r="R4017" s="9" t="s">
        <v>8285</v>
      </c>
    </row>
    <row r="4018" spans="1:18" x14ac:dyDescent="0.25">
      <c r="A4018" s="6" t="str">
        <f>HYPERLINK("proteomic_fractions_linear_files/Yang_linear_img/407261700.jpg", "407261700")</f>
        <v>407261700</v>
      </c>
      <c r="B4018" s="7"/>
      <c r="C4018" s="6" t="str">
        <f>HYPERLINK("http://www.ncbi.nlm.nih.gov/protein/407261700","LOC101056619")</f>
        <v>LOC101056619</v>
      </c>
      <c r="D4018" s="8"/>
      <c r="E4018" s="8">
        <v>45170</v>
      </c>
      <c r="F4018" s="8"/>
      <c r="G4018" s="15">
        <v>1.3060712796798635</v>
      </c>
      <c r="H4018" s="15">
        <v>1.3060712796798635</v>
      </c>
      <c r="I4018" s="15">
        <v>0.98056864993256598</v>
      </c>
      <c r="J4018" s="15">
        <v>0.98056864993256598</v>
      </c>
      <c r="K4018" s="15">
        <v>0.98056864993256598</v>
      </c>
      <c r="L4018" s="15">
        <v>0.98056864993256598</v>
      </c>
      <c r="M4018" s="15">
        <v>1.0731105685425613</v>
      </c>
      <c r="N4018" s="15">
        <v>1.0731105685425613</v>
      </c>
      <c r="O4018" s="15">
        <v>0.90016262673828318</v>
      </c>
      <c r="P4018" s="15">
        <v>0.90016262673828318</v>
      </c>
      <c r="Q4018" s="8"/>
      <c r="R4018" s="9" t="s">
        <v>8286</v>
      </c>
    </row>
    <row r="4019" spans="1:18" x14ac:dyDescent="0.25">
      <c r="A4019" s="6" t="str">
        <f>HYPERLINK("proteomic_fractions_linear_files/Yang_linear_img/407261702.jpg", "407261702")</f>
        <v>407261702</v>
      </c>
      <c r="B4019" s="7"/>
      <c r="C4019" s="6" t="str">
        <f>HYPERLINK("http://www.ncbi.nlm.nih.gov/protein/407261702","LOC101056619")</f>
        <v>LOC101056619</v>
      </c>
      <c r="D4019" s="8"/>
      <c r="E4019" s="8">
        <v>35940</v>
      </c>
      <c r="F4019" s="8"/>
      <c r="G4019" s="15">
        <v>1.6325890995998291</v>
      </c>
      <c r="H4019" s="15">
        <v>1.6325890995998291</v>
      </c>
      <c r="I4019" s="15">
        <v>1.2257108124157075</v>
      </c>
      <c r="J4019" s="15">
        <v>1.2257108124157075</v>
      </c>
      <c r="K4019" s="15">
        <v>1.2257108124157075</v>
      </c>
      <c r="L4019" s="15">
        <v>1.2257108124157075</v>
      </c>
      <c r="M4019" s="15">
        <v>1.3413882106782014</v>
      </c>
      <c r="N4019" s="15">
        <v>1.3413882106782014</v>
      </c>
      <c r="O4019" s="15">
        <v>1.125203283422854</v>
      </c>
      <c r="P4019" s="15">
        <v>1.125203283422854</v>
      </c>
      <c r="Q4019" s="8"/>
      <c r="R4019" s="9" t="s">
        <v>8287</v>
      </c>
    </row>
    <row r="4020" spans="1:18" x14ac:dyDescent="0.25">
      <c r="A4020" s="6" t="str">
        <f>HYPERLINK("proteomic_fractions_linear_files/Yang_linear_img/407261716.jpg", "407261716")</f>
        <v>407261716</v>
      </c>
      <c r="B4020" s="7"/>
      <c r="C4020" s="6" t="str">
        <f>HYPERLINK("http://www.ncbi.nlm.nih.gov/protein/407261716","LOC101056619")</f>
        <v>LOC101056619</v>
      </c>
      <c r="D4020" s="8"/>
      <c r="E4020" s="8">
        <v>44730</v>
      </c>
      <c r="F4020" s="8"/>
      <c r="G4020" s="15">
        <v>1.3060712796798635</v>
      </c>
      <c r="H4020" s="15">
        <v>1.3060712796798635</v>
      </c>
      <c r="I4020" s="15">
        <v>0.98056864993256598</v>
      </c>
      <c r="J4020" s="15">
        <v>0.98056864993256598</v>
      </c>
      <c r="K4020" s="15">
        <v>0.98056864993256598</v>
      </c>
      <c r="L4020" s="15">
        <v>0.98056864993256598</v>
      </c>
      <c r="M4020" s="15">
        <v>1.0731105685425613</v>
      </c>
      <c r="N4020" s="15">
        <v>1.0731105685425613</v>
      </c>
      <c r="O4020" s="15">
        <v>0.90016262673828318</v>
      </c>
      <c r="P4020" s="15">
        <v>0.90016262673828318</v>
      </c>
      <c r="Q4020" s="8"/>
      <c r="R4020" s="9" t="s">
        <v>8288</v>
      </c>
    </row>
    <row r="4021" spans="1:18" x14ac:dyDescent="0.25">
      <c r="A4021" s="6" t="str">
        <f>HYPERLINK("proteomic_fractions_linear_files/Yang_linear_img/407261718.jpg", "407261718")</f>
        <v>407261718</v>
      </c>
      <c r="B4021" s="7"/>
      <c r="C4021" s="6" t="str">
        <f>HYPERLINK("http://www.ncbi.nlm.nih.gov/protein/407261718","LOC101056619")</f>
        <v>LOC101056619</v>
      </c>
      <c r="D4021" s="8"/>
      <c r="E4021" s="8">
        <v>43045</v>
      </c>
      <c r="F4021" s="8"/>
      <c r="G4021" s="15">
        <v>1.3668187810603221</v>
      </c>
      <c r="H4021" s="15">
        <v>1.3668187810603221</v>
      </c>
      <c r="I4021" s="15">
        <v>1.0261764941154761</v>
      </c>
      <c r="J4021" s="15">
        <v>1.0261764941154761</v>
      </c>
      <c r="K4021" s="15">
        <v>1.0261764941154761</v>
      </c>
      <c r="L4021" s="15">
        <v>1.0261764941154761</v>
      </c>
      <c r="M4021" s="15">
        <v>1.123022688009657</v>
      </c>
      <c r="N4021" s="15">
        <v>1.123022688009657</v>
      </c>
      <c r="O4021" s="15">
        <v>0.942030655888901</v>
      </c>
      <c r="P4021" s="15">
        <v>0.942030655888901</v>
      </c>
      <c r="Q4021" s="8"/>
      <c r="R4021" s="9" t="s">
        <v>8289</v>
      </c>
    </row>
    <row r="4022" spans="1:18" x14ac:dyDescent="0.25">
      <c r="A4022" s="6" t="str">
        <f>HYPERLINK("proteomic_fractions_linear_files/Yang_linear_img/407262235.jpg", "407262235")</f>
        <v>407262235</v>
      </c>
      <c r="B4022" s="7"/>
      <c r="C4022" s="6" t="str">
        <f>HYPERLINK("http://www.ncbi.nlm.nih.gov/protein/407262235","LOC101056658")</f>
        <v>LOC101056658</v>
      </c>
      <c r="D4022" s="8"/>
      <c r="E4022" s="8">
        <v>27061</v>
      </c>
      <c r="F4022" s="8"/>
      <c r="G4022" s="15">
        <v>1.5002710445638054</v>
      </c>
      <c r="H4022" s="15">
        <v>1.5002710445638054</v>
      </c>
      <c r="I4022" s="15">
        <v>1.5002710445638054</v>
      </c>
      <c r="J4022" s="15">
        <v>1.5002710445638054</v>
      </c>
      <c r="K4022" s="15">
        <v>1.6342810832209433</v>
      </c>
      <c r="L4022" s="15">
        <v>1.6342810832209433</v>
      </c>
      <c r="M4022" s="15">
        <v>1.5002710445638054</v>
      </c>
      <c r="N4022" s="15">
        <v>1.5002710445638054</v>
      </c>
      <c r="O4022" s="15">
        <v>1.3830120897453553</v>
      </c>
      <c r="P4022" s="15">
        <v>1.3830120897453553</v>
      </c>
      <c r="Q4022" s="8"/>
      <c r="R4022" s="9" t="s">
        <v>8290</v>
      </c>
    </row>
    <row r="4023" spans="1:18" x14ac:dyDescent="0.25">
      <c r="A4023" s="6" t="str">
        <f>HYPERLINK("proteomic_fractions_linear_files/Yang_linear_img/407262590.jpg", "407262590")</f>
        <v>407262590</v>
      </c>
      <c r="B4023" s="7"/>
      <c r="C4023" s="6" t="str">
        <f>HYPERLINK("http://www.ncbi.nlm.nih.gov/protein/407262590","LOC101056659")</f>
        <v>LOC101056659</v>
      </c>
      <c r="D4023" s="8"/>
      <c r="E4023" s="8">
        <v>14989</v>
      </c>
      <c r="F4023" s="8"/>
      <c r="G4023" s="15">
        <v>1.6369880408851278</v>
      </c>
      <c r="H4023" s="15">
        <v>1.6369880408851278</v>
      </c>
      <c r="I4023" s="15">
        <v>1.0618294522121183</v>
      </c>
      <c r="J4023" s="15">
        <v>1.0618294522121183</v>
      </c>
      <c r="K4023" s="15" t="s">
        <v>10</v>
      </c>
      <c r="L4023" s="15" t="s">
        <v>10</v>
      </c>
      <c r="M4023" s="15">
        <v>0.92572336666244337</v>
      </c>
      <c r="N4023" s="15">
        <v>0.92572336666244337</v>
      </c>
      <c r="O4023" s="15" t="s">
        <v>10</v>
      </c>
      <c r="P4023" s="15" t="s">
        <v>10</v>
      </c>
      <c r="Q4023" s="8"/>
      <c r="R4023" s="9" t="s">
        <v>8060</v>
      </c>
    </row>
    <row r="4024" spans="1:18" x14ac:dyDescent="0.25">
      <c r="A4024" s="6" t="str">
        <f>HYPERLINK("proteomic_fractions_linear_files/Yang_linear_img/407262435.jpg", "407262435")</f>
        <v>407262435</v>
      </c>
      <c r="B4024" s="7"/>
      <c r="C4024" s="6" t="str">
        <f>HYPERLINK("http://www.ncbi.nlm.nih.gov/protein/407262435","LOC101056668")</f>
        <v>LOC101056668</v>
      </c>
      <c r="D4024" s="8"/>
      <c r="E4024" s="8">
        <v>141472</v>
      </c>
      <c r="F4024" s="8"/>
      <c r="G4024" s="15">
        <v>1.3245803662407118</v>
      </c>
      <c r="H4024" s="15">
        <v>1.0883182350088074</v>
      </c>
      <c r="I4024" s="15" t="s">
        <v>10</v>
      </c>
      <c r="J4024" s="15" t="s">
        <v>10</v>
      </c>
      <c r="K4024" s="15" t="s">
        <v>10</v>
      </c>
      <c r="L4024" s="15" t="s">
        <v>10</v>
      </c>
      <c r="M4024" s="15" t="s">
        <v>10</v>
      </c>
      <c r="N4024" s="15" t="s">
        <v>10</v>
      </c>
      <c r="O4024" s="15" t="s">
        <v>10</v>
      </c>
      <c r="P4024" s="15" t="s">
        <v>10</v>
      </c>
      <c r="Q4024" s="8"/>
      <c r="R4024" s="9" t="s">
        <v>8291</v>
      </c>
    </row>
    <row r="4025" spans="1:18" x14ac:dyDescent="0.25">
      <c r="A4025" s="6" t="str">
        <f>HYPERLINK("proteomic_fractions_linear_files/Yang_linear_img/407262493.jpg", "407262493")</f>
        <v>407262493</v>
      </c>
      <c r="B4025" s="7"/>
      <c r="C4025" s="6" t="str">
        <f>HYPERLINK("http://www.ncbi.nlm.nih.gov/protein/407262493","LOC101056688")</f>
        <v>LOC101056688</v>
      </c>
      <c r="D4025" s="8"/>
      <c r="E4025" s="8">
        <v>21443</v>
      </c>
      <c r="F4025" s="8"/>
      <c r="G4025" s="15" t="s">
        <v>10</v>
      </c>
      <c r="H4025" s="15" t="s">
        <v>10</v>
      </c>
      <c r="I4025" s="15">
        <v>2.5295509347619562</v>
      </c>
      <c r="J4025" s="15">
        <v>2.5295509347619562</v>
      </c>
      <c r="K4025" s="15">
        <v>2.5295509347619562</v>
      </c>
      <c r="L4025" s="15">
        <v>2.5295509347619562</v>
      </c>
      <c r="M4025" s="15">
        <v>2.5295509347619562</v>
      </c>
      <c r="N4025" s="15">
        <v>2.5295509347619562</v>
      </c>
      <c r="O4025" s="15">
        <v>2.299522646876917</v>
      </c>
      <c r="P4025" s="15">
        <v>2.299522646876917</v>
      </c>
      <c r="Q4025" s="8"/>
      <c r="R4025" s="9" t="s">
        <v>8292</v>
      </c>
    </row>
    <row r="4026" spans="1:18" x14ac:dyDescent="0.25">
      <c r="A4026" s="6" t="str">
        <f>HYPERLINK("proteomic_fractions_linear_files/Yang_linear_img/407260978.jpg", "407260978")</f>
        <v>407260978</v>
      </c>
      <c r="B4026" s="7"/>
      <c r="C4026" s="6" t="str">
        <f>HYPERLINK("http://www.ncbi.nlm.nih.gov/protein/407260978","LOC101056690")</f>
        <v>LOC101056690</v>
      </c>
      <c r="D4026" s="8"/>
      <c r="E4026" s="8">
        <v>10129</v>
      </c>
      <c r="F4026" s="8"/>
      <c r="G4026" s="15" t="s">
        <v>10</v>
      </c>
      <c r="H4026" s="15" t="s">
        <v>10</v>
      </c>
      <c r="I4026" s="15" t="s">
        <v>10</v>
      </c>
      <c r="J4026" s="15" t="s">
        <v>10</v>
      </c>
      <c r="K4026" s="15" t="s">
        <v>10</v>
      </c>
      <c r="L4026" s="15" t="s">
        <v>10</v>
      </c>
      <c r="M4026" s="15" t="s">
        <v>10</v>
      </c>
      <c r="N4026" s="15" t="s">
        <v>10</v>
      </c>
      <c r="O4026" s="15">
        <v>1.5196338293814287</v>
      </c>
      <c r="P4026" s="15">
        <v>1.5196338293814287</v>
      </c>
      <c r="Q4026" s="8"/>
      <c r="R4026" s="9" t="s">
        <v>8293</v>
      </c>
    </row>
    <row r="4027" spans="1:18" x14ac:dyDescent="0.25">
      <c r="A4027" s="6" t="str">
        <f>HYPERLINK("proteomic_fractions_linear_files/Yang_linear_img/407260980.jpg", "407260980")</f>
        <v>407260980</v>
      </c>
      <c r="B4027" s="7"/>
      <c r="C4027" s="6" t="str">
        <f>HYPERLINK("http://www.ncbi.nlm.nih.gov/protein/407260980","LOC101056690")</f>
        <v>LOC101056690</v>
      </c>
      <c r="D4027" s="8"/>
      <c r="E4027" s="8">
        <v>11464</v>
      </c>
      <c r="F4027" s="8"/>
      <c r="G4027" s="15" t="s">
        <v>10</v>
      </c>
      <c r="H4027" s="15" t="s">
        <v>10</v>
      </c>
      <c r="I4027" s="15" t="s">
        <v>10</v>
      </c>
      <c r="J4027" s="15" t="s">
        <v>10</v>
      </c>
      <c r="K4027" s="15" t="s">
        <v>10</v>
      </c>
      <c r="L4027" s="15" t="s">
        <v>10</v>
      </c>
      <c r="M4027" s="15" t="s">
        <v>10</v>
      </c>
      <c r="N4027" s="15" t="s">
        <v>10</v>
      </c>
      <c r="O4027" s="15">
        <v>1.3814852994376623</v>
      </c>
      <c r="P4027" s="15">
        <v>1.3814852994376623</v>
      </c>
      <c r="Q4027" s="8"/>
      <c r="R4027" s="9" t="s">
        <v>8293</v>
      </c>
    </row>
    <row r="4028" spans="1:18" x14ac:dyDescent="0.25">
      <c r="A4028" s="6" t="str">
        <f>HYPERLINK("proteomic_fractions_linear_files/Yang_linear_img/407260982.jpg", "407260982")</f>
        <v>407260982</v>
      </c>
      <c r="B4028" s="7"/>
      <c r="C4028" s="6" t="str">
        <f>HYPERLINK("http://www.ncbi.nlm.nih.gov/protein/407260982","LOC101056690")</f>
        <v>LOC101056690</v>
      </c>
      <c r="D4028" s="8"/>
      <c r="E4028" s="8">
        <v>13697</v>
      </c>
      <c r="F4028" s="8"/>
      <c r="G4028" s="15" t="s">
        <v>10</v>
      </c>
      <c r="H4028" s="15" t="s">
        <v>10</v>
      </c>
      <c r="I4028" s="15" t="s">
        <v>10</v>
      </c>
      <c r="J4028" s="15" t="s">
        <v>10</v>
      </c>
      <c r="K4028" s="15" t="s">
        <v>10</v>
      </c>
      <c r="L4028" s="15" t="s">
        <v>10</v>
      </c>
      <c r="M4028" s="15" t="s">
        <v>10</v>
      </c>
      <c r="N4028" s="15" t="s">
        <v>10</v>
      </c>
      <c r="O4028" s="15">
        <v>1.085452735272449</v>
      </c>
      <c r="P4028" s="15">
        <v>1.085452735272449</v>
      </c>
      <c r="Q4028" s="8"/>
      <c r="R4028" s="9" t="s">
        <v>8293</v>
      </c>
    </row>
    <row r="4029" spans="1:18" x14ac:dyDescent="0.25">
      <c r="A4029" s="6" t="str">
        <f>HYPERLINK("proteomic_fractions_linear_files/Yang_linear_img/407260984.jpg", "407260984")</f>
        <v>407260984</v>
      </c>
      <c r="B4029" s="7"/>
      <c r="C4029" s="6" t="str">
        <f>HYPERLINK("http://www.ncbi.nlm.nih.gov/protein/407260984","LOC101056690")</f>
        <v>LOC101056690</v>
      </c>
      <c r="D4029" s="8"/>
      <c r="E4029" s="8">
        <v>6671</v>
      </c>
      <c r="F4029" s="8"/>
      <c r="G4029" s="15" t="s">
        <v>10</v>
      </c>
      <c r="H4029" s="15" t="s">
        <v>10</v>
      </c>
      <c r="I4029" s="15" t="s">
        <v>10</v>
      </c>
      <c r="J4029" s="15" t="s">
        <v>10</v>
      </c>
      <c r="K4029" s="15" t="s">
        <v>10</v>
      </c>
      <c r="L4029" s="15" t="s">
        <v>10</v>
      </c>
      <c r="M4029" s="15" t="s">
        <v>10</v>
      </c>
      <c r="N4029" s="15" t="s">
        <v>10</v>
      </c>
      <c r="O4029" s="15">
        <v>2.170905470544898</v>
      </c>
      <c r="P4029" s="15">
        <v>2.170905470544898</v>
      </c>
      <c r="Q4029" s="8"/>
      <c r="R4029" s="9" t="s">
        <v>8293</v>
      </c>
    </row>
    <row r="4030" spans="1:18" x14ac:dyDescent="0.25">
      <c r="A4030" s="6" t="str">
        <f>HYPERLINK("proteomic_fractions_linear_files/Yang_linear_img/377834539.jpg", "377834539")</f>
        <v>377834539</v>
      </c>
      <c r="B4030" s="7"/>
      <c r="C4030" s="6" t="str">
        <f>HYPERLINK("http://www.ncbi.nlm.nih.gov/protein/377834539","LOC215866")</f>
        <v>LOC215866</v>
      </c>
      <c r="D4030" s="8"/>
      <c r="E4030" s="8">
        <v>42385</v>
      </c>
      <c r="F4030" s="8"/>
      <c r="G4030" s="15">
        <v>0.62262519322440479</v>
      </c>
      <c r="H4030" s="15">
        <v>0.62262519322440479</v>
      </c>
      <c r="I4030" s="15">
        <v>0.41833189917521352</v>
      </c>
      <c r="J4030" s="15">
        <v>0.41833189917521352</v>
      </c>
      <c r="K4030" s="15">
        <v>0.4403642658229544</v>
      </c>
      <c r="L4030" s="15">
        <v>0.4403642658229544</v>
      </c>
      <c r="M4030" s="15">
        <v>0.41833189917521352</v>
      </c>
      <c r="N4030" s="15">
        <v>0.41833189917521352</v>
      </c>
      <c r="O4030" s="15" t="s">
        <v>10</v>
      </c>
      <c r="P4030" s="15" t="s">
        <v>10</v>
      </c>
      <c r="Q4030" s="8"/>
      <c r="R4030" s="9" t="s">
        <v>8159</v>
      </c>
    </row>
    <row r="4031" spans="1:18" x14ac:dyDescent="0.25">
      <c r="A4031" s="6" t="str">
        <f>HYPERLINK("proteomic_fractions_linear_files/Yang_linear_img/407263623.jpg", "407263623")</f>
        <v>407263623</v>
      </c>
      <c r="B4031" s="7"/>
      <c r="C4031" s="6" t="str">
        <f>HYPERLINK("http://www.ncbi.nlm.nih.gov/protein/407263623","LOC215866")</f>
        <v>LOC215866</v>
      </c>
      <c r="D4031" s="8"/>
      <c r="E4031" s="8">
        <v>53267</v>
      </c>
      <c r="F4031" s="8"/>
      <c r="G4031" s="15">
        <v>0.49340109651745284</v>
      </c>
      <c r="H4031" s="15">
        <v>0.49340109651745284</v>
      </c>
      <c r="I4031" s="15">
        <v>0.33150829745960314</v>
      </c>
      <c r="J4031" s="15">
        <v>0.33150829745960314</v>
      </c>
      <c r="K4031" s="15">
        <v>0.3489679087653601</v>
      </c>
      <c r="L4031" s="15">
        <v>0.3489679087653601</v>
      </c>
      <c r="M4031" s="15">
        <v>0.33150829745960314</v>
      </c>
      <c r="N4031" s="15">
        <v>0.33150829745960314</v>
      </c>
      <c r="O4031" s="15" t="s">
        <v>10</v>
      </c>
      <c r="P4031" s="15" t="s">
        <v>10</v>
      </c>
      <c r="Q4031" s="8"/>
      <c r="R4031" s="9" t="s">
        <v>8159</v>
      </c>
    </row>
    <row r="4032" spans="1:18" x14ac:dyDescent="0.25">
      <c r="A4032" s="6" t="str">
        <f>HYPERLINK("proteomic_fractions_linear_files/Yang_linear_img/82975294.jpg", "82975294")</f>
        <v>82975294</v>
      </c>
      <c r="B4032" s="7"/>
      <c r="C4032" s="6" t="str">
        <f>HYPERLINK("http://www.ncbi.nlm.nih.gov/protein/82975294","LOC386400")</f>
        <v>LOC386400</v>
      </c>
      <c r="D4032" s="8"/>
      <c r="E4032" s="8">
        <v>30291</v>
      </c>
      <c r="F4032" s="8"/>
      <c r="G4032" s="15" t="s">
        <v>10</v>
      </c>
      <c r="H4032" s="15" t="s">
        <v>10</v>
      </c>
      <c r="I4032" s="15">
        <v>0.93060704325606869</v>
      </c>
      <c r="J4032" s="15">
        <v>0.93060704325606869</v>
      </c>
      <c r="K4032" s="15">
        <v>0.99618022972377107</v>
      </c>
      <c r="L4032" s="15">
        <v>0.99618022972377107</v>
      </c>
      <c r="M4032" s="15">
        <v>0.93060704325606869</v>
      </c>
      <c r="N4032" s="15">
        <v>0.93060704325606869</v>
      </c>
      <c r="O4032" s="15">
        <v>0.87167527051416671</v>
      </c>
      <c r="P4032" s="15">
        <v>0.87167527051416671</v>
      </c>
      <c r="Q4032" s="8"/>
      <c r="R4032" s="9" t="s">
        <v>8294</v>
      </c>
    </row>
    <row r="4033" spans="1:18" x14ac:dyDescent="0.25">
      <c r="A4033" s="6" t="str">
        <f>HYPERLINK("proteomic_fractions_linear_files/Yang_linear_img/407261848.jpg", "407261848")</f>
        <v>407261848</v>
      </c>
      <c r="B4033" s="7"/>
      <c r="C4033" s="6" t="str">
        <f>HYPERLINK("http://www.ncbi.nlm.nih.gov/protein/407261848","LOC434624")</f>
        <v>LOC434624</v>
      </c>
      <c r="D4033" s="8"/>
      <c r="E4033" s="8">
        <v>23795</v>
      </c>
      <c r="F4033" s="8"/>
      <c r="G4033" s="15">
        <v>1.2452252871547138</v>
      </c>
      <c r="H4033" s="15">
        <v>1.2452252871547138</v>
      </c>
      <c r="I4033" s="15">
        <v>0.90815592794494793</v>
      </c>
      <c r="J4033" s="15">
        <v>0.90815592794494793</v>
      </c>
      <c r="K4033" s="15">
        <v>17.043481572476658</v>
      </c>
      <c r="L4033" s="15">
        <v>17.043481572476658</v>
      </c>
      <c r="M4033" s="15">
        <v>24.728866902887674</v>
      </c>
      <c r="N4033" s="15">
        <v>0.69651977169195922</v>
      </c>
      <c r="O4033" s="15" t="s">
        <v>10</v>
      </c>
      <c r="P4033" s="15" t="s">
        <v>10</v>
      </c>
      <c r="Q4033" s="8"/>
      <c r="R4033" s="9" t="s">
        <v>8102</v>
      </c>
    </row>
    <row r="4034" spans="1:18" x14ac:dyDescent="0.25">
      <c r="A4034" s="6" t="str">
        <f>HYPERLINK("proteomic_fractions_linear_files/Yang_linear_img/377834670.jpg", "377834670")</f>
        <v>377834670</v>
      </c>
      <c r="B4034" s="7"/>
      <c r="C4034" s="6" t="str">
        <f>HYPERLINK("http://www.ncbi.nlm.nih.gov/protein/377834670","LOC547349")</f>
        <v>LOC547349</v>
      </c>
      <c r="D4034" s="8"/>
      <c r="E4034" s="8">
        <v>47873</v>
      </c>
      <c r="F4034" s="8"/>
      <c r="G4034" s="15" t="s">
        <v>10</v>
      </c>
      <c r="H4034" s="15" t="s">
        <v>10</v>
      </c>
      <c r="I4034" s="15" t="s">
        <v>10</v>
      </c>
      <c r="J4034" s="15" t="s">
        <v>10</v>
      </c>
      <c r="K4034" s="15">
        <v>1.006041158008651</v>
      </c>
      <c r="L4034" s="15">
        <v>1.006041158008651</v>
      </c>
      <c r="M4034" s="15" t="s">
        <v>10</v>
      </c>
      <c r="N4034" s="15" t="s">
        <v>10</v>
      </c>
      <c r="O4034" s="15" t="s">
        <v>10</v>
      </c>
      <c r="P4034" s="15" t="s">
        <v>10</v>
      </c>
      <c r="Q4034" s="8"/>
      <c r="R4034" s="9" t="s">
        <v>8295</v>
      </c>
    </row>
    <row r="4035" spans="1:18" x14ac:dyDescent="0.25">
      <c r="A4035" s="6" t="str">
        <f>HYPERLINK("proteomic_fractions_linear_files/Yang_linear_img/68534959.jpg", "68534959")</f>
        <v>68534959</v>
      </c>
      <c r="B4035" s="7"/>
      <c r="C4035" s="6" t="str">
        <f>HYPERLINK("http://www.ncbi.nlm.nih.gov/protein/68534959","LOC547349")</f>
        <v>LOC547349</v>
      </c>
      <c r="D4035" s="8"/>
      <c r="E4035" s="8">
        <v>40452</v>
      </c>
      <c r="F4035" s="8"/>
      <c r="G4035" s="15" t="s">
        <v>10</v>
      </c>
      <c r="H4035" s="15" t="s">
        <v>10</v>
      </c>
      <c r="I4035" s="15" t="s">
        <v>10</v>
      </c>
      <c r="J4035" s="15" t="s">
        <v>10</v>
      </c>
      <c r="K4035" s="15">
        <v>1.2072493896103813</v>
      </c>
      <c r="L4035" s="15">
        <v>1.2072493896103813</v>
      </c>
      <c r="M4035" s="15" t="s">
        <v>10</v>
      </c>
      <c r="N4035" s="15" t="s">
        <v>10</v>
      </c>
      <c r="O4035" s="15" t="s">
        <v>10</v>
      </c>
      <c r="P4035" s="15" t="s">
        <v>10</v>
      </c>
      <c r="Q4035" s="8"/>
      <c r="R4035" s="9" t="s">
        <v>3612</v>
      </c>
    </row>
    <row r="4036" spans="1:18" x14ac:dyDescent="0.25">
      <c r="A4036" s="6" t="str">
        <f>HYPERLINK("proteomic_fractions_linear_files/Yang_linear_img/407262567.jpg", "407262567")</f>
        <v>407262567</v>
      </c>
      <c r="B4036" s="7"/>
      <c r="C4036" s="6" t="str">
        <f>HYPERLINK("http://www.ncbi.nlm.nih.gov/protein/407262567","LOC630855")</f>
        <v>LOC630855</v>
      </c>
      <c r="D4036" s="8"/>
      <c r="E4036" s="8">
        <v>23129</v>
      </c>
      <c r="F4036" s="8"/>
      <c r="G4036" s="15">
        <v>1.0676008962294312</v>
      </c>
      <c r="H4036" s="15">
        <v>1.0676008962294312</v>
      </c>
      <c r="I4036" s="15">
        <v>0.7639104245808247</v>
      </c>
      <c r="J4036" s="15">
        <v>0.7639104245808247</v>
      </c>
      <c r="K4036" s="15">
        <v>0.80414344193756893</v>
      </c>
      <c r="L4036" s="15">
        <v>0.80414344193756893</v>
      </c>
      <c r="M4036" s="15">
        <v>0.84787607947979449</v>
      </c>
      <c r="N4036" s="15">
        <v>0.84787607947979449</v>
      </c>
      <c r="O4036" s="15" t="s">
        <v>10</v>
      </c>
      <c r="P4036" s="15" t="s">
        <v>10</v>
      </c>
      <c r="Q4036" s="8"/>
      <c r="R4036" s="9" t="s">
        <v>8296</v>
      </c>
    </row>
    <row r="4037" spans="1:18" x14ac:dyDescent="0.25">
      <c r="A4037" s="6" t="str">
        <f>HYPERLINK("proteomic_fractions_linear_files/Yang_linear_img/82916992.jpg", "82916992")</f>
        <v>82916992</v>
      </c>
      <c r="B4037" s="7"/>
      <c r="C4037" s="6" t="str">
        <f>HYPERLINK("http://www.ncbi.nlm.nih.gov/protein/82916992","LOC631033")</f>
        <v>LOC631033</v>
      </c>
      <c r="D4037" s="8"/>
      <c r="E4037" s="8">
        <v>67623</v>
      </c>
      <c r="F4037" s="8"/>
      <c r="G4037" s="15">
        <v>1.3965879585674192</v>
      </c>
      <c r="H4037" s="15">
        <v>1.3965879585674192</v>
      </c>
      <c r="I4037" s="15">
        <v>1.0799435329659153</v>
      </c>
      <c r="J4037" s="15">
        <v>1.0799435329659153</v>
      </c>
      <c r="K4037" s="15">
        <v>1.222039095193292</v>
      </c>
      <c r="L4037" s="15">
        <v>1.222039095193292</v>
      </c>
      <c r="M4037" s="15">
        <v>1.222039095193292</v>
      </c>
      <c r="N4037" s="15">
        <v>1.222039095193292</v>
      </c>
      <c r="O4037" s="15">
        <v>1.0799435329659153</v>
      </c>
      <c r="P4037" s="15">
        <v>1.0799435329659153</v>
      </c>
      <c r="Q4037" s="8"/>
      <c r="R4037" s="9" t="s">
        <v>8297</v>
      </c>
    </row>
    <row r="4038" spans="1:18" x14ac:dyDescent="0.25">
      <c r="A4038" s="6" t="str">
        <f>HYPERLINK("proteomic_fractions_linear_files/Yang_linear_img/82913708.jpg", "82913708")</f>
        <v>82913708</v>
      </c>
      <c r="B4038" s="7"/>
      <c r="C4038" s="6" t="str">
        <f>HYPERLINK("http://www.ncbi.nlm.nih.gov/protein/82913708","LOC631040")</f>
        <v>LOC631040</v>
      </c>
      <c r="D4038" s="8"/>
      <c r="E4038" s="8">
        <v>12842</v>
      </c>
      <c r="F4038" s="8"/>
      <c r="G4038" s="15">
        <v>1.5000884483104058</v>
      </c>
      <c r="H4038" s="15">
        <v>1.5000884483104058</v>
      </c>
      <c r="I4038" s="15">
        <v>1.0228510786924256</v>
      </c>
      <c r="J4038" s="15">
        <v>1.0228510786924256</v>
      </c>
      <c r="K4038" s="15">
        <v>1.0228510786924256</v>
      </c>
      <c r="L4038" s="15">
        <v>1.0228510786924256</v>
      </c>
      <c r="M4038" s="15" t="s">
        <v>10</v>
      </c>
      <c r="N4038" s="15" t="s">
        <v>10</v>
      </c>
      <c r="O4038" s="15" t="s">
        <v>10</v>
      </c>
      <c r="P4038" s="15" t="s">
        <v>10</v>
      </c>
      <c r="Q4038" s="8"/>
      <c r="R4038" s="9" t="s">
        <v>8151</v>
      </c>
    </row>
    <row r="4039" spans="1:18" x14ac:dyDescent="0.25">
      <c r="A4039" s="6" t="str">
        <f>HYPERLINK("proteomic_fractions_linear_files/Yang_linear_img/407261777.jpg", "407261777")</f>
        <v>407261777</v>
      </c>
      <c r="B4039" s="7"/>
      <c r="C4039" s="6" t="str">
        <f>HYPERLINK("http://www.ncbi.nlm.nih.gov/protein/407261777","LOC631286")</f>
        <v>LOC631286</v>
      </c>
      <c r="D4039" s="8"/>
      <c r="E4039" s="8">
        <v>18061</v>
      </c>
      <c r="F4039" s="8"/>
      <c r="G4039" s="15">
        <v>1.3641567007376065</v>
      </c>
      <c r="H4039" s="15">
        <v>1.3641567007376065</v>
      </c>
      <c r="I4039" s="15">
        <v>0.97610776474216487</v>
      </c>
      <c r="J4039" s="15">
        <v>0.97610776474216487</v>
      </c>
      <c r="K4039" s="15">
        <v>0.97610776474216487</v>
      </c>
      <c r="L4039" s="15">
        <v>0.97610776474216487</v>
      </c>
      <c r="M4039" s="15">
        <v>0.97610776474216487</v>
      </c>
      <c r="N4039" s="15">
        <v>0.97610776474216487</v>
      </c>
      <c r="O4039" s="15">
        <v>0.9286930289226123</v>
      </c>
      <c r="P4039" s="15">
        <v>0.9286930289226123</v>
      </c>
      <c r="Q4039" s="8"/>
      <c r="R4039" s="9" t="s">
        <v>8298</v>
      </c>
    </row>
    <row r="4040" spans="1:18" x14ac:dyDescent="0.25">
      <c r="A4040" s="6" t="str">
        <f>HYPERLINK("proteomic_fractions_linear_files/Yang_linear_img/82892305.jpg", "82892305")</f>
        <v>82892305</v>
      </c>
      <c r="B4040" s="7"/>
      <c r="C4040" s="6" t="str">
        <f>HYPERLINK("http://www.ncbi.nlm.nih.gov/protein/82892305","LOC631287")</f>
        <v>LOC631287</v>
      </c>
      <c r="D4040" s="8"/>
      <c r="E4040" s="8">
        <v>15725</v>
      </c>
      <c r="F4040" s="8"/>
      <c r="G4040" s="15" t="s">
        <v>10</v>
      </c>
      <c r="H4040" s="15" t="s">
        <v>10</v>
      </c>
      <c r="I4040" s="15">
        <v>0.79670120887110163</v>
      </c>
      <c r="J4040" s="15">
        <v>0.79670120887110163</v>
      </c>
      <c r="K4040" s="15">
        <v>0.99546511144886096</v>
      </c>
      <c r="L4040" s="15">
        <v>0.99546511144886096</v>
      </c>
      <c r="M4040" s="15">
        <v>0.79670120887110163</v>
      </c>
      <c r="N4040" s="15">
        <v>0.79670120887110163</v>
      </c>
      <c r="O4040" s="15" t="s">
        <v>10</v>
      </c>
      <c r="P4040" s="15" t="s">
        <v>10</v>
      </c>
      <c r="Q4040" s="8"/>
      <c r="R4040" s="9" t="s">
        <v>8125</v>
      </c>
    </row>
    <row r="4041" spans="1:18" x14ac:dyDescent="0.25">
      <c r="A4041" s="6" t="str">
        <f>HYPERLINK("proteomic_fractions_linear_files/Yang_linear_img/82918783.jpg", "82918783")</f>
        <v>82918783</v>
      </c>
      <c r="B4041" s="7"/>
      <c r="C4041" s="6" t="str">
        <f>HYPERLINK("http://www.ncbi.nlm.nih.gov/protein/82918783","LOC631966")</f>
        <v>LOC631966</v>
      </c>
      <c r="D4041" s="8"/>
      <c r="E4041" s="8">
        <v>12567</v>
      </c>
      <c r="F4041" s="8"/>
      <c r="G4041" s="15">
        <v>1.0228510786924256</v>
      </c>
      <c r="H4041" s="15">
        <v>1.0228510786924256</v>
      </c>
      <c r="I4041" s="15">
        <v>1.068142346148973</v>
      </c>
      <c r="J4041" s="15">
        <v>1.0228510786924256</v>
      </c>
      <c r="K4041" s="15">
        <v>1.1167287478361805</v>
      </c>
      <c r="L4041" s="15">
        <v>1.1167287478361805</v>
      </c>
      <c r="M4041" s="15">
        <v>1.1167287478361805</v>
      </c>
      <c r="N4041" s="15">
        <v>1.1167287478361805</v>
      </c>
      <c r="O4041" s="15">
        <v>1.0228510786924256</v>
      </c>
      <c r="P4041" s="15">
        <v>1.0228510786924256</v>
      </c>
      <c r="Q4041" s="8"/>
      <c r="R4041" s="9" t="s">
        <v>8129</v>
      </c>
    </row>
    <row r="4042" spans="1:18" x14ac:dyDescent="0.25">
      <c r="A4042" s="6" t="str">
        <f>HYPERLINK("proteomic_fractions_linear_files/Yang_linear_img/149253567.jpg", "149253567")</f>
        <v>149253567</v>
      </c>
      <c r="B4042" s="7"/>
      <c r="C4042" s="6" t="str">
        <f>HYPERLINK("http://www.ncbi.nlm.nih.gov/protein/149253567","LOC632465")</f>
        <v>LOC632465</v>
      </c>
      <c r="D4042" s="8"/>
      <c r="E4042" s="8">
        <v>12575</v>
      </c>
      <c r="F4042" s="8"/>
      <c r="G4042" s="15" t="s">
        <v>10</v>
      </c>
      <c r="H4042" s="15" t="s">
        <v>10</v>
      </c>
      <c r="I4042" s="15" t="s">
        <v>10</v>
      </c>
      <c r="J4042" s="15" t="s">
        <v>10</v>
      </c>
      <c r="K4042" s="15" t="s">
        <v>10</v>
      </c>
      <c r="L4042" s="15" t="s">
        <v>10</v>
      </c>
      <c r="M4042" s="15">
        <v>1.1689490995241758</v>
      </c>
      <c r="N4042" s="15">
        <v>1.1689490995241758</v>
      </c>
      <c r="O4042" s="15">
        <v>1.1167287478361805</v>
      </c>
      <c r="P4042" s="15">
        <v>1.1167287478361805</v>
      </c>
      <c r="Q4042" s="8"/>
      <c r="R4042" s="9" t="s">
        <v>8299</v>
      </c>
    </row>
    <row r="4043" spans="1:18" x14ac:dyDescent="0.25">
      <c r="A4043" s="6" t="str">
        <f>HYPERLINK("proteomic_fractions_linear_files/Yang_linear_img/82935644.jpg", "82935644")</f>
        <v>82935644</v>
      </c>
      <c r="B4043" s="7"/>
      <c r="C4043" s="6" t="str">
        <f>HYPERLINK("http://www.ncbi.nlm.nih.gov/protein/82935644","LOC633406")</f>
        <v>LOC633406</v>
      </c>
      <c r="D4043" s="8"/>
      <c r="E4043" s="8">
        <v>23240</v>
      </c>
      <c r="F4043" s="8"/>
      <c r="G4043" s="15" t="s">
        <v>10</v>
      </c>
      <c r="H4043" s="15" t="s">
        <v>10</v>
      </c>
      <c r="I4043" s="15" t="s">
        <v>10</v>
      </c>
      <c r="J4043" s="15" t="s">
        <v>10</v>
      </c>
      <c r="K4043" s="15">
        <v>0.94764096829038047</v>
      </c>
      <c r="L4043" s="15">
        <v>0.94764096829038047</v>
      </c>
      <c r="M4043" s="15">
        <v>0.94764096829038047</v>
      </c>
      <c r="N4043" s="15">
        <v>0.94764096829038047</v>
      </c>
      <c r="O4043" s="15" t="s">
        <v>10</v>
      </c>
      <c r="P4043" s="15" t="s">
        <v>10</v>
      </c>
      <c r="Q4043" s="8"/>
      <c r="R4043" s="9" t="s">
        <v>8300</v>
      </c>
    </row>
    <row r="4044" spans="1:18" x14ac:dyDescent="0.25">
      <c r="A4044" s="6" t="str">
        <f>HYPERLINK("proteomic_fractions_linear_files/Yang_linear_img/83013315.jpg", "83013315")</f>
        <v>83013315</v>
      </c>
      <c r="B4044" s="7"/>
      <c r="C4044" s="6" t="str">
        <f>HYPERLINK("http://www.ncbi.nlm.nih.gov/protein/83013315","LOC634339")</f>
        <v>LOC634339</v>
      </c>
      <c r="D4044" s="8"/>
      <c r="E4044" s="8">
        <v>18396</v>
      </c>
      <c r="F4044" s="8"/>
      <c r="G4044" s="15">
        <v>1.3641567007376065</v>
      </c>
      <c r="H4044" s="15">
        <v>1.3641567007376065</v>
      </c>
      <c r="I4044" s="15">
        <v>1.1443022881475706</v>
      </c>
      <c r="J4044" s="15">
        <v>1.1443022881475706</v>
      </c>
      <c r="K4044" s="15">
        <v>1.1443022881475706</v>
      </c>
      <c r="L4044" s="15">
        <v>1.1443022881475706</v>
      </c>
      <c r="M4044" s="15">
        <v>1.1443022881475706</v>
      </c>
      <c r="N4044" s="15">
        <v>1.1443022881475706</v>
      </c>
      <c r="O4044" s="15" t="s">
        <v>10</v>
      </c>
      <c r="P4044" s="15" t="s">
        <v>10</v>
      </c>
      <c r="Q4044" s="8"/>
      <c r="R4044" s="9" t="s">
        <v>8053</v>
      </c>
    </row>
    <row r="4045" spans="1:18" x14ac:dyDescent="0.25">
      <c r="A4045" s="6" t="str">
        <f>HYPERLINK("proteomic_fractions_linear_files/Yang_linear_img/82916356.jpg", "82916356")</f>
        <v>82916356</v>
      </c>
      <c r="B4045" s="7"/>
      <c r="C4045" s="6" t="str">
        <f>HYPERLINK("http://www.ncbi.nlm.nih.gov/protein/82916356","LOC634555")</f>
        <v>LOC634555</v>
      </c>
      <c r="D4045" s="8"/>
      <c r="E4045" s="8">
        <v>36610</v>
      </c>
      <c r="F4045" s="8"/>
      <c r="G4045" s="15">
        <v>1.1925834931612289</v>
      </c>
      <c r="H4045" s="15">
        <v>1.1925834931612289</v>
      </c>
      <c r="I4045" s="15" t="s">
        <v>10</v>
      </c>
      <c r="J4045" s="15" t="s">
        <v>10</v>
      </c>
      <c r="K4045" s="15" t="s">
        <v>10</v>
      </c>
      <c r="L4045" s="15" t="s">
        <v>10</v>
      </c>
      <c r="M4045" s="15" t="s">
        <v>10</v>
      </c>
      <c r="N4045" s="15" t="s">
        <v>10</v>
      </c>
      <c r="O4045" s="15" t="s">
        <v>10</v>
      </c>
      <c r="P4045" s="15" t="s">
        <v>10</v>
      </c>
      <c r="Q4045" s="8"/>
      <c r="R4045" s="9" t="s">
        <v>8301</v>
      </c>
    </row>
    <row r="4046" spans="1:18" x14ac:dyDescent="0.25">
      <c r="A4046" s="6" t="str">
        <f>HYPERLINK("proteomic_fractions_linear_files/Yang_linear_img/82931574.jpg", "82931574")</f>
        <v>82931574</v>
      </c>
      <c r="B4046" s="7"/>
      <c r="C4046" s="6" t="str">
        <f>HYPERLINK("http://www.ncbi.nlm.nih.gov/protein/82931574","LOC635999")</f>
        <v>LOC635999</v>
      </c>
      <c r="D4046" s="8"/>
      <c r="E4046" s="8">
        <v>13684</v>
      </c>
      <c r="F4046" s="8"/>
      <c r="G4046" s="15">
        <v>1.0369624087050249</v>
      </c>
      <c r="H4046" s="15">
        <v>1.0369624087050249</v>
      </c>
      <c r="I4046" s="15">
        <v>1.085452735272449</v>
      </c>
      <c r="J4046" s="15">
        <v>1.085452735272449</v>
      </c>
      <c r="K4046" s="15">
        <v>1.085452735272449</v>
      </c>
      <c r="L4046" s="15">
        <v>1.085452735272449</v>
      </c>
      <c r="M4046" s="15">
        <v>1.085452735272449</v>
      </c>
      <c r="N4046" s="15">
        <v>1.085452735272449</v>
      </c>
      <c r="O4046" s="15">
        <v>1.0369624087050249</v>
      </c>
      <c r="P4046" s="15">
        <v>1.0369624087050249</v>
      </c>
      <c r="Q4046" s="8"/>
      <c r="R4046" s="9" t="s">
        <v>8155</v>
      </c>
    </row>
    <row r="4047" spans="1:18" x14ac:dyDescent="0.25">
      <c r="A4047" s="6" t="str">
        <f>HYPERLINK("proteomic_fractions_linear_files/Yang_linear_img/82905443.jpg", "82905443")</f>
        <v>82905443</v>
      </c>
      <c r="B4047" s="7"/>
      <c r="C4047" s="6" t="str">
        <f>HYPERLINK("http://www.ncbi.nlm.nih.gov/protein/82905443","LOC636901")</f>
        <v>LOC636901</v>
      </c>
      <c r="D4047" s="8"/>
      <c r="E4047" s="8">
        <v>32826</v>
      </c>
      <c r="F4047" s="8"/>
      <c r="G4047" s="15">
        <v>1.1315553461552907</v>
      </c>
      <c r="H4047" s="15">
        <v>1.1315553461552907</v>
      </c>
      <c r="I4047" s="15">
        <v>1.2274944910067498</v>
      </c>
      <c r="J4047" s="15">
        <v>1.2274944910067498</v>
      </c>
      <c r="K4047" s="15">
        <v>1.3371390680898627</v>
      </c>
      <c r="L4047" s="15">
        <v>1.3371390680898627</v>
      </c>
      <c r="M4047" s="15">
        <v>1.2274944910067498</v>
      </c>
      <c r="N4047" s="15">
        <v>1.2274944910067498</v>
      </c>
      <c r="O4047" s="15">
        <v>1.1315553461552907</v>
      </c>
      <c r="P4047" s="15">
        <v>1.1315553461552907</v>
      </c>
      <c r="Q4047" s="8"/>
      <c r="R4047" s="9" t="s">
        <v>8302</v>
      </c>
    </row>
    <row r="4048" spans="1:18" x14ac:dyDescent="0.25">
      <c r="A4048" s="6" t="str">
        <f>HYPERLINK("proteomic_fractions_linear_files/Yang_linear_img/82898629.jpg", "82898629")</f>
        <v>82898629</v>
      </c>
      <c r="B4048" s="7"/>
      <c r="C4048" s="6" t="str">
        <f>HYPERLINK("http://www.ncbi.nlm.nih.gov/protein/82898629","LOC637553")</f>
        <v>LOC637553</v>
      </c>
      <c r="D4048" s="8"/>
      <c r="E4048" s="8">
        <v>12303</v>
      </c>
      <c r="F4048" s="8"/>
      <c r="G4048" s="15">
        <v>1.209789476822529</v>
      </c>
      <c r="H4048" s="15">
        <v>1.209789476822529</v>
      </c>
      <c r="I4048" s="15">
        <v>1.2663615244845239</v>
      </c>
      <c r="J4048" s="15">
        <v>1.2663615244845239</v>
      </c>
      <c r="K4048" s="15">
        <v>1.327286815265148</v>
      </c>
      <c r="L4048" s="15">
        <v>1.327286815265148</v>
      </c>
      <c r="M4048" s="15">
        <v>1.2663615244845239</v>
      </c>
      <c r="N4048" s="15">
        <v>1.2663615244845239</v>
      </c>
      <c r="O4048" s="15" t="s">
        <v>10</v>
      </c>
      <c r="P4048" s="15" t="s">
        <v>10</v>
      </c>
      <c r="Q4048" s="8"/>
      <c r="R4048" s="9" t="s">
        <v>8119</v>
      </c>
    </row>
    <row r="4049" spans="1:18" x14ac:dyDescent="0.25">
      <c r="A4049" s="6" t="str">
        <f>HYPERLINK("proteomic_fractions_linear_files/Yang_linear_img/83009766.jpg", "83009766")</f>
        <v>83009766</v>
      </c>
      <c r="B4049" s="7"/>
      <c r="C4049" s="6" t="str">
        <f>HYPERLINK("http://www.ncbi.nlm.nih.gov/protein/83009766","LOC637657")</f>
        <v>LOC637657</v>
      </c>
      <c r="D4049" s="8"/>
      <c r="E4049" s="8">
        <v>13438</v>
      </c>
      <c r="F4049" s="8"/>
      <c r="G4049" s="15">
        <v>1.0228510786924256</v>
      </c>
      <c r="H4049" s="15">
        <v>1.0228510786924256</v>
      </c>
      <c r="I4049" s="15">
        <v>0.98055533399520201</v>
      </c>
      <c r="J4049" s="15">
        <v>0.98055533399520201</v>
      </c>
      <c r="K4049" s="15">
        <v>1.068142346148973</v>
      </c>
      <c r="L4049" s="15">
        <v>1.068142346148973</v>
      </c>
      <c r="M4049" s="15" t="s">
        <v>10</v>
      </c>
      <c r="N4049" s="15" t="s">
        <v>10</v>
      </c>
      <c r="O4049" s="15">
        <v>0.98055533399520201</v>
      </c>
      <c r="P4049" s="15">
        <v>0.98055533399520201</v>
      </c>
      <c r="Q4049" s="8"/>
      <c r="R4049" s="9" t="s">
        <v>8303</v>
      </c>
    </row>
    <row r="4050" spans="1:18" x14ac:dyDescent="0.25">
      <c r="A4050" s="6" t="str">
        <f>HYPERLINK("proteomic_fractions_linear_files/Yang_linear_img/83014391.jpg", "83014391")</f>
        <v>83014391</v>
      </c>
      <c r="B4050" s="7"/>
      <c r="C4050" s="6" t="str">
        <f>HYPERLINK("http://www.ncbi.nlm.nih.gov/protein/83014391","LOC637733")</f>
        <v>LOC637733</v>
      </c>
      <c r="D4050" s="8"/>
      <c r="E4050" s="8">
        <v>24475</v>
      </c>
      <c r="F4050" s="8"/>
      <c r="G4050" s="15">
        <v>1.5558886009635247</v>
      </c>
      <c r="H4050" s="15">
        <v>1.5558886009635247</v>
      </c>
      <c r="I4050" s="15">
        <v>1.0895940881427084</v>
      </c>
      <c r="J4050" s="15">
        <v>1.0895940881427084</v>
      </c>
      <c r="K4050" s="15">
        <v>1.0895940881427084</v>
      </c>
      <c r="L4050" s="15">
        <v>1.0895940881427084</v>
      </c>
      <c r="M4050" s="15">
        <v>1.1632588040700858</v>
      </c>
      <c r="N4050" s="15">
        <v>1.1632588040700858</v>
      </c>
      <c r="O4050" s="15">
        <v>1.0231175255532048</v>
      </c>
      <c r="P4050" s="15">
        <v>1.0231175255532048</v>
      </c>
      <c r="Q4050" s="8"/>
      <c r="R4050" s="9" t="s">
        <v>8105</v>
      </c>
    </row>
    <row r="4051" spans="1:18" x14ac:dyDescent="0.25">
      <c r="A4051" s="6" t="str">
        <f>HYPERLINK("proteomic_fractions_linear_files/Yang_linear_img/309263460.jpg", "309263460")</f>
        <v>309263460</v>
      </c>
      <c r="B4051" s="7"/>
      <c r="C4051" s="6" t="str">
        <f>HYPERLINK("http://www.ncbi.nlm.nih.gov/protein/309263460","LOC638236")</f>
        <v>LOC638236</v>
      </c>
      <c r="D4051" s="8"/>
      <c r="E4051" s="8">
        <v>20510</v>
      </c>
      <c r="F4051" s="8"/>
      <c r="G4051" s="15">
        <v>1.5278129931301709</v>
      </c>
      <c r="H4051" s="15">
        <v>1.5278129931301709</v>
      </c>
      <c r="I4051" s="15">
        <v>1.100455874986545</v>
      </c>
      <c r="J4051" s="15">
        <v>1.100455874986545</v>
      </c>
      <c r="K4051" s="15">
        <v>1.100455874986545</v>
      </c>
      <c r="L4051" s="15">
        <v>1.100455874986545</v>
      </c>
      <c r="M4051" s="15">
        <v>1.0378924890799406</v>
      </c>
      <c r="N4051" s="15">
        <v>1.0378924890799406</v>
      </c>
      <c r="O4051" s="15" t="s">
        <v>10</v>
      </c>
      <c r="P4051" s="15" t="s">
        <v>10</v>
      </c>
      <c r="Q4051" s="8"/>
      <c r="R4051" s="9" t="s">
        <v>8304</v>
      </c>
    </row>
    <row r="4052" spans="1:18" x14ac:dyDescent="0.25">
      <c r="A4052" s="6" t="str">
        <f>HYPERLINK("proteomic_fractions_linear_files/Yang_linear_img/82898755.jpg", "82898755")</f>
        <v>82898755</v>
      </c>
      <c r="B4052" s="7"/>
      <c r="C4052" s="6" t="str">
        <f>HYPERLINK("http://www.ncbi.nlm.nih.gov/protein/82898755","LOC638399")</f>
        <v>LOC638399</v>
      </c>
      <c r="D4052" s="8"/>
      <c r="E4052" s="8">
        <v>14204</v>
      </c>
      <c r="F4052" s="8"/>
      <c r="G4052" s="15">
        <v>1.6506838124798175</v>
      </c>
      <c r="H4052" s="15">
        <v>1.6506838124798175</v>
      </c>
      <c r="I4052" s="15">
        <v>1.085452735272449</v>
      </c>
      <c r="J4052" s="15">
        <v>1.085452735272449</v>
      </c>
      <c r="K4052" s="15">
        <v>1.1376744130844125</v>
      </c>
      <c r="L4052" s="15">
        <v>1.1376744130844125</v>
      </c>
      <c r="M4052" s="15">
        <v>1.1376744130844125</v>
      </c>
      <c r="N4052" s="15">
        <v>1.1376744130844125</v>
      </c>
      <c r="O4052" s="15">
        <v>1.085452735272449</v>
      </c>
      <c r="P4052" s="15">
        <v>1.085452735272449</v>
      </c>
      <c r="Q4052" s="8"/>
      <c r="R4052" s="9" t="s">
        <v>8305</v>
      </c>
    </row>
    <row r="4053" spans="1:18" x14ac:dyDescent="0.25">
      <c r="A4053" s="6" t="str">
        <f>HYPERLINK("proteomic_fractions_linear_files/Yang_linear_img/377833703.jpg", "377833703")</f>
        <v>377833703</v>
      </c>
      <c r="B4053" s="7"/>
      <c r="C4053" s="6" t="str">
        <f>HYPERLINK("http://www.ncbi.nlm.nih.gov/protein/377833703","LOC639541")</f>
        <v>LOC639541</v>
      </c>
      <c r="D4053" s="8"/>
      <c r="E4053" s="8">
        <v>48703</v>
      </c>
      <c r="F4053" s="8"/>
      <c r="G4053" s="15" t="s">
        <v>10</v>
      </c>
      <c r="H4053" s="15" t="s">
        <v>10</v>
      </c>
      <c r="I4053" s="15">
        <v>0.90052222952990757</v>
      </c>
      <c r="J4053" s="15">
        <v>0.90052222952990757</v>
      </c>
      <c r="K4053" s="15">
        <v>0.90052222952990757</v>
      </c>
      <c r="L4053" s="15">
        <v>0.90052222952990757</v>
      </c>
      <c r="M4053" s="15" t="s">
        <v>10</v>
      </c>
      <c r="N4053" s="15" t="s">
        <v>10</v>
      </c>
      <c r="O4053" s="15">
        <v>0.82667996333107641</v>
      </c>
      <c r="P4053" s="15">
        <v>0.82667996333107641</v>
      </c>
      <c r="Q4053" s="8"/>
      <c r="R4053" s="9" t="s">
        <v>8306</v>
      </c>
    </row>
    <row r="4054" spans="1:18" x14ac:dyDescent="0.25">
      <c r="A4054" s="6" t="str">
        <f>HYPERLINK("proteomic_fractions_linear_files/Yang_linear_img/82885488.jpg", "82885488")</f>
        <v>82885488</v>
      </c>
      <c r="B4054" s="7"/>
      <c r="C4054" s="6" t="str">
        <f>HYPERLINK("http://www.ncbi.nlm.nih.gov/protein/82885488","LOC639905")</f>
        <v>LOC639905</v>
      </c>
      <c r="D4054" s="8"/>
      <c r="E4054" s="8">
        <v>33811</v>
      </c>
      <c r="F4054" s="8"/>
      <c r="G4054" s="15" t="s">
        <v>10</v>
      </c>
      <c r="H4054" s="15" t="s">
        <v>10</v>
      </c>
      <c r="I4054" s="15">
        <v>1.4202933995416251</v>
      </c>
      <c r="J4054" s="15">
        <v>1.4202933995416251</v>
      </c>
      <c r="K4054" s="15">
        <v>1.5623696950000316</v>
      </c>
      <c r="L4054" s="15">
        <v>1.5623696950000316</v>
      </c>
      <c r="M4054" s="15" t="s">
        <v>10</v>
      </c>
      <c r="N4054" s="15" t="s">
        <v>10</v>
      </c>
      <c r="O4054" s="15">
        <v>1.2978114484401608</v>
      </c>
      <c r="P4054" s="15">
        <v>1.2978114484401608</v>
      </c>
      <c r="Q4054" s="8"/>
      <c r="R4054" s="9" t="s">
        <v>8307</v>
      </c>
    </row>
    <row r="4055" spans="1:18" x14ac:dyDescent="0.25">
      <c r="A4055" s="6" t="str">
        <f>HYPERLINK("proteomic_fractions_linear_files/Yang_linear_img/82942326.jpg", "82942326")</f>
        <v>82942326</v>
      </c>
      <c r="B4055" s="7"/>
      <c r="C4055" s="6" t="str">
        <f>HYPERLINK("http://www.ncbi.nlm.nih.gov/protein/82942326","LOC639931")</f>
        <v>LOC639931</v>
      </c>
      <c r="D4055" s="8"/>
      <c r="E4055" s="8">
        <v>12602</v>
      </c>
      <c r="F4055" s="8"/>
      <c r="G4055" s="15" t="s">
        <v>10</v>
      </c>
      <c r="H4055" s="15" t="s">
        <v>10</v>
      </c>
      <c r="I4055" s="15" t="s">
        <v>10</v>
      </c>
      <c r="J4055" s="15" t="s">
        <v>10</v>
      </c>
      <c r="K4055" s="15" t="s">
        <v>10</v>
      </c>
      <c r="L4055" s="15" t="s">
        <v>10</v>
      </c>
      <c r="M4055" s="15">
        <v>1.1689490995241758</v>
      </c>
      <c r="N4055" s="15">
        <v>1.1689490995241758</v>
      </c>
      <c r="O4055" s="15">
        <v>1.1167287478361805</v>
      </c>
      <c r="P4055" s="15">
        <v>1.1167287478361805</v>
      </c>
      <c r="Q4055" s="8"/>
      <c r="R4055" s="9" t="s">
        <v>8299</v>
      </c>
    </row>
    <row r="4056" spans="1:18" x14ac:dyDescent="0.25">
      <c r="A4056" s="6" t="str">
        <f>HYPERLINK("proteomic_fractions_linear_files/Yang_linear_img/309264229.jpg", "309264229")</f>
        <v>309264229</v>
      </c>
      <c r="B4056" s="7"/>
      <c r="C4056" s="6" t="str">
        <f>HYPERLINK("http://www.ncbi.nlm.nih.gov/protein/309264229","LOC640611")</f>
        <v>LOC640611</v>
      </c>
      <c r="D4056" s="8"/>
      <c r="E4056" s="8">
        <v>33686</v>
      </c>
      <c r="F4056" s="8"/>
      <c r="G4056" s="15" t="s">
        <v>10</v>
      </c>
      <c r="H4056" s="15" t="s">
        <v>10</v>
      </c>
      <c r="I4056" s="15">
        <v>0.82112386169653118</v>
      </c>
      <c r="J4056" s="15">
        <v>0.82112386169653118</v>
      </c>
      <c r="K4056" s="15">
        <v>0.87898255563862149</v>
      </c>
      <c r="L4056" s="15">
        <v>0.87898255563862149</v>
      </c>
      <c r="M4056" s="15">
        <v>0.82112386169653118</v>
      </c>
      <c r="N4056" s="15">
        <v>0.82112386169653118</v>
      </c>
      <c r="O4056" s="15">
        <v>0.76912523868897065</v>
      </c>
      <c r="P4056" s="15">
        <v>0.76912523868897065</v>
      </c>
      <c r="Q4056" s="8"/>
      <c r="R4056" s="9" t="s">
        <v>8308</v>
      </c>
    </row>
    <row r="4057" spans="1:18" x14ac:dyDescent="0.25">
      <c r="A4057" s="6" t="str">
        <f>HYPERLINK("proteomic_fractions_linear_files/Yang_linear_img/309267099.jpg", "309267099")</f>
        <v>309267099</v>
      </c>
      <c r="B4057" s="7"/>
      <c r="C4057" s="6" t="str">
        <f>HYPERLINK("http://www.ncbi.nlm.nih.gov/protein/309267099","LOC640856")</f>
        <v>LOC640856</v>
      </c>
      <c r="D4057" s="8"/>
      <c r="E4057" s="8">
        <v>13120</v>
      </c>
      <c r="F4057" s="8"/>
      <c r="G4057" s="15">
        <v>2.1475547152063124</v>
      </c>
      <c r="H4057" s="15">
        <v>2.1475547152063124</v>
      </c>
      <c r="I4057" s="15">
        <v>2.1475547152063124</v>
      </c>
      <c r="J4057" s="15">
        <v>2.1475547152063124</v>
      </c>
      <c r="K4057" s="15" t="s">
        <v>10</v>
      </c>
      <c r="L4057" s="15" t="s">
        <v>10</v>
      </c>
      <c r="M4057" s="15" t="s">
        <v>10</v>
      </c>
      <c r="N4057" s="15" t="s">
        <v>10</v>
      </c>
      <c r="O4057" s="15">
        <v>2.0115583165711537</v>
      </c>
      <c r="P4057" s="15">
        <v>2.0115583165711537</v>
      </c>
      <c r="Q4057" s="8"/>
      <c r="R4057" s="9" t="s">
        <v>8309</v>
      </c>
    </row>
    <row r="4058" spans="1:18" x14ac:dyDescent="0.25">
      <c r="A4058" s="6" t="str">
        <f>HYPERLINK("proteomic_fractions_linear_files/Yang_linear_img/149274459.jpg", "149274459")</f>
        <v>149274459</v>
      </c>
      <c r="B4058" s="7"/>
      <c r="C4058" s="6" t="str">
        <f>HYPERLINK("http://www.ncbi.nlm.nih.gov/protein/149274459","LOC668643")</f>
        <v>LOC668643</v>
      </c>
      <c r="D4058" s="8"/>
      <c r="E4058" s="8">
        <v>75908</v>
      </c>
      <c r="F4058" s="8"/>
      <c r="G4058" s="15" t="s">
        <v>10</v>
      </c>
      <c r="H4058" s="15" t="s">
        <v>10</v>
      </c>
      <c r="I4058" s="15" t="s">
        <v>10</v>
      </c>
      <c r="J4058" s="15" t="s">
        <v>10</v>
      </c>
      <c r="K4058" s="15">
        <v>0.36734488549581656</v>
      </c>
      <c r="L4058" s="15">
        <v>0.36734488549581656</v>
      </c>
      <c r="M4058" s="15" t="s">
        <v>10</v>
      </c>
      <c r="N4058" s="15" t="s">
        <v>10</v>
      </c>
      <c r="O4058" s="15" t="s">
        <v>10</v>
      </c>
      <c r="P4058" s="15" t="s">
        <v>10</v>
      </c>
      <c r="Q4058" s="8"/>
      <c r="R4058" s="9" t="s">
        <v>8310</v>
      </c>
    </row>
    <row r="4059" spans="1:18" x14ac:dyDescent="0.25">
      <c r="A4059" s="6" t="str">
        <f>HYPERLINK("proteomic_fractions_linear_files/Yang_linear_img/94394659.jpg", "94394659")</f>
        <v>94394659</v>
      </c>
      <c r="B4059" s="7"/>
      <c r="C4059" s="6" t="str">
        <f>HYPERLINK("http://www.ncbi.nlm.nih.gov/protein/94394659","LOC674321")</f>
        <v>LOC674321</v>
      </c>
      <c r="D4059" s="8"/>
      <c r="E4059" s="8">
        <v>18455</v>
      </c>
      <c r="F4059" s="8"/>
      <c r="G4059" s="15">
        <v>1.2838651874843026</v>
      </c>
      <c r="H4059" s="15">
        <v>1.2838651874843026</v>
      </c>
      <c r="I4059" s="15">
        <v>0.88485787684343198</v>
      </c>
      <c r="J4059" s="15">
        <v>0.88485787684343198</v>
      </c>
      <c r="K4059" s="15" t="s">
        <v>10</v>
      </c>
      <c r="L4059" s="15" t="s">
        <v>10</v>
      </c>
      <c r="M4059" s="15" t="s">
        <v>10</v>
      </c>
      <c r="N4059" s="15" t="s">
        <v>10</v>
      </c>
      <c r="O4059" s="15" t="s">
        <v>10</v>
      </c>
      <c r="P4059" s="15" t="s">
        <v>10</v>
      </c>
      <c r="Q4059" s="8"/>
      <c r="R4059" s="9" t="s">
        <v>8311</v>
      </c>
    </row>
    <row r="4060" spans="1:18" x14ac:dyDescent="0.25">
      <c r="A4060" s="6" t="str">
        <f>HYPERLINK("proteomic_fractions_linear_files/Yang_linear_img/377833655.jpg", "377833655")</f>
        <v>377833655</v>
      </c>
      <c r="B4060" s="7"/>
      <c r="C4060" s="6" t="str">
        <f>HYPERLINK("http://www.ncbi.nlm.nih.gov/protein/377833655","LOC674595")</f>
        <v>LOC674595</v>
      </c>
      <c r="D4060" s="8"/>
      <c r="E4060" s="8">
        <v>36713</v>
      </c>
      <c r="F4060" s="8"/>
      <c r="G4060" s="15">
        <v>1.0092250384628267</v>
      </c>
      <c r="H4060" s="15">
        <v>1.0092250384628267</v>
      </c>
      <c r="I4060" s="15">
        <v>1.0947923838708851</v>
      </c>
      <c r="J4060" s="15">
        <v>1.0947923838708851</v>
      </c>
      <c r="K4060" s="15">
        <v>1.0092250384628267</v>
      </c>
      <c r="L4060" s="15">
        <v>1.0092250384628267</v>
      </c>
      <c r="M4060" s="15" t="s">
        <v>10</v>
      </c>
      <c r="N4060" s="15" t="s">
        <v>10</v>
      </c>
      <c r="O4060" s="15" t="s">
        <v>10</v>
      </c>
      <c r="P4060" s="15" t="s">
        <v>10</v>
      </c>
      <c r="Q4060" s="8"/>
      <c r="R4060" s="9" t="s">
        <v>8312</v>
      </c>
    </row>
    <row r="4061" spans="1:18" x14ac:dyDescent="0.25">
      <c r="A4061" s="6" t="str">
        <f>HYPERLINK("proteomic_fractions_linear_files/Yang_linear_img/407262183.jpg", "407262183")</f>
        <v>407262183</v>
      </c>
      <c r="B4061" s="7"/>
      <c r="C4061" s="6" t="str">
        <f>HYPERLINK("http://www.ncbi.nlm.nih.gov/protein/407262183","LOC675851")</f>
        <v>LOC675851</v>
      </c>
      <c r="D4061" s="8"/>
      <c r="E4061" s="8">
        <v>11260</v>
      </c>
      <c r="F4061" s="8"/>
      <c r="G4061" s="15">
        <v>1.8724946533323885</v>
      </c>
      <c r="H4061" s="15">
        <v>1.9814311155162501</v>
      </c>
      <c r="I4061" s="15">
        <v>1.2623500454487864</v>
      </c>
      <c r="J4061" s="15">
        <v>1.2623500454487864</v>
      </c>
      <c r="K4061" s="15">
        <v>1.3197703383518498</v>
      </c>
      <c r="L4061" s="15">
        <v>1.3197703383518498</v>
      </c>
      <c r="M4061" s="15" t="s">
        <v>10</v>
      </c>
      <c r="N4061" s="15" t="s">
        <v>10</v>
      </c>
      <c r="O4061" s="15" t="s">
        <v>10</v>
      </c>
      <c r="P4061" s="15" t="s">
        <v>10</v>
      </c>
      <c r="Q4061" s="8"/>
      <c r="R4061" s="9" t="s">
        <v>8313</v>
      </c>
    </row>
    <row r="4062" spans="1:18" x14ac:dyDescent="0.25">
      <c r="A4062" s="6" t="str">
        <f>HYPERLINK("proteomic_fractions_linear_files/Yang_linear_img/149267855.jpg", "149267855")</f>
        <v>149267855</v>
      </c>
      <c r="B4062" s="7"/>
      <c r="C4062" s="6" t="str">
        <f>HYPERLINK("http://www.ncbi.nlm.nih.gov/protein/149267855","LOC677113")</f>
        <v>LOC677113</v>
      </c>
      <c r="D4062" s="8"/>
      <c r="E4062" s="8">
        <v>15292</v>
      </c>
      <c r="F4062" s="8"/>
      <c r="G4062" s="15">
        <v>1.6369880408851278</v>
      </c>
      <c r="H4062" s="15">
        <v>1.6369880408851278</v>
      </c>
      <c r="I4062" s="15">
        <v>1.1144316347071348</v>
      </c>
      <c r="J4062" s="15">
        <v>1.1144316347071348</v>
      </c>
      <c r="K4062" s="15">
        <v>1.1144316347071348</v>
      </c>
      <c r="L4062" s="15">
        <v>1.1144316347071348</v>
      </c>
      <c r="M4062" s="15">
        <v>1.1713293176905979</v>
      </c>
      <c r="N4062" s="15">
        <v>1.1713293176905979</v>
      </c>
      <c r="O4062" s="15" t="s">
        <v>10</v>
      </c>
      <c r="P4062" s="15" t="s">
        <v>10</v>
      </c>
      <c r="Q4062" s="8"/>
      <c r="R4062" s="9" t="s">
        <v>8257</v>
      </c>
    </row>
    <row r="4063" spans="1:18" x14ac:dyDescent="0.25">
      <c r="A4063" s="6" t="str">
        <f>HYPERLINK("proteomic_fractions_linear_files/Yang_linear_img/27754073.jpg", "27754073")</f>
        <v>27754073</v>
      </c>
      <c r="B4063" s="7"/>
      <c r="C4063" s="6" t="str">
        <f>HYPERLINK("http://www.ncbi.nlm.nih.gov/protein/27754073","Loh12cr1")</f>
        <v>Loh12cr1</v>
      </c>
      <c r="D4063" s="8"/>
      <c r="E4063" s="8">
        <v>21989</v>
      </c>
      <c r="F4063" s="8"/>
      <c r="G4063" s="15" t="s">
        <v>10</v>
      </c>
      <c r="H4063" s="15" t="s">
        <v>10</v>
      </c>
      <c r="I4063" s="15">
        <v>0.99071555775812503</v>
      </c>
      <c r="J4063" s="15">
        <v>0.99071555775812503</v>
      </c>
      <c r="K4063" s="15">
        <v>0.99071555775812503</v>
      </c>
      <c r="L4063" s="15">
        <v>0.99071555775812503</v>
      </c>
      <c r="M4063" s="15" t="s">
        <v>10</v>
      </c>
      <c r="N4063" s="15" t="s">
        <v>10</v>
      </c>
      <c r="O4063" s="15">
        <v>0.99071555775812503</v>
      </c>
      <c r="P4063" s="15">
        <v>0.99071555775812503</v>
      </c>
      <c r="Q4063" s="8"/>
      <c r="R4063" s="9" t="s">
        <v>3613</v>
      </c>
    </row>
    <row r="4064" spans="1:18" x14ac:dyDescent="0.25">
      <c r="A4064" s="6" t="str">
        <f>HYPERLINK("proteomic_fractions_linear_files/Yang_linear_img/281427221.jpg", "281427221")</f>
        <v>281427221</v>
      </c>
      <c r="B4064" s="7"/>
      <c r="C4064" s="6" t="str">
        <f>HYPERLINK("http://www.ncbi.nlm.nih.gov/protein/281427221","Loh12cr1")</f>
        <v>Loh12cr1</v>
      </c>
      <c r="D4064" s="8"/>
      <c r="E4064" s="8">
        <v>22459</v>
      </c>
      <c r="F4064" s="8"/>
      <c r="G4064" s="15" t="s">
        <v>10</v>
      </c>
      <c r="H4064" s="15" t="s">
        <v>10</v>
      </c>
      <c r="I4064" s="15">
        <v>0.99071555775812503</v>
      </c>
      <c r="J4064" s="15">
        <v>0.99071555775812503</v>
      </c>
      <c r="K4064" s="15">
        <v>0.99071555775812503</v>
      </c>
      <c r="L4064" s="15">
        <v>0.99071555775812503</v>
      </c>
      <c r="M4064" s="15" t="s">
        <v>10</v>
      </c>
      <c r="N4064" s="15" t="s">
        <v>10</v>
      </c>
      <c r="O4064" s="15">
        <v>0.99071555775812503</v>
      </c>
      <c r="P4064" s="15">
        <v>0.99071555775812503</v>
      </c>
      <c r="Q4064" s="8"/>
      <c r="R4064" s="9" t="s">
        <v>3614</v>
      </c>
    </row>
    <row r="4065" spans="1:18" x14ac:dyDescent="0.25">
      <c r="A4065" s="6" t="str">
        <f>HYPERLINK("proteomic_fractions_linear_files/Yang_linear_img/116089322.jpg", "116089322")</f>
        <v>116089322</v>
      </c>
      <c r="B4065" s="7"/>
      <c r="C4065" s="6" t="str">
        <f>HYPERLINK("http://www.ncbi.nlm.nih.gov/protein/116089322","Lonp1")</f>
        <v>Lonp1</v>
      </c>
      <c r="D4065" s="8"/>
      <c r="E4065" s="8">
        <v>98862</v>
      </c>
      <c r="F4065" s="8"/>
      <c r="G4065" s="15">
        <v>1.3002184661122926</v>
      </c>
      <c r="H4065" s="15">
        <v>1.3002184661122926</v>
      </c>
      <c r="I4065" s="15">
        <v>1.1091067052639543</v>
      </c>
      <c r="J4065" s="15">
        <v>1.1091067052639543</v>
      </c>
      <c r="K4065" s="15" t="s">
        <v>10</v>
      </c>
      <c r="L4065" s="15" t="s">
        <v>10</v>
      </c>
      <c r="M4065" s="15" t="s">
        <v>10</v>
      </c>
      <c r="N4065" s="15" t="s">
        <v>10</v>
      </c>
      <c r="O4065" s="15">
        <v>1.1091067052639543</v>
      </c>
      <c r="P4065" s="15">
        <v>1.1091067052639543</v>
      </c>
      <c r="Q4065" s="8"/>
      <c r="R4065" s="9" t="s">
        <v>3615</v>
      </c>
    </row>
    <row r="4066" spans="1:18" x14ac:dyDescent="0.25">
      <c r="A4066" s="6" t="str">
        <f>HYPERLINK("proteomic_fractions_linear_files/Yang_linear_img/13385298.jpg", "13385298")</f>
        <v>13385298</v>
      </c>
      <c r="B4066" s="7"/>
      <c r="C4066" s="6" t="str">
        <f>HYPERLINK("http://www.ncbi.nlm.nih.gov/protein/13385298","Lonp2")</f>
        <v>Lonp2</v>
      </c>
      <c r="D4066" s="8"/>
      <c r="E4066" s="8">
        <v>94396</v>
      </c>
      <c r="F4066" s="8"/>
      <c r="G4066" s="15" t="s">
        <v>10</v>
      </c>
      <c r="H4066" s="15" t="s">
        <v>10</v>
      </c>
      <c r="I4066" s="15">
        <v>1.1681017427779943</v>
      </c>
      <c r="J4066" s="15">
        <v>1.1681017427779943</v>
      </c>
      <c r="K4066" s="15">
        <v>1.1681017427779943</v>
      </c>
      <c r="L4066" s="15">
        <v>1.1681017427779943</v>
      </c>
      <c r="M4066" s="15" t="s">
        <v>10</v>
      </c>
      <c r="N4066" s="15" t="s">
        <v>10</v>
      </c>
      <c r="O4066" s="15" t="s">
        <v>10</v>
      </c>
      <c r="P4066" s="15" t="s">
        <v>10</v>
      </c>
      <c r="Q4066" s="8"/>
      <c r="R4066" s="9" t="s">
        <v>3616</v>
      </c>
    </row>
    <row r="4067" spans="1:18" x14ac:dyDescent="0.25">
      <c r="A4067" s="6" t="str">
        <f>HYPERLINK("proteomic_fractions_linear_files/Yang_linear_img/274319427.jpg", "274319427")</f>
        <v>274319427</v>
      </c>
      <c r="B4067" s="7"/>
      <c r="C4067" s="6" t="str">
        <f>HYPERLINK("http://www.ncbi.nlm.nih.gov/protein/274319427","Lonp2")</f>
        <v>Lonp2</v>
      </c>
      <c r="D4067" s="8"/>
      <c r="E4067" s="8">
        <v>46718</v>
      </c>
      <c r="F4067" s="8"/>
      <c r="G4067" s="15" t="s">
        <v>10</v>
      </c>
      <c r="H4067" s="15" t="s">
        <v>10</v>
      </c>
      <c r="I4067" s="15">
        <v>2.0205953443103088</v>
      </c>
      <c r="J4067" s="15">
        <v>2.0205953443103088</v>
      </c>
      <c r="K4067" s="15">
        <v>2.3362034855559886</v>
      </c>
      <c r="L4067" s="15">
        <v>2.3362034855559886</v>
      </c>
      <c r="M4067" s="15" t="s">
        <v>10</v>
      </c>
      <c r="N4067" s="15" t="s">
        <v>10</v>
      </c>
      <c r="O4067" s="15" t="s">
        <v>10</v>
      </c>
      <c r="P4067" s="15" t="s">
        <v>10</v>
      </c>
      <c r="Q4067" s="8"/>
      <c r="R4067" s="9" t="s">
        <v>3617</v>
      </c>
    </row>
    <row r="4068" spans="1:18" x14ac:dyDescent="0.25">
      <c r="A4068" s="6" t="str">
        <f>HYPERLINK("proteomic_fractions_linear_files/Yang_linear_img/40254539.jpg", "40254539")</f>
        <v>40254539</v>
      </c>
      <c r="B4068" s="7"/>
      <c r="C4068" s="6" t="str">
        <f>HYPERLINK("http://www.ncbi.nlm.nih.gov/protein/40254539","Lpar2")</f>
        <v>Lpar2</v>
      </c>
      <c r="D4068" s="8"/>
      <c r="E4068" s="8">
        <v>38872</v>
      </c>
      <c r="F4068" s="8"/>
      <c r="G4068" s="15" t="s">
        <v>10</v>
      </c>
      <c r="H4068" s="15" t="s">
        <v>10</v>
      </c>
      <c r="I4068" s="15" t="s">
        <v>10</v>
      </c>
      <c r="J4068" s="15" t="s">
        <v>10</v>
      </c>
      <c r="K4068" s="15">
        <v>2.1307348326447144</v>
      </c>
      <c r="L4068" s="15">
        <v>2.1307348326447144</v>
      </c>
      <c r="M4068" s="15" t="s">
        <v>10</v>
      </c>
      <c r="N4068" s="15" t="s">
        <v>10</v>
      </c>
      <c r="O4068" s="15" t="s">
        <v>10</v>
      </c>
      <c r="P4068" s="15" t="s">
        <v>10</v>
      </c>
      <c r="Q4068" s="8"/>
      <c r="R4068" s="9" t="s">
        <v>3618</v>
      </c>
    </row>
    <row r="4069" spans="1:18" x14ac:dyDescent="0.25">
      <c r="A4069" s="6" t="str">
        <f>HYPERLINK("proteomic_fractions_linear_files/Yang_linear_img/148747363.jpg", "148747363")</f>
        <v>148747363</v>
      </c>
      <c r="B4069" s="7"/>
      <c r="C4069" s="6" t="str">
        <f>HYPERLINK("http://www.ncbi.nlm.nih.gov/protein/148747363","Lpcat1")</f>
        <v>Lpcat1</v>
      </c>
      <c r="D4069" s="8"/>
      <c r="E4069" s="8">
        <v>59613</v>
      </c>
      <c r="F4069" s="8"/>
      <c r="G4069" s="15">
        <v>1.0908877221757389</v>
      </c>
      <c r="H4069" s="15">
        <v>1.0908877221757389</v>
      </c>
      <c r="I4069" s="15">
        <v>0.88534282716668466</v>
      </c>
      <c r="J4069" s="15">
        <v>0.88534282716668466</v>
      </c>
      <c r="K4069" s="15">
        <v>0.97955345975989749</v>
      </c>
      <c r="L4069" s="15">
        <v>0.97955345975989749</v>
      </c>
      <c r="M4069" s="15" t="s">
        <v>10</v>
      </c>
      <c r="N4069" s="15" t="s">
        <v>10</v>
      </c>
      <c r="O4069" s="15" t="s">
        <v>10</v>
      </c>
      <c r="P4069" s="15" t="s">
        <v>10</v>
      </c>
      <c r="Q4069" s="8"/>
      <c r="R4069" s="9" t="s">
        <v>3619</v>
      </c>
    </row>
    <row r="4070" spans="1:18" x14ac:dyDescent="0.25">
      <c r="A4070" s="6" t="str">
        <f>HYPERLINK("proteomic_fractions_linear_files/Yang_linear_img/27370522.jpg", "27370522")</f>
        <v>27370522</v>
      </c>
      <c r="B4070" s="7"/>
      <c r="C4070" s="6" t="str">
        <f>HYPERLINK("http://www.ncbi.nlm.nih.gov/protein/27370522","Lpcat2")</f>
        <v>Lpcat2</v>
      </c>
      <c r="D4070" s="8"/>
      <c r="E4070" s="8">
        <v>60123</v>
      </c>
      <c r="F4070" s="8"/>
      <c r="G4070" s="15" t="s">
        <v>10</v>
      </c>
      <c r="H4070" s="15" t="s">
        <v>10</v>
      </c>
      <c r="I4070" s="15">
        <v>0.88534282716668466</v>
      </c>
      <c r="J4070" s="15">
        <v>0.88534282716668466</v>
      </c>
      <c r="K4070" s="15">
        <v>0.97955345975989749</v>
      </c>
      <c r="L4070" s="15">
        <v>0.97955345975989749</v>
      </c>
      <c r="M4070" s="15" t="s">
        <v>10</v>
      </c>
      <c r="N4070" s="15" t="s">
        <v>10</v>
      </c>
      <c r="O4070" s="15" t="s">
        <v>10</v>
      </c>
      <c r="P4070" s="15" t="s">
        <v>10</v>
      </c>
      <c r="Q4070" s="8"/>
      <c r="R4070" s="9" t="s">
        <v>3620</v>
      </c>
    </row>
    <row r="4071" spans="1:18" x14ac:dyDescent="0.25">
      <c r="A4071" s="6" t="str">
        <f>HYPERLINK("proteomic_fractions_linear_files/Yang_linear_img/21699058.jpg", "21699058")</f>
        <v>21699058</v>
      </c>
      <c r="B4071" s="7"/>
      <c r="C4071" s="6" t="str">
        <f>HYPERLINK("http://www.ncbi.nlm.nih.gov/protein/21699058","Lpcat3")</f>
        <v>Lpcat3</v>
      </c>
      <c r="D4071" s="8"/>
      <c r="E4071" s="8">
        <v>56016</v>
      </c>
      <c r="F4071" s="8"/>
      <c r="G4071" s="15" t="s">
        <v>10</v>
      </c>
      <c r="H4071" s="15" t="s">
        <v>10</v>
      </c>
      <c r="I4071" s="15">
        <v>0.6170245809013426</v>
      </c>
      <c r="J4071" s="15">
        <v>0.6170245809013426</v>
      </c>
      <c r="K4071" s="15">
        <v>0.72334496791469183</v>
      </c>
      <c r="L4071" s="15">
        <v>0.72334496791469183</v>
      </c>
      <c r="M4071" s="15" t="s">
        <v>10</v>
      </c>
      <c r="N4071" s="15" t="s">
        <v>10</v>
      </c>
      <c r="O4071" s="15" t="s">
        <v>10</v>
      </c>
      <c r="P4071" s="15" t="s">
        <v>10</v>
      </c>
      <c r="Q4071" s="8"/>
      <c r="R4071" s="9" t="s">
        <v>3621</v>
      </c>
    </row>
    <row r="4072" spans="1:18" x14ac:dyDescent="0.25">
      <c r="A4072" s="6" t="str">
        <f>HYPERLINK("proteomic_fractions_linear_files/Yang_linear_img/46402175.jpg", "46402175")</f>
        <v>46402175</v>
      </c>
      <c r="B4072" s="7"/>
      <c r="C4072" s="6" t="str">
        <f>HYPERLINK("http://www.ncbi.nlm.nih.gov/protein/46402175","Lpcat4")</f>
        <v>Lpcat4</v>
      </c>
      <c r="D4072" s="8"/>
      <c r="E4072" s="8">
        <v>57012</v>
      </c>
      <c r="F4072" s="8"/>
      <c r="G4072" s="15" t="s">
        <v>10</v>
      </c>
      <c r="H4072" s="15" t="s">
        <v>10</v>
      </c>
      <c r="I4072" s="15" t="s">
        <v>10</v>
      </c>
      <c r="J4072" s="15" t="s">
        <v>10</v>
      </c>
      <c r="K4072" s="15">
        <v>0.93193981807019433</v>
      </c>
      <c r="L4072" s="15">
        <v>0.93193981807019433</v>
      </c>
      <c r="M4072" s="15" t="s">
        <v>10</v>
      </c>
      <c r="N4072" s="15" t="s">
        <v>10</v>
      </c>
      <c r="O4072" s="15" t="s">
        <v>10</v>
      </c>
      <c r="P4072" s="15" t="s">
        <v>10</v>
      </c>
      <c r="Q4072" s="8"/>
      <c r="R4072" s="9" t="s">
        <v>3622</v>
      </c>
    </row>
    <row r="4073" spans="1:18" x14ac:dyDescent="0.25">
      <c r="A4073" s="6" t="str">
        <f>HYPERLINK("proteomic_fractions_linear_files/Yang_linear_img/198386326.jpg", "198386326")</f>
        <v>198386326</v>
      </c>
      <c r="B4073" s="7"/>
      <c r="C4073" s="6" t="str">
        <f>HYPERLINK("http://www.ncbi.nlm.nih.gov/protein/198386326","Lpgat1")</f>
        <v>Lpgat1</v>
      </c>
      <c r="D4073" s="8"/>
      <c r="E4073" s="8">
        <v>46870</v>
      </c>
      <c r="F4073" s="8"/>
      <c r="G4073" s="15">
        <v>0.93884232440352056</v>
      </c>
      <c r="H4073" s="15">
        <v>0.93884232440352056</v>
      </c>
      <c r="I4073" s="15" t="s">
        <v>10</v>
      </c>
      <c r="J4073" s="15" t="s">
        <v>10</v>
      </c>
      <c r="K4073" s="15" t="s">
        <v>10</v>
      </c>
      <c r="L4073" s="15" t="s">
        <v>10</v>
      </c>
      <c r="M4073" s="15" t="s">
        <v>10</v>
      </c>
      <c r="N4073" s="15" t="s">
        <v>10</v>
      </c>
      <c r="O4073" s="15" t="s">
        <v>10</v>
      </c>
      <c r="P4073" s="15" t="s">
        <v>10</v>
      </c>
      <c r="Q4073" s="8"/>
      <c r="R4073" s="9" t="s">
        <v>3623</v>
      </c>
    </row>
    <row r="4074" spans="1:18" x14ac:dyDescent="0.25">
      <c r="A4074" s="6" t="str">
        <f>HYPERLINK("proteomic_fractions_linear_files/Yang_linear_img/26986567.jpg", "26986567")</f>
        <v>26986567</v>
      </c>
      <c r="B4074" s="7"/>
      <c r="C4074" s="6" t="str">
        <f>HYPERLINK("http://www.ncbi.nlm.nih.gov/protein/26986567","Lpgat1")</f>
        <v>Lpgat1</v>
      </c>
      <c r="D4074" s="8"/>
      <c r="E4074" s="8">
        <v>42958</v>
      </c>
      <c r="F4074" s="8"/>
      <c r="G4074" s="15">
        <v>1.0261764941154761</v>
      </c>
      <c r="H4074" s="15">
        <v>1.0261764941154761</v>
      </c>
      <c r="I4074" s="15">
        <v>0.74614122920310666</v>
      </c>
      <c r="J4074" s="15">
        <v>0.74614122920310666</v>
      </c>
      <c r="K4074" s="15" t="s">
        <v>10</v>
      </c>
      <c r="L4074" s="15" t="s">
        <v>10</v>
      </c>
      <c r="M4074" s="15" t="s">
        <v>10</v>
      </c>
      <c r="N4074" s="15" t="s">
        <v>10</v>
      </c>
      <c r="O4074" s="15" t="s">
        <v>10</v>
      </c>
      <c r="P4074" s="15" t="s">
        <v>10</v>
      </c>
      <c r="Q4074" s="8"/>
      <c r="R4074" s="9" t="s">
        <v>3624</v>
      </c>
    </row>
    <row r="4075" spans="1:18" x14ac:dyDescent="0.25">
      <c r="A4075" s="6" t="str">
        <f>HYPERLINK("proteomic_fractions_linear_files/Yang_linear_img/124486821.jpg", "124486821")</f>
        <v>124486821</v>
      </c>
      <c r="B4075" s="7"/>
      <c r="C4075" s="6" t="str">
        <f>HYPERLINK("http://www.ncbi.nlm.nih.gov/protein/124486821","Lphn2")</f>
        <v>Lphn2</v>
      </c>
      <c r="D4075" s="8"/>
      <c r="E4075" s="8">
        <v>163848</v>
      </c>
      <c r="F4075" s="8"/>
      <c r="G4075" s="15" t="s">
        <v>10</v>
      </c>
      <c r="H4075" s="15" t="s">
        <v>10</v>
      </c>
      <c r="I4075" s="15">
        <v>0.93568823863562101</v>
      </c>
      <c r="J4075" s="15">
        <v>0.93568823863562101</v>
      </c>
      <c r="K4075" s="15">
        <v>1.1388160465850021</v>
      </c>
      <c r="L4075" s="15">
        <v>1.1388160465850021</v>
      </c>
      <c r="M4075" s="15" t="s">
        <v>10</v>
      </c>
      <c r="N4075" s="15" t="s">
        <v>10</v>
      </c>
      <c r="O4075" s="15" t="s">
        <v>10</v>
      </c>
      <c r="P4075" s="15" t="s">
        <v>10</v>
      </c>
      <c r="Q4075" s="8"/>
      <c r="R4075" s="9" t="s">
        <v>3625</v>
      </c>
    </row>
    <row r="4076" spans="1:18" x14ac:dyDescent="0.25">
      <c r="A4076" s="6" t="str">
        <f>HYPERLINK("proteomic_fractions_linear_files/Yang_linear_img/225543157.jpg", "225543157")</f>
        <v>225543157</v>
      </c>
      <c r="B4076" s="7"/>
      <c r="C4076" s="6" t="str">
        <f>HYPERLINK("http://www.ncbi.nlm.nih.gov/protein/225543157","Lpp")</f>
        <v>Lpp</v>
      </c>
      <c r="D4076" s="8"/>
      <c r="E4076" s="8">
        <v>65760</v>
      </c>
      <c r="F4076" s="8"/>
      <c r="G4076" s="15" t="s">
        <v>10</v>
      </c>
      <c r="H4076" s="15" t="s">
        <v>10</v>
      </c>
      <c r="I4076" s="15" t="s">
        <v>10</v>
      </c>
      <c r="J4076" s="15" t="s">
        <v>10</v>
      </c>
      <c r="K4076" s="15" t="s">
        <v>10</v>
      </c>
      <c r="L4076" s="15" t="s">
        <v>10</v>
      </c>
      <c r="M4076" s="15" t="s">
        <v>10</v>
      </c>
      <c r="N4076" s="15" t="s">
        <v>10</v>
      </c>
      <c r="O4076" s="15">
        <v>1.2590705829264222</v>
      </c>
      <c r="P4076" s="15">
        <v>1.2590705829264222</v>
      </c>
      <c r="Q4076" s="8"/>
      <c r="R4076" s="9" t="s">
        <v>3626</v>
      </c>
    </row>
    <row r="4077" spans="1:18" x14ac:dyDescent="0.25">
      <c r="A4077" s="6" t="str">
        <f>HYPERLINK("proteomic_fractions_linear_files/Yang_linear_img/225543168.jpg", "225543168")</f>
        <v>225543168</v>
      </c>
      <c r="B4077" s="7"/>
      <c r="C4077" s="6" t="str">
        <f>HYPERLINK("http://www.ncbi.nlm.nih.gov/protein/225543168","Lpp")</f>
        <v>Lpp</v>
      </c>
      <c r="D4077" s="8"/>
      <c r="E4077" s="8">
        <v>52405</v>
      </c>
      <c r="F4077" s="8"/>
      <c r="G4077" s="15" t="s">
        <v>10</v>
      </c>
      <c r="H4077" s="15" t="s">
        <v>10</v>
      </c>
      <c r="I4077" s="15" t="s">
        <v>10</v>
      </c>
      <c r="J4077" s="15" t="s">
        <v>10</v>
      </c>
      <c r="K4077" s="15" t="s">
        <v>10</v>
      </c>
      <c r="L4077" s="15" t="s">
        <v>10</v>
      </c>
      <c r="M4077" s="15" t="s">
        <v>10</v>
      </c>
      <c r="N4077" s="15" t="s">
        <v>10</v>
      </c>
      <c r="O4077" s="15">
        <v>1.5980511244835358</v>
      </c>
      <c r="P4077" s="15">
        <v>1.5980511244835358</v>
      </c>
      <c r="Q4077" s="8"/>
      <c r="R4077" s="9" t="s">
        <v>3627</v>
      </c>
    </row>
    <row r="4078" spans="1:18" x14ac:dyDescent="0.25">
      <c r="A4078" s="6" t="str">
        <f>HYPERLINK("proteomic_fractions_linear_files/Yang_linear_img/117956395.jpg", "117956395")</f>
        <v>117956395</v>
      </c>
      <c r="B4078" s="7"/>
      <c r="C4078" s="6" t="str">
        <f>HYPERLINK("http://www.ncbi.nlm.nih.gov/protein/117956395","Lrba")</f>
        <v>Lrba</v>
      </c>
      <c r="D4078" s="8"/>
      <c r="E4078" s="8">
        <v>286065</v>
      </c>
      <c r="F4078" s="8"/>
      <c r="G4078" s="15">
        <v>1.0551864497779677</v>
      </c>
      <c r="H4078" s="15">
        <v>1.0551864497779677</v>
      </c>
      <c r="I4078" s="15">
        <v>1.0551864497779677</v>
      </c>
      <c r="J4078" s="15">
        <v>1.0551864497779677</v>
      </c>
      <c r="K4078" s="15">
        <v>1.430222229858181</v>
      </c>
      <c r="L4078" s="15">
        <v>1.430222229858181</v>
      </c>
      <c r="M4078" s="15">
        <v>1.430222229858181</v>
      </c>
      <c r="N4078" s="15">
        <v>1.430222229858181</v>
      </c>
      <c r="O4078" s="15">
        <v>1.0551864497779677</v>
      </c>
      <c r="P4078" s="15">
        <v>1.0551864497779677</v>
      </c>
      <c r="Q4078" s="8"/>
      <c r="R4078" s="9" t="s">
        <v>3628</v>
      </c>
    </row>
    <row r="4079" spans="1:18" x14ac:dyDescent="0.25">
      <c r="A4079" s="6" t="str">
        <f>HYPERLINK("proteomic_fractions_linear_files/Yang_linear_img/117956397.jpg", "117956397")</f>
        <v>117956397</v>
      </c>
      <c r="B4079" s="7"/>
      <c r="C4079" s="6" t="str">
        <f>HYPERLINK("http://www.ncbi.nlm.nih.gov/protein/117956397","Lrba")</f>
        <v>Lrba</v>
      </c>
      <c r="D4079" s="8"/>
      <c r="E4079" s="8">
        <v>309245</v>
      </c>
      <c r="F4079" s="8"/>
      <c r="G4079" s="15">
        <v>0.97664506354853975</v>
      </c>
      <c r="H4079" s="15">
        <v>0.97664506354853975</v>
      </c>
      <c r="I4079" s="15">
        <v>0.97664506354853975</v>
      </c>
      <c r="J4079" s="15">
        <v>0.97664506354853975</v>
      </c>
      <c r="K4079" s="15">
        <v>1.3237655590273132</v>
      </c>
      <c r="L4079" s="15">
        <v>1.3237655590273132</v>
      </c>
      <c r="M4079" s="15">
        <v>1.3237655590273132</v>
      </c>
      <c r="N4079" s="15">
        <v>1.3237655590273132</v>
      </c>
      <c r="O4079" s="15">
        <v>0.97664506354853975</v>
      </c>
      <c r="P4079" s="15">
        <v>0.97664506354853975</v>
      </c>
      <c r="Q4079" s="8"/>
      <c r="R4079" s="9" t="s">
        <v>3629</v>
      </c>
    </row>
    <row r="4080" spans="1:18" x14ac:dyDescent="0.25">
      <c r="A4080" s="6" t="str">
        <f>HYPERLINK("proteomic_fractions_linear_files/Yang_linear_img/117956399.jpg", "117956399")</f>
        <v>117956399</v>
      </c>
      <c r="B4080" s="7"/>
      <c r="C4080" s="6" t="str">
        <f>HYPERLINK("http://www.ncbi.nlm.nih.gov/protein/117956399","Lrba")</f>
        <v>Lrba</v>
      </c>
      <c r="D4080" s="8"/>
      <c r="E4080" s="8">
        <v>316686</v>
      </c>
      <c r="F4080" s="8"/>
      <c r="G4080" s="15">
        <v>0.95199786951576904</v>
      </c>
      <c r="H4080" s="15">
        <v>0.95199786951576904</v>
      </c>
      <c r="I4080" s="15">
        <v>0.95199786951576904</v>
      </c>
      <c r="J4080" s="15">
        <v>0.95199786951576904</v>
      </c>
      <c r="K4080" s="15">
        <v>1.290358226307381</v>
      </c>
      <c r="L4080" s="15">
        <v>1.290358226307381</v>
      </c>
      <c r="M4080" s="15">
        <v>1.290358226307381</v>
      </c>
      <c r="N4080" s="15">
        <v>1.290358226307381</v>
      </c>
      <c r="O4080" s="15">
        <v>0.95199786951576904</v>
      </c>
      <c r="P4080" s="15">
        <v>0.95199786951576904</v>
      </c>
      <c r="Q4080" s="8"/>
      <c r="R4080" s="9" t="s">
        <v>3630</v>
      </c>
    </row>
    <row r="4081" spans="1:18" x14ac:dyDescent="0.25">
      <c r="A4081" s="6" t="str">
        <f>HYPERLINK("proteomic_fractions_linear_files/Yang_linear_img/356460937.jpg", "356460937")</f>
        <v>356460937</v>
      </c>
      <c r="B4081" s="7"/>
      <c r="C4081" s="6" t="str">
        <f>HYPERLINK("http://www.ncbi.nlm.nih.gov/protein/356460937","Lrch1")</f>
        <v>Lrch1</v>
      </c>
      <c r="D4081" s="8"/>
      <c r="E4081" s="8">
        <v>75928</v>
      </c>
      <c r="F4081" s="8"/>
      <c r="G4081" s="15" t="s">
        <v>10</v>
      </c>
      <c r="H4081" s="15" t="s">
        <v>10</v>
      </c>
      <c r="I4081" s="15" t="s">
        <v>10</v>
      </c>
      <c r="J4081" s="15" t="s">
        <v>10</v>
      </c>
      <c r="K4081" s="15">
        <v>1.2495786997708489</v>
      </c>
      <c r="L4081" s="15">
        <v>1.2495786997708489</v>
      </c>
      <c r="M4081" s="15" t="s">
        <v>10</v>
      </c>
      <c r="N4081" s="15" t="s">
        <v>10</v>
      </c>
      <c r="O4081" s="15" t="s">
        <v>10</v>
      </c>
      <c r="P4081" s="15" t="s">
        <v>10</v>
      </c>
      <c r="Q4081" s="8"/>
      <c r="R4081" s="9" t="s">
        <v>3631</v>
      </c>
    </row>
    <row r="4082" spans="1:18" x14ac:dyDescent="0.25">
      <c r="A4082" s="6" t="str">
        <f>HYPERLINK("proteomic_fractions_linear_files/Yang_linear_img/90991704.jpg", "90991704")</f>
        <v>90991704</v>
      </c>
      <c r="B4082" s="7"/>
      <c r="C4082" s="6" t="str">
        <f>HYPERLINK("http://www.ncbi.nlm.nih.gov/protein/90991704","Lrch1")</f>
        <v>Lrch1</v>
      </c>
      <c r="D4082" s="8"/>
      <c r="E4082" s="8">
        <v>78945</v>
      </c>
      <c r="F4082" s="8"/>
      <c r="G4082" s="15" t="s">
        <v>10</v>
      </c>
      <c r="H4082" s="15" t="s">
        <v>10</v>
      </c>
      <c r="I4082" s="15" t="s">
        <v>10</v>
      </c>
      <c r="J4082" s="15" t="s">
        <v>10</v>
      </c>
      <c r="K4082" s="15">
        <v>1.2021263440833483</v>
      </c>
      <c r="L4082" s="15">
        <v>1.2021263440833483</v>
      </c>
      <c r="M4082" s="15" t="s">
        <v>10</v>
      </c>
      <c r="N4082" s="15" t="s">
        <v>10</v>
      </c>
      <c r="O4082" s="15" t="s">
        <v>10</v>
      </c>
      <c r="P4082" s="15" t="s">
        <v>10</v>
      </c>
      <c r="Q4082" s="8"/>
      <c r="R4082" s="9" t="s">
        <v>3632</v>
      </c>
    </row>
    <row r="4083" spans="1:18" x14ac:dyDescent="0.25">
      <c r="A4083" s="6" t="str">
        <f>HYPERLINK("proteomic_fractions_linear_files/Yang_linear_img/22122701.jpg", "22122701")</f>
        <v>22122701</v>
      </c>
      <c r="B4083" s="7"/>
      <c r="C4083" s="6" t="str">
        <f>HYPERLINK("http://www.ncbi.nlm.nih.gov/protein/22122701","Lrch4")</f>
        <v>Lrch4</v>
      </c>
      <c r="D4083" s="8"/>
      <c r="E4083" s="8">
        <v>73032</v>
      </c>
      <c r="F4083" s="8"/>
      <c r="G4083" s="15" t="s">
        <v>10</v>
      </c>
      <c r="H4083" s="15" t="s">
        <v>10</v>
      </c>
      <c r="I4083" s="15" t="s">
        <v>10</v>
      </c>
      <c r="J4083" s="15" t="s">
        <v>10</v>
      </c>
      <c r="K4083" s="15">
        <v>1.3009312490765002</v>
      </c>
      <c r="L4083" s="15">
        <v>1.3009312490765002</v>
      </c>
      <c r="M4083" s="15" t="s">
        <v>10</v>
      </c>
      <c r="N4083" s="15" t="s">
        <v>10</v>
      </c>
      <c r="O4083" s="15" t="s">
        <v>10</v>
      </c>
      <c r="P4083" s="15" t="s">
        <v>10</v>
      </c>
      <c r="Q4083" s="8"/>
      <c r="R4083" s="9" t="s">
        <v>3633</v>
      </c>
    </row>
    <row r="4084" spans="1:18" x14ac:dyDescent="0.25">
      <c r="A4084" s="6" t="str">
        <f>HYPERLINK("proteomic_fractions_linear_files/Yang_linear_img/274325486.jpg", "274325486")</f>
        <v>274325486</v>
      </c>
      <c r="B4084" s="7"/>
      <c r="C4084" s="6" t="str">
        <f>HYPERLINK("http://www.ncbi.nlm.nih.gov/protein/274325486","Lrch4")</f>
        <v>Lrch4</v>
      </c>
      <c r="D4084" s="8"/>
      <c r="E4084" s="8">
        <v>69856</v>
      </c>
      <c r="F4084" s="8"/>
      <c r="G4084" s="15" t="s">
        <v>10</v>
      </c>
      <c r="H4084" s="15" t="s">
        <v>10</v>
      </c>
      <c r="I4084" s="15" t="s">
        <v>10</v>
      </c>
      <c r="J4084" s="15" t="s">
        <v>10</v>
      </c>
      <c r="K4084" s="15">
        <v>1.3566854454654931</v>
      </c>
      <c r="L4084" s="15">
        <v>1.3566854454654931</v>
      </c>
      <c r="M4084" s="15" t="s">
        <v>10</v>
      </c>
      <c r="N4084" s="15" t="s">
        <v>10</v>
      </c>
      <c r="O4084" s="15" t="s">
        <v>10</v>
      </c>
      <c r="P4084" s="15" t="s">
        <v>10</v>
      </c>
      <c r="Q4084" s="8"/>
      <c r="R4084" s="9" t="s">
        <v>3634</v>
      </c>
    </row>
    <row r="4085" spans="1:18" x14ac:dyDescent="0.25">
      <c r="A4085" s="6" t="str">
        <f>HYPERLINK("proteomic_fractions_linear_files/Yang_linear_img/254588006.jpg", "254588006")</f>
        <v>254588006</v>
      </c>
      <c r="B4085" s="7"/>
      <c r="C4085" s="6" t="str">
        <f>HYPERLINK("http://www.ncbi.nlm.nih.gov/protein/254588006","Lrguk")</f>
        <v>Lrguk</v>
      </c>
      <c r="D4085" s="8"/>
      <c r="E4085" s="8">
        <v>93059</v>
      </c>
      <c r="F4085" s="8"/>
      <c r="G4085" s="15" t="s">
        <v>10</v>
      </c>
      <c r="H4085" s="15" t="s">
        <v>10</v>
      </c>
      <c r="I4085" s="15" t="s">
        <v>10</v>
      </c>
      <c r="J4085" s="15" t="s">
        <v>10</v>
      </c>
      <c r="K4085" s="15">
        <v>0.57118892075269978</v>
      </c>
      <c r="L4085" s="15">
        <v>0.57118892075269978</v>
      </c>
      <c r="M4085" s="15">
        <v>1.0211610879847797</v>
      </c>
      <c r="N4085" s="15">
        <v>1.0211610879847797</v>
      </c>
      <c r="O4085" s="15" t="s">
        <v>10</v>
      </c>
      <c r="P4085" s="15" t="s">
        <v>10</v>
      </c>
      <c r="Q4085" s="8"/>
      <c r="R4085" s="9" t="s">
        <v>3635</v>
      </c>
    </row>
    <row r="4086" spans="1:18" x14ac:dyDescent="0.25">
      <c r="A4086" s="6" t="str">
        <f>HYPERLINK("proteomic_fractions_linear_files/Yang_linear_img/124494256.jpg", "124494256")</f>
        <v>124494256</v>
      </c>
      <c r="B4086" s="7"/>
      <c r="C4086" s="6" t="str">
        <f>HYPERLINK("http://www.ncbi.nlm.nih.gov/protein/124494256","Lrp1")</f>
        <v>Lrp1</v>
      </c>
      <c r="D4086" s="8"/>
      <c r="E4086" s="8">
        <v>502832</v>
      </c>
      <c r="F4086" s="8"/>
      <c r="G4086" s="15" t="s">
        <v>10</v>
      </c>
      <c r="H4086" s="15" t="s">
        <v>10</v>
      </c>
      <c r="I4086" s="15">
        <v>0.81320786826926394</v>
      </c>
      <c r="J4086" s="15">
        <v>0.81320786826926394</v>
      </c>
      <c r="K4086" s="15">
        <v>0.81320786826926394</v>
      </c>
      <c r="L4086" s="15">
        <v>0.81320786826926394</v>
      </c>
      <c r="M4086" s="15">
        <v>1.1799061742928512</v>
      </c>
      <c r="N4086" s="15">
        <v>1.1799061742928512</v>
      </c>
      <c r="O4086" s="15" t="s">
        <v>10</v>
      </c>
      <c r="P4086" s="15" t="s">
        <v>10</v>
      </c>
      <c r="Q4086" s="8"/>
      <c r="R4086" s="9" t="s">
        <v>3636</v>
      </c>
    </row>
    <row r="4087" spans="1:18" x14ac:dyDescent="0.25">
      <c r="A4087" s="6" t="str">
        <f>HYPERLINK("proteomic_fractions_linear_files/Yang_linear_img/153792247.jpg", "153792247")</f>
        <v>153792247</v>
      </c>
      <c r="B4087" s="7"/>
      <c r="C4087" s="6" t="str">
        <f>HYPERLINK("http://www.ncbi.nlm.nih.gov/protein/153792247","Lrp1b")</f>
        <v>Lrp1b</v>
      </c>
      <c r="D4087" s="8"/>
      <c r="E4087" s="8">
        <v>511499</v>
      </c>
      <c r="F4087" s="8"/>
      <c r="G4087" s="15" t="s">
        <v>10</v>
      </c>
      <c r="H4087" s="15" t="s">
        <v>10</v>
      </c>
      <c r="I4087" s="15" t="s">
        <v>10</v>
      </c>
      <c r="J4087" s="15" t="s">
        <v>10</v>
      </c>
      <c r="K4087" s="15">
        <v>0.80047662962708377</v>
      </c>
      <c r="L4087" s="15">
        <v>0.80047662962708377</v>
      </c>
      <c r="M4087" s="15" t="s">
        <v>10</v>
      </c>
      <c r="N4087" s="15" t="s">
        <v>10</v>
      </c>
      <c r="O4087" s="15" t="s">
        <v>10</v>
      </c>
      <c r="P4087" s="15" t="s">
        <v>10</v>
      </c>
      <c r="Q4087" s="8"/>
      <c r="R4087" s="9" t="s">
        <v>3637</v>
      </c>
    </row>
    <row r="4088" spans="1:18" x14ac:dyDescent="0.25">
      <c r="A4088" s="6" t="str">
        <f>HYPERLINK("proteomic_fractions_linear_files/Yang_linear_img/124487372.jpg", "124487372")</f>
        <v>124487372</v>
      </c>
      <c r="B4088" s="7"/>
      <c r="C4088" s="6" t="str">
        <f>HYPERLINK("http://www.ncbi.nlm.nih.gov/protein/124487372","Lrp2")</f>
        <v>Lrp2</v>
      </c>
      <c r="D4088" s="8"/>
      <c r="E4088" s="8">
        <v>516772</v>
      </c>
      <c r="F4088" s="8"/>
      <c r="G4088" s="15" t="s">
        <v>10</v>
      </c>
      <c r="H4088" s="15" t="s">
        <v>10</v>
      </c>
      <c r="I4088" s="15">
        <v>11.592069632495166</v>
      </c>
      <c r="J4088" s="15">
        <v>11.592069632495166</v>
      </c>
      <c r="K4088" s="15">
        <v>0.79118676545346189</v>
      </c>
      <c r="L4088" s="15">
        <v>0.79118676545346189</v>
      </c>
      <c r="M4088" s="15">
        <v>11.592069632495166</v>
      </c>
      <c r="N4088" s="15">
        <v>11.592069632495166</v>
      </c>
      <c r="O4088" s="15" t="s">
        <v>10</v>
      </c>
      <c r="P4088" s="15" t="s">
        <v>10</v>
      </c>
      <c r="Q4088" s="8"/>
      <c r="R4088" s="9" t="s">
        <v>3638</v>
      </c>
    </row>
    <row r="4089" spans="1:18" x14ac:dyDescent="0.25">
      <c r="A4089" s="6" t="str">
        <f>HYPERLINK("proteomic_fractions_linear_files/Yang_linear_img/148727327.jpg", "148727327")</f>
        <v>148727327</v>
      </c>
      <c r="B4089" s="7"/>
      <c r="C4089" s="6" t="str">
        <f>HYPERLINK("http://www.ncbi.nlm.nih.gov/protein/148727327","Lrp6")</f>
        <v>Lrp6</v>
      </c>
      <c r="D4089" s="8"/>
      <c r="E4089" s="8">
        <v>178305</v>
      </c>
      <c r="F4089" s="8"/>
      <c r="G4089" s="15" t="s">
        <v>10</v>
      </c>
      <c r="H4089" s="15" t="s">
        <v>10</v>
      </c>
      <c r="I4089" s="15" t="s">
        <v>10</v>
      </c>
      <c r="J4089" s="15" t="s">
        <v>10</v>
      </c>
      <c r="K4089" s="15">
        <v>0.24789656880317679</v>
      </c>
      <c r="L4089" s="15">
        <v>0.24789656880317679</v>
      </c>
      <c r="M4089" s="15" t="s">
        <v>10</v>
      </c>
      <c r="N4089" s="15" t="s">
        <v>10</v>
      </c>
      <c r="O4089" s="15" t="s">
        <v>10</v>
      </c>
      <c r="P4089" s="15" t="s">
        <v>10</v>
      </c>
      <c r="Q4089" s="8"/>
      <c r="R4089" s="9" t="s">
        <v>3639</v>
      </c>
    </row>
    <row r="4090" spans="1:18" x14ac:dyDescent="0.25">
      <c r="A4090" s="6" t="str">
        <f>HYPERLINK("proteomic_fractions_linear_files/Yang_linear_img/63999380.jpg", "63999380")</f>
        <v>63999380</v>
      </c>
      <c r="B4090" s="7"/>
      <c r="C4090" s="6" t="str">
        <f>HYPERLINK("http://www.ncbi.nlm.nih.gov/protein/63999380","Lrpap1")</f>
        <v>Lrpap1</v>
      </c>
      <c r="D4090" s="8"/>
      <c r="E4090" s="8">
        <v>38994</v>
      </c>
      <c r="F4090" s="8"/>
      <c r="G4090" s="15">
        <v>1.038649184698019</v>
      </c>
      <c r="H4090" s="15">
        <v>1.038649184698019</v>
      </c>
      <c r="I4090" s="15">
        <v>1.038649184698019</v>
      </c>
      <c r="J4090" s="15">
        <v>1.038649184698019</v>
      </c>
      <c r="K4090" s="15">
        <v>1.1314253653068069</v>
      </c>
      <c r="L4090" s="15">
        <v>1.1314253653068069</v>
      </c>
      <c r="M4090" s="15" t="s">
        <v>10</v>
      </c>
      <c r="N4090" s="15" t="s">
        <v>10</v>
      </c>
      <c r="O4090" s="15">
        <v>0.95746990828524592</v>
      </c>
      <c r="P4090" s="15">
        <v>0.95746990828524592</v>
      </c>
      <c r="Q4090" s="8"/>
      <c r="R4090" s="9" t="s">
        <v>3640</v>
      </c>
    </row>
    <row r="4091" spans="1:18" x14ac:dyDescent="0.25">
      <c r="A4091" s="6" t="str">
        <f>HYPERLINK("proteomic_fractions_linear_files/Yang_linear_img/134031976.jpg", "134031976")</f>
        <v>134031976</v>
      </c>
      <c r="B4091" s="7"/>
      <c r="C4091" s="6" t="str">
        <f>HYPERLINK("http://www.ncbi.nlm.nih.gov/protein/134031976","Lrpprc")</f>
        <v>Lrpprc</v>
      </c>
      <c r="D4091" s="8"/>
      <c r="E4091" s="8">
        <v>150504</v>
      </c>
      <c r="F4091" s="8"/>
      <c r="G4091" s="15">
        <v>1.0162441797102109</v>
      </c>
      <c r="H4091" s="15">
        <v>1.0162441797102109</v>
      </c>
      <c r="I4091" s="15">
        <v>1.0162441797102109</v>
      </c>
      <c r="J4091" s="15">
        <v>1.0162441797102109</v>
      </c>
      <c r="K4091" s="15">
        <v>1.0162441797102109</v>
      </c>
      <c r="L4091" s="15">
        <v>1.0162441797102109</v>
      </c>
      <c r="M4091" s="15" t="s">
        <v>10</v>
      </c>
      <c r="N4091" s="15" t="s">
        <v>10</v>
      </c>
      <c r="O4091" s="15">
        <v>1.0162441797102109</v>
      </c>
      <c r="P4091" s="15">
        <v>1.0162441797102109</v>
      </c>
      <c r="Q4091" s="8"/>
      <c r="R4091" s="9" t="s">
        <v>3641</v>
      </c>
    </row>
    <row r="4092" spans="1:18" x14ac:dyDescent="0.25">
      <c r="A4092" s="6" t="str">
        <f>HYPERLINK("proteomic_fractions_linear_files/Yang_linear_img/225690585.jpg", "225690585")</f>
        <v>225690585</v>
      </c>
      <c r="B4092" s="7"/>
      <c r="C4092" s="6" t="str">
        <f>HYPERLINK("http://www.ncbi.nlm.nih.gov/protein/225690585","Lrrc1")</f>
        <v>Lrrc1</v>
      </c>
      <c r="D4092" s="8"/>
      <c r="E4092" s="8">
        <v>53675</v>
      </c>
      <c r="F4092" s="8"/>
      <c r="G4092" s="15">
        <v>1.5388640457989604</v>
      </c>
      <c r="H4092" s="15">
        <v>1.5388640457989604</v>
      </c>
      <c r="I4092" s="15">
        <v>1.2120974690841544</v>
      </c>
      <c r="J4092" s="15">
        <v>1.2120974690841544</v>
      </c>
      <c r="K4092" s="15">
        <v>1.2120974690841544</v>
      </c>
      <c r="L4092" s="15">
        <v>1.2120974690841544</v>
      </c>
      <c r="M4092" s="15" t="s">
        <v>10</v>
      </c>
      <c r="N4092" s="15" t="s">
        <v>10</v>
      </c>
      <c r="O4092" s="15" t="s">
        <v>10</v>
      </c>
      <c r="P4092" s="15" t="s">
        <v>10</v>
      </c>
      <c r="Q4092" s="8"/>
      <c r="R4092" s="9" t="s">
        <v>3642</v>
      </c>
    </row>
    <row r="4093" spans="1:18" x14ac:dyDescent="0.25">
      <c r="A4093" s="6" t="str">
        <f>HYPERLINK("proteomic_fractions_linear_files/Yang_linear_img/225690587.jpg", "225690587")</f>
        <v>225690587</v>
      </c>
      <c r="B4093" s="7"/>
      <c r="C4093" s="6" t="str">
        <f>HYPERLINK("http://www.ncbi.nlm.nih.gov/protein/225690587","Lrrc1")</f>
        <v>Lrrc1</v>
      </c>
      <c r="D4093" s="8"/>
      <c r="E4093" s="8">
        <v>59281</v>
      </c>
      <c r="F4093" s="8"/>
      <c r="G4093" s="15">
        <v>1.4084518385278619</v>
      </c>
      <c r="H4093" s="15">
        <v>1.4084518385278619</v>
      </c>
      <c r="I4093" s="15">
        <v>1.1093773445854971</v>
      </c>
      <c r="J4093" s="15">
        <v>1.1093773445854971</v>
      </c>
      <c r="K4093" s="15">
        <v>1.1093773445854971</v>
      </c>
      <c r="L4093" s="15">
        <v>1.1093773445854971</v>
      </c>
      <c r="M4093" s="15" t="s">
        <v>10</v>
      </c>
      <c r="N4093" s="15" t="s">
        <v>10</v>
      </c>
      <c r="O4093" s="15" t="s">
        <v>10</v>
      </c>
      <c r="P4093" s="15" t="s">
        <v>10</v>
      </c>
      <c r="Q4093" s="8"/>
      <c r="R4093" s="9" t="s">
        <v>3643</v>
      </c>
    </row>
    <row r="4094" spans="1:18" x14ac:dyDescent="0.25">
      <c r="A4094" s="6" t="str">
        <f>HYPERLINK("proteomic_fractions_linear_files/Yang_linear_img/21703932.jpg", "21703932")</f>
        <v>21703932</v>
      </c>
      <c r="B4094" s="7"/>
      <c r="C4094" s="6" t="str">
        <f>HYPERLINK("http://www.ncbi.nlm.nih.gov/protein/21703932","Lrrc14")</f>
        <v>Lrrc14</v>
      </c>
      <c r="D4094" s="8"/>
      <c r="E4094" s="8">
        <v>54838</v>
      </c>
      <c r="F4094" s="8"/>
      <c r="G4094" s="15">
        <v>0.30393590037467311</v>
      </c>
      <c r="H4094" s="15">
        <v>0.30393590037467311</v>
      </c>
      <c r="I4094" s="15" t="s">
        <v>10</v>
      </c>
      <c r="J4094" s="15" t="s">
        <v>10</v>
      </c>
      <c r="K4094" s="15" t="s">
        <v>10</v>
      </c>
      <c r="L4094" s="15" t="s">
        <v>10</v>
      </c>
      <c r="M4094" s="15" t="s">
        <v>10</v>
      </c>
      <c r="N4094" s="15" t="s">
        <v>10</v>
      </c>
      <c r="O4094" s="15" t="s">
        <v>10</v>
      </c>
      <c r="P4094" s="15" t="s">
        <v>10</v>
      </c>
      <c r="Q4094" s="8"/>
      <c r="R4094" s="9" t="s">
        <v>3644</v>
      </c>
    </row>
    <row r="4095" spans="1:18" x14ac:dyDescent="0.25">
      <c r="A4095" s="6" t="str">
        <f>HYPERLINK("proteomic_fractions_linear_files/Yang_linear_img/154146185.jpg", "154146185")</f>
        <v>154146185</v>
      </c>
      <c r="B4095" s="7"/>
      <c r="C4095" s="6" t="str">
        <f>HYPERLINK("http://www.ncbi.nlm.nih.gov/protein/154146185","Lrrc16a")</f>
        <v>Lrrc16a</v>
      </c>
      <c r="D4095" s="8"/>
      <c r="E4095" s="8">
        <v>151730</v>
      </c>
      <c r="F4095" s="8"/>
      <c r="G4095" s="15">
        <v>3.904557932034896</v>
      </c>
      <c r="H4095" s="15">
        <v>3.904557932034896</v>
      </c>
      <c r="I4095" s="15">
        <v>1.0095583627384332</v>
      </c>
      <c r="J4095" s="15">
        <v>1.0095583627384332</v>
      </c>
      <c r="K4095" s="15">
        <v>1.228722576578555</v>
      </c>
      <c r="L4095" s="15">
        <v>1.228722576578555</v>
      </c>
      <c r="M4095" s="15">
        <v>1.228722576578555</v>
      </c>
      <c r="N4095" s="15">
        <v>1.228722576578555</v>
      </c>
      <c r="O4095" s="15">
        <v>1.228722576578555</v>
      </c>
      <c r="P4095" s="15">
        <v>1.228722576578555</v>
      </c>
      <c r="Q4095" s="8"/>
      <c r="R4095" s="9" t="s">
        <v>3645</v>
      </c>
    </row>
    <row r="4096" spans="1:18" x14ac:dyDescent="0.25">
      <c r="A4096" s="6" t="str">
        <f>HYPERLINK("proteomic_fractions_linear_files/Yang_linear_img/23956308.jpg", "23956308")</f>
        <v>23956308</v>
      </c>
      <c r="B4096" s="7"/>
      <c r="C4096" s="6" t="str">
        <f>HYPERLINK("http://www.ncbi.nlm.nih.gov/protein/23956308","Lrrc20")</f>
        <v>Lrrc20</v>
      </c>
      <c r="D4096" s="8"/>
      <c r="E4096" s="8">
        <v>20678</v>
      </c>
      <c r="F4096" s="8"/>
      <c r="G4096" s="15" t="s">
        <v>10</v>
      </c>
      <c r="H4096" s="15" t="s">
        <v>10</v>
      </c>
      <c r="I4096" s="15">
        <v>0.98083053269791776</v>
      </c>
      <c r="J4096" s="15">
        <v>0.98083053269791776</v>
      </c>
      <c r="K4096" s="15">
        <v>2.7987241707425645</v>
      </c>
      <c r="L4096" s="15">
        <v>0.98083053269791776</v>
      </c>
      <c r="M4096" s="15" t="s">
        <v>10</v>
      </c>
      <c r="N4096" s="15" t="s">
        <v>10</v>
      </c>
      <c r="O4096" s="15">
        <v>0.98083053269791776</v>
      </c>
      <c r="P4096" s="15">
        <v>0.98083053269791776</v>
      </c>
      <c r="Q4096" s="8"/>
      <c r="R4096" s="9" t="s">
        <v>3646</v>
      </c>
    </row>
    <row r="4097" spans="1:18" x14ac:dyDescent="0.25">
      <c r="A4097" s="6" t="str">
        <f>HYPERLINK("proteomic_fractions_linear_files/Yang_linear_img/31541911.jpg", "31541911")</f>
        <v>31541911</v>
      </c>
      <c r="B4097" s="7"/>
      <c r="C4097" s="6" t="str">
        <f>HYPERLINK("http://www.ncbi.nlm.nih.gov/protein/31541911","Lrrc40")</f>
        <v>Lrrc40</v>
      </c>
      <c r="D4097" s="8"/>
      <c r="E4097" s="8">
        <v>67918</v>
      </c>
      <c r="F4097" s="8"/>
      <c r="G4097" s="15">
        <v>1.222039095193292</v>
      </c>
      <c r="H4097" s="15">
        <v>1.222039095193292</v>
      </c>
      <c r="I4097" s="15">
        <v>1.0799435329659153</v>
      </c>
      <c r="J4097" s="15">
        <v>1.0799435329659153</v>
      </c>
      <c r="K4097" s="15">
        <v>1.0799435329659153</v>
      </c>
      <c r="L4097" s="15">
        <v>1.0799435329659153</v>
      </c>
      <c r="M4097" s="15">
        <v>1.0799435329659153</v>
      </c>
      <c r="N4097" s="15">
        <v>1.0799435329659153</v>
      </c>
      <c r="O4097" s="15">
        <v>0.96254799015506365</v>
      </c>
      <c r="P4097" s="15">
        <v>0.96254799015506365</v>
      </c>
      <c r="Q4097" s="8"/>
      <c r="R4097" s="9" t="s">
        <v>3647</v>
      </c>
    </row>
    <row r="4098" spans="1:18" x14ac:dyDescent="0.25">
      <c r="A4098" s="6" t="str">
        <f>HYPERLINK("proteomic_fractions_linear_files/Yang_linear_img/41152116.jpg", "41152116")</f>
        <v>41152116</v>
      </c>
      <c r="B4098" s="7"/>
      <c r="C4098" s="6" t="str">
        <f>HYPERLINK("http://www.ncbi.nlm.nih.gov/protein/41152116","Lrrc47")</f>
        <v>Lrrc47</v>
      </c>
      <c r="D4098" s="8"/>
      <c r="E4098" s="8">
        <v>63459</v>
      </c>
      <c r="F4098" s="8"/>
      <c r="G4098" s="15" t="s">
        <v>10</v>
      </c>
      <c r="H4098" s="15" t="s">
        <v>10</v>
      </c>
      <c r="I4098" s="15">
        <v>1.1656533371695594</v>
      </c>
      <c r="J4098" s="15">
        <v>1.1656533371695594</v>
      </c>
      <c r="K4098" s="15">
        <v>1.1656533371695594</v>
      </c>
      <c r="L4098" s="15">
        <v>1.1656533371695594</v>
      </c>
      <c r="M4098" s="15">
        <v>1.1656533371695594</v>
      </c>
      <c r="N4098" s="15">
        <v>1.1656533371695594</v>
      </c>
      <c r="O4098" s="15">
        <v>1.1656533371695594</v>
      </c>
      <c r="P4098" s="15">
        <v>1.1656533371695594</v>
      </c>
      <c r="Q4098" s="8"/>
      <c r="R4098" s="9" t="s">
        <v>3648</v>
      </c>
    </row>
    <row r="4099" spans="1:18" x14ac:dyDescent="0.25">
      <c r="A4099" s="6" t="str">
        <f>HYPERLINK("proteomic_fractions_linear_files/Yang_linear_img/227430395.jpg", "227430395")</f>
        <v>227430395</v>
      </c>
      <c r="B4099" s="7"/>
      <c r="C4099" s="6" t="str">
        <f>HYPERLINK("http://www.ncbi.nlm.nih.gov/protein/227430395","Lrrc57")</f>
        <v>Lrrc57</v>
      </c>
      <c r="D4099" s="8"/>
      <c r="E4099" s="8">
        <v>29261</v>
      </c>
      <c r="F4099" s="8"/>
      <c r="G4099" s="15" t="s">
        <v>10</v>
      </c>
      <c r="H4099" s="15" t="s">
        <v>10</v>
      </c>
      <c r="I4099" s="15">
        <v>0.79688184050749811</v>
      </c>
      <c r="J4099" s="15">
        <v>0.79688184050749811</v>
      </c>
      <c r="K4099" s="15">
        <v>0.79688184050749811</v>
      </c>
      <c r="L4099" s="15">
        <v>0.79688184050749811</v>
      </c>
      <c r="M4099" s="15">
        <v>0.79688184050749811</v>
      </c>
      <c r="N4099" s="15">
        <v>0.79688184050749811</v>
      </c>
      <c r="O4099" s="15" t="s">
        <v>10</v>
      </c>
      <c r="P4099" s="15" t="s">
        <v>10</v>
      </c>
      <c r="Q4099" s="8"/>
      <c r="R4099" s="9" t="s">
        <v>3649</v>
      </c>
    </row>
    <row r="4100" spans="1:18" x14ac:dyDescent="0.25">
      <c r="A4100" s="6" t="str">
        <f>HYPERLINK("proteomic_fractions_linear_files/Yang_linear_img/227430397.jpg", "227430397")</f>
        <v>227430397</v>
      </c>
      <c r="B4100" s="7"/>
      <c r="C4100" s="6" t="str">
        <f>HYPERLINK("http://www.ncbi.nlm.nih.gov/protein/227430397","Lrrc57")</f>
        <v>Lrrc57</v>
      </c>
      <c r="D4100" s="8"/>
      <c r="E4100" s="8">
        <v>31240</v>
      </c>
      <c r="F4100" s="8"/>
      <c r="G4100" s="15" t="s">
        <v>10</v>
      </c>
      <c r="H4100" s="15" t="s">
        <v>10</v>
      </c>
      <c r="I4100" s="15">
        <v>0.74547010886185305</v>
      </c>
      <c r="J4100" s="15">
        <v>0.74547010886185305</v>
      </c>
      <c r="K4100" s="15">
        <v>0.74547010886185305</v>
      </c>
      <c r="L4100" s="15">
        <v>0.74547010886185305</v>
      </c>
      <c r="M4100" s="15">
        <v>0.74547010886185305</v>
      </c>
      <c r="N4100" s="15">
        <v>0.74547010886185305</v>
      </c>
      <c r="O4100" s="15" t="s">
        <v>10</v>
      </c>
      <c r="P4100" s="15" t="s">
        <v>10</v>
      </c>
      <c r="Q4100" s="8"/>
      <c r="R4100" s="9" t="s">
        <v>3650</v>
      </c>
    </row>
    <row r="4101" spans="1:18" x14ac:dyDescent="0.25">
      <c r="A4101" s="6" t="str">
        <f>HYPERLINK("proteomic_fractions_linear_files/Yang_linear_img/31981233.jpg", "31981233")</f>
        <v>31981233</v>
      </c>
      <c r="B4101" s="7"/>
      <c r="C4101" s="6" t="str">
        <f>HYPERLINK("http://www.ncbi.nlm.nih.gov/protein/31981233","Lrrc57")</f>
        <v>Lrrc57</v>
      </c>
      <c r="D4101" s="8"/>
      <c r="E4101" s="8">
        <v>26595</v>
      </c>
      <c r="F4101" s="8"/>
      <c r="G4101" s="15" t="s">
        <v>10</v>
      </c>
      <c r="H4101" s="15" t="s">
        <v>10</v>
      </c>
      <c r="I4101" s="15">
        <v>0.855910124989535</v>
      </c>
      <c r="J4101" s="15">
        <v>0.855910124989535</v>
      </c>
      <c r="K4101" s="15">
        <v>0.855910124989535</v>
      </c>
      <c r="L4101" s="15">
        <v>0.855910124989535</v>
      </c>
      <c r="M4101" s="15">
        <v>0.855910124989535</v>
      </c>
      <c r="N4101" s="15">
        <v>0.855910124989535</v>
      </c>
      <c r="O4101" s="15" t="s">
        <v>10</v>
      </c>
      <c r="P4101" s="15" t="s">
        <v>10</v>
      </c>
      <c r="Q4101" s="8"/>
      <c r="R4101" s="9" t="s">
        <v>3651</v>
      </c>
    </row>
    <row r="4102" spans="1:18" x14ac:dyDescent="0.25">
      <c r="A4102" s="6" t="str">
        <f>HYPERLINK("proteomic_fractions_linear_files/Yang_linear_img/110347495.jpg", "110347495")</f>
        <v>110347495</v>
      </c>
      <c r="B4102" s="7"/>
      <c r="C4102" s="6" t="str">
        <f>HYPERLINK("http://www.ncbi.nlm.nih.gov/protein/110347495","Lrrc58")</f>
        <v>Lrrc58</v>
      </c>
      <c r="D4102" s="8"/>
      <c r="E4102" s="8">
        <v>40008</v>
      </c>
      <c r="F4102" s="8"/>
      <c r="G4102" s="15" t="s">
        <v>10</v>
      </c>
      <c r="H4102" s="15" t="s">
        <v>10</v>
      </c>
      <c r="I4102" s="15" t="s">
        <v>10</v>
      </c>
      <c r="J4102" s="15" t="s">
        <v>10</v>
      </c>
      <c r="K4102" s="15">
        <v>1.0126829550805687</v>
      </c>
      <c r="L4102" s="15">
        <v>1.0126829550805687</v>
      </c>
      <c r="M4102" s="15">
        <v>0.93353316057811475</v>
      </c>
      <c r="N4102" s="15">
        <v>0.93353316057811475</v>
      </c>
      <c r="O4102" s="15">
        <v>0.8638344132618796</v>
      </c>
      <c r="P4102" s="15">
        <v>0.8638344132618796</v>
      </c>
      <c r="Q4102" s="8"/>
      <c r="R4102" s="9" t="s">
        <v>3652</v>
      </c>
    </row>
    <row r="4103" spans="1:18" x14ac:dyDescent="0.25">
      <c r="A4103" s="6" t="str">
        <f>HYPERLINK("proteomic_fractions_linear_files/Yang_linear_img/19527026.jpg", "19527026")</f>
        <v>19527026</v>
      </c>
      <c r="B4103" s="7"/>
      <c r="C4103" s="6" t="str">
        <f>HYPERLINK("http://www.ncbi.nlm.nih.gov/protein/19527026","Lrrc59")</f>
        <v>Lrrc59</v>
      </c>
      <c r="D4103" s="8"/>
      <c r="E4103" s="8">
        <v>34746</v>
      </c>
      <c r="F4103" s="8"/>
      <c r="G4103" s="15">
        <v>1.2607311213418706</v>
      </c>
      <c r="H4103" s="15">
        <v>1.2607311213418706</v>
      </c>
      <c r="I4103" s="15">
        <v>0.91668779587810256</v>
      </c>
      <c r="J4103" s="15">
        <v>0.91668779587810256</v>
      </c>
      <c r="K4103" s="15">
        <v>0.91668779587810256</v>
      </c>
      <c r="L4103" s="15">
        <v>0.91668779587810256</v>
      </c>
      <c r="M4103" s="15" t="s">
        <v>10</v>
      </c>
      <c r="N4103" s="15" t="s">
        <v>10</v>
      </c>
      <c r="O4103" s="15" t="s">
        <v>10</v>
      </c>
      <c r="P4103" s="15" t="s">
        <v>10</v>
      </c>
      <c r="Q4103" s="8"/>
      <c r="R4103" s="9" t="s">
        <v>3653</v>
      </c>
    </row>
    <row r="4104" spans="1:18" x14ac:dyDescent="0.25">
      <c r="A4104" s="6" t="str">
        <f>HYPERLINK("proteomic_fractions_linear_files/Yang_linear_img/267844854.jpg", "267844854")</f>
        <v>267844854</v>
      </c>
      <c r="B4104" s="7"/>
      <c r="C4104" s="6" t="str">
        <f>HYPERLINK("http://www.ncbi.nlm.nih.gov/protein/267844854","Lrrc63")</f>
        <v>Lrrc63</v>
      </c>
      <c r="D4104" s="8"/>
      <c r="E4104" s="8">
        <v>71599</v>
      </c>
      <c r="F4104" s="8"/>
      <c r="G4104" s="15">
        <v>0.81629454979991456</v>
      </c>
      <c r="H4104" s="15">
        <v>0.81629454979991456</v>
      </c>
      <c r="I4104" s="15">
        <v>0.67069410533910068</v>
      </c>
      <c r="J4104" s="15">
        <v>0.67069410533910068</v>
      </c>
      <c r="K4104" s="15">
        <v>0.67069410533910068</v>
      </c>
      <c r="L4104" s="15">
        <v>0.67069410533910068</v>
      </c>
      <c r="M4104" s="15" t="s">
        <v>10</v>
      </c>
      <c r="N4104" s="15" t="s">
        <v>10</v>
      </c>
      <c r="O4104" s="15" t="s">
        <v>10</v>
      </c>
      <c r="P4104" s="15" t="s">
        <v>10</v>
      </c>
      <c r="Q4104" s="8"/>
      <c r="R4104" s="9" t="s">
        <v>3654</v>
      </c>
    </row>
    <row r="4105" spans="1:18" x14ac:dyDescent="0.25">
      <c r="A4105" s="6" t="str">
        <f>HYPERLINK("proteomic_fractions_linear_files/Yang_linear_img/124486885.jpg", "124486885")</f>
        <v>124486885</v>
      </c>
      <c r="B4105" s="7"/>
      <c r="C4105" s="6" t="str">
        <f>HYPERLINK("http://www.ncbi.nlm.nih.gov/protein/124486885","Lrrc7")</f>
        <v>Lrrc7</v>
      </c>
      <c r="D4105" s="8"/>
      <c r="E4105" s="8">
        <v>172532</v>
      </c>
      <c r="F4105" s="8"/>
      <c r="G4105" s="15" t="s">
        <v>10</v>
      </c>
      <c r="H4105" s="15" t="s">
        <v>10</v>
      </c>
      <c r="I4105" s="15" t="s">
        <v>10</v>
      </c>
      <c r="J4105" s="15" t="s">
        <v>10</v>
      </c>
      <c r="K4105" s="15">
        <v>1.3489066336869888</v>
      </c>
      <c r="L4105" s="15">
        <v>1.3489066336869888</v>
      </c>
      <c r="M4105" s="15" t="s">
        <v>10</v>
      </c>
      <c r="N4105" s="15" t="s">
        <v>10</v>
      </c>
      <c r="O4105" s="15" t="s">
        <v>10</v>
      </c>
      <c r="P4105" s="15" t="s">
        <v>10</v>
      </c>
      <c r="Q4105" s="8"/>
      <c r="R4105" s="9" t="s">
        <v>3655</v>
      </c>
    </row>
    <row r="4106" spans="1:18" x14ac:dyDescent="0.25">
      <c r="A4106" s="6" t="str">
        <f>HYPERLINK("proteomic_fractions_linear_files/Yang_linear_img/29244192.jpg", "29244192")</f>
        <v>29244192</v>
      </c>
      <c r="B4106" s="7"/>
      <c r="C4106" s="6" t="str">
        <f>HYPERLINK("http://www.ncbi.nlm.nih.gov/protein/29244192","Lrrc8a")</f>
        <v>Lrrc8a</v>
      </c>
      <c r="D4106" s="8"/>
      <c r="E4106" s="8">
        <v>93989</v>
      </c>
      <c r="F4106" s="8"/>
      <c r="G4106" s="15" t="s">
        <v>10</v>
      </c>
      <c r="H4106" s="15" t="s">
        <v>10</v>
      </c>
      <c r="I4106" s="15" t="s">
        <v>10</v>
      </c>
      <c r="J4106" s="15" t="s">
        <v>10</v>
      </c>
      <c r="K4106" s="15">
        <v>1.3693790228203933</v>
      </c>
      <c r="L4106" s="15">
        <v>1.3693790228203933</v>
      </c>
      <c r="M4106" s="15" t="s">
        <v>10</v>
      </c>
      <c r="N4106" s="15" t="s">
        <v>10</v>
      </c>
      <c r="O4106" s="15" t="s">
        <v>10</v>
      </c>
      <c r="P4106" s="15" t="s">
        <v>10</v>
      </c>
      <c r="Q4106" s="8"/>
      <c r="R4106" s="9" t="s">
        <v>3656</v>
      </c>
    </row>
    <row r="4107" spans="1:18" x14ac:dyDescent="0.25">
      <c r="A4107" s="6" t="str">
        <f>HYPERLINK("proteomic_fractions_linear_files/Yang_linear_img/254675306.jpg", "254675306")</f>
        <v>254675306</v>
      </c>
      <c r="B4107" s="7"/>
      <c r="C4107" s="6" t="str">
        <f>HYPERLINK("http://www.ncbi.nlm.nih.gov/protein/254675306","Lrrcc1")</f>
        <v>Lrrcc1</v>
      </c>
      <c r="D4107" s="8"/>
      <c r="E4107" s="8">
        <v>115097</v>
      </c>
      <c r="F4107" s="8"/>
      <c r="G4107" s="15" t="s">
        <v>10</v>
      </c>
      <c r="H4107" s="15" t="s">
        <v>10</v>
      </c>
      <c r="I4107" s="15" t="s">
        <v>10</v>
      </c>
      <c r="J4107" s="15" t="s">
        <v>10</v>
      </c>
      <c r="K4107" s="15">
        <v>1.3343727924890594</v>
      </c>
      <c r="L4107" s="15">
        <v>1.3343727924890594</v>
      </c>
      <c r="M4107" s="15" t="s">
        <v>10</v>
      </c>
      <c r="N4107" s="15" t="s">
        <v>10</v>
      </c>
      <c r="O4107" s="15" t="s">
        <v>10</v>
      </c>
      <c r="P4107" s="15" t="s">
        <v>10</v>
      </c>
      <c r="Q4107" s="8"/>
      <c r="R4107" s="9" t="s">
        <v>3657</v>
      </c>
    </row>
    <row r="4108" spans="1:18" x14ac:dyDescent="0.25">
      <c r="A4108" s="6" t="str">
        <f>HYPERLINK("proteomic_fractions_linear_files/Yang_linear_img/254675308.jpg", "254675308")</f>
        <v>254675308</v>
      </c>
      <c r="B4108" s="7"/>
      <c r="C4108" s="6" t="str">
        <f>HYPERLINK("http://www.ncbi.nlm.nih.gov/protein/254675308","Lrrcc1")</f>
        <v>Lrrcc1</v>
      </c>
      <c r="D4108" s="8"/>
      <c r="E4108" s="8">
        <v>119044</v>
      </c>
      <c r="F4108" s="8"/>
      <c r="G4108" s="15" t="s">
        <v>10</v>
      </c>
      <c r="H4108" s="15" t="s">
        <v>10</v>
      </c>
      <c r="I4108" s="15" t="s">
        <v>10</v>
      </c>
      <c r="J4108" s="15" t="s">
        <v>10</v>
      </c>
      <c r="K4108" s="15">
        <v>1.2895199255146372</v>
      </c>
      <c r="L4108" s="15">
        <v>1.2895199255146372</v>
      </c>
      <c r="M4108" s="15" t="s">
        <v>10</v>
      </c>
      <c r="N4108" s="15" t="s">
        <v>10</v>
      </c>
      <c r="O4108" s="15" t="s">
        <v>10</v>
      </c>
      <c r="P4108" s="15" t="s">
        <v>10</v>
      </c>
      <c r="Q4108" s="8"/>
      <c r="R4108" s="9" t="s">
        <v>3658</v>
      </c>
    </row>
    <row r="4109" spans="1:18" x14ac:dyDescent="0.25">
      <c r="A4109" s="6" t="str">
        <f>HYPERLINK("proteomic_fractions_linear_files/Yang_linear_img/254675310.jpg", "254675310")</f>
        <v>254675310</v>
      </c>
      <c r="B4109" s="7"/>
      <c r="C4109" s="6" t="str">
        <f>HYPERLINK("http://www.ncbi.nlm.nih.gov/protein/254675310","Lrrcc1")</f>
        <v>Lrrcc1</v>
      </c>
      <c r="D4109" s="8"/>
      <c r="E4109" s="8">
        <v>117152</v>
      </c>
      <c r="F4109" s="8"/>
      <c r="G4109" s="15" t="s">
        <v>10</v>
      </c>
      <c r="H4109" s="15" t="s">
        <v>10</v>
      </c>
      <c r="I4109" s="15" t="s">
        <v>10</v>
      </c>
      <c r="J4109" s="15" t="s">
        <v>10</v>
      </c>
      <c r="K4109" s="15">
        <v>1.3115630011644601</v>
      </c>
      <c r="L4109" s="15">
        <v>1.3115630011644601</v>
      </c>
      <c r="M4109" s="15" t="s">
        <v>10</v>
      </c>
      <c r="N4109" s="15" t="s">
        <v>10</v>
      </c>
      <c r="O4109" s="15" t="s">
        <v>10</v>
      </c>
      <c r="P4109" s="15" t="s">
        <v>10</v>
      </c>
      <c r="Q4109" s="8"/>
      <c r="R4109" s="9" t="s">
        <v>3659</v>
      </c>
    </row>
    <row r="4110" spans="1:18" x14ac:dyDescent="0.25">
      <c r="A4110" s="6" t="str">
        <f>HYPERLINK("proteomic_fractions_linear_files/Yang_linear_img/162417949.jpg", "162417949")</f>
        <v>162417949</v>
      </c>
      <c r="B4110" s="7"/>
      <c r="C4110" s="6" t="str">
        <f>HYPERLINK("http://www.ncbi.nlm.nih.gov/protein/162417949","Lrrfip1")</f>
        <v>Lrrfip1</v>
      </c>
      <c r="D4110" s="8"/>
      <c r="E4110" s="8">
        <v>79118</v>
      </c>
      <c r="F4110" s="8"/>
      <c r="G4110" s="15" t="s">
        <v>10</v>
      </c>
      <c r="H4110" s="15" t="s">
        <v>10</v>
      </c>
      <c r="I4110" s="15">
        <v>1.9424414067878715</v>
      </c>
      <c r="J4110" s="15">
        <v>1.9424414067878715</v>
      </c>
      <c r="K4110" s="15">
        <v>2.3641244511384856</v>
      </c>
      <c r="L4110" s="15">
        <v>2.3641244511384856</v>
      </c>
      <c r="M4110" s="15">
        <v>2.3641244511384856</v>
      </c>
      <c r="N4110" s="15">
        <v>2.3641244511384856</v>
      </c>
      <c r="O4110" s="15">
        <v>1.9424414067878715</v>
      </c>
      <c r="P4110" s="15">
        <v>1.9424414067878715</v>
      </c>
      <c r="Q4110" s="8"/>
      <c r="R4110" s="9" t="s">
        <v>3660</v>
      </c>
    </row>
    <row r="4111" spans="1:18" x14ac:dyDescent="0.25">
      <c r="A4111" s="6" t="str">
        <f>HYPERLINK("proteomic_fractions_linear_files/Yang_linear_img/162417952.jpg", "162417952")</f>
        <v>162417952</v>
      </c>
      <c r="B4111" s="7"/>
      <c r="C4111" s="6" t="str">
        <f>HYPERLINK("http://www.ncbi.nlm.nih.gov/protein/162417952","Lrrfip1")</f>
        <v>Lrrfip1</v>
      </c>
      <c r="D4111" s="8"/>
      <c r="E4111" s="8">
        <v>48787</v>
      </c>
      <c r="F4111" s="8"/>
      <c r="G4111" s="15" t="s">
        <v>10</v>
      </c>
      <c r="H4111" s="15" t="s">
        <v>10</v>
      </c>
      <c r="I4111" s="15">
        <v>3.1316912476784049</v>
      </c>
      <c r="J4111" s="15">
        <v>3.1316912476784049</v>
      </c>
      <c r="K4111" s="15">
        <v>3.8115475844885789</v>
      </c>
      <c r="L4111" s="15">
        <v>3.8115475844885789</v>
      </c>
      <c r="M4111" s="15">
        <v>3.8115475844885789</v>
      </c>
      <c r="N4111" s="15">
        <v>3.8115475844885789</v>
      </c>
      <c r="O4111" s="15">
        <v>3.1316912476784049</v>
      </c>
      <c r="P4111" s="15">
        <v>3.1316912476784049</v>
      </c>
      <c r="Q4111" s="8"/>
      <c r="R4111" s="9" t="s">
        <v>3661</v>
      </c>
    </row>
    <row r="4112" spans="1:18" x14ac:dyDescent="0.25">
      <c r="A4112" s="6" t="str">
        <f>HYPERLINK("proteomic_fractions_linear_files/Yang_linear_img/6678722.jpg", "6678722")</f>
        <v>6678722</v>
      </c>
      <c r="B4112" s="7"/>
      <c r="C4112" s="6" t="str">
        <f>HYPERLINK("http://www.ncbi.nlm.nih.gov/protein/6678722","Lrrfip1")</f>
        <v>Lrrfip1</v>
      </c>
      <c r="D4112" s="8"/>
      <c r="E4112" s="8">
        <v>71172</v>
      </c>
      <c r="F4112" s="8"/>
      <c r="G4112" s="15" t="s">
        <v>10</v>
      </c>
      <c r="H4112" s="15" t="s">
        <v>10</v>
      </c>
      <c r="I4112" s="15">
        <v>2.1613080441724204</v>
      </c>
      <c r="J4112" s="15">
        <v>2.1613080441724204</v>
      </c>
      <c r="K4112" s="15">
        <v>2.6305046709850757</v>
      </c>
      <c r="L4112" s="15">
        <v>2.6305046709850757</v>
      </c>
      <c r="M4112" s="15">
        <v>2.6305046709850757</v>
      </c>
      <c r="N4112" s="15">
        <v>2.6305046709850757</v>
      </c>
      <c r="O4112" s="15">
        <v>2.1613080441724204</v>
      </c>
      <c r="P4112" s="15">
        <v>2.1613080441724204</v>
      </c>
      <c r="Q4112" s="8"/>
      <c r="R4112" s="9" t="s">
        <v>3662</v>
      </c>
    </row>
    <row r="4113" spans="1:18" x14ac:dyDescent="0.25">
      <c r="A4113" s="6" t="str">
        <f>HYPERLINK("proteomic_fractions_linear_files/Yang_linear_img/110625827.jpg", "110625827")</f>
        <v>110625827</v>
      </c>
      <c r="B4113" s="7"/>
      <c r="C4113" s="6" t="str">
        <f>HYPERLINK("http://www.ncbi.nlm.nih.gov/protein/110625827","Lrrfip2")</f>
        <v>Lrrfip2</v>
      </c>
      <c r="D4113" s="8"/>
      <c r="E4113" s="8">
        <v>45394</v>
      </c>
      <c r="F4113" s="8"/>
      <c r="G4113" s="15" t="s">
        <v>10</v>
      </c>
      <c r="H4113" s="15" t="s">
        <v>10</v>
      </c>
      <c r="I4113" s="15">
        <v>3.4100638030275965</v>
      </c>
      <c r="J4113" s="15">
        <v>3.4100638030275965</v>
      </c>
      <c r="K4113" s="15">
        <v>4.1503518142208966</v>
      </c>
      <c r="L4113" s="15">
        <v>4.1503518142208966</v>
      </c>
      <c r="M4113" s="15">
        <v>4.1503518142208966</v>
      </c>
      <c r="N4113" s="15">
        <v>4.1503518142208966</v>
      </c>
      <c r="O4113" s="15">
        <v>3.4100638030275965</v>
      </c>
      <c r="P4113" s="15">
        <v>3.4100638030275965</v>
      </c>
      <c r="Q4113" s="8"/>
      <c r="R4113" s="9" t="s">
        <v>3663</v>
      </c>
    </row>
    <row r="4114" spans="1:18" x14ac:dyDescent="0.25">
      <c r="A4114" s="6" t="str">
        <f>HYPERLINK("proteomic_fractions_linear_files/Yang_linear_img/258679524.jpg", "258679524")</f>
        <v>258679524</v>
      </c>
      <c r="B4114" s="7"/>
      <c r="C4114" s="6" t="str">
        <f>HYPERLINK("http://www.ncbi.nlm.nih.gov/protein/258679524","Lrrfip2")</f>
        <v>Lrrfip2</v>
      </c>
      <c r="D4114" s="8"/>
      <c r="E4114" s="8">
        <v>47003</v>
      </c>
      <c r="F4114" s="8"/>
      <c r="G4114" s="15" t="s">
        <v>10</v>
      </c>
      <c r="H4114" s="15" t="s">
        <v>10</v>
      </c>
      <c r="I4114" s="15">
        <v>3.264954705026422</v>
      </c>
      <c r="J4114" s="15">
        <v>3.264954705026422</v>
      </c>
      <c r="K4114" s="15">
        <v>3.9737410987221353</v>
      </c>
      <c r="L4114" s="15">
        <v>3.9737410987221353</v>
      </c>
      <c r="M4114" s="15">
        <v>3.9737410987221353</v>
      </c>
      <c r="N4114" s="15">
        <v>3.9737410987221353</v>
      </c>
      <c r="O4114" s="15">
        <v>3.264954705026422</v>
      </c>
      <c r="P4114" s="15">
        <v>3.264954705026422</v>
      </c>
      <c r="Q4114" s="8"/>
      <c r="R4114" s="9" t="s">
        <v>3664</v>
      </c>
    </row>
    <row r="4115" spans="1:18" x14ac:dyDescent="0.25">
      <c r="A4115" s="6" t="str">
        <f>HYPERLINK("proteomic_fractions_linear_files/Yang_linear_img/56699427.jpg", "56699427")</f>
        <v>56699427</v>
      </c>
      <c r="B4115" s="7"/>
      <c r="C4115" s="6" t="str">
        <f>HYPERLINK("http://www.ncbi.nlm.nih.gov/protein/56699427","Lrrk1")</f>
        <v>Lrrk1</v>
      </c>
      <c r="D4115" s="8"/>
      <c r="E4115" s="8">
        <v>225340</v>
      </c>
      <c r="F4115" s="8"/>
      <c r="G4115" s="15" t="s">
        <v>10</v>
      </c>
      <c r="H4115" s="15" t="s">
        <v>10</v>
      </c>
      <c r="I4115" s="15">
        <v>1.0371593227904403</v>
      </c>
      <c r="J4115" s="15">
        <v>1.0371593227904403</v>
      </c>
      <c r="K4115" s="15">
        <v>1.0371593227904403</v>
      </c>
      <c r="L4115" s="15">
        <v>1.0371593227904403</v>
      </c>
      <c r="M4115" s="15" t="s">
        <v>10</v>
      </c>
      <c r="N4115" s="15" t="s">
        <v>10</v>
      </c>
      <c r="O4115" s="15" t="s">
        <v>10</v>
      </c>
      <c r="P4115" s="15" t="s">
        <v>10</v>
      </c>
      <c r="Q4115" s="8"/>
      <c r="R4115" s="9" t="s">
        <v>3665</v>
      </c>
    </row>
    <row r="4116" spans="1:18" x14ac:dyDescent="0.25">
      <c r="A4116" s="6" t="str">
        <f>HYPERLINK("proteomic_fractions_linear_files/Yang_linear_img/146231954.jpg", "146231954")</f>
        <v>146231954</v>
      </c>
      <c r="B4116" s="7"/>
      <c r="C4116" s="6" t="str">
        <f>HYPERLINK("http://www.ncbi.nlm.nih.gov/protein/146231954","Lrrk2")</f>
        <v>Lrrk2</v>
      </c>
      <c r="D4116" s="8"/>
      <c r="E4116" s="8">
        <v>284602</v>
      </c>
      <c r="F4116" s="8"/>
      <c r="G4116" s="15">
        <v>0.14213094106393945</v>
      </c>
      <c r="H4116" s="15">
        <v>0.14213094106393945</v>
      </c>
      <c r="I4116" s="15">
        <v>0.14213094106393945</v>
      </c>
      <c r="J4116" s="15">
        <v>0.14213094106393945</v>
      </c>
      <c r="K4116" s="15" t="s">
        <v>10</v>
      </c>
      <c r="L4116" s="15" t="s">
        <v>10</v>
      </c>
      <c r="M4116" s="15" t="s">
        <v>10</v>
      </c>
      <c r="N4116" s="15" t="s">
        <v>10</v>
      </c>
      <c r="O4116" s="15" t="s">
        <v>10</v>
      </c>
      <c r="P4116" s="15" t="s">
        <v>10</v>
      </c>
      <c r="Q4116" s="8"/>
      <c r="R4116" s="9" t="s">
        <v>3666</v>
      </c>
    </row>
    <row r="4117" spans="1:18" x14ac:dyDescent="0.25">
      <c r="A4117" s="6" t="str">
        <f>HYPERLINK("proteomic_fractions_linear_files/Yang_linear_img/110625667.jpg", "110625667")</f>
        <v>110625667</v>
      </c>
      <c r="B4117" s="7"/>
      <c r="C4117" s="6" t="str">
        <f>HYPERLINK("http://www.ncbi.nlm.nih.gov/protein/110625667","Lsm1")</f>
        <v>Lsm1</v>
      </c>
      <c r="D4117" s="8"/>
      <c r="E4117" s="8">
        <v>15105</v>
      </c>
      <c r="F4117" s="8"/>
      <c r="G4117" s="15" t="s">
        <v>10</v>
      </c>
      <c r="H4117" s="15" t="s">
        <v>10</v>
      </c>
      <c r="I4117" s="15" t="s">
        <v>10</v>
      </c>
      <c r="J4117" s="15" t="s">
        <v>10</v>
      </c>
      <c r="K4117" s="15" t="s">
        <v>10</v>
      </c>
      <c r="L4117" s="15" t="s">
        <v>10</v>
      </c>
      <c r="M4117" s="15">
        <v>1.0130892195876191</v>
      </c>
      <c r="N4117" s="15">
        <v>1.0130892195876191</v>
      </c>
      <c r="O4117" s="15" t="s">
        <v>10</v>
      </c>
      <c r="P4117" s="15" t="s">
        <v>10</v>
      </c>
      <c r="Q4117" s="8"/>
      <c r="R4117" s="9" t="s">
        <v>3667</v>
      </c>
    </row>
    <row r="4118" spans="1:18" x14ac:dyDescent="0.25">
      <c r="A4118" s="6" t="str">
        <f>HYPERLINK("proteomic_fractions_linear_files/Yang_linear_img/20270251.jpg", "20270251")</f>
        <v>20270251</v>
      </c>
      <c r="B4118" s="7"/>
      <c r="C4118" s="6" t="str">
        <f>HYPERLINK("http://www.ncbi.nlm.nih.gov/protein/20270251","Lsm10")</f>
        <v>Lsm10</v>
      </c>
      <c r="D4118" s="8"/>
      <c r="E4118" s="8">
        <v>13750</v>
      </c>
      <c r="F4118" s="8"/>
      <c r="G4118" s="15" t="s">
        <v>10</v>
      </c>
      <c r="H4118" s="15" t="s">
        <v>10</v>
      </c>
      <c r="I4118" s="15" t="s">
        <v>10</v>
      </c>
      <c r="J4118" s="15" t="s">
        <v>10</v>
      </c>
      <c r="K4118" s="15">
        <v>0.99184646428118928</v>
      </c>
      <c r="L4118" s="15">
        <v>0.94979028735725246</v>
      </c>
      <c r="M4118" s="15">
        <v>0.99184646428118928</v>
      </c>
      <c r="N4118" s="15">
        <v>0.99184646428118928</v>
      </c>
      <c r="O4118" s="15">
        <v>0.91051566728125899</v>
      </c>
      <c r="P4118" s="15">
        <v>0.91051566728125899</v>
      </c>
      <c r="Q4118" s="8"/>
      <c r="R4118" s="9" t="s">
        <v>3668</v>
      </c>
    </row>
    <row r="4119" spans="1:18" x14ac:dyDescent="0.25">
      <c r="A4119" s="6" t="str">
        <f>HYPERLINK("proteomic_fractions_linear_files/Yang_linear_img/31711990.jpg", "31711990")</f>
        <v>31711990</v>
      </c>
      <c r="B4119" s="7"/>
      <c r="C4119" s="6" t="str">
        <f>HYPERLINK("http://www.ncbi.nlm.nih.gov/protein/31711990","Lsm12")</f>
        <v>Lsm12</v>
      </c>
      <c r="D4119" s="8"/>
      <c r="E4119" s="8">
        <v>21570</v>
      </c>
      <c r="F4119" s="8"/>
      <c r="G4119" s="15" t="s">
        <v>10</v>
      </c>
      <c r="H4119" s="15" t="s">
        <v>10</v>
      </c>
      <c r="I4119" s="15">
        <v>1.0504351533962475</v>
      </c>
      <c r="J4119" s="15">
        <v>1.0504351533962475</v>
      </c>
      <c r="K4119" s="15">
        <v>1.0504351533962475</v>
      </c>
      <c r="L4119" s="15">
        <v>1.0504351533962475</v>
      </c>
      <c r="M4119" s="15">
        <v>1.0504351533962475</v>
      </c>
      <c r="N4119" s="15">
        <v>1.0504351533962475</v>
      </c>
      <c r="O4119" s="15">
        <v>0.93624732666619426</v>
      </c>
      <c r="P4119" s="15">
        <v>0.93624732666619426</v>
      </c>
      <c r="Q4119" s="8"/>
      <c r="R4119" s="9" t="s">
        <v>3669</v>
      </c>
    </row>
    <row r="4120" spans="1:18" x14ac:dyDescent="0.25">
      <c r="A4120" s="6" t="str">
        <f>HYPERLINK("proteomic_fractions_linear_files/Yang_linear_img/23956156.jpg", "23956156")</f>
        <v>23956156</v>
      </c>
      <c r="B4120" s="7"/>
      <c r="C4120" s="6" t="str">
        <f>HYPERLINK("http://www.ncbi.nlm.nih.gov/protein/23956156","Lsm14a")</f>
        <v>Lsm14a</v>
      </c>
      <c r="D4120" s="8"/>
      <c r="E4120" s="8">
        <v>50415</v>
      </c>
      <c r="F4120" s="8"/>
      <c r="G4120" s="15" t="s">
        <v>10</v>
      </c>
      <c r="H4120" s="15" t="s">
        <v>10</v>
      </c>
      <c r="I4120" s="15" t="s">
        <v>10</v>
      </c>
      <c r="J4120" s="15" t="s">
        <v>10</v>
      </c>
      <c r="K4120" s="15">
        <v>1.3090652666108866</v>
      </c>
      <c r="L4120" s="15">
        <v>1.3090652666108866</v>
      </c>
      <c r="M4120" s="15">
        <v>1.1754641517118771</v>
      </c>
      <c r="N4120" s="15">
        <v>1.1754641517118771</v>
      </c>
      <c r="O4120" s="15" t="s">
        <v>10</v>
      </c>
      <c r="P4120" s="15" t="s">
        <v>10</v>
      </c>
      <c r="Q4120" s="8"/>
      <c r="R4120" s="9" t="s">
        <v>3670</v>
      </c>
    </row>
    <row r="4121" spans="1:18" x14ac:dyDescent="0.25">
      <c r="A4121" s="6" t="str">
        <f>HYPERLINK("proteomic_fractions_linear_files/Yang_linear_img/148839333.jpg", "148839333")</f>
        <v>148839333</v>
      </c>
      <c r="B4121" s="7"/>
      <c r="C4121" s="6" t="str">
        <f>HYPERLINK("http://www.ncbi.nlm.nih.gov/protein/148839333","Lsm14b")</f>
        <v>Lsm14b</v>
      </c>
      <c r="D4121" s="8"/>
      <c r="E4121" s="8">
        <v>42179</v>
      </c>
      <c r="F4121" s="8"/>
      <c r="G4121" s="15" t="s">
        <v>10</v>
      </c>
      <c r="H4121" s="15" t="s">
        <v>10</v>
      </c>
      <c r="I4121" s="15" t="s">
        <v>10</v>
      </c>
      <c r="J4121" s="15" t="s">
        <v>10</v>
      </c>
      <c r="K4121" s="15">
        <v>1.0506092677848922</v>
      </c>
      <c r="L4121" s="15">
        <v>1.0506092677848922</v>
      </c>
      <c r="M4121" s="15" t="s">
        <v>10</v>
      </c>
      <c r="N4121" s="15" t="s">
        <v>10</v>
      </c>
      <c r="O4121" s="15" t="s">
        <v>10</v>
      </c>
      <c r="P4121" s="15" t="s">
        <v>10</v>
      </c>
      <c r="Q4121" s="8"/>
      <c r="R4121" s="9" t="s">
        <v>3671</v>
      </c>
    </row>
    <row r="4122" spans="1:18" x14ac:dyDescent="0.25">
      <c r="A4122" s="6" t="str">
        <f>HYPERLINK("proteomic_fractions_linear_files/Yang_linear_img/324021707.jpg", "324021707")</f>
        <v>324021707</v>
      </c>
      <c r="B4122" s="7"/>
      <c r="C4122" s="6" t="str">
        <f>HYPERLINK("http://www.ncbi.nlm.nih.gov/protein/324021707","Lsm2")</f>
        <v>Lsm2</v>
      </c>
      <c r="D4122" s="8"/>
      <c r="E4122" s="8">
        <v>9402</v>
      </c>
      <c r="F4122" s="8"/>
      <c r="G4122" s="15" t="s">
        <v>10</v>
      </c>
      <c r="H4122" s="15" t="s">
        <v>10</v>
      </c>
      <c r="I4122" s="15" t="s">
        <v>10</v>
      </c>
      <c r="J4122" s="15" t="s">
        <v>10</v>
      </c>
      <c r="K4122" s="15">
        <v>1.4163577046597362</v>
      </c>
      <c r="L4122" s="15">
        <v>1.3592068102590398</v>
      </c>
      <c r="M4122" s="15" t="s">
        <v>10</v>
      </c>
      <c r="N4122" s="15" t="s">
        <v>10</v>
      </c>
      <c r="O4122" s="15" t="s">
        <v>10</v>
      </c>
      <c r="P4122" s="15" t="s">
        <v>10</v>
      </c>
      <c r="Q4122" s="8"/>
      <c r="R4122" s="9" t="s">
        <v>3672</v>
      </c>
    </row>
    <row r="4123" spans="1:18" x14ac:dyDescent="0.25">
      <c r="A4123" s="6" t="str">
        <f>HYPERLINK("proteomic_fractions_linear_files/Yang_linear_img/13994221.jpg", "13994221")</f>
        <v>13994221</v>
      </c>
      <c r="B4123" s="7"/>
      <c r="C4123" s="6" t="str">
        <f>HYPERLINK("http://www.ncbi.nlm.nih.gov/protein/13994221","Lsm2")</f>
        <v>Lsm2</v>
      </c>
      <c r="D4123" s="8"/>
      <c r="E4123" s="8">
        <v>14726</v>
      </c>
      <c r="F4123" s="8"/>
      <c r="G4123" s="15">
        <v>1.2330199443042722</v>
      </c>
      <c r="H4123" s="15">
        <v>1.2330199443042722</v>
      </c>
      <c r="I4123" s="15">
        <v>0.84981462279584175</v>
      </c>
      <c r="J4123" s="15">
        <v>0.84981462279584175</v>
      </c>
      <c r="K4123" s="15">
        <v>0.84981462279584175</v>
      </c>
      <c r="L4123" s="15">
        <v>0.81552408615542382</v>
      </c>
      <c r="M4123" s="15">
        <v>0.84981462279584175</v>
      </c>
      <c r="N4123" s="15">
        <v>0.84981462279584175</v>
      </c>
      <c r="O4123" s="15">
        <v>0.84981462279584175</v>
      </c>
      <c r="P4123" s="15">
        <v>0.84981462279584175</v>
      </c>
      <c r="Q4123" s="8"/>
      <c r="R4123" s="9" t="s">
        <v>3673</v>
      </c>
    </row>
    <row r="4124" spans="1:18" x14ac:dyDescent="0.25">
      <c r="A4124" s="6" t="str">
        <f>HYPERLINK("proteomic_fractions_linear_files/Yang_linear_img/158533995.jpg", "158533995")</f>
        <v>158533995</v>
      </c>
      <c r="B4124" s="7"/>
      <c r="C4124" s="6" t="str">
        <f>HYPERLINK("http://www.ncbi.nlm.nih.gov/protein/158533995","Lsm2")</f>
        <v>Lsm2</v>
      </c>
      <c r="D4124" s="8"/>
      <c r="E4124" s="8">
        <v>10703</v>
      </c>
      <c r="F4124" s="8"/>
      <c r="G4124" s="15">
        <v>1.6813908331421894</v>
      </c>
      <c r="H4124" s="15">
        <v>1.6813908331421894</v>
      </c>
      <c r="I4124" s="15">
        <v>1.1588381219943296</v>
      </c>
      <c r="J4124" s="15">
        <v>1.1588381219943296</v>
      </c>
      <c r="K4124" s="15">
        <v>1.1588381219943296</v>
      </c>
      <c r="L4124" s="15">
        <v>1.1120782993028506</v>
      </c>
      <c r="M4124" s="15">
        <v>1.1588381219943296</v>
      </c>
      <c r="N4124" s="15">
        <v>1.1588381219943296</v>
      </c>
      <c r="O4124" s="15">
        <v>1.1588381219943296</v>
      </c>
      <c r="P4124" s="15">
        <v>1.1588381219943296</v>
      </c>
      <c r="Q4124" s="8"/>
      <c r="R4124" s="9" t="s">
        <v>3674</v>
      </c>
    </row>
    <row r="4125" spans="1:18" x14ac:dyDescent="0.25">
      <c r="A4125" s="6" t="str">
        <f>HYPERLINK("proteomic_fractions_linear_files/Yang_linear_img/324021709.jpg", "324021709")</f>
        <v>324021709</v>
      </c>
      <c r="B4125" s="7"/>
      <c r="C4125" s="6" t="str">
        <f>HYPERLINK("http://www.ncbi.nlm.nih.gov/protein/324021709","Lsm2")</f>
        <v>Lsm2</v>
      </c>
      <c r="D4125" s="8"/>
      <c r="E4125" s="8">
        <v>8278</v>
      </c>
      <c r="F4125" s="8"/>
      <c r="G4125" s="15">
        <v>2.3119123955705105</v>
      </c>
      <c r="H4125" s="15">
        <v>1.5934024177422033</v>
      </c>
      <c r="I4125" s="15">
        <v>1.5934024177422033</v>
      </c>
      <c r="J4125" s="15">
        <v>1.5934024177422033</v>
      </c>
      <c r="K4125" s="15">
        <v>1.5934024177422033</v>
      </c>
      <c r="L4125" s="15">
        <v>1.5934024177422033</v>
      </c>
      <c r="M4125" s="15">
        <v>1.5934024177422033</v>
      </c>
      <c r="N4125" s="15">
        <v>1.5934024177422033</v>
      </c>
      <c r="O4125" s="15">
        <v>1.5934024177422033</v>
      </c>
      <c r="P4125" s="15">
        <v>1.5934024177422033</v>
      </c>
      <c r="Q4125" s="8"/>
      <c r="R4125" s="9" t="s">
        <v>3675</v>
      </c>
    </row>
    <row r="4126" spans="1:18" x14ac:dyDescent="0.25">
      <c r="A4126" s="6" t="str">
        <f>HYPERLINK("proteomic_fractions_linear_files/Yang_linear_img/13385806.jpg", "13385806")</f>
        <v>13385806</v>
      </c>
      <c r="B4126" s="7"/>
      <c r="C4126" s="6" t="str">
        <f>HYPERLINK("http://www.ncbi.nlm.nih.gov/protein/13385806","Lsm3")</f>
        <v>Lsm3</v>
      </c>
      <c r="D4126" s="8"/>
      <c r="E4126" s="8">
        <v>11714</v>
      </c>
      <c r="F4126" s="8"/>
      <c r="G4126" s="15">
        <v>1.209789476822529</v>
      </c>
      <c r="H4126" s="15">
        <v>1.209789476822529</v>
      </c>
      <c r="I4126" s="15">
        <v>1.209789476822529</v>
      </c>
      <c r="J4126" s="15">
        <v>1.209789476822529</v>
      </c>
      <c r="K4126" s="15">
        <v>1.2663615244845239</v>
      </c>
      <c r="L4126" s="15">
        <v>1.2663615244845239</v>
      </c>
      <c r="M4126" s="15">
        <v>1.2663615244845239</v>
      </c>
      <c r="N4126" s="15">
        <v>1.2663615244845239</v>
      </c>
      <c r="O4126" s="15">
        <v>1.209789476822529</v>
      </c>
      <c r="P4126" s="15">
        <v>1.209789476822529</v>
      </c>
      <c r="Q4126" s="8"/>
      <c r="R4126" s="9" t="s">
        <v>3676</v>
      </c>
    </row>
    <row r="4127" spans="1:18" x14ac:dyDescent="0.25">
      <c r="A4127" s="6" t="str">
        <f>HYPERLINK("proteomic_fractions_linear_files/Yang_linear_img/159032056.jpg", "159032056")</f>
        <v>159032056</v>
      </c>
      <c r="B4127" s="7"/>
      <c r="C4127" s="6" t="str">
        <f>HYPERLINK("http://www.ncbi.nlm.nih.gov/protein/159032056","Lsm4")</f>
        <v>Lsm4</v>
      </c>
      <c r="D4127" s="8"/>
      <c r="E4127" s="8">
        <v>15073</v>
      </c>
      <c r="F4127" s="8"/>
      <c r="G4127" s="15">
        <v>0.96783158145802317</v>
      </c>
      <c r="H4127" s="15">
        <v>0.96783158145802317</v>
      </c>
      <c r="I4127" s="15">
        <v>1.0130892195876191</v>
      </c>
      <c r="J4127" s="15">
        <v>1.0130892195876191</v>
      </c>
      <c r="K4127" s="15">
        <v>1.0618294522121183</v>
      </c>
      <c r="L4127" s="15">
        <v>1.0618294522121183</v>
      </c>
      <c r="M4127" s="15">
        <v>1.0618294522121183</v>
      </c>
      <c r="N4127" s="15">
        <v>1.0618294522121183</v>
      </c>
      <c r="O4127" s="15">
        <v>0.96783158145802317</v>
      </c>
      <c r="P4127" s="15">
        <v>0.96783158145802317</v>
      </c>
      <c r="Q4127" s="8"/>
      <c r="R4127" s="9" t="s">
        <v>3677</v>
      </c>
    </row>
    <row r="4128" spans="1:18" x14ac:dyDescent="0.25">
      <c r="A4128" s="6" t="str">
        <f>HYPERLINK("proteomic_fractions_linear_files/Yang_linear_img/113865835.jpg", "113865835")</f>
        <v>113865835</v>
      </c>
      <c r="B4128" s="7"/>
      <c r="C4128" s="6" t="str">
        <f>HYPERLINK("http://www.ncbi.nlm.nih.gov/protein/113865835","Lsm6")</f>
        <v>Lsm6</v>
      </c>
      <c r="D4128" s="8"/>
      <c r="E4128" s="8">
        <v>8996</v>
      </c>
      <c r="F4128" s="8"/>
      <c r="G4128" s="15" t="s">
        <v>10</v>
      </c>
      <c r="H4128" s="15" t="s">
        <v>10</v>
      </c>
      <c r="I4128" s="15">
        <v>1.2554043552894683</v>
      </c>
      <c r="J4128" s="15">
        <v>1.2554043552894683</v>
      </c>
      <c r="K4128" s="15" t="s">
        <v>10</v>
      </c>
      <c r="L4128" s="15" t="s">
        <v>10</v>
      </c>
      <c r="M4128" s="15" t="s">
        <v>10</v>
      </c>
      <c r="N4128" s="15" t="s">
        <v>10</v>
      </c>
      <c r="O4128" s="15" t="s">
        <v>10</v>
      </c>
      <c r="P4128" s="15" t="s">
        <v>10</v>
      </c>
      <c r="Q4128" s="8"/>
      <c r="R4128" s="9" t="s">
        <v>3678</v>
      </c>
    </row>
    <row r="4129" spans="1:18" x14ac:dyDescent="0.25">
      <c r="A4129" s="6" t="str">
        <f>HYPERLINK("proteomic_fractions_linear_files/Yang_linear_img/300797601;113865835.jpg", "300797601;113865835")</f>
        <v>300797601;113865835</v>
      </c>
      <c r="B4129" s="8"/>
      <c r="C4129" s="6" t="str">
        <f>HYPERLINK("http://www.ncbi.nlm.nih.gov/protein/300797601;113865835","Lsm6")</f>
        <v>Lsm6</v>
      </c>
      <c r="D4129" s="8"/>
      <c r="E4129" s="8">
        <v>8996</v>
      </c>
      <c r="F4129" s="8"/>
      <c r="G4129" s="15">
        <v>1.3056572917581817</v>
      </c>
      <c r="H4129" s="15">
        <v>1.3056572917581817</v>
      </c>
      <c r="I4129" s="15" t="s">
        <v>10</v>
      </c>
      <c r="J4129" s="15" t="s">
        <v>10</v>
      </c>
      <c r="K4129" s="15">
        <v>1.4163577046597362</v>
      </c>
      <c r="L4129" s="15">
        <v>1.3592068102590398</v>
      </c>
      <c r="M4129" s="15" t="s">
        <v>10</v>
      </c>
      <c r="N4129" s="15" t="s">
        <v>10</v>
      </c>
      <c r="O4129" s="15" t="s">
        <v>10</v>
      </c>
      <c r="P4129" s="15" t="s">
        <v>10</v>
      </c>
      <c r="Q4129" s="8"/>
      <c r="R4129" s="9" t="s">
        <v>3678</v>
      </c>
    </row>
    <row r="4130" spans="1:18" x14ac:dyDescent="0.25">
      <c r="A4130" s="6" t="str">
        <f>HYPERLINK("proteomic_fractions_linear_files/Yang_linear_img/13384714.jpg", "13384714")</f>
        <v>13384714</v>
      </c>
      <c r="B4130" s="7"/>
      <c r="C4130" s="6" t="str">
        <f>HYPERLINK("http://www.ncbi.nlm.nih.gov/protein/13384714","Lsm7")</f>
        <v>Lsm7</v>
      </c>
      <c r="D4130" s="8"/>
      <c r="E4130" s="8">
        <v>11505</v>
      </c>
      <c r="F4130" s="8"/>
      <c r="G4130" s="15" t="s">
        <v>10</v>
      </c>
      <c r="H4130" s="15" t="s">
        <v>10</v>
      </c>
      <c r="I4130" s="15" t="s">
        <v>10</v>
      </c>
      <c r="J4130" s="15" t="s">
        <v>10</v>
      </c>
      <c r="K4130" s="15" t="s">
        <v>10</v>
      </c>
      <c r="L4130" s="15" t="s">
        <v>10</v>
      </c>
      <c r="M4130" s="15">
        <v>1.1571542083280542</v>
      </c>
      <c r="N4130" s="15">
        <v>1.1571542083280542</v>
      </c>
      <c r="O4130" s="15">
        <v>1.1080886685834612</v>
      </c>
      <c r="P4130" s="15">
        <v>1.1080886685834612</v>
      </c>
      <c r="Q4130" s="8"/>
      <c r="R4130" s="9" t="s">
        <v>3679</v>
      </c>
    </row>
    <row r="4131" spans="1:18" x14ac:dyDescent="0.25">
      <c r="A4131" s="6" t="str">
        <f>HYPERLINK("proteomic_fractions_linear_files/Yang_linear_img/58037525.jpg", "58037525")</f>
        <v>58037525</v>
      </c>
      <c r="B4131" s="7"/>
      <c r="C4131" s="6" t="str">
        <f>HYPERLINK("http://www.ncbi.nlm.nih.gov/protein/58037525","Lsmd1")</f>
        <v>Lsmd1</v>
      </c>
      <c r="D4131" s="8"/>
      <c r="E4131" s="8">
        <v>13299</v>
      </c>
      <c r="F4131" s="8"/>
      <c r="G4131" s="15" t="s">
        <v>10</v>
      </c>
      <c r="H4131" s="15" t="s">
        <v>10</v>
      </c>
      <c r="I4131" s="15" t="s">
        <v>10</v>
      </c>
      <c r="J4131" s="15" t="s">
        <v>10</v>
      </c>
      <c r="K4131" s="15">
        <v>1.2251878294755212</v>
      </c>
      <c r="L4131" s="15">
        <v>1.2251878294755212</v>
      </c>
      <c r="M4131" s="15">
        <v>1.1689490995241758</v>
      </c>
      <c r="N4131" s="15">
        <v>1.1689490995241758</v>
      </c>
      <c r="O4131" s="15" t="s">
        <v>10</v>
      </c>
      <c r="P4131" s="15" t="s">
        <v>10</v>
      </c>
      <c r="Q4131" s="8"/>
      <c r="R4131" s="9" t="s">
        <v>3680</v>
      </c>
    </row>
    <row r="4132" spans="1:18" x14ac:dyDescent="0.25">
      <c r="A4132" s="6" t="str">
        <f>HYPERLINK("proteomic_fractions_linear_files/Yang_linear_img/255958261.jpg", "255958261")</f>
        <v>255958261</v>
      </c>
      <c r="B4132" s="7"/>
      <c r="C4132" s="6" t="str">
        <f>HYPERLINK("http://www.ncbi.nlm.nih.gov/protein/255958261","Lsr")</f>
        <v>Lsr</v>
      </c>
      <c r="D4132" s="8"/>
      <c r="E4132" s="8">
        <v>60552</v>
      </c>
      <c r="F4132" s="8"/>
      <c r="G4132" s="15" t="s">
        <v>10</v>
      </c>
      <c r="H4132" s="15" t="s">
        <v>10</v>
      </c>
      <c r="I4132" s="15">
        <v>0.4899247031428382</v>
      </c>
      <c r="J4132" s="15">
        <v>0.4899247031428382</v>
      </c>
      <c r="K4132" s="15">
        <v>1.2038714793718401</v>
      </c>
      <c r="L4132" s="15">
        <v>1.2038714793718401</v>
      </c>
      <c r="M4132" s="15" t="s">
        <v>10</v>
      </c>
      <c r="N4132" s="15" t="s">
        <v>10</v>
      </c>
      <c r="O4132" s="15" t="s">
        <v>10</v>
      </c>
      <c r="P4132" s="15" t="s">
        <v>10</v>
      </c>
      <c r="Q4132" s="8"/>
      <c r="R4132" s="9" t="s">
        <v>3681</v>
      </c>
    </row>
    <row r="4133" spans="1:18" x14ac:dyDescent="0.25">
      <c r="A4133" s="6" t="str">
        <f>HYPERLINK("proteomic_fractions_linear_files/Yang_linear_img/255958263.jpg", "255958263")</f>
        <v>255958263</v>
      </c>
      <c r="B4133" s="7"/>
      <c r="C4133" s="6" t="str">
        <f>HYPERLINK("http://www.ncbi.nlm.nih.gov/protein/255958263","Lsr")</f>
        <v>Lsr</v>
      </c>
      <c r="D4133" s="8"/>
      <c r="E4133" s="8">
        <v>55031</v>
      </c>
      <c r="F4133" s="8"/>
      <c r="G4133" s="15" t="s">
        <v>10</v>
      </c>
      <c r="H4133" s="15" t="s">
        <v>10</v>
      </c>
      <c r="I4133" s="15">
        <v>0.54337103439478418</v>
      </c>
      <c r="J4133" s="15">
        <v>0.54337103439478418</v>
      </c>
      <c r="K4133" s="15">
        <v>1.3352029134851318</v>
      </c>
      <c r="L4133" s="15">
        <v>1.3352029134851318</v>
      </c>
      <c r="M4133" s="15" t="s">
        <v>10</v>
      </c>
      <c r="N4133" s="15" t="s">
        <v>10</v>
      </c>
      <c r="O4133" s="15" t="s">
        <v>10</v>
      </c>
      <c r="P4133" s="15" t="s">
        <v>10</v>
      </c>
      <c r="Q4133" s="8"/>
      <c r="R4133" s="9" t="s">
        <v>3682</v>
      </c>
    </row>
    <row r="4134" spans="1:18" x14ac:dyDescent="0.25">
      <c r="A4134" s="6" t="str">
        <f>HYPERLINK("proteomic_fractions_linear_files/Yang_linear_img/30794490.jpg", "30794490")</f>
        <v>30794490</v>
      </c>
      <c r="B4134" s="7"/>
      <c r="C4134" s="6" t="str">
        <f>HYPERLINK("http://www.ncbi.nlm.nih.gov/protein/30794490","Lsr")</f>
        <v>Lsr</v>
      </c>
      <c r="D4134" s="8"/>
      <c r="E4134" s="8">
        <v>62602</v>
      </c>
      <c r="F4134" s="8"/>
      <c r="G4134" s="15" t="s">
        <v>10</v>
      </c>
      <c r="H4134" s="15" t="s">
        <v>10</v>
      </c>
      <c r="I4134" s="15">
        <v>0.47437153796370052</v>
      </c>
      <c r="J4134" s="15">
        <v>0.47437153796370052</v>
      </c>
      <c r="K4134" s="15">
        <v>1.1656533371695594</v>
      </c>
      <c r="L4134" s="15">
        <v>1.1656533371695594</v>
      </c>
      <c r="M4134" s="15" t="s">
        <v>10</v>
      </c>
      <c r="N4134" s="15" t="s">
        <v>10</v>
      </c>
      <c r="O4134" s="15" t="s">
        <v>10</v>
      </c>
      <c r="P4134" s="15" t="s">
        <v>10</v>
      </c>
      <c r="Q4134" s="8"/>
      <c r="R4134" s="9" t="s">
        <v>3683</v>
      </c>
    </row>
    <row r="4135" spans="1:18" x14ac:dyDescent="0.25">
      <c r="A4135" s="6" t="str">
        <f>HYPERLINK("proteomic_fractions_linear_files/Yang_linear_img/22122469.jpg", "22122469")</f>
        <v>22122469</v>
      </c>
      <c r="B4135" s="7"/>
      <c r="C4135" s="6" t="str">
        <f>HYPERLINK("http://www.ncbi.nlm.nih.gov/protein/22122469","Lss")</f>
        <v>Lss</v>
      </c>
      <c r="D4135" s="8"/>
      <c r="E4135" s="8">
        <v>83011</v>
      </c>
      <c r="F4135" s="8"/>
      <c r="G4135" s="15">
        <v>1.1441925443684882</v>
      </c>
      <c r="H4135" s="15">
        <v>1.1441925443684882</v>
      </c>
      <c r="I4135" s="15">
        <v>1.001188656302938</v>
      </c>
      <c r="J4135" s="15">
        <v>1.001188656302938</v>
      </c>
      <c r="K4135" s="15">
        <v>1.001188656302938</v>
      </c>
      <c r="L4135" s="15">
        <v>1.001188656302938</v>
      </c>
      <c r="M4135" s="15">
        <v>1.001188656302938</v>
      </c>
      <c r="N4135" s="15">
        <v>1.001188656302938</v>
      </c>
      <c r="O4135" s="15" t="s">
        <v>10</v>
      </c>
      <c r="P4135" s="15" t="s">
        <v>10</v>
      </c>
      <c r="Q4135" s="8"/>
      <c r="R4135" s="9" t="s">
        <v>3684</v>
      </c>
    </row>
    <row r="4136" spans="1:18" x14ac:dyDescent="0.25">
      <c r="A4136" s="6" t="str">
        <f>HYPERLINK("proteomic_fractions_linear_files/Yang_linear_img/116734870.jpg", "116734870")</f>
        <v>116734870</v>
      </c>
      <c r="B4136" s="7"/>
      <c r="C4136" s="6" t="str">
        <f>HYPERLINK("http://www.ncbi.nlm.nih.gov/protein/116734870","Lta4h")</f>
        <v>Lta4h</v>
      </c>
      <c r="D4136" s="8"/>
      <c r="E4136" s="8">
        <v>68920</v>
      </c>
      <c r="F4136" s="8"/>
      <c r="G4136" s="15" t="s">
        <v>10</v>
      </c>
      <c r="H4136" s="15" t="s">
        <v>10</v>
      </c>
      <c r="I4136" s="15">
        <v>0.94859801928325116</v>
      </c>
      <c r="J4136" s="15">
        <v>0.94859801928325116</v>
      </c>
      <c r="K4136" s="15">
        <v>1.0642921774156846</v>
      </c>
      <c r="L4136" s="15">
        <v>1.0642921774156846</v>
      </c>
      <c r="M4136" s="15">
        <v>1.0642921774156846</v>
      </c>
      <c r="N4136" s="15">
        <v>1.0642921774156846</v>
      </c>
      <c r="O4136" s="15">
        <v>0.94859801928325116</v>
      </c>
      <c r="P4136" s="15">
        <v>0.94859801928325116</v>
      </c>
      <c r="Q4136" s="8"/>
      <c r="R4136" s="9" t="s">
        <v>3685</v>
      </c>
    </row>
    <row r="4137" spans="1:18" x14ac:dyDescent="0.25">
      <c r="A4137" s="6" t="str">
        <f>HYPERLINK("proteomic_fractions_linear_files/Yang_linear_img/124486727.jpg", "124486727")</f>
        <v>124486727</v>
      </c>
      <c r="B4137" s="7"/>
      <c r="C4137" s="6" t="str">
        <f>HYPERLINK("http://www.ncbi.nlm.nih.gov/protein/124486727","Ltn1")</f>
        <v>Ltn1</v>
      </c>
      <c r="D4137" s="8"/>
      <c r="E4137" s="8">
        <v>198791</v>
      </c>
      <c r="F4137" s="8"/>
      <c r="G4137" s="15" t="s">
        <v>10</v>
      </c>
      <c r="H4137" s="15" t="s">
        <v>10</v>
      </c>
      <c r="I4137" s="15" t="s">
        <v>10</v>
      </c>
      <c r="J4137" s="15" t="s">
        <v>10</v>
      </c>
      <c r="K4137" s="15">
        <v>1.1726675760193421</v>
      </c>
      <c r="L4137" s="15">
        <v>1.1726675760193421</v>
      </c>
      <c r="M4137" s="15">
        <v>1.1726675760193421</v>
      </c>
      <c r="N4137" s="15">
        <v>1.1726675760193421</v>
      </c>
      <c r="O4137" s="15">
        <v>1.1726675760193421</v>
      </c>
      <c r="P4137" s="15">
        <v>1.1726675760193421</v>
      </c>
      <c r="Q4137" s="8"/>
      <c r="R4137" s="9" t="s">
        <v>3686</v>
      </c>
    </row>
    <row r="4138" spans="1:18" x14ac:dyDescent="0.25">
      <c r="A4138" s="6" t="str">
        <f>HYPERLINK("proteomic_fractions_linear_files/Yang_linear_img/31324539.jpg", "31324539")</f>
        <v>31324539</v>
      </c>
      <c r="B4138" s="7"/>
      <c r="C4138" s="6" t="str">
        <f>HYPERLINK("http://www.ncbi.nlm.nih.gov/protein/31324539","Ltv1")</f>
        <v>Ltv1</v>
      </c>
      <c r="D4138" s="8"/>
      <c r="E4138" s="8">
        <v>53892</v>
      </c>
      <c r="F4138" s="8"/>
      <c r="G4138" s="15" t="s">
        <v>10</v>
      </c>
      <c r="H4138" s="15" t="s">
        <v>10</v>
      </c>
      <c r="I4138" s="15" t="s">
        <v>10</v>
      </c>
      <c r="J4138" s="15" t="s">
        <v>10</v>
      </c>
      <c r="K4138" s="15" t="s">
        <v>10</v>
      </c>
      <c r="L4138" s="15" t="s">
        <v>10</v>
      </c>
      <c r="M4138" s="15">
        <v>1.359928893364486</v>
      </c>
      <c r="N4138" s="15">
        <v>1.359928893364486</v>
      </c>
      <c r="O4138" s="15" t="s">
        <v>10</v>
      </c>
      <c r="P4138" s="15" t="s">
        <v>10</v>
      </c>
      <c r="Q4138" s="8"/>
      <c r="R4138" s="9" t="s">
        <v>3687</v>
      </c>
    </row>
    <row r="4139" spans="1:18" x14ac:dyDescent="0.25">
      <c r="A4139" s="6" t="str">
        <f>HYPERLINK("proteomic_fractions_linear_files/Yang_linear_img/114158677.jpg", "114158677")</f>
        <v>114158677</v>
      </c>
      <c r="B4139" s="7"/>
      <c r="C4139" s="6" t="str">
        <f>HYPERLINK("http://www.ncbi.nlm.nih.gov/protein/114158677","Luc7l")</f>
        <v>Luc7l</v>
      </c>
      <c r="D4139" s="8"/>
      <c r="E4139" s="8">
        <v>43803</v>
      </c>
      <c r="F4139" s="8"/>
      <c r="G4139" s="15" t="s">
        <v>10</v>
      </c>
      <c r="H4139" s="15" t="s">
        <v>10</v>
      </c>
      <c r="I4139" s="15">
        <v>136.20681818181819</v>
      </c>
      <c r="J4139" s="15">
        <v>136.20681818181819</v>
      </c>
      <c r="K4139" s="15">
        <v>136.20681818181819</v>
      </c>
      <c r="L4139" s="15">
        <v>136.20681818181819</v>
      </c>
      <c r="M4139" s="15">
        <v>0.84866650961646795</v>
      </c>
      <c r="N4139" s="15">
        <v>0.84866650961646795</v>
      </c>
      <c r="O4139" s="15">
        <v>0.78530401205625422</v>
      </c>
      <c r="P4139" s="15">
        <v>0.78530401205625422</v>
      </c>
      <c r="Q4139" s="8"/>
      <c r="R4139" s="9" t="s">
        <v>3688</v>
      </c>
    </row>
    <row r="4140" spans="1:18" x14ac:dyDescent="0.25">
      <c r="A4140" s="6" t="str">
        <f>HYPERLINK("proteomic_fractions_linear_files/Yang_linear_img/21536228.jpg", "21536228")</f>
        <v>21536228</v>
      </c>
      <c r="B4140" s="7"/>
      <c r="C4140" s="6" t="str">
        <f>HYPERLINK("http://www.ncbi.nlm.nih.gov/protein/21536228","Luc7l")</f>
        <v>Luc7l</v>
      </c>
      <c r="D4140" s="8"/>
      <c r="E4140" s="8">
        <v>38334</v>
      </c>
      <c r="F4140" s="8"/>
      <c r="G4140" s="15" t="s">
        <v>10</v>
      </c>
      <c r="H4140" s="15" t="s">
        <v>10</v>
      </c>
      <c r="I4140" s="15">
        <v>157.71315789473684</v>
      </c>
      <c r="J4140" s="15">
        <v>157.71315789473684</v>
      </c>
      <c r="K4140" s="15">
        <v>157.71315789473684</v>
      </c>
      <c r="L4140" s="15">
        <v>157.71315789473684</v>
      </c>
      <c r="M4140" s="15">
        <v>0.98266648481906815</v>
      </c>
      <c r="N4140" s="15">
        <v>0.98266648481906815</v>
      </c>
      <c r="O4140" s="15">
        <v>0.90929938238092589</v>
      </c>
      <c r="P4140" s="15">
        <v>0.90929938238092589</v>
      </c>
      <c r="Q4140" s="8"/>
      <c r="R4140" s="9" t="s">
        <v>3689</v>
      </c>
    </row>
    <row r="4141" spans="1:18" x14ac:dyDescent="0.25">
      <c r="A4141" s="6" t="str">
        <f>HYPERLINK("proteomic_fractions_linear_files/Yang_linear_img/283806681.jpg", "283806681")</f>
        <v>283806681</v>
      </c>
      <c r="B4141" s="7"/>
      <c r="C4141" s="6" t="str">
        <f>HYPERLINK("http://www.ncbi.nlm.nih.gov/protein/283806681","Luc7l2")</f>
        <v>Luc7l2</v>
      </c>
      <c r="D4141" s="8"/>
      <c r="E4141" s="8">
        <v>46452</v>
      </c>
      <c r="F4141" s="8"/>
      <c r="G4141" s="15" t="s">
        <v>10</v>
      </c>
      <c r="H4141" s="15" t="s">
        <v>10</v>
      </c>
      <c r="I4141" s="15">
        <v>130.28478260869565</v>
      </c>
      <c r="J4141" s="15">
        <v>130.28478260869565</v>
      </c>
      <c r="K4141" s="15">
        <v>130.28478260869565</v>
      </c>
      <c r="L4141" s="15">
        <v>130.28478260869565</v>
      </c>
      <c r="M4141" s="15">
        <v>130.28478260869565</v>
      </c>
      <c r="N4141" s="15">
        <v>0.81176796572009979</v>
      </c>
      <c r="O4141" s="15">
        <v>1.0497820779220708</v>
      </c>
      <c r="P4141" s="15">
        <v>1.0497820779220708</v>
      </c>
      <c r="Q4141" s="8"/>
      <c r="R4141" s="9" t="s">
        <v>3690</v>
      </c>
    </row>
    <row r="4142" spans="1:18" x14ac:dyDescent="0.25">
      <c r="A4142" s="6" t="str">
        <f>HYPERLINK("proteomic_fractions_linear_files/Yang_linear_img/283806683.jpg", "283806683")</f>
        <v>283806683</v>
      </c>
      <c r="B4142" s="7"/>
      <c r="C4142" s="6" t="str">
        <f>HYPERLINK("http://www.ncbi.nlm.nih.gov/protein/283806683","Luc7l2")</f>
        <v>Luc7l2</v>
      </c>
      <c r="D4142" s="8"/>
      <c r="E4142" s="8">
        <v>45274</v>
      </c>
      <c r="F4142" s="8"/>
      <c r="G4142" s="15" t="s">
        <v>10</v>
      </c>
      <c r="H4142" s="15" t="s">
        <v>10</v>
      </c>
      <c r="I4142" s="15">
        <v>133.18</v>
      </c>
      <c r="J4142" s="15">
        <v>133.18</v>
      </c>
      <c r="K4142" s="15">
        <v>133.18</v>
      </c>
      <c r="L4142" s="15">
        <v>133.18</v>
      </c>
      <c r="M4142" s="15">
        <v>133.18</v>
      </c>
      <c r="N4142" s="15">
        <v>0.8298072538472131</v>
      </c>
      <c r="O4142" s="15">
        <v>1.0731105685425613</v>
      </c>
      <c r="P4142" s="15">
        <v>1.0731105685425613</v>
      </c>
      <c r="Q4142" s="8"/>
      <c r="R4142" s="9" t="s">
        <v>3691</v>
      </c>
    </row>
    <row r="4143" spans="1:18" x14ac:dyDescent="0.25">
      <c r="A4143" s="6" t="str">
        <f>HYPERLINK("proteomic_fractions_linear_files/Yang_linear_img/283806685.jpg", "283806685")</f>
        <v>283806685</v>
      </c>
      <c r="B4143" s="7"/>
      <c r="C4143" s="6" t="str">
        <f>HYPERLINK("http://www.ncbi.nlm.nih.gov/protein/283806685","Luc7l2")</f>
        <v>Luc7l2</v>
      </c>
      <c r="D4143" s="8"/>
      <c r="E4143" s="8">
        <v>38480</v>
      </c>
      <c r="F4143" s="8"/>
      <c r="G4143" s="15" t="s">
        <v>10</v>
      </c>
      <c r="H4143" s="15" t="s">
        <v>10</v>
      </c>
      <c r="I4143" s="15">
        <v>157.71315789473684</v>
      </c>
      <c r="J4143" s="15">
        <v>157.71315789473684</v>
      </c>
      <c r="K4143" s="15">
        <v>157.71315789473684</v>
      </c>
      <c r="L4143" s="15">
        <v>157.71315789473684</v>
      </c>
      <c r="M4143" s="15">
        <v>157.71315789473684</v>
      </c>
      <c r="N4143" s="15">
        <v>0.98266648481906815</v>
      </c>
      <c r="O4143" s="15">
        <v>1.2707888311688225</v>
      </c>
      <c r="P4143" s="15">
        <v>1.2707888311688225</v>
      </c>
      <c r="Q4143" s="8"/>
      <c r="R4143" s="9" t="s">
        <v>3692</v>
      </c>
    </row>
    <row r="4144" spans="1:18" x14ac:dyDescent="0.25">
      <c r="A4144" s="6" t="str">
        <f>HYPERLINK("proteomic_fractions_linear_files/Yang_linear_img/23956166.jpg", "23956166")</f>
        <v>23956166</v>
      </c>
      <c r="B4144" s="7"/>
      <c r="C4144" s="6" t="str">
        <f>HYPERLINK("http://www.ncbi.nlm.nih.gov/protein/23956166","Luc7l3")</f>
        <v>Luc7l3</v>
      </c>
      <c r="D4144" s="8"/>
      <c r="E4144" s="8">
        <v>58305</v>
      </c>
      <c r="F4144" s="8"/>
      <c r="G4144" s="15">
        <v>1.2661406938221076</v>
      </c>
      <c r="H4144" s="15">
        <v>1.2661406938221076</v>
      </c>
      <c r="I4144" s="15">
        <v>103.32931034482759</v>
      </c>
      <c r="J4144" s="15">
        <v>103.32931034482759</v>
      </c>
      <c r="K4144" s="15">
        <v>103.32931034482759</v>
      </c>
      <c r="L4144" s="15">
        <v>1.1285045401817988</v>
      </c>
      <c r="M4144" s="15">
        <v>1.0133311652688595</v>
      </c>
      <c r="N4144" s="15">
        <v>1.0133311652688595</v>
      </c>
      <c r="O4144" s="15">
        <v>1.0133311652688595</v>
      </c>
      <c r="P4144" s="15">
        <v>1.0133311652688595</v>
      </c>
      <c r="Q4144" s="8"/>
      <c r="R4144" s="9" t="s">
        <v>3693</v>
      </c>
    </row>
    <row r="4145" spans="1:18" x14ac:dyDescent="0.25">
      <c r="A4145" s="6" t="str">
        <f>HYPERLINK("proteomic_fractions_linear_files/Yang_linear_img/119433663.jpg", "119433663")</f>
        <v>119433663</v>
      </c>
      <c r="B4145" s="7"/>
      <c r="C4145" s="6" t="str">
        <f>HYPERLINK("http://www.ncbi.nlm.nih.gov/protein/119433663","Luzp1")</f>
        <v>Luzp1</v>
      </c>
      <c r="D4145" s="8"/>
      <c r="E4145" s="8">
        <v>119180</v>
      </c>
      <c r="F4145" s="8"/>
      <c r="G4145" s="15" t="s">
        <v>10</v>
      </c>
      <c r="H4145" s="15" t="s">
        <v>10</v>
      </c>
      <c r="I4145" s="15">
        <v>0.15542268205516038</v>
      </c>
      <c r="J4145" s="15">
        <v>0.15542268205516038</v>
      </c>
      <c r="K4145" s="15">
        <v>0.69830805439616683</v>
      </c>
      <c r="L4145" s="15">
        <v>0.69830805439616683</v>
      </c>
      <c r="M4145" s="15">
        <v>0.16387520863895189</v>
      </c>
      <c r="N4145" s="15">
        <v>0.16387520863895189</v>
      </c>
      <c r="O4145" s="15">
        <v>0.14764655265007534</v>
      </c>
      <c r="P4145" s="15">
        <v>0.14764655265007534</v>
      </c>
      <c r="Q4145" s="8"/>
      <c r="R4145" s="9" t="s">
        <v>3694</v>
      </c>
    </row>
    <row r="4146" spans="1:18" x14ac:dyDescent="0.25">
      <c r="A4146" s="6" t="str">
        <f>HYPERLINK("proteomic_fractions_linear_files/Yang_linear_img/31980632.jpg", "31980632")</f>
        <v>31980632</v>
      </c>
      <c r="B4146" s="7"/>
      <c r="C4146" s="6" t="str">
        <f>HYPERLINK("http://www.ncbi.nlm.nih.gov/protein/31980632","Lxn")</f>
        <v>Lxn</v>
      </c>
      <c r="D4146" s="8"/>
      <c r="E4146" s="8">
        <v>25361</v>
      </c>
      <c r="F4146" s="8"/>
      <c r="G4146" s="15">
        <v>1.4936530569249837</v>
      </c>
      <c r="H4146" s="15">
        <v>1.3821350612190073</v>
      </c>
      <c r="I4146" s="15">
        <v>1.0460103246170001</v>
      </c>
      <c r="J4146" s="15">
        <v>1.0460103246170001</v>
      </c>
      <c r="K4146" s="15">
        <v>1.0460103246170001</v>
      </c>
      <c r="L4146" s="15">
        <v>1.0460103246170001</v>
      </c>
      <c r="M4146" s="15">
        <v>1.0460103246170001</v>
      </c>
      <c r="N4146" s="15">
        <v>1.0460103246170001</v>
      </c>
      <c r="O4146" s="15">
        <v>0.92438293498869784</v>
      </c>
      <c r="P4146" s="15">
        <v>0.92438293498869784</v>
      </c>
      <c r="Q4146" s="8"/>
      <c r="R4146" s="9" t="s">
        <v>3695</v>
      </c>
    </row>
    <row r="4147" spans="1:18" x14ac:dyDescent="0.25">
      <c r="A4147" s="6" t="str">
        <f>HYPERLINK("proteomic_fractions_linear_files/Yang_linear_img/255708401.jpg", "255708401")</f>
        <v>255708401</v>
      </c>
      <c r="B4147" s="7"/>
      <c r="C4147" s="6" t="str">
        <f>HYPERLINK("http://www.ncbi.nlm.nih.gov/protein/255708401","Ly6e")</f>
        <v>Ly6e</v>
      </c>
      <c r="D4147" s="8"/>
      <c r="E4147" s="8">
        <v>11594</v>
      </c>
      <c r="F4147" s="8"/>
      <c r="G4147" s="15" t="s">
        <v>10</v>
      </c>
      <c r="H4147" s="15" t="s">
        <v>10</v>
      </c>
      <c r="I4147" s="15">
        <v>1.0622682784948021</v>
      </c>
      <c r="J4147" s="15">
        <v>1.0622682784948021</v>
      </c>
      <c r="K4147" s="15">
        <v>1.0622682784948021</v>
      </c>
      <c r="L4147" s="15">
        <v>1.0622682784948021</v>
      </c>
      <c r="M4147" s="15" t="s">
        <v>10</v>
      </c>
      <c r="N4147" s="15" t="s">
        <v>10</v>
      </c>
      <c r="O4147" s="15" t="s">
        <v>10</v>
      </c>
      <c r="P4147" s="15" t="s">
        <v>10</v>
      </c>
      <c r="Q4147" s="8"/>
      <c r="R4147" s="9" t="s">
        <v>3696</v>
      </c>
    </row>
    <row r="4148" spans="1:18" x14ac:dyDescent="0.25">
      <c r="A4148" s="6" t="str">
        <f>HYPERLINK("proteomic_fractions_linear_files/Yang_linear_img/148747179.jpg", "148747179")</f>
        <v>148747179</v>
      </c>
      <c r="B4148" s="7"/>
      <c r="C4148" s="6" t="str">
        <f>HYPERLINK("http://www.ncbi.nlm.nih.gov/protein/148747179","Ly75")</f>
        <v>Ly75</v>
      </c>
      <c r="D4148" s="8"/>
      <c r="E4148" s="8">
        <v>194520</v>
      </c>
      <c r="F4148" s="8"/>
      <c r="G4148" s="15" t="s">
        <v>10</v>
      </c>
      <c r="H4148" s="15" t="s">
        <v>10</v>
      </c>
      <c r="I4148" s="15">
        <v>1.196722295527431</v>
      </c>
      <c r="J4148" s="15">
        <v>1.196722295527431</v>
      </c>
      <c r="K4148" s="15">
        <v>1.547606793007686</v>
      </c>
      <c r="L4148" s="15">
        <v>1.547606793007686</v>
      </c>
      <c r="M4148" s="15" t="s">
        <v>10</v>
      </c>
      <c r="N4148" s="15" t="s">
        <v>10</v>
      </c>
      <c r="O4148" s="15" t="s">
        <v>10</v>
      </c>
      <c r="P4148" s="15" t="s">
        <v>10</v>
      </c>
      <c r="Q4148" s="8"/>
      <c r="R4148" s="9" t="s">
        <v>3697</v>
      </c>
    </row>
    <row r="4149" spans="1:18" x14ac:dyDescent="0.25">
      <c r="A4149" s="6" t="str">
        <f>HYPERLINK("proteomic_fractions_linear_files/Yang_linear_img/188219567.jpg", "188219567")</f>
        <v>188219567</v>
      </c>
      <c r="B4149" s="7"/>
      <c r="C4149" s="6" t="str">
        <f>HYPERLINK("http://www.ncbi.nlm.nih.gov/protein/188219567","Lyar")</f>
        <v>Lyar</v>
      </c>
      <c r="D4149" s="8"/>
      <c r="E4149" s="8">
        <v>43605</v>
      </c>
      <c r="F4149" s="8"/>
      <c r="G4149" s="15" t="s">
        <v>10</v>
      </c>
      <c r="H4149" s="15" t="s">
        <v>10</v>
      </c>
      <c r="I4149" s="15">
        <v>1.2072856734091155</v>
      </c>
      <c r="J4149" s="15">
        <v>1.2072856734091155</v>
      </c>
      <c r="K4149" s="15">
        <v>1.2072856734091155</v>
      </c>
      <c r="L4149" s="15">
        <v>1.2072856734091155</v>
      </c>
      <c r="M4149" s="15">
        <v>1.2072856734091155</v>
      </c>
      <c r="N4149" s="15">
        <v>1.2072856734091155</v>
      </c>
      <c r="O4149" s="15" t="s">
        <v>10</v>
      </c>
      <c r="P4149" s="15" t="s">
        <v>10</v>
      </c>
      <c r="Q4149" s="8"/>
      <c r="R4149" s="9" t="s">
        <v>3698</v>
      </c>
    </row>
    <row r="4150" spans="1:18" x14ac:dyDescent="0.25">
      <c r="A4150" s="6" t="str">
        <f>HYPERLINK("proteomic_fractions_linear_files/Yang_linear_img/161760634.jpg", "161760634")</f>
        <v>161760634</v>
      </c>
      <c r="B4150" s="7"/>
      <c r="C4150" s="6" t="str">
        <f>HYPERLINK("http://www.ncbi.nlm.nih.gov/protein/161760634","Lyn")</f>
        <v>Lyn</v>
      </c>
      <c r="D4150" s="8"/>
      <c r="E4150" s="8">
        <v>56155</v>
      </c>
      <c r="F4150" s="8"/>
      <c r="G4150" s="15">
        <v>1.3113600043157543</v>
      </c>
      <c r="H4150" s="15">
        <v>1.3113600043157543</v>
      </c>
      <c r="I4150" s="15">
        <v>0.49853948745860821</v>
      </c>
      <c r="J4150" s="15">
        <v>0.49853948745860821</v>
      </c>
      <c r="K4150" s="15">
        <v>0.53366798020916306</v>
      </c>
      <c r="L4150" s="15">
        <v>0.53366798020916306</v>
      </c>
      <c r="M4150" s="15">
        <v>0.66680940041293912</v>
      </c>
      <c r="N4150" s="15">
        <v>0.66680940041293912</v>
      </c>
      <c r="O4150" s="15">
        <v>0.46696889491830357</v>
      </c>
      <c r="P4150" s="15">
        <v>0.46696889491830357</v>
      </c>
      <c r="Q4150" s="8"/>
      <c r="R4150" s="9" t="s">
        <v>3699</v>
      </c>
    </row>
    <row r="4151" spans="1:18" x14ac:dyDescent="0.25">
      <c r="A4151" s="6" t="str">
        <f>HYPERLINK("proteomic_fractions_linear_files/Yang_linear_img/161760636.jpg", "161760636")</f>
        <v>161760636</v>
      </c>
      <c r="B4151" s="7"/>
      <c r="C4151" s="6" t="str">
        <f>HYPERLINK("http://www.ncbi.nlm.nih.gov/protein/161760636","Lyn")</f>
        <v>Lyn</v>
      </c>
      <c r="D4151" s="8"/>
      <c r="E4151" s="8">
        <v>58681</v>
      </c>
      <c r="F4151" s="8"/>
      <c r="G4151" s="15">
        <v>1.244680682062411</v>
      </c>
      <c r="H4151" s="15">
        <v>1.244680682062411</v>
      </c>
      <c r="I4151" s="15">
        <v>0.47319002199461119</v>
      </c>
      <c r="J4151" s="15">
        <v>0.47319002199461119</v>
      </c>
      <c r="K4151" s="15">
        <v>0.50653232019852767</v>
      </c>
      <c r="L4151" s="15">
        <v>0.50653232019852767</v>
      </c>
      <c r="M4151" s="15">
        <v>0.63290383768007785</v>
      </c>
      <c r="N4151" s="15">
        <v>0.63290383768007785</v>
      </c>
      <c r="O4151" s="15">
        <v>0.44322471382076273</v>
      </c>
      <c r="P4151" s="15">
        <v>0.44322471382076273</v>
      </c>
      <c r="Q4151" s="8"/>
      <c r="R4151" s="9" t="s">
        <v>3700</v>
      </c>
    </row>
    <row r="4152" spans="1:18" x14ac:dyDescent="0.25">
      <c r="A4152" s="6" t="str">
        <f>HYPERLINK("proteomic_fractions_linear_files/Yang_linear_img/6678760.jpg", "6678760")</f>
        <v>6678760</v>
      </c>
      <c r="B4152" s="7"/>
      <c r="C4152" s="6" t="str">
        <f>HYPERLINK("http://www.ncbi.nlm.nih.gov/protein/6678760","Lypla1")</f>
        <v>Lypla1</v>
      </c>
      <c r="D4152" s="8"/>
      <c r="E4152" s="8">
        <v>24557</v>
      </c>
      <c r="F4152" s="8"/>
      <c r="G4152" s="15">
        <v>1.2833629142293435</v>
      </c>
      <c r="H4152" s="15">
        <v>1.2833629142293435</v>
      </c>
      <c r="I4152" s="15">
        <v>0.92438293498869784</v>
      </c>
      <c r="J4152" s="15">
        <v>0.92438293498869784</v>
      </c>
      <c r="K4152" s="15">
        <v>0.92438293498869784</v>
      </c>
      <c r="L4152" s="15">
        <v>0.92438293498869784</v>
      </c>
      <c r="M4152" s="15">
        <v>0.92438293498869784</v>
      </c>
      <c r="N4152" s="15">
        <v>0.92438293498869784</v>
      </c>
      <c r="O4152" s="15">
        <v>0.87182969082715001</v>
      </c>
      <c r="P4152" s="15">
        <v>0.87182969082715001</v>
      </c>
      <c r="Q4152" s="8"/>
      <c r="R4152" s="9" t="s">
        <v>3701</v>
      </c>
    </row>
    <row r="4153" spans="1:18" x14ac:dyDescent="0.25">
      <c r="A4153" s="6" t="str">
        <f>HYPERLINK("proteomic_fractions_linear_files/Yang_linear_img/7242156.jpg", "7242156")</f>
        <v>7242156</v>
      </c>
      <c r="B4153" s="7"/>
      <c r="C4153" s="6" t="str">
        <f>HYPERLINK("http://www.ncbi.nlm.nih.gov/protein/7242156","Lypla2")</f>
        <v>Lypla2</v>
      </c>
      <c r="D4153" s="8"/>
      <c r="E4153" s="8">
        <v>24663</v>
      </c>
      <c r="F4153" s="8"/>
      <c r="G4153" s="15" t="s">
        <v>10</v>
      </c>
      <c r="H4153" s="15" t="s">
        <v>10</v>
      </c>
      <c r="I4153" s="15" t="s">
        <v>10</v>
      </c>
      <c r="J4153" s="15" t="s">
        <v>10</v>
      </c>
      <c r="K4153" s="15">
        <v>0.92438293498869784</v>
      </c>
      <c r="L4153" s="15">
        <v>0.92438293498869784</v>
      </c>
      <c r="M4153" s="15" t="s">
        <v>10</v>
      </c>
      <c r="N4153" s="15" t="s">
        <v>10</v>
      </c>
      <c r="O4153" s="15">
        <v>0.82389764746625094</v>
      </c>
      <c r="P4153" s="15">
        <v>0.82389764746625094</v>
      </c>
      <c r="Q4153" s="8"/>
      <c r="R4153" s="9" t="s">
        <v>3702</v>
      </c>
    </row>
    <row r="4154" spans="1:18" x14ac:dyDescent="0.25">
      <c r="A4154" s="6" t="str">
        <f>HYPERLINK("proteomic_fractions_linear_files/Yang_linear_img/227496223.jpg", "227496223")</f>
        <v>227496223</v>
      </c>
      <c r="B4154" s="7"/>
      <c r="C4154" s="6" t="str">
        <f>HYPERLINK("http://www.ncbi.nlm.nih.gov/protein/227496223","Lyplal1")</f>
        <v>Lyplal1</v>
      </c>
      <c r="D4154" s="8"/>
      <c r="E4154" s="8">
        <v>26209</v>
      </c>
      <c r="F4154" s="8"/>
      <c r="G4154" s="15" t="s">
        <v>10</v>
      </c>
      <c r="H4154" s="15" t="s">
        <v>10</v>
      </c>
      <c r="I4154" s="15">
        <v>0.94441617743372752</v>
      </c>
      <c r="J4154" s="15">
        <v>0.94441617743372752</v>
      </c>
      <c r="K4154" s="15">
        <v>0.94441617743372752</v>
      </c>
      <c r="L4154" s="15">
        <v>1.0057791582855768</v>
      </c>
      <c r="M4154" s="15" t="s">
        <v>10</v>
      </c>
      <c r="N4154" s="15" t="s">
        <v>10</v>
      </c>
      <c r="O4154" s="15">
        <v>0.83829777964149044</v>
      </c>
      <c r="P4154" s="15">
        <v>0.83829777964149044</v>
      </c>
      <c r="Q4154" s="8"/>
      <c r="R4154" s="9" t="s">
        <v>3703</v>
      </c>
    </row>
    <row r="4155" spans="1:18" x14ac:dyDescent="0.25">
      <c r="A4155" s="6" t="str">
        <f>HYPERLINK("proteomic_fractions_linear_files/Yang_linear_img/41235733.jpg", "41235733")</f>
        <v>41235733</v>
      </c>
      <c r="B4155" s="7"/>
      <c r="C4155" s="6" t="str">
        <f>HYPERLINK("http://www.ncbi.nlm.nih.gov/protein/41235733","Lyrm4")</f>
        <v>Lyrm4</v>
      </c>
      <c r="D4155" s="8"/>
      <c r="E4155" s="8">
        <v>10723</v>
      </c>
      <c r="F4155" s="8"/>
      <c r="G4155" s="15">
        <v>1.2088240020910486</v>
      </c>
      <c r="H4155" s="15">
        <v>1.2088240020910486</v>
      </c>
      <c r="I4155" s="15">
        <v>1.2088240020910486</v>
      </c>
      <c r="J4155" s="15">
        <v>1.2088240020910486</v>
      </c>
      <c r="K4155" s="15" t="s">
        <v>10</v>
      </c>
      <c r="L4155" s="15" t="s">
        <v>10</v>
      </c>
      <c r="M4155" s="15" t="s">
        <v>10</v>
      </c>
      <c r="N4155" s="15" t="s">
        <v>10</v>
      </c>
      <c r="O4155" s="15" t="s">
        <v>10</v>
      </c>
      <c r="P4155" s="15" t="s">
        <v>10</v>
      </c>
      <c r="Q4155" s="8"/>
      <c r="R4155" s="9" t="s">
        <v>3704</v>
      </c>
    </row>
    <row r="4156" spans="1:18" x14ac:dyDescent="0.25">
      <c r="A4156" s="6" t="str">
        <f>HYPERLINK("proteomic_fractions_linear_files/Yang_linear_img/19526856.jpg", "19526856")</f>
        <v>19526856</v>
      </c>
      <c r="B4156" s="7"/>
      <c r="C4156" s="6" t="str">
        <f>HYPERLINK("http://www.ncbi.nlm.nih.gov/protein/19526856","Lyrm5")</f>
        <v>Lyrm5</v>
      </c>
      <c r="D4156" s="8"/>
      <c r="E4156" s="8">
        <v>10260</v>
      </c>
      <c r="F4156" s="8"/>
      <c r="G4156" s="15">
        <v>1.2232861292331356</v>
      </c>
      <c r="H4156" s="15">
        <v>1.2232861292331356</v>
      </c>
      <c r="I4156" s="15" t="s">
        <v>10</v>
      </c>
      <c r="J4156" s="15" t="s">
        <v>10</v>
      </c>
      <c r="K4156" s="15" t="s">
        <v>10</v>
      </c>
      <c r="L4156" s="15" t="s">
        <v>10</v>
      </c>
      <c r="M4156" s="15" t="s">
        <v>10</v>
      </c>
      <c r="N4156" s="15" t="s">
        <v>10</v>
      </c>
      <c r="O4156" s="15" t="s">
        <v>10</v>
      </c>
      <c r="P4156" s="15" t="s">
        <v>10</v>
      </c>
      <c r="Q4156" s="8"/>
      <c r="R4156" s="9" t="s">
        <v>3705</v>
      </c>
    </row>
    <row r="4157" spans="1:18" x14ac:dyDescent="0.25">
      <c r="A4157" s="6" t="str">
        <f>HYPERLINK("proteomic_fractions_linear_files/Yang_linear_img/111955376.jpg", "111955376")</f>
        <v>111955376</v>
      </c>
      <c r="B4157" s="7"/>
      <c r="C4157" s="6" t="str">
        <f>HYPERLINK("http://www.ncbi.nlm.nih.gov/protein/111955376","Lyst")</f>
        <v>Lyst</v>
      </c>
      <c r="D4157" s="8"/>
      <c r="E4157" s="8">
        <v>425195</v>
      </c>
      <c r="F4157" s="8"/>
      <c r="G4157" s="15" t="s">
        <v>10</v>
      </c>
      <c r="H4157" s="15" t="s">
        <v>10</v>
      </c>
      <c r="I4157" s="15" t="s">
        <v>10</v>
      </c>
      <c r="J4157" s="15" t="s">
        <v>10</v>
      </c>
      <c r="K4157" s="15">
        <v>0.96245542997515243</v>
      </c>
      <c r="L4157" s="15">
        <v>0.96245542997515243</v>
      </c>
      <c r="M4157" s="15">
        <v>1.3964536603983628</v>
      </c>
      <c r="N4157" s="15">
        <v>1.3964536603983628</v>
      </c>
      <c r="O4157" s="15" t="s">
        <v>10</v>
      </c>
      <c r="P4157" s="15" t="s">
        <v>10</v>
      </c>
      <c r="Q4157" s="8"/>
      <c r="R4157" s="9" t="s">
        <v>3706</v>
      </c>
    </row>
    <row r="4158" spans="1:18" x14ac:dyDescent="0.25">
      <c r="A4158" s="6" t="str">
        <f>HYPERLINK("proteomic_fractions_linear_files/Yang_linear_img/27229082.jpg", "27229082")</f>
        <v>27229082</v>
      </c>
      <c r="B4158" s="7"/>
      <c r="C4158" s="6" t="str">
        <f>HYPERLINK("http://www.ncbi.nlm.nih.gov/protein/27229082","Lzic")</f>
        <v>Lzic</v>
      </c>
      <c r="D4158" s="8"/>
      <c r="E4158" s="8">
        <v>21405</v>
      </c>
      <c r="F4158" s="8"/>
      <c r="G4158" s="15" t="s">
        <v>10</v>
      </c>
      <c r="H4158" s="15" t="s">
        <v>10</v>
      </c>
      <c r="I4158" s="15">
        <v>0.98083053269791776</v>
      </c>
      <c r="J4158" s="15">
        <v>0.98083053269791776</v>
      </c>
      <c r="K4158" s="15">
        <v>0.98083053269791776</v>
      </c>
      <c r="L4158" s="15">
        <v>0.98083053269791776</v>
      </c>
      <c r="M4158" s="15" t="s">
        <v>10</v>
      </c>
      <c r="N4158" s="15" t="s">
        <v>10</v>
      </c>
      <c r="O4158" s="15">
        <v>0.98083053269791776</v>
      </c>
      <c r="P4158" s="15">
        <v>0.98083053269791776</v>
      </c>
      <c r="Q4158" s="8"/>
      <c r="R4158" s="9" t="s">
        <v>3707</v>
      </c>
    </row>
    <row r="4159" spans="1:18" x14ac:dyDescent="0.25">
      <c r="A4159" s="6" t="str">
        <f>HYPERLINK("proteomic_fractions_linear_files/Yang_linear_img/15277319.jpg", "15277319")</f>
        <v>15277319</v>
      </c>
      <c r="B4159" s="7"/>
      <c r="C4159" s="6" t="str">
        <f>HYPERLINK("http://www.ncbi.nlm.nih.gov/protein/15277319","Lztfl1")</f>
        <v>Lztfl1</v>
      </c>
      <c r="D4159" s="8"/>
      <c r="E4159" s="8">
        <v>34642</v>
      </c>
      <c r="F4159" s="8"/>
      <c r="G4159" s="15" t="s">
        <v>10</v>
      </c>
      <c r="H4159" s="15" t="s">
        <v>10</v>
      </c>
      <c r="I4159" s="15">
        <v>0.98723932944214809</v>
      </c>
      <c r="J4159" s="15">
        <v>0.98723932944214809</v>
      </c>
      <c r="K4159" s="15">
        <v>0.98723932944214809</v>
      </c>
      <c r="L4159" s="15">
        <v>0.98723932944214809</v>
      </c>
      <c r="M4159" s="15" t="s">
        <v>10</v>
      </c>
      <c r="N4159" s="15" t="s">
        <v>10</v>
      </c>
      <c r="O4159" s="15">
        <v>0.91668779587810256</v>
      </c>
      <c r="P4159" s="15">
        <v>0.91668779587810256</v>
      </c>
      <c r="Q4159" s="8"/>
      <c r="R4159" s="9" t="s">
        <v>3708</v>
      </c>
    </row>
    <row r="4160" spans="1:18" x14ac:dyDescent="0.25">
      <c r="A4160" s="6" t="str">
        <f>HYPERLINK("proteomic_fractions_linear_files/Yang_linear_img/27229001.jpg", "27229001")</f>
        <v>27229001</v>
      </c>
      <c r="B4160" s="7"/>
      <c r="C4160" s="6" t="str">
        <f>HYPERLINK("http://www.ncbi.nlm.nih.gov/protein/27229001","Lztr1")</f>
        <v>Lztr1</v>
      </c>
      <c r="D4160" s="8"/>
      <c r="E4160" s="8">
        <v>94345</v>
      </c>
      <c r="F4160" s="8"/>
      <c r="G4160" s="15" t="s">
        <v>10</v>
      </c>
      <c r="H4160" s="15" t="s">
        <v>10</v>
      </c>
      <c r="I4160" s="15" t="s">
        <v>10</v>
      </c>
      <c r="J4160" s="15" t="s">
        <v>10</v>
      </c>
      <c r="K4160" s="15">
        <v>1.1681017427779943</v>
      </c>
      <c r="L4160" s="15">
        <v>1.1681017427779943</v>
      </c>
      <c r="M4160" s="15">
        <v>1.1681017427779943</v>
      </c>
      <c r="N4160" s="15">
        <v>1.1681017427779943</v>
      </c>
      <c r="O4160" s="15">
        <v>1.1681017427779943</v>
      </c>
      <c r="P4160" s="15">
        <v>1.1681017427779943</v>
      </c>
      <c r="Q4160" s="8"/>
      <c r="R4160" s="9" t="s">
        <v>3709</v>
      </c>
    </row>
    <row r="4161" spans="1:18" x14ac:dyDescent="0.25">
      <c r="A4161" s="6" t="str">
        <f>HYPERLINK("proteomic_fractions_linear_files/Yang_linear_img/14916479.jpg", "14916479")</f>
        <v>14916479</v>
      </c>
      <c r="B4161" s="7"/>
      <c r="C4161" s="6" t="str">
        <f>HYPERLINK("http://www.ncbi.nlm.nih.gov/protein/14916479","M6pr")</f>
        <v>M6pr</v>
      </c>
      <c r="D4161" s="8"/>
      <c r="E4161" s="8">
        <v>28797</v>
      </c>
      <c r="F4161" s="8"/>
      <c r="G4161" s="15">
        <v>1.8317437803448648</v>
      </c>
      <c r="H4161" s="15">
        <v>2.0266623305377189</v>
      </c>
      <c r="I4161" s="15">
        <v>1.5215720429988093</v>
      </c>
      <c r="J4161" s="15">
        <v>1.5215720429988093</v>
      </c>
      <c r="K4161" s="15">
        <v>1.8317437803448648</v>
      </c>
      <c r="L4161" s="15">
        <v>1.8317437803448648</v>
      </c>
      <c r="M4161" s="15">
        <v>1.665171571876388</v>
      </c>
      <c r="N4161" s="15">
        <v>1.665171571876388</v>
      </c>
      <c r="O4161" s="15" t="s">
        <v>10</v>
      </c>
      <c r="P4161" s="15" t="s">
        <v>10</v>
      </c>
      <c r="Q4161" s="8"/>
      <c r="R4161" s="9" t="s">
        <v>3710</v>
      </c>
    </row>
    <row r="4162" spans="1:18" x14ac:dyDescent="0.25">
      <c r="A4162" s="6" t="str">
        <f>HYPERLINK("proteomic_fractions_linear_files/Yang_linear_img/253314482.jpg", "253314482")</f>
        <v>253314482</v>
      </c>
      <c r="B4162" s="7"/>
      <c r="C4162" s="6" t="str">
        <f>HYPERLINK("http://www.ncbi.nlm.nih.gov/protein/253314482","Macc1")</f>
        <v>Macc1</v>
      </c>
      <c r="D4162" s="8"/>
      <c r="E4162" s="8">
        <v>96705</v>
      </c>
      <c r="F4162" s="8"/>
      <c r="G4162" s="15" t="s">
        <v>10</v>
      </c>
      <c r="H4162" s="15" t="s">
        <v>10</v>
      </c>
      <c r="I4162" s="15">
        <v>0.97905135239777841</v>
      </c>
      <c r="J4162" s="15">
        <v>0.97905135239777841</v>
      </c>
      <c r="K4162" s="15">
        <v>1.1319748847539326</v>
      </c>
      <c r="L4162" s="15">
        <v>1.1319748847539326</v>
      </c>
      <c r="M4162" s="15" t="s">
        <v>10</v>
      </c>
      <c r="N4162" s="15" t="s">
        <v>10</v>
      </c>
      <c r="O4162" s="15" t="s">
        <v>10</v>
      </c>
      <c r="P4162" s="15" t="s">
        <v>10</v>
      </c>
      <c r="Q4162" s="8"/>
      <c r="R4162" s="9" t="s">
        <v>3711</v>
      </c>
    </row>
    <row r="4163" spans="1:18" x14ac:dyDescent="0.25">
      <c r="A4163" s="6" t="str">
        <f>HYPERLINK("proteomic_fractions_linear_files/Yang_linear_img/312433955.jpg", "312433955")</f>
        <v>312433955</v>
      </c>
      <c r="B4163" s="7"/>
      <c r="C4163" s="6" t="str">
        <f>HYPERLINK("http://www.ncbi.nlm.nih.gov/protein/312433955","Macf1")</f>
        <v>Macf1</v>
      </c>
      <c r="D4163" s="8"/>
      <c r="E4163" s="8">
        <v>831750</v>
      </c>
      <c r="F4163" s="8"/>
      <c r="G4163" s="15" t="s">
        <v>10</v>
      </c>
      <c r="H4163" s="15" t="s">
        <v>10</v>
      </c>
      <c r="I4163" s="15">
        <v>0.36272034211117643</v>
      </c>
      <c r="J4163" s="15">
        <v>0.36272034211117643</v>
      </c>
      <c r="K4163" s="15">
        <v>0.49163889151374973</v>
      </c>
      <c r="L4163" s="15">
        <v>0.49163889151374973</v>
      </c>
      <c r="M4163" s="15">
        <v>0.71333269912175978</v>
      </c>
      <c r="N4163" s="15">
        <v>0.71333269912175978</v>
      </c>
      <c r="O4163" s="15">
        <v>0.49163889151374973</v>
      </c>
      <c r="P4163" s="15">
        <v>0.49163889151374973</v>
      </c>
      <c r="Q4163" s="8"/>
      <c r="R4163" s="9" t="s">
        <v>3712</v>
      </c>
    </row>
    <row r="4164" spans="1:18" x14ac:dyDescent="0.25">
      <c r="A4164" s="6" t="str">
        <f>HYPERLINK("proteomic_fractions_linear_files/Yang_linear_img/312433957.jpg", "312433957")</f>
        <v>312433957</v>
      </c>
      <c r="B4164" s="7"/>
      <c r="C4164" s="6" t="str">
        <f>HYPERLINK("http://www.ncbi.nlm.nih.gov/protein/312433957","Macf1")</f>
        <v>Macf1</v>
      </c>
      <c r="D4164" s="8"/>
      <c r="E4164" s="8">
        <v>607764</v>
      </c>
      <c r="F4164" s="8"/>
      <c r="G4164" s="15" t="s">
        <v>10</v>
      </c>
      <c r="H4164" s="15" t="s">
        <v>10</v>
      </c>
      <c r="I4164" s="15">
        <v>0.49635415236266245</v>
      </c>
      <c r="J4164" s="15">
        <v>0.49635415236266245</v>
      </c>
      <c r="K4164" s="15">
        <v>0.67276900943986806</v>
      </c>
      <c r="L4164" s="15">
        <v>0.67276900943986806</v>
      </c>
      <c r="M4164" s="15">
        <v>0.976139483008724</v>
      </c>
      <c r="N4164" s="15">
        <v>0.976139483008724</v>
      </c>
      <c r="O4164" s="15">
        <v>0.67276900943986806</v>
      </c>
      <c r="P4164" s="15">
        <v>0.67276900943986806</v>
      </c>
      <c r="Q4164" s="8"/>
      <c r="R4164" s="9" t="s">
        <v>3713</v>
      </c>
    </row>
    <row r="4165" spans="1:18" x14ac:dyDescent="0.25">
      <c r="A4165" s="6" t="str">
        <f>HYPERLINK("proteomic_fractions_linear_files/Yang_linear_img/170650601.jpg", "170650601")</f>
        <v>170650601</v>
      </c>
      <c r="B4165" s="7"/>
      <c r="C4165" s="6" t="str">
        <f>HYPERLINK("http://www.ncbi.nlm.nih.gov/protein/170650601","Macrod1")</f>
        <v>Macrod1</v>
      </c>
      <c r="D4165" s="8"/>
      <c r="E4165" s="8">
        <v>35164</v>
      </c>
      <c r="F4165" s="8"/>
      <c r="G4165" s="15" t="s">
        <v>10</v>
      </c>
      <c r="H4165" s="15" t="s">
        <v>10</v>
      </c>
      <c r="I4165" s="15">
        <v>0.70156630323648328</v>
      </c>
      <c r="J4165" s="15">
        <v>0.70156630323648328</v>
      </c>
      <c r="K4165" s="15">
        <v>0.70156630323648328</v>
      </c>
      <c r="L4165" s="15">
        <v>0.70156630323648328</v>
      </c>
      <c r="M4165" s="15" t="s">
        <v>10</v>
      </c>
      <c r="N4165" s="15" t="s">
        <v>10</v>
      </c>
      <c r="O4165" s="15">
        <v>0.58849831961875065</v>
      </c>
      <c r="P4165" s="15">
        <v>0.58849831961875065</v>
      </c>
      <c r="Q4165" s="8"/>
      <c r="R4165" s="9" t="s">
        <v>3714</v>
      </c>
    </row>
    <row r="4166" spans="1:18" x14ac:dyDescent="0.25">
      <c r="A4166" s="6" t="str">
        <f>HYPERLINK("proteomic_fractions_linear_files/Yang_linear_img/88014564.jpg", "88014564")</f>
        <v>88014564</v>
      </c>
      <c r="B4166" s="7"/>
      <c r="C4166" s="6" t="str">
        <f>HYPERLINK("http://www.ncbi.nlm.nih.gov/protein/88014564","Mad1l1")</f>
        <v>Mad1l1</v>
      </c>
      <c r="D4166" s="8"/>
      <c r="E4166" s="8">
        <v>83411</v>
      </c>
      <c r="F4166" s="8"/>
      <c r="G4166" s="15" t="s">
        <v>10</v>
      </c>
      <c r="H4166" s="15" t="s">
        <v>10</v>
      </c>
      <c r="I4166" s="15" t="s">
        <v>10</v>
      </c>
      <c r="J4166" s="15" t="s">
        <v>10</v>
      </c>
      <c r="K4166" s="15" t="s">
        <v>10</v>
      </c>
      <c r="L4166" s="15" t="s">
        <v>10</v>
      </c>
      <c r="M4166" s="15" t="s">
        <v>10</v>
      </c>
      <c r="N4166" s="15" t="s">
        <v>10</v>
      </c>
      <c r="O4166" s="15">
        <v>1.001188656302938</v>
      </c>
      <c r="P4166" s="15">
        <v>1.001188656302938</v>
      </c>
      <c r="Q4166" s="8"/>
      <c r="R4166" s="9" t="s">
        <v>3715</v>
      </c>
    </row>
    <row r="4167" spans="1:18" x14ac:dyDescent="0.25">
      <c r="A4167" s="6" t="str">
        <f>HYPERLINK("proteomic_fractions_linear_files/Yang_linear_img/31543218.jpg", "31543218")</f>
        <v>31543218</v>
      </c>
      <c r="B4167" s="7"/>
      <c r="C4167" s="6" t="str">
        <f>HYPERLINK("http://www.ncbi.nlm.nih.gov/protein/31543218","Mad2l1")</f>
        <v>Mad2l1</v>
      </c>
      <c r="D4167" s="8"/>
      <c r="E4167" s="8">
        <v>23467</v>
      </c>
      <c r="F4167" s="8"/>
      <c r="G4167" s="15">
        <v>1.3949596893797211</v>
      </c>
      <c r="H4167" s="15">
        <v>1.3949596893797211</v>
      </c>
      <c r="I4167" s="15">
        <v>0.94764096829038047</v>
      </c>
      <c r="J4167" s="15">
        <v>0.94764096829038047</v>
      </c>
      <c r="K4167" s="15">
        <v>0.94764096829038047</v>
      </c>
      <c r="L4167" s="15">
        <v>0.94764096829038047</v>
      </c>
      <c r="M4167" s="15" t="s">
        <v>10</v>
      </c>
      <c r="N4167" s="15" t="s">
        <v>10</v>
      </c>
      <c r="O4167" s="15">
        <v>0.94764096829038047</v>
      </c>
      <c r="P4167" s="15">
        <v>0.94764096829038047</v>
      </c>
      <c r="Q4167" s="8"/>
      <c r="R4167" s="9" t="s">
        <v>3716</v>
      </c>
    </row>
    <row r="4168" spans="1:18" x14ac:dyDescent="0.25">
      <c r="A4168" s="6" t="str">
        <f>HYPERLINK("proteomic_fractions_linear_files/Yang_linear_img/120407043.jpg", "120407043")</f>
        <v>120407043</v>
      </c>
      <c r="B4168" s="7"/>
      <c r="C4168" s="6" t="str">
        <f>HYPERLINK("http://www.ncbi.nlm.nih.gov/protein/120407043","Maea")</f>
        <v>Maea</v>
      </c>
      <c r="D4168" s="8"/>
      <c r="E4168" s="8">
        <v>45205</v>
      </c>
      <c r="F4168" s="8"/>
      <c r="G4168" s="15" t="s">
        <v>10</v>
      </c>
      <c r="H4168" s="15" t="s">
        <v>10</v>
      </c>
      <c r="I4168" s="15" t="s">
        <v>10</v>
      </c>
      <c r="J4168" s="15" t="s">
        <v>10</v>
      </c>
      <c r="K4168" s="15" t="s">
        <v>10</v>
      </c>
      <c r="L4168" s="15" t="s">
        <v>10</v>
      </c>
      <c r="M4168" s="15">
        <v>0.98056864993256598</v>
      </c>
      <c r="N4168" s="15">
        <v>0.98056864993256598</v>
      </c>
      <c r="O4168" s="15">
        <v>0.90016262673828318</v>
      </c>
      <c r="P4168" s="15">
        <v>0.90016262673828318</v>
      </c>
      <c r="Q4168" s="8"/>
      <c r="R4168" s="9" t="s">
        <v>3717</v>
      </c>
    </row>
    <row r="4169" spans="1:18" x14ac:dyDescent="0.25">
      <c r="A4169" s="6" t="str">
        <f>HYPERLINK("proteomic_fractions_linear_files/Yang_linear_img/148238102.jpg", "148238102")</f>
        <v>148238102</v>
      </c>
      <c r="B4169" s="7"/>
      <c r="C4169" s="6" t="str">
        <f>HYPERLINK("http://www.ncbi.nlm.nih.gov/protein/148238102","Magea10")</f>
        <v>Magea10</v>
      </c>
      <c r="D4169" s="8"/>
      <c r="E4169" s="8">
        <v>35724</v>
      </c>
      <c r="F4169" s="8"/>
      <c r="G4169" s="15" t="s">
        <v>10</v>
      </c>
      <c r="H4169" s="15" t="s">
        <v>10</v>
      </c>
      <c r="I4169" s="15" t="s">
        <v>10</v>
      </c>
      <c r="J4169" s="15" t="s">
        <v>10</v>
      </c>
      <c r="K4169" s="15" t="s">
        <v>10</v>
      </c>
      <c r="L4169" s="15" t="s">
        <v>10</v>
      </c>
      <c r="M4169" s="15">
        <v>1.8181462036262315</v>
      </c>
      <c r="N4169" s="15">
        <v>1.8181462036262315</v>
      </c>
      <c r="O4169" s="15" t="s">
        <v>10</v>
      </c>
      <c r="P4169" s="15" t="s">
        <v>10</v>
      </c>
      <c r="Q4169" s="8"/>
      <c r="R4169" s="9" t="s">
        <v>3718</v>
      </c>
    </row>
    <row r="4170" spans="1:18" x14ac:dyDescent="0.25">
      <c r="A4170" s="6" t="str">
        <f>HYPERLINK("proteomic_fractions_linear_files/Yang_linear_img/9789935.jpg", "9789935")</f>
        <v>9789935</v>
      </c>
      <c r="B4170" s="7"/>
      <c r="C4170" s="6" t="str">
        <f>HYPERLINK("http://www.ncbi.nlm.nih.gov/protein/9789935","Maged1")</f>
        <v>Maged1</v>
      </c>
      <c r="D4170" s="8"/>
      <c r="E4170" s="8">
        <v>85539</v>
      </c>
      <c r="F4170" s="8"/>
      <c r="G4170" s="15" t="s">
        <v>10</v>
      </c>
      <c r="H4170" s="15" t="s">
        <v>10</v>
      </c>
      <c r="I4170" s="15" t="s">
        <v>10</v>
      </c>
      <c r="J4170" s="15" t="s">
        <v>10</v>
      </c>
      <c r="K4170" s="15" t="s">
        <v>10</v>
      </c>
      <c r="L4170" s="15" t="s">
        <v>10</v>
      </c>
      <c r="M4170" s="15" t="s">
        <v>10</v>
      </c>
      <c r="N4170" s="15" t="s">
        <v>10</v>
      </c>
      <c r="O4170" s="15">
        <v>0.20430162517859263</v>
      </c>
      <c r="P4170" s="15">
        <v>0.20430162517859263</v>
      </c>
      <c r="Q4170" s="8"/>
      <c r="R4170" s="9" t="s">
        <v>3719</v>
      </c>
    </row>
    <row r="4171" spans="1:18" x14ac:dyDescent="0.25">
      <c r="A4171" s="6" t="str">
        <f>HYPERLINK("proteomic_fractions_linear_files/Yang_linear_img/407262474.jpg", "407262474")</f>
        <v>407262474</v>
      </c>
      <c r="B4171" s="7"/>
      <c r="C4171" s="6" t="str">
        <f>HYPERLINK("http://www.ncbi.nlm.nih.gov/protein/407262474","Maged2")</f>
        <v>Maged2</v>
      </c>
      <c r="D4171" s="8"/>
      <c r="E4171" s="8">
        <v>21498</v>
      </c>
      <c r="F4171" s="8"/>
      <c r="G4171" s="15" t="s">
        <v>10</v>
      </c>
      <c r="H4171" s="15" t="s">
        <v>10</v>
      </c>
      <c r="I4171" s="15">
        <v>3.9570789749116124</v>
      </c>
      <c r="J4171" s="15">
        <v>3.9570789749116124</v>
      </c>
      <c r="K4171" s="15" t="s">
        <v>10</v>
      </c>
      <c r="L4171" s="15" t="s">
        <v>10</v>
      </c>
      <c r="M4171" s="15" t="s">
        <v>10</v>
      </c>
      <c r="N4171" s="15" t="s">
        <v>10</v>
      </c>
      <c r="O4171" s="15" t="s">
        <v>10</v>
      </c>
      <c r="P4171" s="15" t="s">
        <v>10</v>
      </c>
      <c r="Q4171" s="8"/>
      <c r="R4171" s="9" t="s">
        <v>8314</v>
      </c>
    </row>
    <row r="4172" spans="1:18" x14ac:dyDescent="0.25">
      <c r="A4172" s="6" t="str">
        <f>HYPERLINK("proteomic_fractions_linear_files/Yang_linear_img/13507638.jpg", "13507638")</f>
        <v>13507638</v>
      </c>
      <c r="B4172" s="7"/>
      <c r="C4172" s="6" t="str">
        <f>HYPERLINK("http://www.ncbi.nlm.nih.gov/protein/13507638","Maged2")</f>
        <v>Maged2</v>
      </c>
      <c r="D4172" s="8"/>
      <c r="E4172" s="8">
        <v>65270</v>
      </c>
      <c r="F4172" s="8"/>
      <c r="G4172" s="15" t="s">
        <v>10</v>
      </c>
      <c r="H4172" s="15" t="s">
        <v>10</v>
      </c>
      <c r="I4172" s="15">
        <v>1.2784408995868286</v>
      </c>
      <c r="J4172" s="15">
        <v>1.2784408995868286</v>
      </c>
      <c r="K4172" s="15" t="s">
        <v>10</v>
      </c>
      <c r="L4172" s="15" t="s">
        <v>10</v>
      </c>
      <c r="M4172" s="15" t="s">
        <v>10</v>
      </c>
      <c r="N4172" s="15" t="s">
        <v>10</v>
      </c>
      <c r="O4172" s="15">
        <v>1.2784408995868286</v>
      </c>
      <c r="P4172" s="15">
        <v>1.2784408995868286</v>
      </c>
      <c r="Q4172" s="8"/>
      <c r="R4172" s="9" t="s">
        <v>3720</v>
      </c>
    </row>
    <row r="4173" spans="1:18" x14ac:dyDescent="0.25">
      <c r="A4173" s="6" t="str">
        <f>HYPERLINK("proteomic_fractions_linear_files/Yang_linear_img/134031962.jpg", "134031962")</f>
        <v>134031962</v>
      </c>
      <c r="B4173" s="7"/>
      <c r="C4173" s="6" t="str">
        <f>HYPERLINK("http://www.ncbi.nlm.nih.gov/protein/134031962","Magi1")</f>
        <v>Magi1</v>
      </c>
      <c r="D4173" s="8"/>
      <c r="E4173" s="8">
        <v>110661</v>
      </c>
      <c r="F4173" s="8"/>
      <c r="G4173" s="15" t="s">
        <v>10</v>
      </c>
      <c r="H4173" s="15" t="s">
        <v>10</v>
      </c>
      <c r="I4173" s="15" t="s">
        <v>10</v>
      </c>
      <c r="J4173" s="15" t="s">
        <v>10</v>
      </c>
      <c r="K4173" s="15">
        <v>2.1023499786292708</v>
      </c>
      <c r="L4173" s="15">
        <v>2.1023499786292708</v>
      </c>
      <c r="M4173" s="15" t="s">
        <v>10</v>
      </c>
      <c r="N4173" s="15" t="s">
        <v>10</v>
      </c>
      <c r="O4173" s="15" t="s">
        <v>10</v>
      </c>
      <c r="P4173" s="15" t="s">
        <v>10</v>
      </c>
      <c r="Q4173" s="8"/>
      <c r="R4173" s="9" t="s">
        <v>3721</v>
      </c>
    </row>
    <row r="4174" spans="1:18" x14ac:dyDescent="0.25">
      <c r="A4174" s="6" t="str">
        <f>HYPERLINK("proteomic_fractions_linear_files/Yang_linear_img/134031999.jpg", "134031999")</f>
        <v>134031999</v>
      </c>
      <c r="B4174" s="7"/>
      <c r="C4174" s="6" t="str">
        <f>HYPERLINK("http://www.ncbi.nlm.nih.gov/protein/134031999","Magi1")</f>
        <v>Magi1</v>
      </c>
      <c r="D4174" s="8"/>
      <c r="E4174" s="8">
        <v>138271</v>
      </c>
      <c r="F4174" s="8"/>
      <c r="G4174" s="15" t="s">
        <v>10</v>
      </c>
      <c r="H4174" s="15" t="s">
        <v>10</v>
      </c>
      <c r="I4174" s="15" t="s">
        <v>10</v>
      </c>
      <c r="J4174" s="15" t="s">
        <v>10</v>
      </c>
      <c r="K4174" s="15">
        <v>1.6910206349844135</v>
      </c>
      <c r="L4174" s="15">
        <v>1.6910206349844135</v>
      </c>
      <c r="M4174" s="15" t="s">
        <v>10</v>
      </c>
      <c r="N4174" s="15" t="s">
        <v>10</v>
      </c>
      <c r="O4174" s="15" t="s">
        <v>10</v>
      </c>
      <c r="P4174" s="15" t="s">
        <v>10</v>
      </c>
      <c r="Q4174" s="8"/>
      <c r="R4174" s="9" t="s">
        <v>3722</v>
      </c>
    </row>
    <row r="4175" spans="1:18" x14ac:dyDescent="0.25">
      <c r="A4175" s="6" t="str">
        <f>HYPERLINK("proteomic_fractions_linear_files/Yang_linear_img/34328051.jpg", "34328051")</f>
        <v>34328051</v>
      </c>
      <c r="B4175" s="7"/>
      <c r="C4175" s="6" t="str">
        <f>HYPERLINK("http://www.ncbi.nlm.nih.gov/protein/34328051","Magi1")</f>
        <v>Magi1</v>
      </c>
      <c r="D4175" s="8"/>
      <c r="E4175" s="8">
        <v>127392</v>
      </c>
      <c r="F4175" s="8"/>
      <c r="G4175" s="15" t="s">
        <v>10</v>
      </c>
      <c r="H4175" s="15" t="s">
        <v>10</v>
      </c>
      <c r="I4175" s="15" t="s">
        <v>10</v>
      </c>
      <c r="J4175" s="15" t="s">
        <v>10</v>
      </c>
      <c r="K4175" s="15">
        <v>1.837486989195662</v>
      </c>
      <c r="L4175" s="15">
        <v>1.837486989195662</v>
      </c>
      <c r="M4175" s="15" t="s">
        <v>10</v>
      </c>
      <c r="N4175" s="15" t="s">
        <v>10</v>
      </c>
      <c r="O4175" s="15" t="s">
        <v>10</v>
      </c>
      <c r="P4175" s="15" t="s">
        <v>10</v>
      </c>
      <c r="Q4175" s="8"/>
      <c r="R4175" s="9" t="s">
        <v>3723</v>
      </c>
    </row>
    <row r="4176" spans="1:18" x14ac:dyDescent="0.25">
      <c r="A4176" s="6" t="str">
        <f>HYPERLINK("proteomic_fractions_linear_files/Yang_linear_img/71533173.jpg", "71533173")</f>
        <v>71533173</v>
      </c>
      <c r="B4176" s="7"/>
      <c r="C4176" s="6" t="str">
        <f>HYPERLINK("http://www.ncbi.nlm.nih.gov/protein/71533173","Magi1")</f>
        <v>Magi1</v>
      </c>
      <c r="D4176" s="8"/>
      <c r="E4176" s="8">
        <v>161844</v>
      </c>
      <c r="F4176" s="8"/>
      <c r="G4176" s="15" t="s">
        <v>10</v>
      </c>
      <c r="H4176" s="15" t="s">
        <v>10</v>
      </c>
      <c r="I4176" s="15" t="s">
        <v>10</v>
      </c>
      <c r="J4176" s="15" t="s">
        <v>10</v>
      </c>
      <c r="K4176" s="15">
        <v>1.4404990594311671</v>
      </c>
      <c r="L4176" s="15">
        <v>1.4404990594311671</v>
      </c>
      <c r="M4176" s="15" t="s">
        <v>10</v>
      </c>
      <c r="N4176" s="15" t="s">
        <v>10</v>
      </c>
      <c r="O4176" s="15" t="s">
        <v>10</v>
      </c>
      <c r="P4176" s="15" t="s">
        <v>10</v>
      </c>
      <c r="Q4176" s="8"/>
      <c r="R4176" s="9" t="s">
        <v>3724</v>
      </c>
    </row>
    <row r="4177" spans="1:18" x14ac:dyDescent="0.25">
      <c r="A4177" s="6" t="str">
        <f>HYPERLINK("proteomic_fractions_linear_files/Yang_linear_img/19527074.jpg", "19527074")</f>
        <v>19527074</v>
      </c>
      <c r="B4177" s="7"/>
      <c r="C4177" s="6" t="str">
        <f>HYPERLINK("http://www.ncbi.nlm.nih.gov/protein/19527074","Magi3")</f>
        <v>Magi3</v>
      </c>
      <c r="D4177" s="8"/>
      <c r="E4177" s="8">
        <v>123230</v>
      </c>
      <c r="F4177" s="8"/>
      <c r="G4177" s="15" t="s">
        <v>10</v>
      </c>
      <c r="H4177" s="15" t="s">
        <v>10</v>
      </c>
      <c r="I4177" s="15" t="s">
        <v>10</v>
      </c>
      <c r="J4177" s="15" t="s">
        <v>10</v>
      </c>
      <c r="K4177" s="15" t="s">
        <v>10</v>
      </c>
      <c r="L4177" s="15" t="s">
        <v>10</v>
      </c>
      <c r="M4177" s="15">
        <v>15.333043936040577</v>
      </c>
      <c r="N4177" s="15">
        <v>15.333043936040577</v>
      </c>
      <c r="O4177" s="15">
        <v>1.5184213954466697</v>
      </c>
      <c r="P4177" s="15">
        <v>1.5184213954466697</v>
      </c>
      <c r="Q4177" s="8"/>
      <c r="R4177" s="9" t="s">
        <v>3725</v>
      </c>
    </row>
    <row r="4178" spans="1:18" x14ac:dyDescent="0.25">
      <c r="A4178" s="6" t="str">
        <f>HYPERLINK("proteomic_fractions_linear_files/Yang_linear_img/226823238.jpg", "226823238")</f>
        <v>226823238</v>
      </c>
      <c r="B4178" s="7"/>
      <c r="C4178" s="6" t="str">
        <f>HYPERLINK("http://www.ncbi.nlm.nih.gov/protein/226823238","Magi3")</f>
        <v>Magi3</v>
      </c>
      <c r="D4178" s="8"/>
      <c r="E4178" s="8">
        <v>161492</v>
      </c>
      <c r="F4178" s="8"/>
      <c r="G4178" s="15" t="s">
        <v>10</v>
      </c>
      <c r="H4178" s="15" t="s">
        <v>10</v>
      </c>
      <c r="I4178" s="15" t="s">
        <v>10</v>
      </c>
      <c r="J4178" s="15" t="s">
        <v>10</v>
      </c>
      <c r="K4178" s="15" t="s">
        <v>10</v>
      </c>
      <c r="L4178" s="15" t="s">
        <v>10</v>
      </c>
      <c r="M4178" s="15">
        <v>11.714064621944043</v>
      </c>
      <c r="N4178" s="15">
        <v>11.714064621944043</v>
      </c>
      <c r="O4178" s="15">
        <v>1.1600362213660891</v>
      </c>
      <c r="P4178" s="15">
        <v>1.1600362213660891</v>
      </c>
      <c r="Q4178" s="8"/>
      <c r="R4178" s="9" t="s">
        <v>3726</v>
      </c>
    </row>
    <row r="4179" spans="1:18" x14ac:dyDescent="0.25">
      <c r="A4179" s="6" t="str">
        <f>HYPERLINK("proteomic_fractions_linear_files/Yang_linear_img/6754616.jpg", "6754616")</f>
        <v>6754616</v>
      </c>
      <c r="B4179" s="7"/>
      <c r="C4179" s="6" t="str">
        <f>HYPERLINK("http://www.ncbi.nlm.nih.gov/protein/6754616","Magoh")</f>
        <v>Magoh</v>
      </c>
      <c r="D4179" s="8"/>
      <c r="E4179" s="8">
        <v>17033</v>
      </c>
      <c r="F4179" s="8"/>
      <c r="G4179" s="15">
        <v>1.2821024865105148</v>
      </c>
      <c r="H4179" s="15">
        <v>1.2821024865105148</v>
      </c>
      <c r="I4179" s="15">
        <v>0.89390225257731093</v>
      </c>
      <c r="J4179" s="15">
        <v>0.89390225257731093</v>
      </c>
      <c r="K4179" s="15">
        <v>0.93690834018716329</v>
      </c>
      <c r="L4179" s="15">
        <v>0.93690834018716329</v>
      </c>
      <c r="M4179" s="15">
        <v>0.93690834018716329</v>
      </c>
      <c r="N4179" s="15">
        <v>0.93690834018716329</v>
      </c>
      <c r="O4179" s="15">
        <v>0.89390225257731093</v>
      </c>
      <c r="P4179" s="15">
        <v>0.89390225257731093</v>
      </c>
      <c r="Q4179" s="8"/>
      <c r="R4179" s="9" t="s">
        <v>3727</v>
      </c>
    </row>
    <row r="4180" spans="1:18" x14ac:dyDescent="0.25">
      <c r="A4180" s="6" t="str">
        <f>HYPERLINK("proteomic_fractions_linear_files/Yang_linear_img/256985211.jpg", "256985211")</f>
        <v>256985211</v>
      </c>
      <c r="B4180" s="7"/>
      <c r="C4180" s="6" t="str">
        <f>HYPERLINK("http://www.ncbi.nlm.nih.gov/protein/256985211","Magohb")</f>
        <v>Magohb</v>
      </c>
      <c r="D4180" s="8"/>
      <c r="E4180" s="8">
        <v>17179</v>
      </c>
      <c r="F4180" s="8"/>
      <c r="G4180" s="15">
        <v>1.2821024865105148</v>
      </c>
      <c r="H4180" s="15">
        <v>1.2821024865105148</v>
      </c>
      <c r="I4180" s="15">
        <v>0.89390225257731093</v>
      </c>
      <c r="J4180" s="15">
        <v>0.89390225257731093</v>
      </c>
      <c r="K4180" s="15">
        <v>0.93690834018716329</v>
      </c>
      <c r="L4180" s="15">
        <v>0.93690834018716329</v>
      </c>
      <c r="M4180" s="15">
        <v>0.93690834018716329</v>
      </c>
      <c r="N4180" s="15">
        <v>0.93690834018716329</v>
      </c>
      <c r="O4180" s="15">
        <v>0.89390225257731093</v>
      </c>
      <c r="P4180" s="15">
        <v>0.89390225257731093</v>
      </c>
      <c r="Q4180" s="8"/>
      <c r="R4180" s="9" t="s">
        <v>3728</v>
      </c>
    </row>
    <row r="4181" spans="1:18" x14ac:dyDescent="0.25">
      <c r="A4181" s="6" t="str">
        <f>HYPERLINK("proteomic_fractions_linear_files/Yang_linear_img/298676496.jpg", "298676496")</f>
        <v>298676496</v>
      </c>
      <c r="B4181" s="7"/>
      <c r="C4181" s="6" t="str">
        <f>HYPERLINK("http://www.ncbi.nlm.nih.gov/protein/298676496","Magt1")</f>
        <v>Magt1</v>
      </c>
      <c r="D4181" s="8"/>
      <c r="E4181" s="8">
        <v>41507</v>
      </c>
      <c r="F4181" s="8"/>
      <c r="G4181" s="15" t="s">
        <v>10</v>
      </c>
      <c r="H4181" s="15" t="s">
        <v>10</v>
      </c>
      <c r="I4181" s="15">
        <v>0.66471931661147765</v>
      </c>
      <c r="J4181" s="15">
        <v>0.66471931661147765</v>
      </c>
      <c r="K4181" s="15">
        <v>0.66471931661147765</v>
      </c>
      <c r="L4181" s="15">
        <v>0.66471931661147765</v>
      </c>
      <c r="M4181" s="15" t="s">
        <v>10</v>
      </c>
      <c r="N4181" s="15" t="s">
        <v>10</v>
      </c>
      <c r="O4181" s="15" t="s">
        <v>10</v>
      </c>
      <c r="P4181" s="15" t="s">
        <v>10</v>
      </c>
      <c r="Q4181" s="8"/>
      <c r="R4181" s="9" t="s">
        <v>3729</v>
      </c>
    </row>
    <row r="4182" spans="1:18" x14ac:dyDescent="0.25">
      <c r="A4182" s="6" t="str">
        <f>HYPERLINK("proteomic_fractions_linear_files/Yang_linear_img/224809525.jpg", "224809525")</f>
        <v>224809525</v>
      </c>
      <c r="B4182" s="7"/>
      <c r="C4182" s="6" t="str">
        <f>HYPERLINK("http://www.ncbi.nlm.nih.gov/protein/224809525","Mak")</f>
        <v>Mak</v>
      </c>
      <c r="D4182" s="8"/>
      <c r="E4182" s="8">
        <v>69949</v>
      </c>
      <c r="F4182" s="8"/>
      <c r="G4182" s="15" t="s">
        <v>10</v>
      </c>
      <c r="H4182" s="15" t="s">
        <v>10</v>
      </c>
      <c r="I4182" s="15">
        <v>0.39883158996688656</v>
      </c>
      <c r="J4182" s="15">
        <v>0.39883158996688656</v>
      </c>
      <c r="K4182" s="15">
        <v>0.42693438416733043</v>
      </c>
      <c r="L4182" s="15">
        <v>0.42693438416733043</v>
      </c>
      <c r="M4182" s="15">
        <v>0.53344752033035137</v>
      </c>
      <c r="N4182" s="15">
        <v>0.53344752033035137</v>
      </c>
      <c r="O4182" s="15">
        <v>0.37357511593464288</v>
      </c>
      <c r="P4182" s="15">
        <v>0.37357511593464288</v>
      </c>
      <c r="Q4182" s="8"/>
      <c r="R4182" s="9" t="s">
        <v>3730</v>
      </c>
    </row>
    <row r="4183" spans="1:18" x14ac:dyDescent="0.25">
      <c r="A4183" s="6" t="str">
        <f>HYPERLINK("proteomic_fractions_linear_files/Yang_linear_img/224809542.jpg", "224809542")</f>
        <v>224809542</v>
      </c>
      <c r="B4183" s="7"/>
      <c r="C4183" s="6" t="str">
        <f>HYPERLINK("http://www.ncbi.nlm.nih.gov/protein/224809542","Mak")</f>
        <v>Mak</v>
      </c>
      <c r="D4183" s="8"/>
      <c r="E4183" s="8">
        <v>61994</v>
      </c>
      <c r="F4183" s="8"/>
      <c r="G4183" s="15" t="s">
        <v>10</v>
      </c>
      <c r="H4183" s="15" t="s">
        <v>10</v>
      </c>
      <c r="I4183" s="15">
        <v>0.45029373060777517</v>
      </c>
      <c r="J4183" s="15">
        <v>0.45029373060777517</v>
      </c>
      <c r="K4183" s="15">
        <v>0.48202269180182472</v>
      </c>
      <c r="L4183" s="15">
        <v>0.48202269180182472</v>
      </c>
      <c r="M4183" s="15">
        <v>0.60227945843749342</v>
      </c>
      <c r="N4183" s="15">
        <v>0.60227945843749342</v>
      </c>
      <c r="O4183" s="15">
        <v>0.42177835670040326</v>
      </c>
      <c r="P4183" s="15">
        <v>0.42177835670040326</v>
      </c>
      <c r="Q4183" s="8"/>
      <c r="R4183" s="9" t="s">
        <v>3731</v>
      </c>
    </row>
    <row r="4184" spans="1:18" x14ac:dyDescent="0.25">
      <c r="A4184" s="6" t="str">
        <f>HYPERLINK("proteomic_fractions_linear_files/Yang_linear_img/224809552.jpg", "224809552")</f>
        <v>224809552</v>
      </c>
      <c r="B4184" s="7"/>
      <c r="C4184" s="6" t="str">
        <f>HYPERLINK("http://www.ncbi.nlm.nih.gov/protein/224809552","Mak")</f>
        <v>Mak</v>
      </c>
      <c r="D4184" s="8"/>
      <c r="E4184" s="8">
        <v>72605</v>
      </c>
      <c r="F4184" s="8"/>
      <c r="G4184" s="15" t="s">
        <v>10</v>
      </c>
      <c r="H4184" s="15" t="s">
        <v>10</v>
      </c>
      <c r="I4184" s="15">
        <v>0.38244125065317891</v>
      </c>
      <c r="J4184" s="15">
        <v>0.38244125065317891</v>
      </c>
      <c r="K4184" s="15">
        <v>0.40938913550291961</v>
      </c>
      <c r="L4184" s="15">
        <v>0.40938913550291961</v>
      </c>
      <c r="M4184" s="15">
        <v>0.5115250194948574</v>
      </c>
      <c r="N4184" s="15">
        <v>0.5115250194948574</v>
      </c>
      <c r="O4184" s="15">
        <v>0.35822271390993149</v>
      </c>
      <c r="P4184" s="15">
        <v>0.35822271390993149</v>
      </c>
      <c r="Q4184" s="8"/>
      <c r="R4184" s="9" t="s">
        <v>3732</v>
      </c>
    </row>
    <row r="4185" spans="1:18" x14ac:dyDescent="0.25">
      <c r="A4185" s="6" t="str">
        <f>HYPERLINK("proteomic_fractions_linear_files/Yang_linear_img/30725780.jpg", "30725780")</f>
        <v>30725780</v>
      </c>
      <c r="B4185" s="7"/>
      <c r="C4185" s="6" t="str">
        <f>HYPERLINK("http://www.ncbi.nlm.nih.gov/protein/30725780","Mal2")</f>
        <v>Mal2</v>
      </c>
      <c r="D4185" s="8"/>
      <c r="E4185" s="8">
        <v>18963</v>
      </c>
      <c r="F4185" s="8"/>
      <c r="G4185" s="15">
        <v>2.1319641159590916</v>
      </c>
      <c r="H4185" s="15">
        <v>2.1319641159590916</v>
      </c>
      <c r="I4185" s="15">
        <v>1.6886354134596626</v>
      </c>
      <c r="J4185" s="15">
        <v>1.6886354134596626</v>
      </c>
      <c r="K4185" s="15">
        <v>1.8185987647618518</v>
      </c>
      <c r="L4185" s="15">
        <v>1.8185987647618518</v>
      </c>
      <c r="M4185" s="15">
        <v>1.9653329696381363</v>
      </c>
      <c r="N4185" s="15">
        <v>1.9653329696381363</v>
      </c>
      <c r="O4185" s="15" t="s">
        <v>10</v>
      </c>
      <c r="P4185" s="15" t="s">
        <v>10</v>
      </c>
      <c r="Q4185" s="8"/>
      <c r="R4185" s="9" t="s">
        <v>3733</v>
      </c>
    </row>
    <row r="4186" spans="1:18" x14ac:dyDescent="0.25">
      <c r="A4186" s="6" t="str">
        <f>HYPERLINK("proteomic_fractions_linear_files/Yang_linear_img/254939620.jpg", "254939620")</f>
        <v>254939620</v>
      </c>
      <c r="B4186" s="7"/>
      <c r="C4186" s="6" t="str">
        <f>HYPERLINK("http://www.ncbi.nlm.nih.gov/protein/254939620","Malsu1")</f>
        <v>Malsu1</v>
      </c>
      <c r="D4186" s="8"/>
      <c r="E4186" s="8">
        <v>25889</v>
      </c>
      <c r="F4186" s="8"/>
      <c r="G4186" s="15" t="s">
        <v>10</v>
      </c>
      <c r="H4186" s="15" t="s">
        <v>10</v>
      </c>
      <c r="I4186" s="15">
        <v>0.75004422415520289</v>
      </c>
      <c r="J4186" s="15">
        <v>0.75004422415520289</v>
      </c>
      <c r="K4186" s="15" t="s">
        <v>10</v>
      </c>
      <c r="L4186" s="15" t="s">
        <v>10</v>
      </c>
      <c r="M4186" s="15" t="s">
        <v>10</v>
      </c>
      <c r="N4186" s="15" t="s">
        <v>10</v>
      </c>
      <c r="O4186" s="15" t="s">
        <v>10</v>
      </c>
      <c r="P4186" s="15" t="s">
        <v>10</v>
      </c>
      <c r="Q4186" s="8"/>
      <c r="R4186" s="9" t="s">
        <v>3734</v>
      </c>
    </row>
    <row r="4187" spans="1:18" x14ac:dyDescent="0.25">
      <c r="A4187" s="6" t="str">
        <f>HYPERLINK("proteomic_fractions_linear_files/Yang_linear_img/6754620.jpg", "6754620")</f>
        <v>6754620</v>
      </c>
      <c r="B4187" s="7"/>
      <c r="C4187" s="6" t="str">
        <f>HYPERLINK("http://www.ncbi.nlm.nih.gov/protein/6754620","Man1a2")</f>
        <v>Man1a2</v>
      </c>
      <c r="D4187" s="8"/>
      <c r="E4187" s="8">
        <v>72741</v>
      </c>
      <c r="F4187" s="8"/>
      <c r="G4187" s="15" t="s">
        <v>10</v>
      </c>
      <c r="H4187" s="15" t="s">
        <v>10</v>
      </c>
      <c r="I4187" s="15">
        <v>1.1383377873033405</v>
      </c>
      <c r="J4187" s="15">
        <v>1.1383377873033405</v>
      </c>
      <c r="K4187" s="15" t="s">
        <v>10</v>
      </c>
      <c r="L4187" s="15" t="s">
        <v>10</v>
      </c>
      <c r="M4187" s="15" t="s">
        <v>10</v>
      </c>
      <c r="N4187" s="15" t="s">
        <v>10</v>
      </c>
      <c r="O4187" s="15" t="s">
        <v>10</v>
      </c>
      <c r="P4187" s="15" t="s">
        <v>10</v>
      </c>
      <c r="Q4187" s="8"/>
      <c r="R4187" s="9" t="s">
        <v>3735</v>
      </c>
    </row>
    <row r="4188" spans="1:18" x14ac:dyDescent="0.25">
      <c r="A4188" s="6" t="str">
        <f>HYPERLINK("proteomic_fractions_linear_files/Yang_linear_img/71534295.jpg", "71534295")</f>
        <v>71534295</v>
      </c>
      <c r="B4188" s="7"/>
      <c r="C4188" s="6" t="str">
        <f>HYPERLINK("http://www.ncbi.nlm.nih.gov/protein/71534295","Man1b1")</f>
        <v>Man1b1</v>
      </c>
      <c r="D4188" s="8"/>
      <c r="E4188" s="8">
        <v>75019</v>
      </c>
      <c r="F4188" s="8"/>
      <c r="G4188" s="15" t="s">
        <v>10</v>
      </c>
      <c r="H4188" s="15" t="s">
        <v>10</v>
      </c>
      <c r="I4188" s="15">
        <v>1.1079821129752514</v>
      </c>
      <c r="J4188" s="15">
        <v>1.1079821129752514</v>
      </c>
      <c r="K4188" s="15" t="s">
        <v>10</v>
      </c>
      <c r="L4188" s="15" t="s">
        <v>10</v>
      </c>
      <c r="M4188" s="15" t="s">
        <v>10</v>
      </c>
      <c r="N4188" s="15" t="s">
        <v>10</v>
      </c>
      <c r="O4188" s="15" t="s">
        <v>10</v>
      </c>
      <c r="P4188" s="15" t="s">
        <v>10</v>
      </c>
      <c r="Q4188" s="8"/>
      <c r="R4188" s="9" t="s">
        <v>3736</v>
      </c>
    </row>
    <row r="4189" spans="1:18" x14ac:dyDescent="0.25">
      <c r="A4189" s="6" t="str">
        <f>HYPERLINK("proteomic_fractions_linear_files/Yang_linear_img/226246610.jpg", "226246610")</f>
        <v>226246610</v>
      </c>
      <c r="B4189" s="7"/>
      <c r="C4189" s="6" t="str">
        <f>HYPERLINK("http://www.ncbi.nlm.nih.gov/protein/226246610","Man2a1")</f>
        <v>Man2a1</v>
      </c>
      <c r="D4189" s="8"/>
      <c r="E4189" s="8">
        <v>131501</v>
      </c>
      <c r="F4189" s="8"/>
      <c r="G4189" s="15" t="s">
        <v>10</v>
      </c>
      <c r="H4189" s="15" t="s">
        <v>10</v>
      </c>
      <c r="I4189" s="15">
        <v>1.1625217510321351</v>
      </c>
      <c r="J4189" s="15">
        <v>1.1625217510321351</v>
      </c>
      <c r="K4189" s="15">
        <v>1.1625217510321351</v>
      </c>
      <c r="L4189" s="15">
        <v>1.1625217510321351</v>
      </c>
      <c r="M4189" s="15" t="s">
        <v>10</v>
      </c>
      <c r="N4189" s="15" t="s">
        <v>10</v>
      </c>
      <c r="O4189" s="15" t="s">
        <v>10</v>
      </c>
      <c r="P4189" s="15" t="s">
        <v>10</v>
      </c>
      <c r="Q4189" s="8"/>
      <c r="R4189" s="9" t="s">
        <v>3737</v>
      </c>
    </row>
    <row r="4190" spans="1:18" x14ac:dyDescent="0.25">
      <c r="A4190" s="6" t="str">
        <f>HYPERLINK("proteomic_fractions_linear_files/Yang_linear_img/113195690.jpg", "113195690")</f>
        <v>113195690</v>
      </c>
      <c r="B4190" s="7"/>
      <c r="C4190" s="6" t="str">
        <f>HYPERLINK("http://www.ncbi.nlm.nih.gov/protein/113195690","Man2b1")</f>
        <v>Man2b1</v>
      </c>
      <c r="D4190" s="8"/>
      <c r="E4190" s="8">
        <v>109677</v>
      </c>
      <c r="F4190" s="8"/>
      <c r="G4190" s="15" t="s">
        <v>10</v>
      </c>
      <c r="H4190" s="15" t="s">
        <v>10</v>
      </c>
      <c r="I4190" s="15">
        <v>0.40114172042695878</v>
      </c>
      <c r="J4190" s="15">
        <v>0.40114172042695878</v>
      </c>
      <c r="K4190" s="15">
        <v>0.40114172042695878</v>
      </c>
      <c r="L4190" s="15">
        <v>0.2100870306792495</v>
      </c>
      <c r="M4190" s="15">
        <v>0.33946660384658722</v>
      </c>
      <c r="N4190" s="15">
        <v>0.33946660384658722</v>
      </c>
      <c r="O4190" s="15">
        <v>0.36824834730202494</v>
      </c>
      <c r="P4190" s="15">
        <v>0.36824834730202494</v>
      </c>
      <c r="Q4190" s="8"/>
      <c r="R4190" s="9" t="s">
        <v>3738</v>
      </c>
    </row>
    <row r="4191" spans="1:18" x14ac:dyDescent="0.25">
      <c r="A4191" s="6" t="str">
        <f>HYPERLINK("proteomic_fractions_linear_files/Yang_linear_img/227330625.jpg", "227330625")</f>
        <v>227330625</v>
      </c>
      <c r="B4191" s="7"/>
      <c r="C4191" s="6" t="str">
        <f>HYPERLINK("http://www.ncbi.nlm.nih.gov/protein/227330625","Man2b2")</f>
        <v>Man2b2</v>
      </c>
      <c r="D4191" s="8"/>
      <c r="E4191" s="8">
        <v>113213</v>
      </c>
      <c r="F4191" s="8"/>
      <c r="G4191" s="15">
        <v>0.15548619261379618</v>
      </c>
      <c r="H4191" s="15">
        <v>0.5792324188543746</v>
      </c>
      <c r="I4191" s="15">
        <v>0.47009353654868213</v>
      </c>
      <c r="J4191" s="15">
        <v>0.47009353654868213</v>
      </c>
      <c r="K4191" s="15">
        <v>0.52011688128844114</v>
      </c>
      <c r="L4191" s="15">
        <v>0.52011688128844114</v>
      </c>
      <c r="M4191" s="15">
        <v>0.47009353654868213</v>
      </c>
      <c r="N4191" s="15">
        <v>0.20450949889130482</v>
      </c>
      <c r="O4191" s="15">
        <v>0.42734491667624119</v>
      </c>
      <c r="P4191" s="15">
        <v>0.42734491667624119</v>
      </c>
      <c r="Q4191" s="8"/>
      <c r="R4191" s="9" t="s">
        <v>3739</v>
      </c>
    </row>
    <row r="4192" spans="1:18" x14ac:dyDescent="0.25">
      <c r="A4192" s="6" t="str">
        <f>HYPERLINK("proteomic_fractions_linear_files/Yang_linear_img/30794150.jpg", "30794150")</f>
        <v>30794150</v>
      </c>
      <c r="B4192" s="7"/>
      <c r="C4192" s="6" t="str">
        <f>HYPERLINK("http://www.ncbi.nlm.nih.gov/protein/30794150","Man2c1")</f>
        <v>Man2c1</v>
      </c>
      <c r="D4192" s="8"/>
      <c r="E4192" s="8">
        <v>115557</v>
      </c>
      <c r="F4192" s="8"/>
      <c r="G4192" s="15">
        <v>0.14410753897075018</v>
      </c>
      <c r="H4192" s="15">
        <v>0.14410753897075018</v>
      </c>
      <c r="I4192" s="15" t="s">
        <v>10</v>
      </c>
      <c r="J4192" s="15" t="s">
        <v>10</v>
      </c>
      <c r="K4192" s="15">
        <v>1.1096692081475601</v>
      </c>
      <c r="L4192" s="15">
        <v>1.1096692081475601</v>
      </c>
      <c r="M4192" s="15">
        <v>1.1096692081475601</v>
      </c>
      <c r="N4192" s="15">
        <v>1.1096692081475601</v>
      </c>
      <c r="O4192" s="15">
        <v>1.1096692081475601</v>
      </c>
      <c r="P4192" s="15">
        <v>1.1096692081475601</v>
      </c>
      <c r="Q4192" s="8"/>
      <c r="R4192" s="9" t="s">
        <v>3740</v>
      </c>
    </row>
    <row r="4193" spans="1:18" x14ac:dyDescent="0.25">
      <c r="A4193" s="6" t="str">
        <f>HYPERLINK("proteomic_fractions_linear_files/Yang_linear_img/158533990.jpg", "158533990")</f>
        <v>158533990</v>
      </c>
      <c r="B4193" s="7"/>
      <c r="C4193" s="6" t="str">
        <f>HYPERLINK("http://www.ncbi.nlm.nih.gov/protein/158533990","Manba")</f>
        <v>Manba</v>
      </c>
      <c r="D4193" s="8"/>
      <c r="E4193" s="8">
        <v>98776</v>
      </c>
      <c r="F4193" s="8"/>
      <c r="G4193" s="15">
        <v>1.3002184661122926</v>
      </c>
      <c r="H4193" s="15">
        <v>1.3002184661122926</v>
      </c>
      <c r="I4193" s="15">
        <v>1.1091067052639543</v>
      </c>
      <c r="J4193" s="15">
        <v>1.1091067052639543</v>
      </c>
      <c r="K4193" s="15">
        <v>1.3002184661122926</v>
      </c>
      <c r="L4193" s="15">
        <v>1.3002184661122926</v>
      </c>
      <c r="M4193" s="15">
        <v>1.3002184661122926</v>
      </c>
      <c r="N4193" s="15">
        <v>1.3002184661122926</v>
      </c>
      <c r="O4193" s="15">
        <v>1.3002184661122926</v>
      </c>
      <c r="P4193" s="15">
        <v>1.3002184661122926</v>
      </c>
      <c r="Q4193" s="8"/>
      <c r="R4193" s="9" t="s">
        <v>3741</v>
      </c>
    </row>
    <row r="4194" spans="1:18" x14ac:dyDescent="0.25">
      <c r="A4194" s="6" t="str">
        <f>HYPERLINK("proteomic_fractions_linear_files/Yang_linear_img/254540070.jpg", "254540070")</f>
        <v>254540070</v>
      </c>
      <c r="B4194" s="7"/>
      <c r="C4194" s="6" t="str">
        <f>HYPERLINK("http://www.ncbi.nlm.nih.gov/protein/254540070","Manbal")</f>
        <v>Manbal</v>
      </c>
      <c r="D4194" s="8"/>
      <c r="E4194" s="8">
        <v>9237</v>
      </c>
      <c r="F4194" s="8"/>
      <c r="G4194" s="15">
        <v>2.2886045762951412</v>
      </c>
      <c r="H4194" s="15">
        <v>2.2886045762951412</v>
      </c>
      <c r="I4194" s="15" t="s">
        <v>10</v>
      </c>
      <c r="J4194" s="15" t="s">
        <v>10</v>
      </c>
      <c r="K4194" s="15">
        <v>1.6884820326460317</v>
      </c>
      <c r="L4194" s="15">
        <v>1.6884820326460317</v>
      </c>
      <c r="M4194" s="15" t="s">
        <v>10</v>
      </c>
      <c r="N4194" s="15" t="s">
        <v>10</v>
      </c>
      <c r="O4194" s="15" t="s">
        <v>10</v>
      </c>
      <c r="P4194" s="15" t="s">
        <v>10</v>
      </c>
      <c r="Q4194" s="8"/>
      <c r="R4194" s="9" t="s">
        <v>3742</v>
      </c>
    </row>
    <row r="4195" spans="1:18" x14ac:dyDescent="0.25">
      <c r="A4195" s="6" t="str">
        <f>HYPERLINK("proteomic_fractions_linear_files/Yang_linear_img/110625813.jpg", "110625813")</f>
        <v>110625813</v>
      </c>
      <c r="B4195" s="7"/>
      <c r="C4195" s="6" t="str">
        <f>HYPERLINK("http://www.ncbi.nlm.nih.gov/protein/110625813","Manf")</f>
        <v>Manf</v>
      </c>
      <c r="D4195" s="8"/>
      <c r="E4195" s="8">
        <v>18207</v>
      </c>
      <c r="F4195" s="8"/>
      <c r="G4195" s="15">
        <v>1.4527921175236111</v>
      </c>
      <c r="H4195" s="15">
        <v>1.4527921175236111</v>
      </c>
      <c r="I4195" s="15">
        <v>0.97610776474216487</v>
      </c>
      <c r="J4195" s="15">
        <v>0.97610776474216487</v>
      </c>
      <c r="K4195" s="15">
        <v>0.97610776474216487</v>
      </c>
      <c r="L4195" s="15">
        <v>0.97610776474216487</v>
      </c>
      <c r="M4195" s="15" t="s">
        <v>10</v>
      </c>
      <c r="N4195" s="15" t="s">
        <v>10</v>
      </c>
      <c r="O4195" s="15">
        <v>0.97610776474216487</v>
      </c>
      <c r="P4195" s="15">
        <v>0.97610776474216487</v>
      </c>
      <c r="Q4195" s="8"/>
      <c r="R4195" s="9" t="s">
        <v>3743</v>
      </c>
    </row>
    <row r="4196" spans="1:18" x14ac:dyDescent="0.25">
      <c r="A4196" s="6" t="str">
        <f>HYPERLINK("proteomic_fractions_linear_files/Yang_linear_img/255759902.jpg", "255759902")</f>
        <v>255759902</v>
      </c>
      <c r="B4196" s="7"/>
      <c r="C4196" s="6" t="str">
        <f>HYPERLINK("http://www.ncbi.nlm.nih.gov/protein/255759902","Maoa")</f>
        <v>Maoa</v>
      </c>
      <c r="D4196" s="8"/>
      <c r="E4196" s="8">
        <v>59471</v>
      </c>
      <c r="F4196" s="8"/>
      <c r="G4196" s="15" t="s">
        <v>10</v>
      </c>
      <c r="H4196" s="15" t="s">
        <v>10</v>
      </c>
      <c r="I4196" s="15">
        <v>1.1093773445854971</v>
      </c>
      <c r="J4196" s="15">
        <v>1.1093773445854971</v>
      </c>
      <c r="K4196" s="15">
        <v>1.1093773445854971</v>
      </c>
      <c r="L4196" s="15">
        <v>1.1093773445854971</v>
      </c>
      <c r="M4196" s="15" t="s">
        <v>10</v>
      </c>
      <c r="N4196" s="15" t="s">
        <v>10</v>
      </c>
      <c r="O4196" s="15" t="s">
        <v>10</v>
      </c>
      <c r="P4196" s="15" t="s">
        <v>10</v>
      </c>
      <c r="Q4196" s="8"/>
      <c r="R4196" s="9" t="s">
        <v>3744</v>
      </c>
    </row>
    <row r="4197" spans="1:18" x14ac:dyDescent="0.25">
      <c r="A4197" s="6" t="str">
        <f>HYPERLINK("proteomic_fractions_linear_files/Yang_linear_img/124244033.jpg", "124244033")</f>
        <v>124244033</v>
      </c>
      <c r="B4197" s="7"/>
      <c r="C4197" s="6" t="str">
        <f>HYPERLINK("http://www.ncbi.nlm.nih.gov/protein/124244033","Map1a")</f>
        <v>Map1a</v>
      </c>
      <c r="D4197" s="8"/>
      <c r="E4197" s="8">
        <v>325756</v>
      </c>
      <c r="F4197" s="8"/>
      <c r="G4197" s="15" t="s">
        <v>10</v>
      </c>
      <c r="H4197" s="15" t="s">
        <v>10</v>
      </c>
      <c r="I4197" s="15" t="s">
        <v>10</v>
      </c>
      <c r="J4197" s="15" t="s">
        <v>10</v>
      </c>
      <c r="K4197" s="15">
        <v>9.167302727519365E-2</v>
      </c>
      <c r="L4197" s="15">
        <v>9.167302727519365E-2</v>
      </c>
      <c r="M4197" s="15">
        <v>9.167302727519365E-2</v>
      </c>
      <c r="N4197" s="15">
        <v>9.167302727519365E-2</v>
      </c>
      <c r="O4197" s="15" t="s">
        <v>10</v>
      </c>
      <c r="P4197" s="15" t="s">
        <v>10</v>
      </c>
      <c r="Q4197" s="8"/>
      <c r="R4197" s="9" t="s">
        <v>3745</v>
      </c>
    </row>
    <row r="4198" spans="1:18" x14ac:dyDescent="0.25">
      <c r="A4198" s="6" t="str">
        <f>HYPERLINK("proteomic_fractions_linear_files/Yang_linear_img/291045426.jpg", "291045426")</f>
        <v>291045426</v>
      </c>
      <c r="B4198" s="7"/>
      <c r="C4198" s="6" t="str">
        <f>HYPERLINK("http://www.ncbi.nlm.nih.gov/protein/291045426","Map1a")</f>
        <v>Map1a</v>
      </c>
      <c r="D4198" s="8"/>
      <c r="E4198" s="8">
        <v>300010</v>
      </c>
      <c r="F4198" s="8"/>
      <c r="G4198" s="15" t="s">
        <v>10</v>
      </c>
      <c r="H4198" s="15" t="s">
        <v>10</v>
      </c>
      <c r="I4198" s="15" t="s">
        <v>10</v>
      </c>
      <c r="J4198" s="15" t="s">
        <v>10</v>
      </c>
      <c r="K4198" s="15">
        <v>9.961802297237711E-2</v>
      </c>
      <c r="L4198" s="15">
        <v>9.961802297237711E-2</v>
      </c>
      <c r="M4198" s="15">
        <v>9.961802297237711E-2</v>
      </c>
      <c r="N4198" s="15">
        <v>9.961802297237711E-2</v>
      </c>
      <c r="O4198" s="15" t="s">
        <v>10</v>
      </c>
      <c r="P4198" s="15" t="s">
        <v>10</v>
      </c>
      <c r="Q4198" s="8"/>
      <c r="R4198" s="9" t="s">
        <v>3746</v>
      </c>
    </row>
    <row r="4199" spans="1:18" x14ac:dyDescent="0.25">
      <c r="A4199" s="6" t="str">
        <f>HYPERLINK("proteomic_fractions_linear_files/Yang_linear_img/171543853.jpg", "171543853")</f>
        <v>171543853</v>
      </c>
      <c r="B4199" s="7"/>
      <c r="C4199" s="6" t="str">
        <f>HYPERLINK("http://www.ncbi.nlm.nih.gov/protein/171543853","Map1b")</f>
        <v>Map1b</v>
      </c>
      <c r="D4199" s="8"/>
      <c r="E4199" s="8">
        <v>270125</v>
      </c>
      <c r="F4199" s="8"/>
      <c r="G4199" s="15" t="s">
        <v>10</v>
      </c>
      <c r="H4199" s="15" t="s">
        <v>10</v>
      </c>
      <c r="I4199" s="15">
        <v>1.1177160171722176</v>
      </c>
      <c r="J4199" s="15">
        <v>1.1177160171722176</v>
      </c>
      <c r="K4199" s="15">
        <v>1.5149761397757029</v>
      </c>
      <c r="L4199" s="15">
        <v>1.5149761397757029</v>
      </c>
      <c r="M4199" s="15">
        <v>0.11068669219153011</v>
      </c>
      <c r="N4199" s="15">
        <v>0.11068669219153011</v>
      </c>
      <c r="O4199" s="15">
        <v>1.1177160171722176</v>
      </c>
      <c r="P4199" s="15">
        <v>1.1177160171722176</v>
      </c>
      <c r="Q4199" s="8"/>
      <c r="R4199" s="9" t="s">
        <v>3747</v>
      </c>
    </row>
    <row r="4200" spans="1:18" x14ac:dyDescent="0.25">
      <c r="A4200" s="6" t="str">
        <f>HYPERLINK("proteomic_fractions_linear_files/Yang_linear_img/23956148.jpg", "23956148")</f>
        <v>23956148</v>
      </c>
      <c r="B4200" s="7"/>
      <c r="C4200" s="6" t="str">
        <f>HYPERLINK("http://www.ncbi.nlm.nih.gov/protein/23956148","Map1lc3a")</f>
        <v>Map1lc3a</v>
      </c>
      <c r="D4200" s="8"/>
      <c r="E4200" s="8">
        <v>14141</v>
      </c>
      <c r="F4200" s="8"/>
      <c r="G4200" s="15" t="s">
        <v>10</v>
      </c>
      <c r="H4200" s="15" t="s">
        <v>10</v>
      </c>
      <c r="I4200" s="15" t="s">
        <v>10</v>
      </c>
      <c r="J4200" s="15" t="s">
        <v>10</v>
      </c>
      <c r="K4200" s="15" t="s">
        <v>10</v>
      </c>
      <c r="L4200" s="15" t="s">
        <v>10</v>
      </c>
      <c r="M4200" s="15" t="s">
        <v>10</v>
      </c>
      <c r="N4200" s="15" t="s">
        <v>10</v>
      </c>
      <c r="O4200" s="15">
        <v>1.085452735272449</v>
      </c>
      <c r="P4200" s="15">
        <v>1.085452735272449</v>
      </c>
      <c r="Q4200" s="8"/>
      <c r="R4200" s="9" t="s">
        <v>3748</v>
      </c>
    </row>
    <row r="4201" spans="1:18" x14ac:dyDescent="0.25">
      <c r="A4201" s="6" t="str">
        <f>HYPERLINK("proteomic_fractions_linear_files/Yang_linear_img/13385664.jpg", "13385664")</f>
        <v>13385664</v>
      </c>
      <c r="B4201" s="7"/>
      <c r="C4201" s="6" t="str">
        <f>HYPERLINK("http://www.ncbi.nlm.nih.gov/protein/13385664","Map1lc3b")</f>
        <v>Map1lc3b</v>
      </c>
      <c r="D4201" s="8"/>
      <c r="E4201" s="8">
        <v>14486</v>
      </c>
      <c r="F4201" s="8"/>
      <c r="G4201" s="15" t="s">
        <v>10</v>
      </c>
      <c r="H4201" s="15" t="s">
        <v>10</v>
      </c>
      <c r="I4201" s="15" t="s">
        <v>10</v>
      </c>
      <c r="J4201" s="15" t="s">
        <v>10</v>
      </c>
      <c r="K4201" s="15" t="s">
        <v>10</v>
      </c>
      <c r="L4201" s="15" t="s">
        <v>10</v>
      </c>
      <c r="M4201" s="15">
        <v>1.1376744130844125</v>
      </c>
      <c r="N4201" s="15">
        <v>1.1376744130844125</v>
      </c>
      <c r="O4201" s="15">
        <v>1.085452735272449</v>
      </c>
      <c r="P4201" s="15">
        <v>1.085452735272449</v>
      </c>
      <c r="Q4201" s="8"/>
      <c r="R4201" s="9" t="s">
        <v>3749</v>
      </c>
    </row>
    <row r="4202" spans="1:18" x14ac:dyDescent="0.25">
      <c r="A4202" s="6" t="str">
        <f>HYPERLINK("proteomic_fractions_linear_files/Yang_linear_img/162287131.jpg", "162287131")</f>
        <v>162287131</v>
      </c>
      <c r="B4202" s="7"/>
      <c r="C4202" s="6" t="str">
        <f>HYPERLINK("http://www.ncbi.nlm.nih.gov/protein/162287131","Map1s")</f>
        <v>Map1s</v>
      </c>
      <c r="D4202" s="8"/>
      <c r="E4202" s="8">
        <v>102808</v>
      </c>
      <c r="F4202" s="8"/>
      <c r="G4202" s="15" t="s">
        <v>10</v>
      </c>
      <c r="H4202" s="15" t="s">
        <v>10</v>
      </c>
      <c r="I4202" s="15" t="s">
        <v>10</v>
      </c>
      <c r="J4202" s="15" t="s">
        <v>10</v>
      </c>
      <c r="K4202" s="15">
        <v>0.23839631663375646</v>
      </c>
      <c r="L4202" s="15">
        <v>0.23839631663375646</v>
      </c>
      <c r="M4202" s="15">
        <v>0.46883471441179858</v>
      </c>
      <c r="N4202" s="15">
        <v>0.46883471441179858</v>
      </c>
      <c r="O4202" s="15" t="s">
        <v>10</v>
      </c>
      <c r="P4202" s="15" t="s">
        <v>10</v>
      </c>
      <c r="Q4202" s="8"/>
      <c r="R4202" s="9" t="s">
        <v>3750</v>
      </c>
    </row>
    <row r="4203" spans="1:18" x14ac:dyDescent="0.25">
      <c r="A4203" s="6" t="str">
        <f>HYPERLINK("proteomic_fractions_linear_files/Yang_linear_img/68341935.jpg", "68341935")</f>
        <v>68341935</v>
      </c>
      <c r="B4203" s="7"/>
      <c r="C4203" s="6" t="str">
        <f>HYPERLINK("http://www.ncbi.nlm.nih.gov/protein/68341935","Map2")</f>
        <v>Map2</v>
      </c>
      <c r="D4203" s="8"/>
      <c r="E4203" s="8">
        <v>49205</v>
      </c>
      <c r="F4203" s="8"/>
      <c r="G4203" s="15" t="s">
        <v>10</v>
      </c>
      <c r="H4203" s="15" t="s">
        <v>10</v>
      </c>
      <c r="I4203" s="15" t="s">
        <v>10</v>
      </c>
      <c r="J4203" s="15" t="s">
        <v>10</v>
      </c>
      <c r="K4203" s="15">
        <v>1.4986971477894335</v>
      </c>
      <c r="L4203" s="15">
        <v>1.4986971477894335</v>
      </c>
      <c r="M4203" s="15">
        <v>1.4986971477894335</v>
      </c>
      <c r="N4203" s="15">
        <v>1.4986971477894335</v>
      </c>
      <c r="O4203" s="15" t="s">
        <v>10</v>
      </c>
      <c r="P4203" s="15" t="s">
        <v>10</v>
      </c>
      <c r="Q4203" s="8"/>
      <c r="R4203" s="9" t="s">
        <v>3751</v>
      </c>
    </row>
    <row r="4204" spans="1:18" x14ac:dyDescent="0.25">
      <c r="A4204" s="6" t="str">
        <f>HYPERLINK("proteomic_fractions_linear_files/Yang_linear_img/90186270.jpg", "90186270")</f>
        <v>90186270</v>
      </c>
      <c r="B4204" s="7"/>
      <c r="C4204" s="6" t="str">
        <f>HYPERLINK("http://www.ncbi.nlm.nih.gov/protein/90186270","Map2")</f>
        <v>Map2</v>
      </c>
      <c r="D4204" s="8"/>
      <c r="E4204" s="8">
        <v>52545</v>
      </c>
      <c r="F4204" s="8"/>
      <c r="G4204" s="15" t="s">
        <v>10</v>
      </c>
      <c r="H4204" s="15" t="s">
        <v>10</v>
      </c>
      <c r="I4204" s="15" t="s">
        <v>10</v>
      </c>
      <c r="J4204" s="15" t="s">
        <v>10</v>
      </c>
      <c r="K4204" s="15">
        <v>1.3855879290883442</v>
      </c>
      <c r="L4204" s="15">
        <v>1.3855879290883442</v>
      </c>
      <c r="M4204" s="15">
        <v>1.3855879290883442</v>
      </c>
      <c r="N4204" s="15">
        <v>1.3855879290883442</v>
      </c>
      <c r="O4204" s="15" t="s">
        <v>10</v>
      </c>
      <c r="P4204" s="15" t="s">
        <v>10</v>
      </c>
      <c r="Q4204" s="8"/>
      <c r="R4204" s="9" t="s">
        <v>3752</v>
      </c>
    </row>
    <row r="4205" spans="1:18" x14ac:dyDescent="0.25">
      <c r="A4205" s="6" t="str">
        <f>HYPERLINK("proteomic_fractions_linear_files/Yang_linear_img/6678794.jpg", "6678794")</f>
        <v>6678794</v>
      </c>
      <c r="B4205" s="7"/>
      <c r="C4205" s="6" t="str">
        <f>HYPERLINK("http://www.ncbi.nlm.nih.gov/protein/6678794","Map2k1")</f>
        <v>Map2k1</v>
      </c>
      <c r="D4205" s="8"/>
      <c r="E4205" s="8">
        <v>43343</v>
      </c>
      <c r="F4205" s="8"/>
      <c r="G4205" s="15" t="s">
        <v>10</v>
      </c>
      <c r="H4205" s="15" t="s">
        <v>10</v>
      </c>
      <c r="I4205" s="15">
        <v>0.942030655888901</v>
      </c>
      <c r="J4205" s="15">
        <v>0.942030655888901</v>
      </c>
      <c r="K4205" s="15">
        <v>1.0261764941154761</v>
      </c>
      <c r="L4205" s="15">
        <v>1.0261764941154761</v>
      </c>
      <c r="M4205" s="15">
        <v>0.942030655888901</v>
      </c>
      <c r="N4205" s="15">
        <v>0.942030655888901</v>
      </c>
      <c r="O4205" s="15">
        <v>0.86840294007266494</v>
      </c>
      <c r="P4205" s="15">
        <v>0.86840294007266494</v>
      </c>
      <c r="Q4205" s="8"/>
      <c r="R4205" s="9" t="s">
        <v>3753</v>
      </c>
    </row>
    <row r="4206" spans="1:18" x14ac:dyDescent="0.25">
      <c r="A4206" s="6" t="str">
        <f>HYPERLINK("proteomic_fractions_linear_files/Yang_linear_img/31560267.jpg", "31560267")</f>
        <v>31560267</v>
      </c>
      <c r="B4206" s="7"/>
      <c r="C4206" s="6" t="str">
        <f>HYPERLINK("http://www.ncbi.nlm.nih.gov/protein/31560267","Map2k2")</f>
        <v>Map2k2</v>
      </c>
      <c r="D4206" s="8"/>
      <c r="E4206" s="8">
        <v>44271</v>
      </c>
      <c r="F4206" s="8"/>
      <c r="G4206" s="15" t="s">
        <v>10</v>
      </c>
      <c r="H4206" s="15" t="s">
        <v>10</v>
      </c>
      <c r="I4206" s="15">
        <v>1.0028543010673969</v>
      </c>
      <c r="J4206" s="15">
        <v>1.0028543010673969</v>
      </c>
      <c r="K4206" s="15">
        <v>1.0028543010673969</v>
      </c>
      <c r="L4206" s="15">
        <v>1.0028543010673969</v>
      </c>
      <c r="M4206" s="15">
        <v>0.9206208682550624</v>
      </c>
      <c r="N4206" s="15">
        <v>0.9206208682550624</v>
      </c>
      <c r="O4206" s="15">
        <v>0.9206208682550624</v>
      </c>
      <c r="P4206" s="15">
        <v>0.9206208682550624</v>
      </c>
      <c r="Q4206" s="8"/>
      <c r="R4206" s="9" t="s">
        <v>3754</v>
      </c>
    </row>
    <row r="4207" spans="1:18" x14ac:dyDescent="0.25">
      <c r="A4207" s="6" t="str">
        <f>HYPERLINK("proteomic_fractions_linear_files/Yang_linear_img/22094081.jpg", "22094081")</f>
        <v>22094081</v>
      </c>
      <c r="B4207" s="7"/>
      <c r="C4207" s="6" t="str">
        <f>HYPERLINK("http://www.ncbi.nlm.nih.gov/protein/22094081","Map2k3")</f>
        <v>Map2k3</v>
      </c>
      <c r="D4207" s="8"/>
      <c r="E4207" s="8">
        <v>39165</v>
      </c>
      <c r="F4207" s="8"/>
      <c r="G4207" s="15" t="s">
        <v>10</v>
      </c>
      <c r="H4207" s="15" t="s">
        <v>10</v>
      </c>
      <c r="I4207" s="15">
        <v>0.95746990828524592</v>
      </c>
      <c r="J4207" s="15">
        <v>0.95746990828524592</v>
      </c>
      <c r="K4207" s="15">
        <v>1.038649184698019</v>
      </c>
      <c r="L4207" s="15">
        <v>1.038649184698019</v>
      </c>
      <c r="M4207" s="15">
        <v>0.95746990828524592</v>
      </c>
      <c r="N4207" s="15">
        <v>0.95746990828524592</v>
      </c>
      <c r="O4207" s="15">
        <v>0.8859840136019278</v>
      </c>
      <c r="P4207" s="15">
        <v>0.8859840136019278</v>
      </c>
      <c r="Q4207" s="8"/>
      <c r="R4207" s="9" t="s">
        <v>3755</v>
      </c>
    </row>
    <row r="4208" spans="1:18" x14ac:dyDescent="0.25">
      <c r="A4208" s="6" t="str">
        <f>HYPERLINK("proteomic_fractions_linear_files/Yang_linear_img/22095023.jpg", "22095023")</f>
        <v>22095023</v>
      </c>
      <c r="B4208" s="7"/>
      <c r="C4208" s="6" t="str">
        <f>HYPERLINK("http://www.ncbi.nlm.nih.gov/protein/22095023","Map2k4")</f>
        <v>Map2k4</v>
      </c>
      <c r="D4208" s="8"/>
      <c r="E4208" s="8">
        <v>43983</v>
      </c>
      <c r="F4208" s="8"/>
      <c r="G4208" s="15" t="s">
        <v>10</v>
      </c>
      <c r="H4208" s="15" t="s">
        <v>10</v>
      </c>
      <c r="I4208" s="15">
        <v>0.9206208682550624</v>
      </c>
      <c r="J4208" s="15">
        <v>0.9206208682550624</v>
      </c>
      <c r="K4208" s="15" t="s">
        <v>10</v>
      </c>
      <c r="L4208" s="15" t="s">
        <v>10</v>
      </c>
      <c r="M4208" s="15">
        <v>0.9206208682550624</v>
      </c>
      <c r="N4208" s="15">
        <v>0.9206208682550624</v>
      </c>
      <c r="O4208" s="15">
        <v>0.84866650961646795</v>
      </c>
      <c r="P4208" s="15">
        <v>0.84866650961646795</v>
      </c>
      <c r="Q4208" s="8"/>
      <c r="R4208" s="9" t="s">
        <v>3756</v>
      </c>
    </row>
    <row r="4209" spans="1:18" x14ac:dyDescent="0.25">
      <c r="A4209" s="6" t="str">
        <f>HYPERLINK("proteomic_fractions_linear_files/Yang_linear_img/110347549.jpg", "110347549")</f>
        <v>110347549</v>
      </c>
      <c r="B4209" s="7"/>
      <c r="C4209" s="6" t="str">
        <f>HYPERLINK("http://www.ncbi.nlm.nih.gov/protein/110347549","Map2k7")</f>
        <v>Map2k7</v>
      </c>
      <c r="D4209" s="8"/>
      <c r="E4209" s="8">
        <v>52366</v>
      </c>
      <c r="F4209" s="8"/>
      <c r="G4209" s="15" t="s">
        <v>10</v>
      </c>
      <c r="H4209" s="15" t="s">
        <v>10</v>
      </c>
      <c r="I4209" s="15">
        <v>0.84856902398010514</v>
      </c>
      <c r="J4209" s="15">
        <v>0.84856902398010514</v>
      </c>
      <c r="K4209" s="15" t="s">
        <v>10</v>
      </c>
      <c r="L4209" s="15" t="s">
        <v>10</v>
      </c>
      <c r="M4209" s="15" t="s">
        <v>10</v>
      </c>
      <c r="N4209" s="15" t="s">
        <v>10</v>
      </c>
      <c r="O4209" s="15" t="s">
        <v>10</v>
      </c>
      <c r="P4209" s="15" t="s">
        <v>10</v>
      </c>
      <c r="Q4209" s="8"/>
      <c r="R4209" s="9" t="s">
        <v>3757</v>
      </c>
    </row>
    <row r="4210" spans="1:18" x14ac:dyDescent="0.25">
      <c r="A4210" s="6" t="str">
        <f>HYPERLINK("proteomic_fractions_linear_files/Yang_linear_img/110347551.jpg", "110347551")</f>
        <v>110347551</v>
      </c>
      <c r="B4210" s="7"/>
      <c r="C4210" s="6" t="str">
        <f>HYPERLINK("http://www.ncbi.nlm.nih.gov/protein/110347551","Map2k7")</f>
        <v>Map2k7</v>
      </c>
      <c r="D4210" s="8"/>
      <c r="E4210" s="8">
        <v>47431</v>
      </c>
      <c r="F4210" s="8"/>
      <c r="G4210" s="15" t="s">
        <v>10</v>
      </c>
      <c r="H4210" s="15" t="s">
        <v>10</v>
      </c>
      <c r="I4210" s="15">
        <v>0.93884232440352056</v>
      </c>
      <c r="J4210" s="15">
        <v>0.93884232440352056</v>
      </c>
      <c r="K4210" s="15" t="s">
        <v>10</v>
      </c>
      <c r="L4210" s="15" t="s">
        <v>10</v>
      </c>
      <c r="M4210" s="15" t="s">
        <v>10</v>
      </c>
      <c r="N4210" s="15" t="s">
        <v>10</v>
      </c>
      <c r="O4210" s="15" t="s">
        <v>10</v>
      </c>
      <c r="P4210" s="15" t="s">
        <v>10</v>
      </c>
      <c r="Q4210" s="8"/>
      <c r="R4210" s="9" t="s">
        <v>3758</v>
      </c>
    </row>
    <row r="4211" spans="1:18" x14ac:dyDescent="0.25">
      <c r="A4211" s="6" t="str">
        <f>HYPERLINK("proteomic_fractions_linear_files/Yang_linear_img/255918231.jpg", "255918231")</f>
        <v>255918231</v>
      </c>
      <c r="B4211" s="7"/>
      <c r="C4211" s="6" t="str">
        <f>HYPERLINK("http://www.ncbi.nlm.nih.gov/protein/255918231","Map2k7")</f>
        <v>Map2k7</v>
      </c>
      <c r="D4211" s="8"/>
      <c r="E4211" s="8">
        <v>49017</v>
      </c>
      <c r="F4211" s="8"/>
      <c r="G4211" s="15" t="s">
        <v>10</v>
      </c>
      <c r="H4211" s="15" t="s">
        <v>10</v>
      </c>
      <c r="I4211" s="15">
        <v>0.90052222952990757</v>
      </c>
      <c r="J4211" s="15">
        <v>0.90052222952990757</v>
      </c>
      <c r="K4211" s="15" t="s">
        <v>10</v>
      </c>
      <c r="L4211" s="15" t="s">
        <v>10</v>
      </c>
      <c r="M4211" s="15" t="s">
        <v>10</v>
      </c>
      <c r="N4211" s="15" t="s">
        <v>10</v>
      </c>
      <c r="O4211" s="15" t="s">
        <v>10</v>
      </c>
      <c r="P4211" s="15" t="s">
        <v>10</v>
      </c>
      <c r="Q4211" s="8"/>
      <c r="R4211" s="9" t="s">
        <v>3759</v>
      </c>
    </row>
    <row r="4212" spans="1:18" x14ac:dyDescent="0.25">
      <c r="A4212" s="6" t="str">
        <f>HYPERLINK("proteomic_fractions_linear_files/Yang_linear_img/124486847.jpg", "124486847")</f>
        <v>124486847</v>
      </c>
      <c r="B4212" s="7"/>
      <c r="C4212" s="6" t="str">
        <f>HYPERLINK("http://www.ncbi.nlm.nih.gov/protein/124486847","Map3k10")</f>
        <v>Map3k10</v>
      </c>
      <c r="D4212" s="8"/>
      <c r="E4212" s="8">
        <v>103241</v>
      </c>
      <c r="F4212" s="8"/>
      <c r="G4212" s="15" t="s">
        <v>10</v>
      </c>
      <c r="H4212" s="15" t="s">
        <v>10</v>
      </c>
      <c r="I4212" s="15" t="s">
        <v>10</v>
      </c>
      <c r="J4212" s="15" t="s">
        <v>10</v>
      </c>
      <c r="K4212" s="15">
        <v>2.2656392973577582</v>
      </c>
      <c r="L4212" s="15">
        <v>2.2656392973577582</v>
      </c>
      <c r="M4212" s="15" t="s">
        <v>10</v>
      </c>
      <c r="N4212" s="15" t="s">
        <v>10</v>
      </c>
      <c r="O4212" s="15" t="s">
        <v>10</v>
      </c>
      <c r="P4212" s="15" t="s">
        <v>10</v>
      </c>
      <c r="Q4212" s="8"/>
      <c r="R4212" s="9" t="s">
        <v>3760</v>
      </c>
    </row>
    <row r="4213" spans="1:18" x14ac:dyDescent="0.25">
      <c r="A4213" s="6" t="str">
        <f>HYPERLINK("proteomic_fractions_linear_files/Yang_linear_img/31543234.jpg", "31543234")</f>
        <v>31543234</v>
      </c>
      <c r="B4213" s="7"/>
      <c r="C4213" s="6" t="str">
        <f>HYPERLINK("http://www.ncbi.nlm.nih.gov/protein/31543234","Map3k11")</f>
        <v>Map3k11</v>
      </c>
      <c r="D4213" s="8"/>
      <c r="E4213" s="8">
        <v>93096</v>
      </c>
      <c r="F4213" s="8"/>
      <c r="G4213" s="15" t="s">
        <v>10</v>
      </c>
      <c r="H4213" s="15" t="s">
        <v>10</v>
      </c>
      <c r="I4213" s="15" t="s">
        <v>10</v>
      </c>
      <c r="J4213" s="15" t="s">
        <v>10</v>
      </c>
      <c r="K4213" s="15">
        <v>2.509256426105904</v>
      </c>
      <c r="L4213" s="15">
        <v>2.509256426105904</v>
      </c>
      <c r="M4213" s="15" t="s">
        <v>10</v>
      </c>
      <c r="N4213" s="15" t="s">
        <v>10</v>
      </c>
      <c r="O4213" s="15" t="s">
        <v>10</v>
      </c>
      <c r="P4213" s="15" t="s">
        <v>10</v>
      </c>
      <c r="Q4213" s="8"/>
      <c r="R4213" s="9" t="s">
        <v>3761</v>
      </c>
    </row>
    <row r="4214" spans="1:18" x14ac:dyDescent="0.25">
      <c r="A4214" s="6" t="str">
        <f>HYPERLINK("proteomic_fractions_linear_files/Yang_linear_img/8393835.jpg", "8393835")</f>
        <v>8393835</v>
      </c>
      <c r="B4214" s="7"/>
      <c r="C4214" s="6" t="str">
        <f>HYPERLINK("http://www.ncbi.nlm.nih.gov/protein/8393835","Map3k14")</f>
        <v>Map3k14</v>
      </c>
      <c r="D4214" s="8"/>
      <c r="E4214" s="8">
        <v>102949</v>
      </c>
      <c r="F4214" s="8"/>
      <c r="G4214" s="15" t="s">
        <v>10</v>
      </c>
      <c r="H4214" s="15" t="s">
        <v>10</v>
      </c>
      <c r="I4214" s="15">
        <v>1.4898337003518625</v>
      </c>
      <c r="J4214" s="15">
        <v>1.4898337003518625</v>
      </c>
      <c r="K4214" s="15" t="s">
        <v>10</v>
      </c>
      <c r="L4214" s="15" t="s">
        <v>10</v>
      </c>
      <c r="M4214" s="15" t="s">
        <v>10</v>
      </c>
      <c r="N4214" s="15" t="s">
        <v>10</v>
      </c>
      <c r="O4214" s="15" t="s">
        <v>10</v>
      </c>
      <c r="P4214" s="15" t="s">
        <v>10</v>
      </c>
      <c r="Q4214" s="8"/>
      <c r="R4214" s="9" t="s">
        <v>3762</v>
      </c>
    </row>
    <row r="4215" spans="1:18" x14ac:dyDescent="0.25">
      <c r="A4215" s="6" t="str">
        <f>HYPERLINK("proteomic_fractions_linear_files/Yang_linear_img/282847404.jpg", "282847404")</f>
        <v>282847404</v>
      </c>
      <c r="B4215" s="7"/>
      <c r="C4215" s="6" t="str">
        <f>HYPERLINK("http://www.ncbi.nlm.nih.gov/protein/282847404","Map3k15")</f>
        <v>Map3k15</v>
      </c>
      <c r="D4215" s="8"/>
      <c r="E4215" s="8">
        <v>149197</v>
      </c>
      <c r="F4215" s="8"/>
      <c r="G4215" s="15" t="s">
        <v>10</v>
      </c>
      <c r="H4215" s="15" t="s">
        <v>10</v>
      </c>
      <c r="I4215" s="15" t="s">
        <v>10</v>
      </c>
      <c r="J4215" s="15" t="s">
        <v>10</v>
      </c>
      <c r="K4215" s="15" t="s">
        <v>10</v>
      </c>
      <c r="L4215" s="15" t="s">
        <v>10</v>
      </c>
      <c r="M4215" s="15">
        <v>1.2534619573150361</v>
      </c>
      <c r="N4215" s="15">
        <v>1.2534619573150361</v>
      </c>
      <c r="O4215" s="15" t="s">
        <v>10</v>
      </c>
      <c r="P4215" s="15" t="s">
        <v>10</v>
      </c>
      <c r="Q4215" s="8"/>
      <c r="R4215" s="9" t="s">
        <v>3763</v>
      </c>
    </row>
    <row r="4216" spans="1:18" x14ac:dyDescent="0.25">
      <c r="A4216" s="6" t="str">
        <f>HYPERLINK("proteomic_fractions_linear_files/Yang_linear_img/89257354.jpg", "89257354")</f>
        <v>89257354</v>
      </c>
      <c r="B4216" s="7"/>
      <c r="C4216" s="6" t="str">
        <f>HYPERLINK("http://www.ncbi.nlm.nih.gov/protein/89257354","Map3k2")</f>
        <v>Map3k2</v>
      </c>
      <c r="D4216" s="8"/>
      <c r="E4216" s="8">
        <v>69553</v>
      </c>
      <c r="F4216" s="8"/>
      <c r="G4216" s="15" t="s">
        <v>10</v>
      </c>
      <c r="H4216" s="15" t="s">
        <v>10</v>
      </c>
      <c r="I4216" s="15" t="s">
        <v>10</v>
      </c>
      <c r="J4216" s="15" t="s">
        <v>10</v>
      </c>
      <c r="K4216" s="15" t="s">
        <v>10</v>
      </c>
      <c r="L4216" s="15" t="s">
        <v>10</v>
      </c>
      <c r="M4216" s="15" t="s">
        <v>10</v>
      </c>
      <c r="N4216" s="15" t="s">
        <v>10</v>
      </c>
      <c r="O4216" s="15">
        <v>1.0490880034526036</v>
      </c>
      <c r="P4216" s="15">
        <v>1.0490880034526036</v>
      </c>
      <c r="Q4216" s="8"/>
      <c r="R4216" s="9" t="s">
        <v>3764</v>
      </c>
    </row>
    <row r="4217" spans="1:18" x14ac:dyDescent="0.25">
      <c r="A4217" s="6" t="str">
        <f>HYPERLINK("proteomic_fractions_linear_files/Yang_linear_img/33468949.jpg", "33468949")</f>
        <v>33468949</v>
      </c>
      <c r="B4217" s="7"/>
      <c r="C4217" s="6" t="str">
        <f>HYPERLINK("http://www.ncbi.nlm.nih.gov/protein/33468949","Map3k3")</f>
        <v>Map3k3</v>
      </c>
      <c r="D4217" s="8"/>
      <c r="E4217" s="8">
        <v>70645</v>
      </c>
      <c r="F4217" s="8"/>
      <c r="G4217" s="15" t="s">
        <v>10</v>
      </c>
      <c r="H4217" s="15" t="s">
        <v>10</v>
      </c>
      <c r="I4217" s="15" t="s">
        <v>10</v>
      </c>
      <c r="J4217" s="15" t="s">
        <v>10</v>
      </c>
      <c r="K4217" s="15">
        <v>0.57052560849609502</v>
      </c>
      <c r="L4217" s="15">
        <v>0.57052560849609502</v>
      </c>
      <c r="M4217" s="15" t="s">
        <v>10</v>
      </c>
      <c r="N4217" s="15" t="s">
        <v>10</v>
      </c>
      <c r="O4217" s="15">
        <v>0.52593417497358586</v>
      </c>
      <c r="P4217" s="15">
        <v>0.52593417497358586</v>
      </c>
      <c r="Q4217" s="8"/>
      <c r="R4217" s="9" t="s">
        <v>3765</v>
      </c>
    </row>
    <row r="4218" spans="1:18" x14ac:dyDescent="0.25">
      <c r="A4218" s="6" t="str">
        <f>HYPERLINK("proteomic_fractions_linear_files/Yang_linear_img/93102421.jpg", "93102421")</f>
        <v>93102421</v>
      </c>
      <c r="B4218" s="7"/>
      <c r="C4218" s="6" t="str">
        <f>HYPERLINK("http://www.ncbi.nlm.nih.gov/protein/93102421","Map3k4")</f>
        <v>Map3k4</v>
      </c>
      <c r="D4218" s="8"/>
      <c r="E4218" s="8">
        <v>179704</v>
      </c>
      <c r="F4218" s="8"/>
      <c r="G4218" s="15" t="s">
        <v>10</v>
      </c>
      <c r="H4218" s="15" t="s">
        <v>10</v>
      </c>
      <c r="I4218" s="15" t="s">
        <v>10</v>
      </c>
      <c r="J4218" s="15" t="s">
        <v>10</v>
      </c>
      <c r="K4218" s="15" t="s">
        <v>10</v>
      </c>
      <c r="L4218" s="15" t="s">
        <v>10</v>
      </c>
      <c r="M4218" s="15">
        <v>1.0375879535552242</v>
      </c>
      <c r="N4218" s="15">
        <v>1.0375879535552242</v>
      </c>
      <c r="O4218" s="15" t="s">
        <v>10</v>
      </c>
      <c r="P4218" s="15" t="s">
        <v>10</v>
      </c>
      <c r="Q4218" s="8"/>
      <c r="R4218" s="9" t="s">
        <v>3766</v>
      </c>
    </row>
    <row r="4219" spans="1:18" x14ac:dyDescent="0.25">
      <c r="A4219" s="6" t="str">
        <f>HYPERLINK("proteomic_fractions_linear_files/Yang_linear_img/171846249.jpg", "171846249")</f>
        <v>171846249</v>
      </c>
      <c r="B4219" s="7"/>
      <c r="C4219" s="6" t="str">
        <f>HYPERLINK("http://www.ncbi.nlm.nih.gov/protein/171846249","Map3k5")</f>
        <v>Map3k5</v>
      </c>
      <c r="D4219" s="8"/>
      <c r="E4219" s="8">
        <v>154381</v>
      </c>
      <c r="F4219" s="8"/>
      <c r="G4219" s="15" t="s">
        <v>10</v>
      </c>
      <c r="H4219" s="15" t="s">
        <v>10</v>
      </c>
      <c r="I4219" s="15">
        <v>0.71299716766968479</v>
      </c>
      <c r="J4219" s="15">
        <v>0.71299716766968479</v>
      </c>
      <c r="K4219" s="15">
        <v>1.2127651405190933</v>
      </c>
      <c r="L4219" s="15">
        <v>1.2127651405190933</v>
      </c>
      <c r="M4219" s="15">
        <v>1.2127651405190933</v>
      </c>
      <c r="N4219" s="15">
        <v>1.2127651405190933</v>
      </c>
      <c r="O4219" s="15" t="s">
        <v>10</v>
      </c>
      <c r="P4219" s="15" t="s">
        <v>10</v>
      </c>
      <c r="Q4219" s="8"/>
      <c r="R4219" s="9" t="s">
        <v>3767</v>
      </c>
    </row>
    <row r="4220" spans="1:18" x14ac:dyDescent="0.25">
      <c r="A4220" s="6" t="str">
        <f>HYPERLINK("proteomic_fractions_linear_files/Yang_linear_img/291575174.jpg", "291575174")</f>
        <v>291575174</v>
      </c>
      <c r="B4220" s="7"/>
      <c r="C4220" s="6" t="str">
        <f>HYPERLINK("http://www.ncbi.nlm.nih.gov/protein/291575174","Map3k9")</f>
        <v>Map3k9</v>
      </c>
      <c r="D4220" s="8"/>
      <c r="E4220" s="8">
        <v>118674</v>
      </c>
      <c r="F4220" s="8"/>
      <c r="G4220" s="15" t="s">
        <v>10</v>
      </c>
      <c r="H4220" s="15" t="s">
        <v>10</v>
      </c>
      <c r="I4220" s="15" t="s">
        <v>10</v>
      </c>
      <c r="J4220" s="15" t="s">
        <v>10</v>
      </c>
      <c r="K4220" s="15">
        <v>1.961015526284446</v>
      </c>
      <c r="L4220" s="15">
        <v>1.961015526284446</v>
      </c>
      <c r="M4220" s="15" t="s">
        <v>10</v>
      </c>
      <c r="N4220" s="15" t="s">
        <v>10</v>
      </c>
      <c r="O4220" s="15" t="s">
        <v>10</v>
      </c>
      <c r="P4220" s="15" t="s">
        <v>10</v>
      </c>
      <c r="Q4220" s="8"/>
      <c r="R4220" s="9" t="s">
        <v>3768</v>
      </c>
    </row>
    <row r="4221" spans="1:18" x14ac:dyDescent="0.25">
      <c r="A4221" s="6" t="str">
        <f>HYPERLINK("proteomic_fractions_linear_files/Yang_linear_img/52421792.jpg", "52421792")</f>
        <v>52421792</v>
      </c>
      <c r="B4221" s="7"/>
      <c r="C4221" s="6" t="str">
        <f>HYPERLINK("http://www.ncbi.nlm.nih.gov/protein/52421792","Map3k9")</f>
        <v>Map3k9</v>
      </c>
      <c r="D4221" s="8"/>
      <c r="E4221" s="8">
        <v>67984</v>
      </c>
      <c r="F4221" s="8"/>
      <c r="G4221" s="15" t="s">
        <v>10</v>
      </c>
      <c r="H4221" s="15" t="s">
        <v>10</v>
      </c>
      <c r="I4221" s="15" t="s">
        <v>10</v>
      </c>
      <c r="J4221" s="15" t="s">
        <v>10</v>
      </c>
      <c r="K4221" s="15">
        <v>3.4317771709977802</v>
      </c>
      <c r="L4221" s="15">
        <v>3.4317771709977802</v>
      </c>
      <c r="M4221" s="15" t="s">
        <v>10</v>
      </c>
      <c r="N4221" s="15" t="s">
        <v>10</v>
      </c>
      <c r="O4221" s="15" t="s">
        <v>10</v>
      </c>
      <c r="P4221" s="15" t="s">
        <v>10</v>
      </c>
      <c r="Q4221" s="8"/>
      <c r="R4221" s="9" t="s">
        <v>3769</v>
      </c>
    </row>
    <row r="4222" spans="1:18" x14ac:dyDescent="0.25">
      <c r="A4222" s="6" t="str">
        <f>HYPERLINK("proteomic_fractions_linear_files/Yang_linear_img/328927080.jpg", "328927080")</f>
        <v>328927080</v>
      </c>
      <c r="B4222" s="7"/>
      <c r="C4222" s="6" t="str">
        <f>HYPERLINK("http://www.ncbi.nlm.nih.gov/protein/328927080","Map4")</f>
        <v>Map4</v>
      </c>
      <c r="D4222" s="8"/>
      <c r="E4222" s="8">
        <v>10517</v>
      </c>
      <c r="F4222" s="8"/>
      <c r="G4222" s="15" t="s">
        <v>10</v>
      </c>
      <c r="H4222" s="15" t="s">
        <v>10</v>
      </c>
      <c r="I4222" s="15" t="s">
        <v>10</v>
      </c>
      <c r="J4222" s="15" t="s">
        <v>10</v>
      </c>
      <c r="K4222" s="15">
        <v>27.434847694227162</v>
      </c>
      <c r="L4222" s="15">
        <v>27.434847694227162</v>
      </c>
      <c r="M4222" s="15" t="s">
        <v>10</v>
      </c>
      <c r="N4222" s="15" t="s">
        <v>10</v>
      </c>
      <c r="O4222" s="15">
        <v>16.978711967267305</v>
      </c>
      <c r="P4222" s="15">
        <v>16.978711967267305</v>
      </c>
      <c r="Q4222" s="8"/>
      <c r="R4222" s="9" t="s">
        <v>3770</v>
      </c>
    </row>
    <row r="4223" spans="1:18" x14ac:dyDescent="0.25">
      <c r="A4223" s="6" t="str">
        <f>HYPERLINK("proteomic_fractions_linear_files/Yang_linear_img/328927083.jpg", "328927083")</f>
        <v>328927083</v>
      </c>
      <c r="B4223" s="7"/>
      <c r="C4223" s="6" t="str">
        <f>HYPERLINK("http://www.ncbi.nlm.nih.gov/protein/328927083","Map4")</f>
        <v>Map4</v>
      </c>
      <c r="D4223" s="8"/>
      <c r="E4223" s="8">
        <v>113525</v>
      </c>
      <c r="F4223" s="8"/>
      <c r="G4223" s="15" t="s">
        <v>10</v>
      </c>
      <c r="H4223" s="15" t="s">
        <v>10</v>
      </c>
      <c r="I4223" s="15">
        <v>2.0470249791916584</v>
      </c>
      <c r="J4223" s="15">
        <v>2.0470249791916584</v>
      </c>
      <c r="K4223" s="15">
        <v>2.0470249791916584</v>
      </c>
      <c r="L4223" s="15">
        <v>2.0470249791916584</v>
      </c>
      <c r="M4223" s="15">
        <v>2.0470249791916584</v>
      </c>
      <c r="N4223" s="15">
        <v>2.0470249791916584</v>
      </c>
      <c r="O4223" s="15">
        <v>1.6382967687714067</v>
      </c>
      <c r="P4223" s="15">
        <v>1.6382967687714067</v>
      </c>
      <c r="Q4223" s="8"/>
      <c r="R4223" s="9" t="s">
        <v>3771</v>
      </c>
    </row>
    <row r="4224" spans="1:18" x14ac:dyDescent="0.25">
      <c r="A4224" s="6" t="str">
        <f>HYPERLINK("proteomic_fractions_linear_files/Yang_linear_img/148747189.jpg", "148747189")</f>
        <v>148747189</v>
      </c>
      <c r="B4224" s="7"/>
      <c r="C4224" s="6" t="str">
        <f>HYPERLINK("http://www.ncbi.nlm.nih.gov/protein/148747189","Map4")</f>
        <v>Map4</v>
      </c>
      <c r="D4224" s="8"/>
      <c r="E4224" s="8">
        <v>117312</v>
      </c>
      <c r="F4224" s="8"/>
      <c r="G4224" s="15">
        <v>1.9945371592123853</v>
      </c>
      <c r="H4224" s="15">
        <v>1.9945371592123853</v>
      </c>
      <c r="I4224" s="15">
        <v>1.9945371592123853</v>
      </c>
      <c r="J4224" s="15">
        <v>1.9945371592123853</v>
      </c>
      <c r="K4224" s="15">
        <v>1.9945371592123853</v>
      </c>
      <c r="L4224" s="15">
        <v>1.9945371592123853</v>
      </c>
      <c r="M4224" s="15">
        <v>1.9945371592123853</v>
      </c>
      <c r="N4224" s="15">
        <v>1.9945371592123853</v>
      </c>
      <c r="O4224" s="15">
        <v>1.5962891593157296</v>
      </c>
      <c r="P4224" s="15">
        <v>1.5962891593157296</v>
      </c>
      <c r="Q4224" s="8"/>
      <c r="R4224" s="9" t="s">
        <v>3772</v>
      </c>
    </row>
    <row r="4225" spans="1:18" x14ac:dyDescent="0.25">
      <c r="A4225" s="6" t="str">
        <f>HYPERLINK("proteomic_fractions_linear_files/Yang_linear_img/328927075.jpg", "328927075")</f>
        <v>328927075</v>
      </c>
      <c r="B4225" s="7"/>
      <c r="C4225" s="6" t="str">
        <f>HYPERLINK("http://www.ncbi.nlm.nih.gov/protein/328927075","Map4")</f>
        <v>Map4</v>
      </c>
      <c r="D4225" s="8"/>
      <c r="E4225" s="8">
        <v>117299</v>
      </c>
      <c r="F4225" s="8"/>
      <c r="G4225" s="15">
        <v>1.9945371592123853</v>
      </c>
      <c r="H4225" s="15">
        <v>1.9945371592123853</v>
      </c>
      <c r="I4225" s="15">
        <v>1.9945371592123853</v>
      </c>
      <c r="J4225" s="15">
        <v>1.9945371592123853</v>
      </c>
      <c r="K4225" s="15">
        <v>1.9945371592123853</v>
      </c>
      <c r="L4225" s="15">
        <v>1.9945371592123853</v>
      </c>
      <c r="M4225" s="15">
        <v>1.9945371592123853</v>
      </c>
      <c r="N4225" s="15">
        <v>1.9945371592123853</v>
      </c>
      <c r="O4225" s="15">
        <v>1.5962891593157296</v>
      </c>
      <c r="P4225" s="15">
        <v>1.5962891593157296</v>
      </c>
      <c r="Q4225" s="8"/>
      <c r="R4225" s="9" t="s">
        <v>3773</v>
      </c>
    </row>
    <row r="4226" spans="1:18" x14ac:dyDescent="0.25">
      <c r="A4226" s="6" t="str">
        <f>HYPERLINK("proteomic_fractions_linear_files/Yang_linear_img/6678800.jpg", "6678800")</f>
        <v>6678800</v>
      </c>
      <c r="B4226" s="7"/>
      <c r="C4226" s="6" t="str">
        <f>HYPERLINK("http://www.ncbi.nlm.nih.gov/protein/6678800","Map4k2")</f>
        <v>Map4k2</v>
      </c>
      <c r="D4226" s="8"/>
      <c r="E4226" s="8">
        <v>91135</v>
      </c>
      <c r="F4226" s="8"/>
      <c r="G4226" s="15" t="s">
        <v>10</v>
      </c>
      <c r="H4226" s="15" t="s">
        <v>10</v>
      </c>
      <c r="I4226" s="15" t="s">
        <v>10</v>
      </c>
      <c r="J4226" s="15" t="s">
        <v>10</v>
      </c>
      <c r="K4226" s="15">
        <v>1.206610591441005</v>
      </c>
      <c r="L4226" s="15">
        <v>1.206610591441005</v>
      </c>
      <c r="M4226" s="15">
        <v>1.206610591441005</v>
      </c>
      <c r="N4226" s="15">
        <v>1.206610591441005</v>
      </c>
      <c r="O4226" s="15">
        <v>1.0436041888196099</v>
      </c>
      <c r="P4226" s="15">
        <v>1.0436041888196099</v>
      </c>
      <c r="Q4226" s="8"/>
      <c r="R4226" s="9" t="s">
        <v>3774</v>
      </c>
    </row>
    <row r="4227" spans="1:18" x14ac:dyDescent="0.25">
      <c r="A4227" s="6" t="str">
        <f>HYPERLINK("proteomic_fractions_linear_files/Yang_linear_img/124486875.jpg", "124486875")</f>
        <v>124486875</v>
      </c>
      <c r="B4227" s="7"/>
      <c r="C4227" s="6" t="str">
        <f>HYPERLINK("http://www.ncbi.nlm.nih.gov/protein/124486875","Map4k3")</f>
        <v>Map4k3</v>
      </c>
      <c r="D4227" s="8"/>
      <c r="E4227" s="8">
        <v>101115</v>
      </c>
      <c r="F4227" s="8"/>
      <c r="G4227" s="15" t="s">
        <v>10</v>
      </c>
      <c r="H4227" s="15" t="s">
        <v>10</v>
      </c>
      <c r="I4227" s="15" t="s">
        <v>10</v>
      </c>
      <c r="J4227" s="15" t="s">
        <v>10</v>
      </c>
      <c r="K4227" s="15" t="s">
        <v>10</v>
      </c>
      <c r="L4227" s="15" t="s">
        <v>10</v>
      </c>
      <c r="M4227" s="15">
        <v>0.58191294639201829</v>
      </c>
      <c r="N4227" s="15">
        <v>0.58191294639201829</v>
      </c>
      <c r="O4227" s="15" t="s">
        <v>10</v>
      </c>
      <c r="P4227" s="15" t="s">
        <v>10</v>
      </c>
      <c r="Q4227" s="8"/>
      <c r="R4227" s="9" t="s">
        <v>3775</v>
      </c>
    </row>
    <row r="4228" spans="1:18" x14ac:dyDescent="0.25">
      <c r="A4228" s="6" t="str">
        <f>HYPERLINK("proteomic_fractions_linear_files/Yang_linear_img/145279237.jpg", "145279237")</f>
        <v>145279237</v>
      </c>
      <c r="B4228" s="7"/>
      <c r="C4228" s="6" t="str">
        <f>HYPERLINK("http://www.ncbi.nlm.nih.gov/protein/145279237","Map4k4")</f>
        <v>Map4k4</v>
      </c>
      <c r="D4228" s="8"/>
      <c r="E4228" s="8">
        <v>140677</v>
      </c>
      <c r="F4228" s="8"/>
      <c r="G4228" s="15" t="s">
        <v>10</v>
      </c>
      <c r="H4228" s="15" t="s">
        <v>10</v>
      </c>
      <c r="I4228" s="15" t="s">
        <v>10</v>
      </c>
      <c r="J4228" s="15" t="s">
        <v>10</v>
      </c>
      <c r="K4228" s="15">
        <v>0.52082383150129252</v>
      </c>
      <c r="L4228" s="15">
        <v>0.52082383150129252</v>
      </c>
      <c r="M4228" s="15" t="s">
        <v>10</v>
      </c>
      <c r="N4228" s="15" t="s">
        <v>10</v>
      </c>
      <c r="O4228" s="15" t="s">
        <v>10</v>
      </c>
      <c r="P4228" s="15" t="s">
        <v>10</v>
      </c>
      <c r="Q4228" s="8"/>
      <c r="R4228" s="9" t="s">
        <v>3776</v>
      </c>
    </row>
    <row r="4229" spans="1:18" x14ac:dyDescent="0.25">
      <c r="A4229" s="6" t="str">
        <f>HYPERLINK("proteomic_fractions_linear_files/Yang_linear_img/356582264.jpg", "356582264")</f>
        <v>356582264</v>
      </c>
      <c r="B4229" s="7"/>
      <c r="C4229" s="6" t="str">
        <f>HYPERLINK("http://www.ncbi.nlm.nih.gov/protein/356582264","Map4k4")</f>
        <v>Map4k4</v>
      </c>
      <c r="D4229" s="8"/>
      <c r="E4229" s="8">
        <v>146585</v>
      </c>
      <c r="F4229" s="8"/>
      <c r="G4229" s="15" t="s">
        <v>10</v>
      </c>
      <c r="H4229" s="15" t="s">
        <v>10</v>
      </c>
      <c r="I4229" s="15" t="s">
        <v>10</v>
      </c>
      <c r="J4229" s="15" t="s">
        <v>10</v>
      </c>
      <c r="K4229" s="15">
        <v>0.49956571592981119</v>
      </c>
      <c r="L4229" s="15">
        <v>0.49956571592981119</v>
      </c>
      <c r="M4229" s="15" t="s">
        <v>10</v>
      </c>
      <c r="N4229" s="15" t="s">
        <v>10</v>
      </c>
      <c r="O4229" s="15" t="s">
        <v>10</v>
      </c>
      <c r="P4229" s="15" t="s">
        <v>10</v>
      </c>
      <c r="Q4229" s="8"/>
      <c r="R4229" s="9" t="s">
        <v>3777</v>
      </c>
    </row>
    <row r="4230" spans="1:18" x14ac:dyDescent="0.25">
      <c r="A4230" s="6" t="str">
        <f>HYPERLINK("proteomic_fractions_linear_files/Yang_linear_img/356582266.jpg", "356582266")</f>
        <v>356582266</v>
      </c>
      <c r="B4230" s="7"/>
      <c r="C4230" s="6" t="str">
        <f>HYPERLINK("http://www.ncbi.nlm.nih.gov/protein/356582266","Map4k4")</f>
        <v>Map4k4</v>
      </c>
      <c r="D4230" s="8"/>
      <c r="E4230" s="8">
        <v>138935</v>
      </c>
      <c r="F4230" s="8"/>
      <c r="G4230" s="15" t="s">
        <v>10</v>
      </c>
      <c r="H4230" s="15" t="s">
        <v>10</v>
      </c>
      <c r="I4230" s="15" t="s">
        <v>10</v>
      </c>
      <c r="J4230" s="15" t="s">
        <v>10</v>
      </c>
      <c r="K4230" s="15">
        <v>0.52831769958044783</v>
      </c>
      <c r="L4230" s="15">
        <v>0.52831769958044783</v>
      </c>
      <c r="M4230" s="15" t="s">
        <v>10</v>
      </c>
      <c r="N4230" s="15" t="s">
        <v>10</v>
      </c>
      <c r="O4230" s="15" t="s">
        <v>10</v>
      </c>
      <c r="P4230" s="15" t="s">
        <v>10</v>
      </c>
      <c r="Q4230" s="8"/>
      <c r="R4230" s="9" t="s">
        <v>3778</v>
      </c>
    </row>
    <row r="4231" spans="1:18" x14ac:dyDescent="0.25">
      <c r="A4231" s="6" t="str">
        <f>HYPERLINK("proteomic_fractions_linear_files/Yang_linear_img/356582268.jpg", "356582268")</f>
        <v>356582268</v>
      </c>
      <c r="B4231" s="7"/>
      <c r="C4231" s="6" t="str">
        <f>HYPERLINK("http://www.ncbi.nlm.nih.gov/protein/356582268","Map4k4")</f>
        <v>Map4k4</v>
      </c>
      <c r="D4231" s="8"/>
      <c r="E4231" s="8">
        <v>137772</v>
      </c>
      <c r="F4231" s="8"/>
      <c r="G4231" s="15" t="s">
        <v>10</v>
      </c>
      <c r="H4231" s="15" t="s">
        <v>10</v>
      </c>
      <c r="I4231" s="15" t="s">
        <v>10</v>
      </c>
      <c r="J4231" s="15" t="s">
        <v>10</v>
      </c>
      <c r="K4231" s="15">
        <v>0.5321460887078423</v>
      </c>
      <c r="L4231" s="15">
        <v>0.5321460887078423</v>
      </c>
      <c r="M4231" s="15" t="s">
        <v>10</v>
      </c>
      <c r="N4231" s="15" t="s">
        <v>10</v>
      </c>
      <c r="O4231" s="15" t="s">
        <v>10</v>
      </c>
      <c r="P4231" s="15" t="s">
        <v>10</v>
      </c>
      <c r="Q4231" s="8"/>
      <c r="R4231" s="9" t="s">
        <v>3779</v>
      </c>
    </row>
    <row r="4232" spans="1:18" x14ac:dyDescent="0.25">
      <c r="A4232" s="6" t="str">
        <f>HYPERLINK("proteomic_fractions_linear_files/Yang_linear_img/77736537.jpg", "77736537")</f>
        <v>77736537</v>
      </c>
      <c r="B4232" s="7"/>
      <c r="C4232" s="6" t="str">
        <f>HYPERLINK("http://www.ncbi.nlm.nih.gov/protein/77736537","Map4k5")</f>
        <v>Map4k5</v>
      </c>
      <c r="D4232" s="8"/>
      <c r="E4232" s="8">
        <v>94914</v>
      </c>
      <c r="F4232" s="8"/>
      <c r="G4232" s="15" t="s">
        <v>10</v>
      </c>
      <c r="H4232" s="15" t="s">
        <v>10</v>
      </c>
      <c r="I4232" s="15">
        <v>1.1558059349592786</v>
      </c>
      <c r="J4232" s="15">
        <v>1.1558059349592786</v>
      </c>
      <c r="K4232" s="15">
        <v>1.1558059349592786</v>
      </c>
      <c r="L4232" s="15">
        <v>1.1558059349592786</v>
      </c>
      <c r="M4232" s="15">
        <v>0.5591638908421166</v>
      </c>
      <c r="N4232" s="15">
        <v>0.5591638908421166</v>
      </c>
      <c r="O4232" s="15">
        <v>1.1558059349592786</v>
      </c>
      <c r="P4232" s="15">
        <v>1.1558059349592786</v>
      </c>
      <c r="Q4232" s="8"/>
      <c r="R4232" s="9" t="s">
        <v>3780</v>
      </c>
    </row>
    <row r="4233" spans="1:18" x14ac:dyDescent="0.25">
      <c r="A4233" s="6" t="str">
        <f>HYPERLINK("proteomic_fractions_linear_files/Yang_linear_img/113204613.jpg", "113204613")</f>
        <v>113204613</v>
      </c>
      <c r="B4233" s="7"/>
      <c r="C4233" s="6" t="str">
        <f>HYPERLINK("http://www.ncbi.nlm.nih.gov/protein/113204613","Map6")</f>
        <v>Map6</v>
      </c>
      <c r="D4233" s="8"/>
      <c r="E4233" s="8">
        <v>96319</v>
      </c>
      <c r="F4233" s="8"/>
      <c r="G4233" s="15">
        <v>0.5533392669791779</v>
      </c>
      <c r="H4233" s="15">
        <v>0.5533392669791779</v>
      </c>
      <c r="I4233" s="15" t="s">
        <v>10</v>
      </c>
      <c r="J4233" s="15" t="s">
        <v>10</v>
      </c>
      <c r="K4233" s="15" t="s">
        <v>10</v>
      </c>
      <c r="L4233" s="15" t="s">
        <v>10</v>
      </c>
      <c r="M4233" s="15" t="s">
        <v>10</v>
      </c>
      <c r="N4233" s="15" t="s">
        <v>10</v>
      </c>
      <c r="O4233" s="15">
        <v>0.31130632178867845</v>
      </c>
      <c r="P4233" s="15">
        <v>0.31130632178867845</v>
      </c>
      <c r="Q4233" s="8"/>
      <c r="R4233" s="9" t="s">
        <v>3781</v>
      </c>
    </row>
    <row r="4234" spans="1:18" x14ac:dyDescent="0.25">
      <c r="A4234" s="6" t="str">
        <f>HYPERLINK("proteomic_fractions_linear_files/Yang_linear_img/114520592.jpg", "114520592")</f>
        <v>114520592</v>
      </c>
      <c r="B4234" s="7"/>
      <c r="C4234" s="6" t="str">
        <f>HYPERLINK("http://www.ncbi.nlm.nih.gov/protein/114520592","Map6")</f>
        <v>Map6</v>
      </c>
      <c r="D4234" s="8"/>
      <c r="E4234" s="8">
        <v>60974</v>
      </c>
      <c r="F4234" s="8"/>
      <c r="G4234" s="15">
        <v>0.87082901032788651</v>
      </c>
      <c r="H4234" s="15">
        <v>0.87082901032788651</v>
      </c>
      <c r="I4234" s="15" t="s">
        <v>10</v>
      </c>
      <c r="J4234" s="15" t="s">
        <v>10</v>
      </c>
      <c r="K4234" s="15" t="s">
        <v>10</v>
      </c>
      <c r="L4234" s="15" t="s">
        <v>10</v>
      </c>
      <c r="M4234" s="15" t="s">
        <v>10</v>
      </c>
      <c r="N4234" s="15" t="s">
        <v>10</v>
      </c>
      <c r="O4234" s="15">
        <v>0.4899247031428382</v>
      </c>
      <c r="P4234" s="15">
        <v>0.4899247031428382</v>
      </c>
      <c r="Q4234" s="8"/>
      <c r="R4234" s="9" t="s">
        <v>3782</v>
      </c>
    </row>
    <row r="4235" spans="1:18" x14ac:dyDescent="0.25">
      <c r="A4235" s="6" t="str">
        <f>HYPERLINK("proteomic_fractions_linear_files/Yang_linear_img/114520594.jpg", "114520594")</f>
        <v>114520594</v>
      </c>
      <c r="B4235" s="7"/>
      <c r="C4235" s="6" t="str">
        <f>HYPERLINK("http://www.ncbi.nlm.nih.gov/protein/114520594","Map6")</f>
        <v>Map6</v>
      </c>
      <c r="D4235" s="8"/>
      <c r="E4235" s="8">
        <v>32672</v>
      </c>
      <c r="F4235" s="8"/>
      <c r="G4235" s="15">
        <v>1.609714231212154</v>
      </c>
      <c r="H4235" s="15">
        <v>1.609714231212154</v>
      </c>
      <c r="I4235" s="15" t="s">
        <v>10</v>
      </c>
      <c r="J4235" s="15" t="s">
        <v>10</v>
      </c>
      <c r="K4235" s="15" t="s">
        <v>10</v>
      </c>
      <c r="L4235" s="15" t="s">
        <v>10</v>
      </c>
      <c r="M4235" s="15" t="s">
        <v>10</v>
      </c>
      <c r="N4235" s="15" t="s">
        <v>10</v>
      </c>
      <c r="O4235" s="15">
        <v>0.90561839065797367</v>
      </c>
      <c r="P4235" s="15">
        <v>0.90561839065797367</v>
      </c>
      <c r="Q4235" s="8"/>
      <c r="R4235" s="9" t="s">
        <v>3783</v>
      </c>
    </row>
    <row r="4236" spans="1:18" x14ac:dyDescent="0.25">
      <c r="A4236" s="6" t="str">
        <f>HYPERLINK("proteomic_fractions_linear_files/Yang_linear_img/310772196.jpg", "310772196")</f>
        <v>310772196</v>
      </c>
      <c r="B4236" s="7"/>
      <c r="C4236" s="6" t="str">
        <f>HYPERLINK("http://www.ncbi.nlm.nih.gov/protein/310772196","Map7")</f>
        <v>Map7</v>
      </c>
      <c r="D4236" s="8"/>
      <c r="E4236" s="8">
        <v>82709</v>
      </c>
      <c r="F4236" s="8"/>
      <c r="G4236" s="15" t="s">
        <v>10</v>
      </c>
      <c r="H4236" s="15" t="s">
        <v>10</v>
      </c>
      <c r="I4236" s="15" t="s">
        <v>10</v>
      </c>
      <c r="J4236" s="15" t="s">
        <v>10</v>
      </c>
      <c r="K4236" s="15">
        <v>1.5508629897002044</v>
      </c>
      <c r="L4236" s="15">
        <v>1.5508629897002044</v>
      </c>
      <c r="M4236" s="15" t="s">
        <v>10</v>
      </c>
      <c r="N4236" s="15" t="s">
        <v>10</v>
      </c>
      <c r="O4236" s="15" t="s">
        <v>10</v>
      </c>
      <c r="P4236" s="15" t="s">
        <v>10</v>
      </c>
      <c r="Q4236" s="8"/>
      <c r="R4236" s="9" t="s">
        <v>3784</v>
      </c>
    </row>
    <row r="4237" spans="1:18" x14ac:dyDescent="0.25">
      <c r="A4237" s="6" t="str">
        <f>HYPERLINK("proteomic_fractions_linear_files/Yang_linear_img/159110787.jpg", "159110787")</f>
        <v>159110787</v>
      </c>
      <c r="B4237" s="7"/>
      <c r="C4237" s="6" t="str">
        <f>HYPERLINK("http://www.ncbi.nlm.nih.gov/protein/159110787","Map7")</f>
        <v>Map7</v>
      </c>
      <c r="D4237" s="8"/>
      <c r="E4237" s="8">
        <v>81843</v>
      </c>
      <c r="F4237" s="8"/>
      <c r="G4237" s="15" t="s">
        <v>10</v>
      </c>
      <c r="H4237" s="15" t="s">
        <v>10</v>
      </c>
      <c r="I4237" s="15" t="s">
        <v>10</v>
      </c>
      <c r="J4237" s="15" t="s">
        <v>10</v>
      </c>
      <c r="K4237" s="15">
        <v>1.5697759529892312</v>
      </c>
      <c r="L4237" s="15">
        <v>1.5697759529892312</v>
      </c>
      <c r="M4237" s="15">
        <v>1.5697759529892312</v>
      </c>
      <c r="N4237" s="15">
        <v>1.5697759529892312</v>
      </c>
      <c r="O4237" s="15" t="s">
        <v>10</v>
      </c>
      <c r="P4237" s="15" t="s">
        <v>10</v>
      </c>
      <c r="Q4237" s="8"/>
      <c r="R4237" s="9" t="s">
        <v>3785</v>
      </c>
    </row>
    <row r="4238" spans="1:18" x14ac:dyDescent="0.25">
      <c r="A4238" s="6" t="str">
        <f>HYPERLINK("proteomic_fractions_linear_files/Yang_linear_img/225543273.jpg", "225543273")</f>
        <v>225543273</v>
      </c>
      <c r="B4238" s="7"/>
      <c r="C4238" s="6" t="str">
        <f>HYPERLINK("http://www.ncbi.nlm.nih.gov/protein/225543273","Map7d1")</f>
        <v>Map7d1</v>
      </c>
      <c r="D4238" s="8"/>
      <c r="E4238" s="8">
        <v>93145</v>
      </c>
      <c r="F4238" s="8"/>
      <c r="G4238" s="15" t="s">
        <v>10</v>
      </c>
      <c r="H4238" s="15" t="s">
        <v>10</v>
      </c>
      <c r="I4238" s="15" t="s">
        <v>10</v>
      </c>
      <c r="J4238" s="15" t="s">
        <v>10</v>
      </c>
      <c r="K4238" s="15" t="s">
        <v>10</v>
      </c>
      <c r="L4238" s="15" t="s">
        <v>10</v>
      </c>
      <c r="M4238" s="15">
        <v>1.650030872432708</v>
      </c>
      <c r="N4238" s="15">
        <v>1.650030872432708</v>
      </c>
      <c r="O4238" s="15" t="s">
        <v>10</v>
      </c>
      <c r="P4238" s="15" t="s">
        <v>10</v>
      </c>
      <c r="Q4238" s="8"/>
      <c r="R4238" s="9" t="s">
        <v>3786</v>
      </c>
    </row>
    <row r="4239" spans="1:18" x14ac:dyDescent="0.25">
      <c r="A4239" s="6" t="str">
        <f>HYPERLINK("proteomic_fractions_linear_files/Yang_linear_img/225543276.jpg", "225543276")</f>
        <v>225543276</v>
      </c>
      <c r="B4239" s="7"/>
      <c r="C4239" s="6" t="str">
        <f>HYPERLINK("http://www.ncbi.nlm.nih.gov/protein/225543276","Map7d1")</f>
        <v>Map7d1</v>
      </c>
      <c r="D4239" s="8"/>
      <c r="E4239" s="8">
        <v>85633</v>
      </c>
      <c r="F4239" s="8"/>
      <c r="G4239" s="15" t="s">
        <v>10</v>
      </c>
      <c r="H4239" s="15" t="s">
        <v>10</v>
      </c>
      <c r="I4239" s="15" t="s">
        <v>10</v>
      </c>
      <c r="J4239" s="15" t="s">
        <v>10</v>
      </c>
      <c r="K4239" s="15" t="s">
        <v>10</v>
      </c>
      <c r="L4239" s="15" t="s">
        <v>10</v>
      </c>
      <c r="M4239" s="15">
        <v>1.784335710886533</v>
      </c>
      <c r="N4239" s="15">
        <v>1.784335710886533</v>
      </c>
      <c r="O4239" s="15" t="s">
        <v>10</v>
      </c>
      <c r="P4239" s="15" t="s">
        <v>10</v>
      </c>
      <c r="Q4239" s="8"/>
      <c r="R4239" s="9" t="s">
        <v>3787</v>
      </c>
    </row>
    <row r="4240" spans="1:18" x14ac:dyDescent="0.25">
      <c r="A4240" s="6" t="str">
        <f>HYPERLINK("proteomic_fractions_linear_files/Yang_linear_img/124486997.jpg", "124486997")</f>
        <v>124486997</v>
      </c>
      <c r="B4240" s="7"/>
      <c r="C4240" s="6" t="str">
        <f>HYPERLINK("http://www.ncbi.nlm.nih.gov/protein/124486997","Map9")</f>
        <v>Map9</v>
      </c>
      <c r="D4240" s="8"/>
      <c r="E4240" s="8">
        <v>73380</v>
      </c>
      <c r="F4240" s="8"/>
      <c r="G4240" s="15" t="s">
        <v>10</v>
      </c>
      <c r="H4240" s="15" t="s">
        <v>10</v>
      </c>
      <c r="I4240" s="15" t="s">
        <v>10</v>
      </c>
      <c r="J4240" s="15" t="s">
        <v>10</v>
      </c>
      <c r="K4240" s="15">
        <v>0.43950784733881626</v>
      </c>
      <c r="L4240" s="15">
        <v>0.43950784733881626</v>
      </c>
      <c r="M4240" s="15" t="s">
        <v>10</v>
      </c>
      <c r="N4240" s="15" t="s">
        <v>10</v>
      </c>
      <c r="O4240" s="15" t="s">
        <v>10</v>
      </c>
      <c r="P4240" s="15" t="s">
        <v>10</v>
      </c>
      <c r="Q4240" s="8"/>
      <c r="R4240" s="9" t="s">
        <v>3788</v>
      </c>
    </row>
    <row r="4241" spans="1:18" x14ac:dyDescent="0.25">
      <c r="A4241" s="6" t="str">
        <f>HYPERLINK("proteomic_fractions_linear_files/Yang_linear_img/6754632.jpg", "6754632")</f>
        <v>6754632</v>
      </c>
      <c r="B4241" s="7"/>
      <c r="C4241" s="6" t="str">
        <f>HYPERLINK("http://www.ncbi.nlm.nih.gov/protein/6754632","Mapk1")</f>
        <v>Mapk1</v>
      </c>
      <c r="D4241" s="8"/>
      <c r="E4241" s="8">
        <v>41145</v>
      </c>
      <c r="F4241" s="8"/>
      <c r="G4241" s="15">
        <v>1.1778042825467134</v>
      </c>
      <c r="H4241" s="15">
        <v>1.1778042825467134</v>
      </c>
      <c r="I4241" s="15">
        <v>0.98798337081031085</v>
      </c>
      <c r="J4241" s="15">
        <v>0.98798337081031085</v>
      </c>
      <c r="K4241" s="15">
        <v>0.98798337081031085</v>
      </c>
      <c r="L4241" s="15">
        <v>0.98798337081031085</v>
      </c>
      <c r="M4241" s="15">
        <v>0.91076405910059977</v>
      </c>
      <c r="N4241" s="15">
        <v>0.91076405910059977</v>
      </c>
      <c r="O4241" s="15">
        <v>0.84276528123110206</v>
      </c>
      <c r="P4241" s="15">
        <v>0.84276528123110206</v>
      </c>
      <c r="Q4241" s="8"/>
      <c r="R4241" s="9" t="s">
        <v>3789</v>
      </c>
    </row>
    <row r="4242" spans="1:18" x14ac:dyDescent="0.25">
      <c r="A4242" s="6" t="str">
        <f>HYPERLINK("proteomic_fractions_linear_files/Yang_linear_img/125858479.jpg", "125858479")</f>
        <v>125858479</v>
      </c>
      <c r="B4242" s="7"/>
      <c r="C4242" s="6" t="str">
        <f>HYPERLINK("http://www.ncbi.nlm.nih.gov/protein/125858479","Mapk10")</f>
        <v>Mapk10</v>
      </c>
      <c r="D4242" s="8"/>
      <c r="E4242" s="8">
        <v>52387</v>
      </c>
      <c r="F4242" s="8"/>
      <c r="G4242" s="15" t="s">
        <v>10</v>
      </c>
      <c r="H4242" s="15" t="s">
        <v>10</v>
      </c>
      <c r="I4242" s="15">
        <v>0.77898688852351428</v>
      </c>
      <c r="J4242" s="15">
        <v>0.77898688852351428</v>
      </c>
      <c r="K4242" s="15">
        <v>0.77898688852351428</v>
      </c>
      <c r="L4242" s="15">
        <v>0.77898688852351428</v>
      </c>
      <c r="M4242" s="15">
        <v>0.77898688852351428</v>
      </c>
      <c r="N4242" s="15">
        <v>0.77898688852351428</v>
      </c>
      <c r="O4242" s="15">
        <v>0.66448801020144588</v>
      </c>
      <c r="P4242" s="15">
        <v>0.66448801020144588</v>
      </c>
      <c r="Q4242" s="8"/>
      <c r="R4242" s="9" t="s">
        <v>3790</v>
      </c>
    </row>
    <row r="4243" spans="1:18" x14ac:dyDescent="0.25">
      <c r="A4243" s="6" t="str">
        <f>HYPERLINK("proteomic_fractions_linear_files/Yang_linear_img/125858511.jpg", "125858511")</f>
        <v>125858511</v>
      </c>
      <c r="B4243" s="7"/>
      <c r="C4243" s="6" t="str">
        <f>HYPERLINK("http://www.ncbi.nlm.nih.gov/protein/125858511","Mapk10")</f>
        <v>Mapk10</v>
      </c>
      <c r="D4243" s="8"/>
      <c r="E4243" s="8">
        <v>48356</v>
      </c>
      <c r="F4243" s="8"/>
      <c r="G4243" s="15" t="s">
        <v>10</v>
      </c>
      <c r="H4243" s="15" t="s">
        <v>10</v>
      </c>
      <c r="I4243" s="15">
        <v>0.84390246256714052</v>
      </c>
      <c r="J4243" s="15">
        <v>0.84390246256714052</v>
      </c>
      <c r="K4243" s="15">
        <v>0.84390246256714052</v>
      </c>
      <c r="L4243" s="15">
        <v>0.84390246256714052</v>
      </c>
      <c r="M4243" s="15">
        <v>0.84390246256714052</v>
      </c>
      <c r="N4243" s="15">
        <v>0.84390246256714052</v>
      </c>
      <c r="O4243" s="15">
        <v>0.71986201105156633</v>
      </c>
      <c r="P4243" s="15">
        <v>0.71986201105156633</v>
      </c>
      <c r="Q4243" s="8"/>
      <c r="R4243" s="9" t="s">
        <v>3791</v>
      </c>
    </row>
    <row r="4244" spans="1:18" x14ac:dyDescent="0.25">
      <c r="A4244" s="6" t="str">
        <f>HYPERLINK("proteomic_fractions_linear_files/Yang_linear_img/168693637.jpg", "168693637")</f>
        <v>168693637</v>
      </c>
      <c r="B4244" s="7"/>
      <c r="C4244" s="6" t="str">
        <f>HYPERLINK("http://www.ncbi.nlm.nih.gov/protein/168693637","Mapk11")</f>
        <v>Mapk11</v>
      </c>
      <c r="D4244" s="8"/>
      <c r="E4244" s="8">
        <v>41266</v>
      </c>
      <c r="F4244" s="8"/>
      <c r="G4244" s="15" t="s">
        <v>10</v>
      </c>
      <c r="H4244" s="15" t="s">
        <v>10</v>
      </c>
      <c r="I4244" s="15">
        <v>0.98798337081031085</v>
      </c>
      <c r="J4244" s="15">
        <v>0.98798337081031085</v>
      </c>
      <c r="K4244" s="15">
        <v>0.98798337081031085</v>
      </c>
      <c r="L4244" s="15">
        <v>0.98798337081031085</v>
      </c>
      <c r="M4244" s="15">
        <v>0.98798337081031085</v>
      </c>
      <c r="N4244" s="15">
        <v>0.98798337081031085</v>
      </c>
      <c r="O4244" s="15">
        <v>0.84276528123110206</v>
      </c>
      <c r="P4244" s="15">
        <v>0.84276528123110206</v>
      </c>
      <c r="Q4244" s="8"/>
      <c r="R4244" s="9" t="s">
        <v>3792</v>
      </c>
    </row>
    <row r="4245" spans="1:18" x14ac:dyDescent="0.25">
      <c r="A4245" s="6" t="str">
        <f>HYPERLINK("proteomic_fractions_linear_files/Yang_linear_img/7305253.jpg", "7305253")</f>
        <v>7305253</v>
      </c>
      <c r="B4245" s="7"/>
      <c r="C4245" s="6" t="str">
        <f>HYPERLINK("http://www.ncbi.nlm.nih.gov/protein/7305253","Mapk12")</f>
        <v>Mapk12</v>
      </c>
      <c r="D4245" s="8"/>
      <c r="E4245" s="8">
        <v>41912</v>
      </c>
      <c r="F4245" s="8"/>
      <c r="G4245" s="15" t="s">
        <v>10</v>
      </c>
      <c r="H4245" s="15" t="s">
        <v>10</v>
      </c>
      <c r="I4245" s="15">
        <v>0.96445995721958921</v>
      </c>
      <c r="J4245" s="15">
        <v>0.96445995721958921</v>
      </c>
      <c r="K4245" s="15">
        <v>0.96445995721958921</v>
      </c>
      <c r="L4245" s="15">
        <v>0.96445995721958921</v>
      </c>
      <c r="M4245" s="15">
        <v>0.96445995721958921</v>
      </c>
      <c r="N4245" s="15">
        <v>0.96445995721958921</v>
      </c>
      <c r="O4245" s="15">
        <v>0.88907920055058554</v>
      </c>
      <c r="P4245" s="15">
        <v>0.88907920055058554</v>
      </c>
      <c r="Q4245" s="8"/>
      <c r="R4245" s="9" t="s">
        <v>3793</v>
      </c>
    </row>
    <row r="4246" spans="1:18" x14ac:dyDescent="0.25">
      <c r="A4246" s="6" t="str">
        <f>HYPERLINK("proteomic_fractions_linear_files/Yang_linear_img/226246627.jpg", "226246627")</f>
        <v>226246627</v>
      </c>
      <c r="B4246" s="7"/>
      <c r="C4246" s="6" t="str">
        <f>HYPERLINK("http://www.ncbi.nlm.nih.gov/protein/226246627","Mapk13")</f>
        <v>Mapk13</v>
      </c>
      <c r="D4246" s="8"/>
      <c r="E4246" s="8">
        <v>41941</v>
      </c>
      <c r="F4246" s="8"/>
      <c r="G4246" s="15" t="s">
        <v>10</v>
      </c>
      <c r="H4246" s="15" t="s">
        <v>10</v>
      </c>
      <c r="I4246" s="15">
        <v>0.96445995721958921</v>
      </c>
      <c r="J4246" s="15">
        <v>0.96445995721958921</v>
      </c>
      <c r="K4246" s="15">
        <v>0.96445995721958921</v>
      </c>
      <c r="L4246" s="15">
        <v>0.96445995721958921</v>
      </c>
      <c r="M4246" s="15">
        <v>0.96445995721958921</v>
      </c>
      <c r="N4246" s="15">
        <v>0.96445995721958921</v>
      </c>
      <c r="O4246" s="15">
        <v>0.82269944120179006</v>
      </c>
      <c r="P4246" s="15">
        <v>0.88907920055058554</v>
      </c>
      <c r="Q4246" s="8"/>
      <c r="R4246" s="9" t="s">
        <v>3794</v>
      </c>
    </row>
    <row r="4247" spans="1:18" x14ac:dyDescent="0.25">
      <c r="A4247" s="6" t="str">
        <f>HYPERLINK("proteomic_fractions_linear_files/Yang_linear_img/10092590.jpg", "10092590")</f>
        <v>10092590</v>
      </c>
      <c r="B4247" s="7"/>
      <c r="C4247" s="6" t="str">
        <f>HYPERLINK("http://www.ncbi.nlm.nih.gov/protein/10092590","Mapk14")</f>
        <v>Mapk14</v>
      </c>
      <c r="D4247" s="8"/>
      <c r="E4247" s="8">
        <v>41156</v>
      </c>
      <c r="F4247" s="8"/>
      <c r="G4247" s="15" t="s">
        <v>10</v>
      </c>
      <c r="H4247" s="15" t="s">
        <v>10</v>
      </c>
      <c r="I4247" s="15">
        <v>0.98798337081031085</v>
      </c>
      <c r="J4247" s="15">
        <v>0.98798337081031085</v>
      </c>
      <c r="K4247" s="15">
        <v>0.98798337081031085</v>
      </c>
      <c r="L4247" s="15">
        <v>0.98798337081031085</v>
      </c>
      <c r="M4247" s="15">
        <v>0.98798337081031085</v>
      </c>
      <c r="N4247" s="15">
        <v>0.91076405910059977</v>
      </c>
      <c r="O4247" s="15">
        <v>0.84276528123110206</v>
      </c>
      <c r="P4247" s="15">
        <v>0.84276528123110206</v>
      </c>
      <c r="Q4247" s="8"/>
      <c r="R4247" s="9" t="s">
        <v>3795</v>
      </c>
    </row>
    <row r="4248" spans="1:18" x14ac:dyDescent="0.25">
      <c r="A4248" s="6" t="str">
        <f>HYPERLINK("proteomic_fractions_linear_files/Yang_linear_img/270341370.jpg", "270341370")</f>
        <v>270341370</v>
      </c>
      <c r="B4248" s="7"/>
      <c r="C4248" s="6" t="str">
        <f>HYPERLINK("http://www.ncbi.nlm.nih.gov/protein/270341370","Mapk14")</f>
        <v>Mapk14</v>
      </c>
      <c r="D4248" s="8"/>
      <c r="E4248" s="8">
        <v>41356</v>
      </c>
      <c r="F4248" s="8"/>
      <c r="G4248" s="15" t="s">
        <v>10</v>
      </c>
      <c r="H4248" s="15" t="s">
        <v>10</v>
      </c>
      <c r="I4248" s="15">
        <v>0.98798337081031085</v>
      </c>
      <c r="J4248" s="15">
        <v>0.98798337081031085</v>
      </c>
      <c r="K4248" s="15">
        <v>0.98798337081031085</v>
      </c>
      <c r="L4248" s="15">
        <v>0.98798337081031085</v>
      </c>
      <c r="M4248" s="15">
        <v>0.98798337081031085</v>
      </c>
      <c r="N4248" s="15">
        <v>0.91076405910059977</v>
      </c>
      <c r="O4248" s="15">
        <v>0.84276528123110206</v>
      </c>
      <c r="P4248" s="15">
        <v>0.84276528123110206</v>
      </c>
      <c r="Q4248" s="8"/>
      <c r="R4248" s="9" t="s">
        <v>3796</v>
      </c>
    </row>
    <row r="4249" spans="1:18" x14ac:dyDescent="0.25">
      <c r="A4249" s="6" t="str">
        <f>HYPERLINK("proteomic_fractions_linear_files/Yang_linear_img/270341386.jpg", "270341386")</f>
        <v>270341386</v>
      </c>
      <c r="B4249" s="7"/>
      <c r="C4249" s="6" t="str">
        <f>HYPERLINK("http://www.ncbi.nlm.nih.gov/protein/270341386","Mapk14")</f>
        <v>Mapk14</v>
      </c>
      <c r="D4249" s="8"/>
      <c r="E4249" s="8">
        <v>32196</v>
      </c>
      <c r="F4249" s="8"/>
      <c r="G4249" s="15" t="s">
        <v>10</v>
      </c>
      <c r="H4249" s="15" t="s">
        <v>10</v>
      </c>
      <c r="I4249" s="15">
        <v>1.2658536938507108</v>
      </c>
      <c r="J4249" s="15">
        <v>1.2658536938507108</v>
      </c>
      <c r="K4249" s="15">
        <v>1.2658536938507108</v>
      </c>
      <c r="L4249" s="15">
        <v>1.2658536938507108</v>
      </c>
      <c r="M4249" s="15">
        <v>1.2658536938507108</v>
      </c>
      <c r="N4249" s="15">
        <v>1.1669164507226435</v>
      </c>
      <c r="O4249" s="15">
        <v>1.0797930165773495</v>
      </c>
      <c r="P4249" s="15">
        <v>1.0797930165773495</v>
      </c>
      <c r="Q4249" s="8"/>
      <c r="R4249" s="9" t="s">
        <v>3797</v>
      </c>
    </row>
    <row r="4250" spans="1:18" x14ac:dyDescent="0.25">
      <c r="A4250" s="6" t="str">
        <f>HYPERLINK("proteomic_fractions_linear_files/Yang_linear_img/29244575.jpg", "29244575")</f>
        <v>29244575</v>
      </c>
      <c r="B4250" s="7"/>
      <c r="C4250" s="6" t="str">
        <f>HYPERLINK("http://www.ncbi.nlm.nih.gov/protein/29244575","Mapk15")</f>
        <v>Mapk15</v>
      </c>
      <c r="D4250" s="8"/>
      <c r="E4250" s="8">
        <v>60548</v>
      </c>
      <c r="F4250" s="8"/>
      <c r="G4250" s="15" t="s">
        <v>10</v>
      </c>
      <c r="H4250" s="15" t="s">
        <v>10</v>
      </c>
      <c r="I4250" s="15">
        <v>0.61215289218237035</v>
      </c>
      <c r="J4250" s="15">
        <v>0.61215289218237035</v>
      </c>
      <c r="K4250" s="15">
        <v>0.66405439677414335</v>
      </c>
      <c r="L4250" s="15">
        <v>0.66405439677414335</v>
      </c>
      <c r="M4250" s="15">
        <v>0.61215289218237035</v>
      </c>
      <c r="N4250" s="15">
        <v>0.61215289218237035</v>
      </c>
      <c r="O4250" s="15">
        <v>0.56644879558156036</v>
      </c>
      <c r="P4250" s="15">
        <v>0.56644879558156036</v>
      </c>
      <c r="Q4250" s="8"/>
      <c r="R4250" s="9" t="s">
        <v>3798</v>
      </c>
    </row>
    <row r="4251" spans="1:18" x14ac:dyDescent="0.25">
      <c r="A4251" s="6" t="str">
        <f>HYPERLINK("proteomic_fractions_linear_files/Yang_linear_img/21489933.jpg", "21489933")</f>
        <v>21489933</v>
      </c>
      <c r="B4251" s="7"/>
      <c r="C4251" s="6" t="str">
        <f>HYPERLINK("http://www.ncbi.nlm.nih.gov/protein/21489933","Mapk3")</f>
        <v>Mapk3</v>
      </c>
      <c r="D4251" s="8"/>
      <c r="E4251" s="8">
        <v>42936</v>
      </c>
      <c r="F4251" s="8"/>
      <c r="G4251" s="15">
        <v>1.123022688009657</v>
      </c>
      <c r="H4251" s="15">
        <v>1.123022688009657</v>
      </c>
      <c r="I4251" s="15">
        <v>0.942030655888901</v>
      </c>
      <c r="J4251" s="15">
        <v>0.942030655888901</v>
      </c>
      <c r="K4251" s="15">
        <v>0.942030655888901</v>
      </c>
      <c r="L4251" s="15">
        <v>0.942030655888901</v>
      </c>
      <c r="M4251" s="15">
        <v>0.86840294007266494</v>
      </c>
      <c r="N4251" s="15">
        <v>0.86840294007266494</v>
      </c>
      <c r="O4251" s="15">
        <v>0.80356689605756237</v>
      </c>
      <c r="P4251" s="15">
        <v>0.80356689605756237</v>
      </c>
      <c r="Q4251" s="8"/>
      <c r="R4251" s="9" t="s">
        <v>3799</v>
      </c>
    </row>
    <row r="4252" spans="1:18" x14ac:dyDescent="0.25">
      <c r="A4252" s="6" t="str">
        <f>HYPERLINK("proteomic_fractions_linear_files/Yang_linear_img/89337268.jpg", "89337268")</f>
        <v>89337268</v>
      </c>
      <c r="B4252" s="7"/>
      <c r="C4252" s="6" t="str">
        <f>HYPERLINK("http://www.ncbi.nlm.nih.gov/protein/89337268","Mapk4")</f>
        <v>Mapk4</v>
      </c>
      <c r="D4252" s="8"/>
      <c r="E4252" s="8">
        <v>65444</v>
      </c>
      <c r="F4252" s="8"/>
      <c r="G4252" s="15" t="s">
        <v>10</v>
      </c>
      <c r="H4252" s="15" t="s">
        <v>10</v>
      </c>
      <c r="I4252" s="15">
        <v>0.62318951081881147</v>
      </c>
      <c r="J4252" s="15">
        <v>0.62318951081881147</v>
      </c>
      <c r="K4252" s="15">
        <v>0.62318951081881147</v>
      </c>
      <c r="L4252" s="15">
        <v>0.62318951081881147</v>
      </c>
      <c r="M4252" s="15">
        <v>0.53159040816115666</v>
      </c>
      <c r="N4252" s="15">
        <v>0.53159040816115666</v>
      </c>
      <c r="O4252" s="15">
        <v>0.53159040816115666</v>
      </c>
      <c r="P4252" s="15">
        <v>0.53159040816115666</v>
      </c>
      <c r="Q4252" s="8"/>
      <c r="R4252" s="9" t="s">
        <v>3800</v>
      </c>
    </row>
    <row r="4253" spans="1:18" x14ac:dyDescent="0.25">
      <c r="A4253" s="6" t="str">
        <f>HYPERLINK("proteomic_fractions_linear_files/Yang_linear_img/76573879.jpg", "76573879")</f>
        <v>76573879</v>
      </c>
      <c r="B4253" s="7"/>
      <c r="C4253" s="6" t="str">
        <f>HYPERLINK("http://www.ncbi.nlm.nih.gov/protein/76573879","Mapk6")</f>
        <v>Mapk6</v>
      </c>
      <c r="D4253" s="8"/>
      <c r="E4253" s="8">
        <v>82069</v>
      </c>
      <c r="F4253" s="8"/>
      <c r="G4253" s="15" t="s">
        <v>10</v>
      </c>
      <c r="H4253" s="15" t="s">
        <v>10</v>
      </c>
      <c r="I4253" s="15">
        <v>0.49399168540515542</v>
      </c>
      <c r="J4253" s="15">
        <v>0.49399168540515542</v>
      </c>
      <c r="K4253" s="15">
        <v>0.49399168540515542</v>
      </c>
      <c r="L4253" s="15">
        <v>0.49399168540515542</v>
      </c>
      <c r="M4253" s="15">
        <v>0.42138264061555103</v>
      </c>
      <c r="N4253" s="15">
        <v>0.42138264061555103</v>
      </c>
      <c r="O4253" s="15">
        <v>0.42138264061555103</v>
      </c>
      <c r="P4253" s="15">
        <v>0.42138264061555103</v>
      </c>
      <c r="Q4253" s="8"/>
      <c r="R4253" s="9" t="s">
        <v>3801</v>
      </c>
    </row>
    <row r="4254" spans="1:18" x14ac:dyDescent="0.25">
      <c r="A4254" s="6" t="str">
        <f>HYPERLINK("proteomic_fractions_linear_files/Yang_linear_img/6754634.jpg", "6754634")</f>
        <v>6754634</v>
      </c>
      <c r="B4254" s="7"/>
      <c r="C4254" s="6" t="str">
        <f>HYPERLINK("http://www.ncbi.nlm.nih.gov/protein/6754634","Mapk7")</f>
        <v>Mapk7</v>
      </c>
      <c r="D4254" s="8"/>
      <c r="E4254" s="8">
        <v>87602</v>
      </c>
      <c r="F4254" s="8"/>
      <c r="G4254" s="15" t="s">
        <v>10</v>
      </c>
      <c r="H4254" s="15" t="s">
        <v>10</v>
      </c>
      <c r="I4254" s="15" t="s">
        <v>10</v>
      </c>
      <c r="J4254" s="15" t="s">
        <v>10</v>
      </c>
      <c r="K4254" s="15">
        <v>1.4627457743763292</v>
      </c>
      <c r="L4254" s="15">
        <v>1.4627457743763292</v>
      </c>
      <c r="M4254" s="15" t="s">
        <v>10</v>
      </c>
      <c r="N4254" s="15" t="s">
        <v>10</v>
      </c>
      <c r="O4254" s="15">
        <v>1.4627457743763292</v>
      </c>
      <c r="P4254" s="15">
        <v>1.4627457743763292</v>
      </c>
      <c r="Q4254" s="8"/>
      <c r="R4254" s="9" t="s">
        <v>3802</v>
      </c>
    </row>
    <row r="4255" spans="1:18" x14ac:dyDescent="0.25">
      <c r="A4255" s="6" t="str">
        <f>HYPERLINK("proteomic_fractions_linear_files/Yang_linear_img/7710060.jpg", "7710060")</f>
        <v>7710060</v>
      </c>
      <c r="B4255" s="7"/>
      <c r="C4255" s="6" t="str">
        <f>HYPERLINK("http://www.ncbi.nlm.nih.gov/protein/7710060","Mapk8")</f>
        <v>Mapk8</v>
      </c>
      <c r="D4255" s="8"/>
      <c r="E4255" s="8">
        <v>44098</v>
      </c>
      <c r="F4255" s="8"/>
      <c r="G4255" s="15" t="s">
        <v>10</v>
      </c>
      <c r="H4255" s="15" t="s">
        <v>10</v>
      </c>
      <c r="I4255" s="15">
        <v>0.9206208682550624</v>
      </c>
      <c r="J4255" s="15">
        <v>0.9206208682550624</v>
      </c>
      <c r="K4255" s="15">
        <v>0.9206208682550624</v>
      </c>
      <c r="L4255" s="15">
        <v>0.9206208682550624</v>
      </c>
      <c r="M4255" s="15">
        <v>0.9206208682550624</v>
      </c>
      <c r="N4255" s="15">
        <v>0.9206208682550624</v>
      </c>
      <c r="O4255" s="15">
        <v>0.78530401205625422</v>
      </c>
      <c r="P4255" s="15">
        <v>0.78530401205625422</v>
      </c>
      <c r="Q4255" s="8"/>
      <c r="R4255" s="9" t="s">
        <v>3803</v>
      </c>
    </row>
    <row r="4256" spans="1:18" x14ac:dyDescent="0.25">
      <c r="A4256" s="6" t="str">
        <f>HYPERLINK("proteomic_fractions_linear_files/Yang_linear_img/254540192.jpg", "254540192")</f>
        <v>254540192</v>
      </c>
      <c r="B4256" s="7"/>
      <c r="C4256" s="6" t="str">
        <f>HYPERLINK("http://www.ncbi.nlm.nih.gov/protein/254540192","Mapk8ip3")</f>
        <v>Mapk8ip3</v>
      </c>
      <c r="D4256" s="8"/>
      <c r="E4256" s="8">
        <v>147430</v>
      </c>
      <c r="F4256" s="8"/>
      <c r="G4256" s="15" t="s">
        <v>10</v>
      </c>
      <c r="H4256" s="15" t="s">
        <v>10</v>
      </c>
      <c r="I4256" s="15" t="s">
        <v>10</v>
      </c>
      <c r="J4256" s="15" t="s">
        <v>10</v>
      </c>
      <c r="K4256" s="15" t="s">
        <v>10</v>
      </c>
      <c r="L4256" s="15" t="s">
        <v>10</v>
      </c>
      <c r="M4256" s="15" t="s">
        <v>10</v>
      </c>
      <c r="N4256" s="15" t="s">
        <v>10</v>
      </c>
      <c r="O4256" s="15">
        <v>1.5874887593731228</v>
      </c>
      <c r="P4256" s="15">
        <v>1.5874887593731228</v>
      </c>
      <c r="Q4256" s="8"/>
      <c r="R4256" s="9" t="s">
        <v>3804</v>
      </c>
    </row>
    <row r="4257" spans="1:18" x14ac:dyDescent="0.25">
      <c r="A4257" s="6" t="str">
        <f>HYPERLINK("proteomic_fractions_linear_files/Yang_linear_img/254540198.jpg", "254540198")</f>
        <v>254540198</v>
      </c>
      <c r="B4257" s="7"/>
      <c r="C4257" s="6" t="str">
        <f>HYPERLINK("http://www.ncbi.nlm.nih.gov/protein/254540198","Mapk8ip3")</f>
        <v>Mapk8ip3</v>
      </c>
      <c r="D4257" s="8"/>
      <c r="E4257" s="8">
        <v>147343</v>
      </c>
      <c r="F4257" s="8"/>
      <c r="G4257" s="15" t="s">
        <v>10</v>
      </c>
      <c r="H4257" s="15" t="s">
        <v>10</v>
      </c>
      <c r="I4257" s="15" t="s">
        <v>10</v>
      </c>
      <c r="J4257" s="15" t="s">
        <v>10</v>
      </c>
      <c r="K4257" s="15" t="s">
        <v>10</v>
      </c>
      <c r="L4257" s="15" t="s">
        <v>10</v>
      </c>
      <c r="M4257" s="15" t="s">
        <v>10</v>
      </c>
      <c r="N4257" s="15" t="s">
        <v>10</v>
      </c>
      <c r="O4257" s="15">
        <v>1.5874887593731228</v>
      </c>
      <c r="P4257" s="15">
        <v>1.5874887593731228</v>
      </c>
      <c r="Q4257" s="8"/>
      <c r="R4257" s="9" t="s">
        <v>3805</v>
      </c>
    </row>
    <row r="4258" spans="1:18" x14ac:dyDescent="0.25">
      <c r="A4258" s="6" t="str">
        <f>HYPERLINK("proteomic_fractions_linear_files/Yang_linear_img/254540200.jpg", "254540200")</f>
        <v>254540200</v>
      </c>
      <c r="B4258" s="7"/>
      <c r="C4258" s="6" t="str">
        <f>HYPERLINK("http://www.ncbi.nlm.nih.gov/protein/254540200","Mapk8ip3")</f>
        <v>Mapk8ip3</v>
      </c>
      <c r="D4258" s="8"/>
      <c r="E4258" s="8">
        <v>145654</v>
      </c>
      <c r="F4258" s="8"/>
      <c r="G4258" s="15" t="s">
        <v>10</v>
      </c>
      <c r="H4258" s="15" t="s">
        <v>10</v>
      </c>
      <c r="I4258" s="15" t="s">
        <v>10</v>
      </c>
      <c r="J4258" s="15" t="s">
        <v>10</v>
      </c>
      <c r="K4258" s="15" t="s">
        <v>10</v>
      </c>
      <c r="L4258" s="15" t="s">
        <v>10</v>
      </c>
      <c r="M4258" s="15" t="s">
        <v>10</v>
      </c>
      <c r="N4258" s="15" t="s">
        <v>10</v>
      </c>
      <c r="O4258" s="15">
        <v>1.5983619700537608</v>
      </c>
      <c r="P4258" s="15">
        <v>1.5983619700537608</v>
      </c>
      <c r="Q4258" s="8"/>
      <c r="R4258" s="9" t="s">
        <v>3806</v>
      </c>
    </row>
    <row r="4259" spans="1:18" x14ac:dyDescent="0.25">
      <c r="A4259" s="6" t="str">
        <f>HYPERLINK("proteomic_fractions_linear_files/Yang_linear_img/254540202.jpg", "254540202")</f>
        <v>254540202</v>
      </c>
      <c r="B4259" s="7"/>
      <c r="C4259" s="6" t="str">
        <f>HYPERLINK("http://www.ncbi.nlm.nih.gov/protein/254540202","Mapk8ip3")</f>
        <v>Mapk8ip3</v>
      </c>
      <c r="D4259" s="8"/>
      <c r="E4259" s="8">
        <v>145121</v>
      </c>
      <c r="F4259" s="8"/>
      <c r="G4259" s="15" t="s">
        <v>10</v>
      </c>
      <c r="H4259" s="15" t="s">
        <v>10</v>
      </c>
      <c r="I4259" s="15" t="s">
        <v>10</v>
      </c>
      <c r="J4259" s="15" t="s">
        <v>10</v>
      </c>
      <c r="K4259" s="15" t="s">
        <v>10</v>
      </c>
      <c r="L4259" s="15" t="s">
        <v>10</v>
      </c>
      <c r="M4259" s="15" t="s">
        <v>10</v>
      </c>
      <c r="N4259" s="15" t="s">
        <v>10</v>
      </c>
      <c r="O4259" s="15">
        <v>1.6093851560541315</v>
      </c>
      <c r="P4259" s="15">
        <v>1.6093851560541315</v>
      </c>
      <c r="Q4259" s="8"/>
      <c r="R4259" s="9" t="s">
        <v>3807</v>
      </c>
    </row>
    <row r="4260" spans="1:18" x14ac:dyDescent="0.25">
      <c r="A4260" s="6" t="str">
        <f>HYPERLINK("proteomic_fractions_linear_files/Yang_linear_img/254540204.jpg", "254540204")</f>
        <v>254540204</v>
      </c>
      <c r="B4260" s="7"/>
      <c r="C4260" s="6" t="str">
        <f>HYPERLINK("http://www.ncbi.nlm.nih.gov/protein/254540204","Mapk8ip3")</f>
        <v>Mapk8ip3</v>
      </c>
      <c r="D4260" s="8"/>
      <c r="E4260" s="8">
        <v>144095</v>
      </c>
      <c r="F4260" s="8"/>
      <c r="G4260" s="15" t="s">
        <v>10</v>
      </c>
      <c r="H4260" s="15" t="s">
        <v>10</v>
      </c>
      <c r="I4260" s="15" t="s">
        <v>10</v>
      </c>
      <c r="J4260" s="15" t="s">
        <v>10</v>
      </c>
      <c r="K4260" s="15" t="s">
        <v>10</v>
      </c>
      <c r="L4260" s="15" t="s">
        <v>10</v>
      </c>
      <c r="M4260" s="15" t="s">
        <v>10</v>
      </c>
      <c r="N4260" s="15" t="s">
        <v>10</v>
      </c>
      <c r="O4260" s="15">
        <v>1.6205614418600629</v>
      </c>
      <c r="P4260" s="15">
        <v>1.6205614418600629</v>
      </c>
      <c r="Q4260" s="8"/>
      <c r="R4260" s="9" t="s">
        <v>3808</v>
      </c>
    </row>
    <row r="4261" spans="1:18" x14ac:dyDescent="0.25">
      <c r="A4261" s="6" t="str">
        <f>HYPERLINK("proteomic_fractions_linear_files/Yang_linear_img/254540206.jpg", "254540206")</f>
        <v>254540206</v>
      </c>
      <c r="B4261" s="7"/>
      <c r="C4261" s="6" t="str">
        <f>HYPERLINK("http://www.ncbi.nlm.nih.gov/protein/254540206","Mapk8ip3")</f>
        <v>Mapk8ip3</v>
      </c>
      <c r="D4261" s="8"/>
      <c r="E4261" s="8">
        <v>144008</v>
      </c>
      <c r="F4261" s="8"/>
      <c r="G4261" s="15" t="s">
        <v>10</v>
      </c>
      <c r="H4261" s="15" t="s">
        <v>10</v>
      </c>
      <c r="I4261" s="15" t="s">
        <v>10</v>
      </c>
      <c r="J4261" s="15" t="s">
        <v>10</v>
      </c>
      <c r="K4261" s="15" t="s">
        <v>10</v>
      </c>
      <c r="L4261" s="15" t="s">
        <v>10</v>
      </c>
      <c r="M4261" s="15" t="s">
        <v>10</v>
      </c>
      <c r="N4261" s="15" t="s">
        <v>10</v>
      </c>
      <c r="O4261" s="15">
        <v>1.6205614418600629</v>
      </c>
      <c r="P4261" s="15">
        <v>1.6205614418600629</v>
      </c>
      <c r="Q4261" s="8"/>
      <c r="R4261" s="9" t="s">
        <v>3809</v>
      </c>
    </row>
    <row r="4262" spans="1:18" x14ac:dyDescent="0.25">
      <c r="A4262" s="6" t="str">
        <f>HYPERLINK("proteomic_fractions_linear_files/Yang_linear_img/254540212.jpg", "254540212")</f>
        <v>254540212</v>
      </c>
      <c r="B4262" s="7"/>
      <c r="C4262" s="6" t="str">
        <f>HYPERLINK("http://www.ncbi.nlm.nih.gov/protein/254540212","Mapk8ip3")</f>
        <v>Mapk8ip3</v>
      </c>
      <c r="D4262" s="8"/>
      <c r="E4262" s="8">
        <v>143315</v>
      </c>
      <c r="F4262" s="8"/>
      <c r="G4262" s="15" t="s">
        <v>10</v>
      </c>
      <c r="H4262" s="15" t="s">
        <v>10</v>
      </c>
      <c r="I4262" s="15" t="s">
        <v>10</v>
      </c>
      <c r="J4262" s="15" t="s">
        <v>10</v>
      </c>
      <c r="K4262" s="15" t="s">
        <v>10</v>
      </c>
      <c r="L4262" s="15" t="s">
        <v>10</v>
      </c>
      <c r="M4262" s="15" t="s">
        <v>10</v>
      </c>
      <c r="N4262" s="15" t="s">
        <v>10</v>
      </c>
      <c r="O4262" s="15">
        <v>1.6318940393555879</v>
      </c>
      <c r="P4262" s="15">
        <v>1.6318940393555879</v>
      </c>
      <c r="Q4262" s="8"/>
      <c r="R4262" s="9" t="s">
        <v>3810</v>
      </c>
    </row>
    <row r="4263" spans="1:18" x14ac:dyDescent="0.25">
      <c r="A4263" s="6" t="str">
        <f>HYPERLINK("proteomic_fractions_linear_files/Yang_linear_img/254750709.jpg", "254750709")</f>
        <v>254750709</v>
      </c>
      <c r="B4263" s="7"/>
      <c r="C4263" s="6" t="str">
        <f>HYPERLINK("http://www.ncbi.nlm.nih.gov/protein/254750709","Mapk9")</f>
        <v>Mapk9</v>
      </c>
      <c r="D4263" s="8"/>
      <c r="E4263" s="8">
        <v>47886</v>
      </c>
      <c r="F4263" s="8"/>
      <c r="G4263" s="15" t="s">
        <v>10</v>
      </c>
      <c r="H4263" s="15" t="s">
        <v>10</v>
      </c>
      <c r="I4263" s="15">
        <v>0.84390246256714052</v>
      </c>
      <c r="J4263" s="15">
        <v>0.84390246256714052</v>
      </c>
      <c r="K4263" s="15">
        <v>0.84390246256714052</v>
      </c>
      <c r="L4263" s="15">
        <v>0.84390246256714052</v>
      </c>
      <c r="M4263" s="15">
        <v>0.84390246256714052</v>
      </c>
      <c r="N4263" s="15">
        <v>0.84390246256714052</v>
      </c>
      <c r="O4263" s="15">
        <v>0.71986201105156633</v>
      </c>
      <c r="P4263" s="15">
        <v>0.71986201105156633</v>
      </c>
      <c r="Q4263" s="8"/>
      <c r="R4263" s="9" t="s">
        <v>3811</v>
      </c>
    </row>
    <row r="4264" spans="1:18" x14ac:dyDescent="0.25">
      <c r="A4264" s="6" t="str">
        <f>HYPERLINK("proteomic_fractions_linear_files/Yang_linear_img/254750733.jpg", "254750733")</f>
        <v>254750733</v>
      </c>
      <c r="B4264" s="7"/>
      <c r="C4264" s="6" t="str">
        <f>HYPERLINK("http://www.ncbi.nlm.nih.gov/protein/254750733","Mapk9")</f>
        <v>Mapk9</v>
      </c>
      <c r="D4264" s="8"/>
      <c r="E4264" s="8">
        <v>48058</v>
      </c>
      <c r="F4264" s="8"/>
      <c r="G4264" s="15" t="s">
        <v>10</v>
      </c>
      <c r="H4264" s="15" t="s">
        <v>10</v>
      </c>
      <c r="I4264" s="15">
        <v>0.84390246256714052</v>
      </c>
      <c r="J4264" s="15">
        <v>0.84390246256714052</v>
      </c>
      <c r="K4264" s="15">
        <v>0.84390246256714052</v>
      </c>
      <c r="L4264" s="15">
        <v>0.84390246256714052</v>
      </c>
      <c r="M4264" s="15">
        <v>0.84390246256714052</v>
      </c>
      <c r="N4264" s="15">
        <v>0.84390246256714052</v>
      </c>
      <c r="O4264" s="15">
        <v>0.71986201105156633</v>
      </c>
      <c r="P4264" s="15">
        <v>0.71986201105156633</v>
      </c>
      <c r="Q4264" s="8"/>
      <c r="R4264" s="9" t="s">
        <v>3812</v>
      </c>
    </row>
    <row r="4265" spans="1:18" x14ac:dyDescent="0.25">
      <c r="A4265" s="6" t="str">
        <f>HYPERLINK("proteomic_fractions_linear_files/Yang_linear_img/254750739.jpg", "254750739")</f>
        <v>254750739</v>
      </c>
      <c r="B4265" s="7"/>
      <c r="C4265" s="6" t="str">
        <f>HYPERLINK("http://www.ncbi.nlm.nih.gov/protein/254750739","Mapk9")</f>
        <v>Mapk9</v>
      </c>
      <c r="D4265" s="8"/>
      <c r="E4265" s="8">
        <v>43775</v>
      </c>
      <c r="F4265" s="8"/>
      <c r="G4265" s="15" t="s">
        <v>10</v>
      </c>
      <c r="H4265" s="15" t="s">
        <v>10</v>
      </c>
      <c r="I4265" s="15">
        <v>0.9206208682550624</v>
      </c>
      <c r="J4265" s="15">
        <v>0.9206208682550624</v>
      </c>
      <c r="K4265" s="15">
        <v>0.9206208682550624</v>
      </c>
      <c r="L4265" s="15">
        <v>0.9206208682550624</v>
      </c>
      <c r="M4265" s="15">
        <v>0.9206208682550624</v>
      </c>
      <c r="N4265" s="15">
        <v>0.9206208682550624</v>
      </c>
      <c r="O4265" s="15">
        <v>0.78530401205625422</v>
      </c>
      <c r="P4265" s="15">
        <v>0.78530401205625422</v>
      </c>
      <c r="Q4265" s="8"/>
      <c r="R4265" s="9" t="s">
        <v>3813</v>
      </c>
    </row>
    <row r="4266" spans="1:18" x14ac:dyDescent="0.25">
      <c r="A4266" s="6" t="str">
        <f>HYPERLINK("proteomic_fractions_linear_files/Yang_linear_img/8393749.jpg", "8393749")</f>
        <v>8393749</v>
      </c>
      <c r="B4266" s="7"/>
      <c r="C4266" s="6" t="str">
        <f>HYPERLINK("http://www.ncbi.nlm.nih.gov/protein/8393749","Mapk9")</f>
        <v>Mapk9</v>
      </c>
      <c r="D4266" s="8"/>
      <c r="E4266" s="8">
        <v>43947</v>
      </c>
      <c r="F4266" s="8"/>
      <c r="G4266" s="15" t="s">
        <v>10</v>
      </c>
      <c r="H4266" s="15" t="s">
        <v>10</v>
      </c>
      <c r="I4266" s="15">
        <v>0.9206208682550624</v>
      </c>
      <c r="J4266" s="15">
        <v>0.9206208682550624</v>
      </c>
      <c r="K4266" s="15">
        <v>0.9206208682550624</v>
      </c>
      <c r="L4266" s="15">
        <v>0.9206208682550624</v>
      </c>
      <c r="M4266" s="15">
        <v>0.9206208682550624</v>
      </c>
      <c r="N4266" s="15">
        <v>0.9206208682550624</v>
      </c>
      <c r="O4266" s="15">
        <v>0.78530401205625422</v>
      </c>
      <c r="P4266" s="15">
        <v>0.78530401205625422</v>
      </c>
      <c r="Q4266" s="8"/>
      <c r="R4266" s="9" t="s">
        <v>3814</v>
      </c>
    </row>
    <row r="4267" spans="1:18" x14ac:dyDescent="0.25">
      <c r="A4267" s="6" t="str">
        <f>HYPERLINK("proteomic_fractions_linear_files/Yang_linear_img/28893485.jpg", "28893485")</f>
        <v>28893485</v>
      </c>
      <c r="B4267" s="7"/>
      <c r="C4267" s="6" t="str">
        <f>HYPERLINK("http://www.ncbi.nlm.nih.gov/protein/28893485","Mapkap1")</f>
        <v>Mapkap1</v>
      </c>
      <c r="D4267" s="8"/>
      <c r="E4267" s="8">
        <v>58878</v>
      </c>
      <c r="F4267" s="8"/>
      <c r="G4267" s="15" t="s">
        <v>10</v>
      </c>
      <c r="H4267" s="15" t="s">
        <v>10</v>
      </c>
      <c r="I4267" s="15">
        <v>1.244680682062411</v>
      </c>
      <c r="J4267" s="15">
        <v>1.244680682062411</v>
      </c>
      <c r="K4267" s="15">
        <v>1.4084518385278619</v>
      </c>
      <c r="L4267" s="15">
        <v>1.4084518385278619</v>
      </c>
      <c r="M4267" s="15">
        <v>1.244680682062411</v>
      </c>
      <c r="N4267" s="15">
        <v>1.244680682062411</v>
      </c>
      <c r="O4267" s="15" t="s">
        <v>10</v>
      </c>
      <c r="P4267" s="15" t="s">
        <v>10</v>
      </c>
      <c r="Q4267" s="8"/>
      <c r="R4267" s="9" t="s">
        <v>3815</v>
      </c>
    </row>
    <row r="4268" spans="1:18" x14ac:dyDescent="0.25">
      <c r="A4268" s="6" t="str">
        <f>HYPERLINK("proteomic_fractions_linear_files/Yang_linear_img/45544580.jpg", "45544580")</f>
        <v>45544580</v>
      </c>
      <c r="B4268" s="7"/>
      <c r="C4268" s="6" t="str">
        <f>HYPERLINK("http://www.ncbi.nlm.nih.gov/protein/45544580","Mapkapk2")</f>
        <v>Mapkapk2</v>
      </c>
      <c r="D4268" s="8"/>
      <c r="E4268" s="8">
        <v>43919</v>
      </c>
      <c r="F4268" s="8"/>
      <c r="G4268" s="15" t="s">
        <v>10</v>
      </c>
      <c r="H4268" s="15" t="s">
        <v>10</v>
      </c>
      <c r="I4268" s="15" t="s">
        <v>10</v>
      </c>
      <c r="J4268" s="15" t="s">
        <v>10</v>
      </c>
      <c r="K4268" s="15" t="s">
        <v>10</v>
      </c>
      <c r="L4268" s="15" t="s">
        <v>10</v>
      </c>
      <c r="M4268" s="15" t="s">
        <v>10</v>
      </c>
      <c r="N4268" s="15" t="s">
        <v>10</v>
      </c>
      <c r="O4268" s="15">
        <v>0.84866650961646795</v>
      </c>
      <c r="P4268" s="15">
        <v>0.84866650961646795</v>
      </c>
      <c r="Q4268" s="8"/>
      <c r="R4268" s="9" t="s">
        <v>3816</v>
      </c>
    </row>
    <row r="4269" spans="1:18" x14ac:dyDescent="0.25">
      <c r="A4269" s="6" t="str">
        <f>HYPERLINK("proteomic_fractions_linear_files/Yang_linear_img/31542089.jpg", "31542089")</f>
        <v>31542089</v>
      </c>
      <c r="B4269" s="7"/>
      <c r="C4269" s="6" t="str">
        <f>HYPERLINK("http://www.ncbi.nlm.nih.gov/protein/31542089","Mapkapk3")</f>
        <v>Mapkapk3</v>
      </c>
      <c r="D4269" s="8"/>
      <c r="E4269" s="8">
        <v>43163</v>
      </c>
      <c r="F4269" s="8"/>
      <c r="G4269" s="15" t="s">
        <v>10</v>
      </c>
      <c r="H4269" s="15" t="s">
        <v>10</v>
      </c>
      <c r="I4269" s="15" t="s">
        <v>10</v>
      </c>
      <c r="J4269" s="15" t="s">
        <v>10</v>
      </c>
      <c r="K4269" s="15" t="s">
        <v>10</v>
      </c>
      <c r="L4269" s="15" t="s">
        <v>10</v>
      </c>
      <c r="M4269" s="15" t="s">
        <v>10</v>
      </c>
      <c r="N4269" s="15" t="s">
        <v>10</v>
      </c>
      <c r="O4269" s="15">
        <v>0.86840294007266494</v>
      </c>
      <c r="P4269" s="15">
        <v>0.86840294007266494</v>
      </c>
      <c r="Q4269" s="8"/>
      <c r="R4269" s="9" t="s">
        <v>3817</v>
      </c>
    </row>
    <row r="4270" spans="1:18" x14ac:dyDescent="0.25">
      <c r="A4270" s="6" t="str">
        <f>HYPERLINK("proteomic_fractions_linear_files/Yang_linear_img/6754636.jpg", "6754636")</f>
        <v>6754636</v>
      </c>
      <c r="B4270" s="7"/>
      <c r="C4270" s="6" t="str">
        <f>HYPERLINK("http://www.ncbi.nlm.nih.gov/protein/6754636","Mapkapk5")</f>
        <v>Mapkapk5</v>
      </c>
      <c r="D4270" s="8"/>
      <c r="E4270" s="8">
        <v>54022</v>
      </c>
      <c r="F4270" s="8"/>
      <c r="G4270" s="15" t="s">
        <v>10</v>
      </c>
      <c r="H4270" s="15" t="s">
        <v>10</v>
      </c>
      <c r="I4270" s="15" t="s">
        <v>10</v>
      </c>
      <c r="J4270" s="15" t="s">
        <v>10</v>
      </c>
      <c r="K4270" s="15" t="s">
        <v>10</v>
      </c>
      <c r="L4270" s="15" t="s">
        <v>10</v>
      </c>
      <c r="M4270" s="15" t="s">
        <v>10</v>
      </c>
      <c r="N4270" s="15" t="s">
        <v>10</v>
      </c>
      <c r="O4270" s="15">
        <v>1.5388640457989604</v>
      </c>
      <c r="P4270" s="15">
        <v>1.5388640457989604</v>
      </c>
      <c r="Q4270" s="8"/>
      <c r="R4270" s="9" t="s">
        <v>3818</v>
      </c>
    </row>
    <row r="4271" spans="1:18" x14ac:dyDescent="0.25">
      <c r="A4271" s="6" t="str">
        <f>HYPERLINK("proteomic_fractions_linear_files/Yang_linear_img/7106301.jpg", "7106301")</f>
        <v>7106301</v>
      </c>
      <c r="B4271" s="7"/>
      <c r="C4271" s="6" t="str">
        <f>HYPERLINK("http://www.ncbi.nlm.nih.gov/protein/7106301","Mapre1")</f>
        <v>Mapre1</v>
      </c>
      <c r="D4271" s="8"/>
      <c r="E4271" s="8">
        <v>29885</v>
      </c>
      <c r="F4271" s="8"/>
      <c r="G4271" s="15" t="s">
        <v>10</v>
      </c>
      <c r="H4271" s="15" t="s">
        <v>10</v>
      </c>
      <c r="I4271" s="15">
        <v>0.93060704325606869</v>
      </c>
      <c r="J4271" s="15">
        <v>0.93060704325606869</v>
      </c>
      <c r="K4271" s="15">
        <v>0.99618022972377107</v>
      </c>
      <c r="L4271" s="15">
        <v>0.99618022972377107</v>
      </c>
      <c r="M4271" s="15">
        <v>0.93060704325606869</v>
      </c>
      <c r="N4271" s="15">
        <v>0.93060704325606869</v>
      </c>
      <c r="O4271" s="15">
        <v>0.87167527051416671</v>
      </c>
      <c r="P4271" s="15">
        <v>0.87167527051416671</v>
      </c>
      <c r="Q4271" s="8"/>
      <c r="R4271" s="9" t="s">
        <v>3819</v>
      </c>
    </row>
    <row r="4272" spans="1:18" x14ac:dyDescent="0.25">
      <c r="A4272" s="6" t="str">
        <f>HYPERLINK("proteomic_fractions_linear_files/Yang_linear_img/253314540.jpg", "253314540")</f>
        <v>253314540</v>
      </c>
      <c r="B4272" s="7"/>
      <c r="C4272" s="6" t="str">
        <f>HYPERLINK("http://www.ncbi.nlm.nih.gov/protein/253314540","Mapre2")</f>
        <v>Mapre2</v>
      </c>
      <c r="D4272" s="8"/>
      <c r="E4272" s="8">
        <v>36815</v>
      </c>
      <c r="F4272" s="8"/>
      <c r="G4272" s="15" t="s">
        <v>10</v>
      </c>
      <c r="H4272" s="15" t="s">
        <v>10</v>
      </c>
      <c r="I4272" s="15" t="s">
        <v>10</v>
      </c>
      <c r="J4272" s="15" t="s">
        <v>10</v>
      </c>
      <c r="K4272" s="15" t="s">
        <v>10</v>
      </c>
      <c r="L4272" s="15" t="s">
        <v>10</v>
      </c>
      <c r="M4272" s="15">
        <v>0.75454625128870434</v>
      </c>
      <c r="N4272" s="15">
        <v>0.75454625128870434</v>
      </c>
      <c r="O4272" s="15" t="s">
        <v>10</v>
      </c>
      <c r="P4272" s="15" t="s">
        <v>10</v>
      </c>
      <c r="Q4272" s="8"/>
      <c r="R4272" s="9" t="s">
        <v>3820</v>
      </c>
    </row>
    <row r="4273" spans="1:18" x14ac:dyDescent="0.25">
      <c r="A4273" s="6" t="str">
        <f>HYPERLINK("proteomic_fractions_linear_files/Yang_linear_img/253314542.jpg", "253314542")</f>
        <v>253314542</v>
      </c>
      <c r="B4273" s="7"/>
      <c r="C4273" s="6" t="str">
        <f>HYPERLINK("http://www.ncbi.nlm.nih.gov/protein/253314542","Mapre2")</f>
        <v>Mapre2</v>
      </c>
      <c r="D4273" s="8"/>
      <c r="E4273" s="8">
        <v>35939</v>
      </c>
      <c r="F4273" s="8"/>
      <c r="G4273" s="15" t="s">
        <v>10</v>
      </c>
      <c r="H4273" s="15" t="s">
        <v>10</v>
      </c>
      <c r="I4273" s="15" t="s">
        <v>10</v>
      </c>
      <c r="J4273" s="15" t="s">
        <v>10</v>
      </c>
      <c r="K4273" s="15" t="s">
        <v>10</v>
      </c>
      <c r="L4273" s="15" t="s">
        <v>10</v>
      </c>
      <c r="M4273" s="15">
        <v>0.77550586938005717</v>
      </c>
      <c r="N4273" s="15">
        <v>0.77550586938005717</v>
      </c>
      <c r="O4273" s="15" t="s">
        <v>10</v>
      </c>
      <c r="P4273" s="15" t="s">
        <v>10</v>
      </c>
      <c r="Q4273" s="8"/>
      <c r="R4273" s="9" t="s">
        <v>3821</v>
      </c>
    </row>
    <row r="4274" spans="1:18" x14ac:dyDescent="0.25">
      <c r="A4274" s="6" t="str">
        <f>HYPERLINK("proteomic_fractions_linear_files/Yang_linear_img/253314544.jpg", "253314544")</f>
        <v>253314544</v>
      </c>
      <c r="B4274" s="7"/>
      <c r="C4274" s="6" t="str">
        <f>HYPERLINK("http://www.ncbi.nlm.nih.gov/protein/253314544","Mapre2")</f>
        <v>Mapre2</v>
      </c>
      <c r="D4274" s="8"/>
      <c r="E4274" s="8">
        <v>32134</v>
      </c>
      <c r="F4274" s="8"/>
      <c r="G4274" s="15" t="s">
        <v>10</v>
      </c>
      <c r="H4274" s="15" t="s">
        <v>10</v>
      </c>
      <c r="I4274" s="15" t="s">
        <v>10</v>
      </c>
      <c r="J4274" s="15" t="s">
        <v>10</v>
      </c>
      <c r="K4274" s="15" t="s">
        <v>10</v>
      </c>
      <c r="L4274" s="15" t="s">
        <v>10</v>
      </c>
      <c r="M4274" s="15">
        <v>0.87244410305256437</v>
      </c>
      <c r="N4274" s="15">
        <v>0.87244410305256437</v>
      </c>
      <c r="O4274" s="15" t="s">
        <v>10</v>
      </c>
      <c r="P4274" s="15" t="s">
        <v>10</v>
      </c>
      <c r="Q4274" s="8"/>
      <c r="R4274" s="9" t="s">
        <v>3822</v>
      </c>
    </row>
    <row r="4275" spans="1:18" x14ac:dyDescent="0.25">
      <c r="A4275" s="6" t="str">
        <f>HYPERLINK("proteomic_fractions_linear_files/Yang_linear_img/39930509.jpg", "39930509")</f>
        <v>39930509</v>
      </c>
      <c r="B4275" s="7"/>
      <c r="C4275" s="6" t="str">
        <f>HYPERLINK("http://www.ncbi.nlm.nih.gov/protein/39930509","Mapre3")</f>
        <v>Mapre3</v>
      </c>
      <c r="D4275" s="8"/>
      <c r="E4275" s="8">
        <v>31835</v>
      </c>
      <c r="F4275" s="8"/>
      <c r="G4275" s="15" t="s">
        <v>10</v>
      </c>
      <c r="H4275" s="15" t="s">
        <v>10</v>
      </c>
      <c r="I4275" s="15" t="s">
        <v>10</v>
      </c>
      <c r="J4275" s="15" t="s">
        <v>10</v>
      </c>
      <c r="K4275" s="15" t="s">
        <v>10</v>
      </c>
      <c r="L4275" s="15" t="s">
        <v>10</v>
      </c>
      <c r="M4275" s="15" t="s">
        <v>10</v>
      </c>
      <c r="N4275" s="15" t="s">
        <v>10</v>
      </c>
      <c r="O4275" s="15">
        <v>0.81719556610703126</v>
      </c>
      <c r="P4275" s="15">
        <v>0.81719556610703126</v>
      </c>
      <c r="Q4275" s="8"/>
      <c r="R4275" s="9" t="s">
        <v>3823</v>
      </c>
    </row>
    <row r="4276" spans="1:18" x14ac:dyDescent="0.25">
      <c r="A4276" s="6" t="str">
        <f>HYPERLINK("proteomic_fractions_linear_files/Yang_linear_img/19526848.jpg", "19526848")</f>
        <v>19526848</v>
      </c>
      <c r="B4276" s="7"/>
      <c r="C4276" s="6" t="str">
        <f>HYPERLINK("http://www.ncbi.nlm.nih.gov/protein/19526848","Marc2")</f>
        <v>Marc2</v>
      </c>
      <c r="D4276" s="8"/>
      <c r="E4276" s="8">
        <v>34832</v>
      </c>
      <c r="F4276" s="8"/>
      <c r="G4276" s="15">
        <v>1.2607311213418706</v>
      </c>
      <c r="H4276" s="15">
        <v>1.2607311213418706</v>
      </c>
      <c r="I4276" s="15">
        <v>0.98723932944214809</v>
      </c>
      <c r="J4276" s="15">
        <v>0.98723932944214809</v>
      </c>
      <c r="K4276" s="15">
        <v>0.98723932944214809</v>
      </c>
      <c r="L4276" s="15">
        <v>0.98723932944214809</v>
      </c>
      <c r="M4276" s="15" t="s">
        <v>10</v>
      </c>
      <c r="N4276" s="15" t="s">
        <v>10</v>
      </c>
      <c r="O4276" s="15" t="s">
        <v>10</v>
      </c>
      <c r="P4276" s="15" t="s">
        <v>10</v>
      </c>
      <c r="Q4276" s="8"/>
      <c r="R4276" s="9" t="s">
        <v>3824</v>
      </c>
    </row>
    <row r="4277" spans="1:18" x14ac:dyDescent="0.25">
      <c r="A4277" s="6" t="str">
        <f>HYPERLINK("proteomic_fractions_linear_files/Yang_linear_img/256773297.jpg", "256773297")</f>
        <v>256773297</v>
      </c>
      <c r="B4277" s="7"/>
      <c r="C4277" s="6" t="str">
        <f>HYPERLINK("http://www.ncbi.nlm.nih.gov/protein/256773297","March5")</f>
        <v>March5</v>
      </c>
      <c r="D4277" s="8"/>
      <c r="E4277" s="8">
        <v>31101</v>
      </c>
      <c r="F4277" s="8"/>
      <c r="G4277" s="15">
        <v>1.1146250493701673</v>
      </c>
      <c r="H4277" s="15">
        <v>1.1146250493701673</v>
      </c>
      <c r="I4277" s="15">
        <v>0.7920909875250618</v>
      </c>
      <c r="J4277" s="15">
        <v>0.7920909875250618</v>
      </c>
      <c r="K4277" s="15">
        <v>0.7920909875250618</v>
      </c>
      <c r="L4277" s="15">
        <v>0.7920909875250618</v>
      </c>
      <c r="M4277" s="15" t="s">
        <v>10</v>
      </c>
      <c r="N4277" s="15" t="s">
        <v>10</v>
      </c>
      <c r="O4277" s="15" t="s">
        <v>10</v>
      </c>
      <c r="P4277" s="15" t="s">
        <v>10</v>
      </c>
      <c r="Q4277" s="8"/>
      <c r="R4277" s="9" t="s">
        <v>3825</v>
      </c>
    </row>
    <row r="4278" spans="1:18" x14ac:dyDescent="0.25">
      <c r="A4278" s="6" t="str">
        <f>HYPERLINK("proteomic_fractions_linear_files/Yang_linear_img/256773301.jpg", "256773301")</f>
        <v>256773301</v>
      </c>
      <c r="B4278" s="7"/>
      <c r="C4278" s="6" t="str">
        <f>HYPERLINK("http://www.ncbi.nlm.nih.gov/protein/256773301","March5")</f>
        <v>March5</v>
      </c>
      <c r="D4278" s="8"/>
      <c r="E4278" s="8">
        <v>27232</v>
      </c>
      <c r="F4278" s="8"/>
      <c r="G4278" s="15">
        <v>1.2797546863138958</v>
      </c>
      <c r="H4278" s="15">
        <v>1.2797546863138958</v>
      </c>
      <c r="I4278" s="15">
        <v>0.90943780049173761</v>
      </c>
      <c r="J4278" s="15">
        <v>0.90943780049173761</v>
      </c>
      <c r="K4278" s="15">
        <v>0.90943780049173761</v>
      </c>
      <c r="L4278" s="15">
        <v>0.90943780049173761</v>
      </c>
      <c r="M4278" s="15" t="s">
        <v>10</v>
      </c>
      <c r="N4278" s="15" t="s">
        <v>10</v>
      </c>
      <c r="O4278" s="15" t="s">
        <v>10</v>
      </c>
      <c r="P4278" s="15" t="s">
        <v>10</v>
      </c>
      <c r="Q4278" s="8"/>
      <c r="R4278" s="9" t="s">
        <v>3826</v>
      </c>
    </row>
    <row r="4279" spans="1:18" x14ac:dyDescent="0.25">
      <c r="A4279" s="6" t="str">
        <f>HYPERLINK("proteomic_fractions_linear_files/Yang_linear_img/256773303.jpg", "256773303")</f>
        <v>256773303</v>
      </c>
      <c r="B4279" s="7"/>
      <c r="C4279" s="6" t="str">
        <f>HYPERLINK("http://www.ncbi.nlm.nih.gov/protein/256773303","March5")</f>
        <v>March5</v>
      </c>
      <c r="D4279" s="8"/>
      <c r="E4279" s="8">
        <v>17281</v>
      </c>
      <c r="F4279" s="8"/>
      <c r="G4279" s="15">
        <v>2.0325515606161875</v>
      </c>
      <c r="H4279" s="15">
        <v>2.0325515606161875</v>
      </c>
      <c r="I4279" s="15">
        <v>1.4444012125457011</v>
      </c>
      <c r="J4279" s="15">
        <v>1.4444012125457011</v>
      </c>
      <c r="K4279" s="15">
        <v>1.4444012125457011</v>
      </c>
      <c r="L4279" s="15">
        <v>1.4444012125457011</v>
      </c>
      <c r="M4279" s="15" t="s">
        <v>10</v>
      </c>
      <c r="N4279" s="15" t="s">
        <v>10</v>
      </c>
      <c r="O4279" s="15" t="s">
        <v>10</v>
      </c>
      <c r="P4279" s="15" t="s">
        <v>10</v>
      </c>
      <c r="Q4279" s="8"/>
      <c r="R4279" s="9" t="s">
        <v>3827</v>
      </c>
    </row>
    <row r="4280" spans="1:18" x14ac:dyDescent="0.25">
      <c r="A4280" s="6" t="str">
        <f>HYPERLINK("proteomic_fractions_linear_files/Yang_linear_img/6678768.jpg", "6678768")</f>
        <v>6678768</v>
      </c>
      <c r="B4280" s="7"/>
      <c r="C4280" s="6" t="str">
        <f>HYPERLINK("http://www.ncbi.nlm.nih.gov/protein/6678768","Marcks")</f>
        <v>Marcks</v>
      </c>
      <c r="D4280" s="8"/>
      <c r="E4280" s="8">
        <v>29530</v>
      </c>
      <c r="F4280" s="8"/>
      <c r="G4280" s="15">
        <v>3.1655993727528169</v>
      </c>
      <c r="H4280" s="15">
        <v>3.1655993727528169</v>
      </c>
      <c r="I4280" s="15">
        <v>2.4478720080560747</v>
      </c>
      <c r="J4280" s="15">
        <v>2.4478720080560747</v>
      </c>
      <c r="K4280" s="15">
        <v>2.7699552824381284</v>
      </c>
      <c r="L4280" s="15">
        <v>2.7699552824381284</v>
      </c>
      <c r="M4280" s="15">
        <v>2.7699552824381284</v>
      </c>
      <c r="N4280" s="15">
        <v>2.7699552824381284</v>
      </c>
      <c r="O4280" s="15">
        <v>2.1817754443514779</v>
      </c>
      <c r="P4280" s="15">
        <v>2.1817754443514779</v>
      </c>
      <c r="Q4280" s="8"/>
      <c r="R4280" s="9" t="s">
        <v>3828</v>
      </c>
    </row>
    <row r="4281" spans="1:18" x14ac:dyDescent="0.25">
      <c r="A4281" s="6" t="str">
        <f>HYPERLINK("proteomic_fractions_linear_files/Yang_linear_img/6754706.jpg", "6754706")</f>
        <v>6754706</v>
      </c>
      <c r="B4281" s="7"/>
      <c r="C4281" s="6" t="str">
        <f>HYPERLINK("http://www.ncbi.nlm.nih.gov/protein/6754706","Marcksl1")</f>
        <v>Marcksl1</v>
      </c>
      <c r="D4281" s="8"/>
      <c r="E4281" s="8">
        <v>20034</v>
      </c>
      <c r="F4281" s="8"/>
      <c r="G4281" s="15">
        <v>2.6560284815000541</v>
      </c>
      <c r="H4281" s="15">
        <v>2.6560284815000541</v>
      </c>
      <c r="I4281" s="15">
        <v>2.0253659101611374</v>
      </c>
      <c r="J4281" s="15">
        <v>2.0253659101611374</v>
      </c>
      <c r="K4281" s="15">
        <v>2.0253659101611374</v>
      </c>
      <c r="L4281" s="15">
        <v>2.0253659101611374</v>
      </c>
      <c r="M4281" s="15">
        <v>2.2062794623482733</v>
      </c>
      <c r="N4281" s="15">
        <v>2.2062794623482733</v>
      </c>
      <c r="O4281" s="15">
        <v>1.7276688265237592</v>
      </c>
      <c r="P4281" s="15">
        <v>1.7276688265237592</v>
      </c>
      <c r="Q4281" s="8"/>
      <c r="R4281" s="9" t="s">
        <v>3829</v>
      </c>
    </row>
    <row r="4282" spans="1:18" x14ac:dyDescent="0.25">
      <c r="A4282" s="6" t="str">
        <f>HYPERLINK("proteomic_fractions_linear_files/Yang_linear_img/124487213.jpg", "124487213")</f>
        <v>124487213</v>
      </c>
      <c r="B4282" s="7"/>
      <c r="C4282" s="6" t="str">
        <f>HYPERLINK("http://www.ncbi.nlm.nih.gov/protein/124487213","Marf1")</f>
        <v>Marf1</v>
      </c>
      <c r="D4282" s="8"/>
      <c r="E4282" s="8">
        <v>192661</v>
      </c>
      <c r="F4282" s="8"/>
      <c r="G4282" s="15" t="s">
        <v>10</v>
      </c>
      <c r="H4282" s="15" t="s">
        <v>10</v>
      </c>
      <c r="I4282" s="15" t="s">
        <v>10</v>
      </c>
      <c r="J4282" s="15" t="s">
        <v>10</v>
      </c>
      <c r="K4282" s="15">
        <v>1.2091235628385961</v>
      </c>
      <c r="L4282" s="15">
        <v>1.2091235628385961</v>
      </c>
      <c r="M4282" s="15">
        <v>0.22862999609826667</v>
      </c>
      <c r="N4282" s="15">
        <v>0.22862999609826667</v>
      </c>
      <c r="O4282" s="15" t="s">
        <v>10</v>
      </c>
      <c r="P4282" s="15" t="s">
        <v>10</v>
      </c>
      <c r="Q4282" s="8"/>
      <c r="R4282" s="9" t="s">
        <v>3830</v>
      </c>
    </row>
    <row r="4283" spans="1:18" x14ac:dyDescent="0.25">
      <c r="A4283" s="6" t="str">
        <f>HYPERLINK("proteomic_fractions_linear_files/Yang_linear_img/224922757.jpg", "224922757")</f>
        <v>224922757</v>
      </c>
      <c r="B4283" s="7"/>
      <c r="C4283" s="6" t="str">
        <f>HYPERLINK("http://www.ncbi.nlm.nih.gov/protein/224922757","Mark1")</f>
        <v>Mark1</v>
      </c>
      <c r="D4283" s="8"/>
      <c r="E4283" s="8">
        <v>88204</v>
      </c>
      <c r="F4283" s="8"/>
      <c r="G4283" s="15" t="s">
        <v>10</v>
      </c>
      <c r="H4283" s="15" t="s">
        <v>10</v>
      </c>
      <c r="I4283" s="15">
        <v>1.0791816043475513</v>
      </c>
      <c r="J4283" s="15">
        <v>1.0791816043475513</v>
      </c>
      <c r="K4283" s="15">
        <v>1.0791816043475513</v>
      </c>
      <c r="L4283" s="15">
        <v>1.0791816043475513</v>
      </c>
      <c r="M4283" s="15">
        <v>1.0791816043475513</v>
      </c>
      <c r="N4283" s="15">
        <v>1.0791816043475513</v>
      </c>
      <c r="O4283" s="15" t="s">
        <v>10</v>
      </c>
      <c r="P4283" s="15" t="s">
        <v>10</v>
      </c>
      <c r="Q4283" s="8"/>
      <c r="R4283" s="9" t="s">
        <v>3831</v>
      </c>
    </row>
    <row r="4284" spans="1:18" x14ac:dyDescent="0.25">
      <c r="A4284" s="6" t="str">
        <f>HYPERLINK("proteomic_fractions_linear_files/Yang_linear_img/122937355.jpg", "122937355")</f>
        <v>122937355</v>
      </c>
      <c r="B4284" s="7"/>
      <c r="C4284" s="6" t="str">
        <f>HYPERLINK("http://www.ncbi.nlm.nih.gov/protein/122937355","Mark2")</f>
        <v>Mark2</v>
      </c>
      <c r="D4284" s="8"/>
      <c r="E4284" s="8">
        <v>80743</v>
      </c>
      <c r="F4284" s="8"/>
      <c r="G4284" s="15">
        <v>1.3555748619892773</v>
      </c>
      <c r="H4284" s="15">
        <v>1.3555748619892773</v>
      </c>
      <c r="I4284" s="15">
        <v>0.54476036107364778</v>
      </c>
      <c r="J4284" s="15">
        <v>0.39609966488559983</v>
      </c>
      <c r="K4284" s="15">
        <v>1.1724442121306728</v>
      </c>
      <c r="L4284" s="15">
        <v>1.1724442121306728</v>
      </c>
      <c r="M4284" s="15">
        <v>1.1724442121306728</v>
      </c>
      <c r="N4284" s="15">
        <v>1.1724442121306728</v>
      </c>
      <c r="O4284" s="15">
        <v>1.1724442121306728</v>
      </c>
      <c r="P4284" s="15">
        <v>1.1724442121306728</v>
      </c>
      <c r="Q4284" s="8"/>
      <c r="R4284" s="9" t="s">
        <v>3832</v>
      </c>
    </row>
    <row r="4285" spans="1:18" x14ac:dyDescent="0.25">
      <c r="A4285" s="6" t="str">
        <f>HYPERLINK("proteomic_fractions_linear_files/Yang_linear_img/122937357.jpg", "122937357")</f>
        <v>122937357</v>
      </c>
      <c r="B4285" s="7"/>
      <c r="C4285" s="6" t="str">
        <f>HYPERLINK("http://www.ncbi.nlm.nih.gov/protein/122937357","Mark2")</f>
        <v>Mark2</v>
      </c>
      <c r="D4285" s="8"/>
      <c r="E4285" s="8">
        <v>82647</v>
      </c>
      <c r="F4285" s="8"/>
      <c r="G4285" s="15">
        <v>1.3229104074835116</v>
      </c>
      <c r="H4285" s="15">
        <v>1.3229104074835116</v>
      </c>
      <c r="I4285" s="15">
        <v>0.53163360538512616</v>
      </c>
      <c r="J4285" s="15">
        <v>0.38655509464739263</v>
      </c>
      <c r="K4285" s="15">
        <v>1.1441925443684882</v>
      </c>
      <c r="L4285" s="15">
        <v>1.1441925443684882</v>
      </c>
      <c r="M4285" s="15">
        <v>1.1441925443684882</v>
      </c>
      <c r="N4285" s="15">
        <v>1.1441925443684882</v>
      </c>
      <c r="O4285" s="15">
        <v>1.1441925443684882</v>
      </c>
      <c r="P4285" s="15">
        <v>1.1441925443684882</v>
      </c>
      <c r="Q4285" s="8"/>
      <c r="R4285" s="9" t="s">
        <v>3833</v>
      </c>
    </row>
    <row r="4286" spans="1:18" x14ac:dyDescent="0.25">
      <c r="A4286" s="6" t="str">
        <f>HYPERLINK("proteomic_fractions_linear_files/Yang_linear_img/122937359.jpg", "122937359")</f>
        <v>122937359</v>
      </c>
      <c r="B4286" s="7"/>
      <c r="C4286" s="6" t="str">
        <f>HYPERLINK("http://www.ncbi.nlm.nih.gov/protein/122937359","Mark2")</f>
        <v>Mark2</v>
      </c>
      <c r="D4286" s="8"/>
      <c r="E4286" s="8">
        <v>86225</v>
      </c>
      <c r="F4286" s="8"/>
      <c r="G4286" s="15">
        <v>1.2767623700131565</v>
      </c>
      <c r="H4286" s="15">
        <v>1.2767623700131565</v>
      </c>
      <c r="I4286" s="15">
        <v>0.51308824705773803</v>
      </c>
      <c r="J4286" s="15">
        <v>0.37307061460155333</v>
      </c>
      <c r="K4286" s="15">
        <v>1.104278850960285</v>
      </c>
      <c r="L4286" s="15">
        <v>1.104278850960285</v>
      </c>
      <c r="M4286" s="15">
        <v>1.104278850960285</v>
      </c>
      <c r="N4286" s="15">
        <v>1.104278850960285</v>
      </c>
      <c r="O4286" s="15">
        <v>1.104278850960285</v>
      </c>
      <c r="P4286" s="15">
        <v>1.104278850960285</v>
      </c>
      <c r="Q4286" s="8"/>
      <c r="R4286" s="9" t="s">
        <v>3834</v>
      </c>
    </row>
    <row r="4287" spans="1:18" x14ac:dyDescent="0.25">
      <c r="A4287" s="6" t="str">
        <f>HYPERLINK("proteomic_fractions_linear_files/Yang_linear_img/122937363.jpg", "122937363")</f>
        <v>122937363</v>
      </c>
      <c r="B4287" s="7"/>
      <c r="C4287" s="6" t="str">
        <f>HYPERLINK("http://www.ncbi.nlm.nih.gov/protein/122937363","Mark2")</f>
        <v>Mark2</v>
      </c>
      <c r="D4287" s="8"/>
      <c r="E4287" s="8">
        <v>81891</v>
      </c>
      <c r="F4287" s="8"/>
      <c r="G4287" s="15">
        <v>1.3390434612333106</v>
      </c>
      <c r="H4287" s="15">
        <v>1.3390434612333106</v>
      </c>
      <c r="I4287" s="15">
        <v>0.53811694203616423</v>
      </c>
      <c r="J4287" s="15">
        <v>0.39126918116748277</v>
      </c>
      <c r="K4287" s="15">
        <v>1.1581461119827379</v>
      </c>
      <c r="L4287" s="15">
        <v>1.1581461119827379</v>
      </c>
      <c r="M4287" s="15">
        <v>1.1581461119827379</v>
      </c>
      <c r="N4287" s="15">
        <v>1.1581461119827379</v>
      </c>
      <c r="O4287" s="15">
        <v>1.1581461119827379</v>
      </c>
      <c r="P4287" s="15">
        <v>1.1581461119827379</v>
      </c>
      <c r="Q4287" s="8"/>
      <c r="R4287" s="9" t="s">
        <v>3835</v>
      </c>
    </row>
    <row r="4288" spans="1:18" x14ac:dyDescent="0.25">
      <c r="A4288" s="6" t="str">
        <f>HYPERLINK("proteomic_fractions_linear_files/Yang_linear_img/251823810.jpg", "251823810")</f>
        <v>251823810</v>
      </c>
      <c r="B4288" s="7"/>
      <c r="C4288" s="6" t="str">
        <f>HYPERLINK("http://www.ncbi.nlm.nih.gov/protein/251823810","Mark3")</f>
        <v>Mark3</v>
      </c>
      <c r="D4288" s="8"/>
      <c r="E4288" s="8">
        <v>83078</v>
      </c>
      <c r="F4288" s="8"/>
      <c r="G4288" s="15" t="s">
        <v>10</v>
      </c>
      <c r="H4288" s="15" t="s">
        <v>10</v>
      </c>
      <c r="I4288" s="15">
        <v>1.1441925443684882</v>
      </c>
      <c r="J4288" s="15">
        <v>1.1441925443684882</v>
      </c>
      <c r="K4288" s="15">
        <v>1.1441925443684882</v>
      </c>
      <c r="L4288" s="15">
        <v>1.1441925443684882</v>
      </c>
      <c r="M4288" s="15">
        <v>1.1441925443684882</v>
      </c>
      <c r="N4288" s="15">
        <v>1.1441925443684882</v>
      </c>
      <c r="O4288" s="15" t="s">
        <v>10</v>
      </c>
      <c r="P4288" s="15" t="s">
        <v>10</v>
      </c>
      <c r="Q4288" s="8"/>
      <c r="R4288" s="9" t="s">
        <v>3836</v>
      </c>
    </row>
    <row r="4289" spans="1:18" x14ac:dyDescent="0.25">
      <c r="A4289" s="6" t="str">
        <f>HYPERLINK("proteomic_fractions_linear_files/Yang_linear_img/251823812.jpg", "251823812")</f>
        <v>251823812</v>
      </c>
      <c r="B4289" s="7"/>
      <c r="C4289" s="6" t="str">
        <f>HYPERLINK("http://www.ncbi.nlm.nih.gov/protein/251823812","Mark3")</f>
        <v>Mark3</v>
      </c>
      <c r="D4289" s="8"/>
      <c r="E4289" s="8">
        <v>81269</v>
      </c>
      <c r="F4289" s="8"/>
      <c r="G4289" s="15" t="s">
        <v>10</v>
      </c>
      <c r="H4289" s="15" t="s">
        <v>10</v>
      </c>
      <c r="I4289" s="15">
        <v>1.1724442121306728</v>
      </c>
      <c r="J4289" s="15">
        <v>1.1724442121306728</v>
      </c>
      <c r="K4289" s="15">
        <v>1.1724442121306728</v>
      </c>
      <c r="L4289" s="15">
        <v>1.1724442121306728</v>
      </c>
      <c r="M4289" s="15">
        <v>1.1724442121306728</v>
      </c>
      <c r="N4289" s="15">
        <v>1.1724442121306728</v>
      </c>
      <c r="O4289" s="15" t="s">
        <v>10</v>
      </c>
      <c r="P4289" s="15" t="s">
        <v>10</v>
      </c>
      <c r="Q4289" s="8"/>
      <c r="R4289" s="9" t="s">
        <v>3837</v>
      </c>
    </row>
    <row r="4290" spans="1:18" x14ac:dyDescent="0.25">
      <c r="A4290" s="6" t="str">
        <f>HYPERLINK("proteomic_fractions_linear_files/Yang_linear_img/26986591.jpg", "26986591")</f>
        <v>26986591</v>
      </c>
      <c r="B4290" s="7"/>
      <c r="C4290" s="6" t="str">
        <f>HYPERLINK("http://www.ncbi.nlm.nih.gov/protein/26986591","Mark4")</f>
        <v>Mark4</v>
      </c>
      <c r="D4290" s="8"/>
      <c r="E4290" s="8">
        <v>82513</v>
      </c>
      <c r="F4290" s="8"/>
      <c r="G4290" s="15" t="s">
        <v>10</v>
      </c>
      <c r="H4290" s="15" t="s">
        <v>10</v>
      </c>
      <c r="I4290" s="15">
        <v>1.1441925443684882</v>
      </c>
      <c r="J4290" s="15">
        <v>1.1441925443684882</v>
      </c>
      <c r="K4290" s="15">
        <v>1.1441925443684882</v>
      </c>
      <c r="L4290" s="15">
        <v>1.1441925443684882</v>
      </c>
      <c r="M4290" s="15">
        <v>1.1441925443684882</v>
      </c>
      <c r="N4290" s="15">
        <v>1.1441925443684882</v>
      </c>
      <c r="O4290" s="15" t="s">
        <v>10</v>
      </c>
      <c r="P4290" s="15" t="s">
        <v>10</v>
      </c>
      <c r="Q4290" s="8"/>
      <c r="R4290" s="9" t="s">
        <v>3838</v>
      </c>
    </row>
    <row r="4291" spans="1:18" x14ac:dyDescent="0.25">
      <c r="A4291" s="6" t="str">
        <f>HYPERLINK("proteomic_fractions_linear_files/Yang_linear_img/284172357.jpg", "284172357")</f>
        <v>284172357</v>
      </c>
      <c r="B4291" s="7"/>
      <c r="C4291" s="6" t="str">
        <f>HYPERLINK("http://www.ncbi.nlm.nih.gov/protein/284172357","Mars")</f>
        <v>Mars</v>
      </c>
      <c r="D4291" s="8"/>
      <c r="E4291" s="8">
        <v>102242</v>
      </c>
      <c r="F4291" s="8"/>
      <c r="G4291" s="15" t="s">
        <v>10</v>
      </c>
      <c r="H4291" s="15" t="s">
        <v>10</v>
      </c>
      <c r="I4291" s="15">
        <v>1.0764859198150143</v>
      </c>
      <c r="J4291" s="15">
        <v>1.0764859198150143</v>
      </c>
      <c r="K4291" s="15">
        <v>1.0764859198150143</v>
      </c>
      <c r="L4291" s="15">
        <v>1.0764859198150143</v>
      </c>
      <c r="M4291" s="15">
        <v>1.0764859198150143</v>
      </c>
      <c r="N4291" s="15">
        <v>1.0764859198150143</v>
      </c>
      <c r="O4291" s="15">
        <v>1.0764859198150143</v>
      </c>
      <c r="P4291" s="15">
        <v>1.0764859198150143</v>
      </c>
      <c r="Q4291" s="8"/>
      <c r="R4291" s="9" t="s">
        <v>3839</v>
      </c>
    </row>
    <row r="4292" spans="1:18" x14ac:dyDescent="0.25">
      <c r="A4292" s="6" t="str">
        <f>HYPERLINK("proteomic_fractions_linear_files/Yang_linear_img/51491852.jpg", "51491852")</f>
        <v>51491852</v>
      </c>
      <c r="B4292" s="7"/>
      <c r="C4292" s="6" t="str">
        <f>HYPERLINK("http://www.ncbi.nlm.nih.gov/protein/51491852","Mars")</f>
        <v>Mars</v>
      </c>
      <c r="D4292" s="8"/>
      <c r="E4292" s="8">
        <v>101300</v>
      </c>
      <c r="F4292" s="8"/>
      <c r="G4292" s="15" t="s">
        <v>10</v>
      </c>
      <c r="H4292" s="15" t="s">
        <v>10</v>
      </c>
      <c r="I4292" s="15">
        <v>1.0871441962488264</v>
      </c>
      <c r="J4292" s="15">
        <v>1.0871441962488264</v>
      </c>
      <c r="K4292" s="15">
        <v>1.0871441962488264</v>
      </c>
      <c r="L4292" s="15">
        <v>1.0871441962488264</v>
      </c>
      <c r="M4292" s="15">
        <v>1.0871441962488264</v>
      </c>
      <c r="N4292" s="15">
        <v>1.0871441962488264</v>
      </c>
      <c r="O4292" s="15">
        <v>1.0871441962488264</v>
      </c>
      <c r="P4292" s="15">
        <v>1.0871441962488264</v>
      </c>
      <c r="Q4292" s="8"/>
      <c r="R4292" s="9" t="s">
        <v>3840</v>
      </c>
    </row>
    <row r="4293" spans="1:18" x14ac:dyDescent="0.25">
      <c r="A4293" s="6" t="str">
        <f>HYPERLINK("proteomic_fractions_linear_files/Yang_linear_img/30425166.jpg", "30425166")</f>
        <v>30425166</v>
      </c>
      <c r="B4293" s="7"/>
      <c r="C4293" s="6" t="str">
        <f>HYPERLINK("http://www.ncbi.nlm.nih.gov/protein/30425166","Mars2")</f>
        <v>Mars2</v>
      </c>
      <c r="D4293" s="8"/>
      <c r="E4293" s="8">
        <v>60599</v>
      </c>
      <c r="F4293" s="8"/>
      <c r="G4293" s="15" t="s">
        <v>10</v>
      </c>
      <c r="H4293" s="15" t="s">
        <v>10</v>
      </c>
      <c r="I4293" s="15">
        <v>0.96349520632121066</v>
      </c>
      <c r="J4293" s="15">
        <v>0.96349520632121066</v>
      </c>
      <c r="K4293" s="15" t="s">
        <v>10</v>
      </c>
      <c r="L4293" s="15" t="s">
        <v>10</v>
      </c>
      <c r="M4293" s="15" t="s">
        <v>10</v>
      </c>
      <c r="N4293" s="15" t="s">
        <v>10</v>
      </c>
      <c r="O4293" s="15" t="s">
        <v>10</v>
      </c>
      <c r="P4293" s="15" t="s">
        <v>10</v>
      </c>
      <c r="Q4293" s="8"/>
      <c r="R4293" s="9" t="s">
        <v>3841</v>
      </c>
    </row>
    <row r="4294" spans="1:18" x14ac:dyDescent="0.25">
      <c r="A4294" s="6" t="str">
        <f>HYPERLINK("proteomic_fractions_linear_files/Yang_linear_img/21704144.jpg", "21704144")</f>
        <v>21704144</v>
      </c>
      <c r="B4294" s="7"/>
      <c r="C4294" s="6" t="str">
        <f>HYPERLINK("http://www.ncbi.nlm.nih.gov/protein/21704144","Mat2a")</f>
        <v>Mat2a</v>
      </c>
      <c r="D4294" s="8"/>
      <c r="E4294" s="8">
        <v>43558</v>
      </c>
      <c r="F4294" s="8"/>
      <c r="G4294" s="15">
        <v>1.2072856734091155</v>
      </c>
      <c r="H4294" s="15">
        <v>1.2072856734091155</v>
      </c>
      <c r="I4294" s="15">
        <v>1.0028543010673969</v>
      </c>
      <c r="J4294" s="15">
        <v>1.0028543010673969</v>
      </c>
      <c r="K4294" s="15">
        <v>1.0028543010673969</v>
      </c>
      <c r="L4294" s="15">
        <v>1.0028543010673969</v>
      </c>
      <c r="M4294" s="15">
        <v>1.0974994451003466</v>
      </c>
      <c r="N4294" s="15">
        <v>1.0974994451003466</v>
      </c>
      <c r="O4294" s="15">
        <v>1.0028543010673969</v>
      </c>
      <c r="P4294" s="15">
        <v>1.0028543010673969</v>
      </c>
      <c r="Q4294" s="8"/>
      <c r="R4294" s="9" t="s">
        <v>3842</v>
      </c>
    </row>
    <row r="4295" spans="1:18" x14ac:dyDescent="0.25">
      <c r="A4295" s="6" t="str">
        <f>HYPERLINK("proteomic_fractions_linear_files/Yang_linear_img/19527234.jpg", "19527234")</f>
        <v>19527234</v>
      </c>
      <c r="B4295" s="7"/>
      <c r="C4295" s="6" t="str">
        <f>HYPERLINK("http://www.ncbi.nlm.nih.gov/protein/19527234","Mat2b")</f>
        <v>Mat2b</v>
      </c>
      <c r="D4295" s="8"/>
      <c r="E4295" s="8">
        <v>37262</v>
      </c>
      <c r="F4295" s="8"/>
      <c r="G4295" s="15" t="s">
        <v>10</v>
      </c>
      <c r="H4295" s="15" t="s">
        <v>10</v>
      </c>
      <c r="I4295" s="15">
        <v>0.93387504136419419</v>
      </c>
      <c r="J4295" s="15">
        <v>0.93387504136419419</v>
      </c>
      <c r="K4295" s="15">
        <v>0.93387504136419419</v>
      </c>
      <c r="L4295" s="15">
        <v>0.93387504136419419</v>
      </c>
      <c r="M4295" s="15">
        <v>1.0092250384628267</v>
      </c>
      <c r="N4295" s="15">
        <v>1.0092250384628267</v>
      </c>
      <c r="O4295" s="15">
        <v>0.86713710420901591</v>
      </c>
      <c r="P4295" s="15">
        <v>0.86713710420901591</v>
      </c>
      <c r="Q4295" s="8"/>
      <c r="R4295" s="9" t="s">
        <v>3843</v>
      </c>
    </row>
    <row r="4296" spans="1:18" x14ac:dyDescent="0.25">
      <c r="A4296" s="6" t="str">
        <f>HYPERLINK("proteomic_fractions_linear_files/Yang_linear_img/313482787.jpg", "313482787")</f>
        <v>313482787</v>
      </c>
      <c r="B4296" s="7"/>
      <c r="C4296" s="6" t="str">
        <f>HYPERLINK("http://www.ncbi.nlm.nih.gov/protein/313482787","Mat2b")</f>
        <v>Mat2b</v>
      </c>
      <c r="D4296" s="8"/>
      <c r="E4296" s="8">
        <v>36079</v>
      </c>
      <c r="F4296" s="8"/>
      <c r="G4296" s="15" t="s">
        <v>10</v>
      </c>
      <c r="H4296" s="15" t="s">
        <v>10</v>
      </c>
      <c r="I4296" s="15">
        <v>0.95981601473542177</v>
      </c>
      <c r="J4296" s="15">
        <v>0.95981601473542177</v>
      </c>
      <c r="K4296" s="15">
        <v>0.95981601473542177</v>
      </c>
      <c r="L4296" s="15">
        <v>0.95981601473542177</v>
      </c>
      <c r="M4296" s="15">
        <v>1.0372590673090165</v>
      </c>
      <c r="N4296" s="15">
        <v>1.0372590673090165</v>
      </c>
      <c r="O4296" s="15">
        <v>0.89122424599259964</v>
      </c>
      <c r="P4296" s="15">
        <v>0.89122424599259964</v>
      </c>
      <c r="Q4296" s="8"/>
      <c r="R4296" s="9" t="s">
        <v>3844</v>
      </c>
    </row>
    <row r="4297" spans="1:18" x14ac:dyDescent="0.25">
      <c r="A4297" s="6" t="str">
        <f>HYPERLINK("proteomic_fractions_linear_files/Yang_linear_img/6754646.jpg", "6754646")</f>
        <v>6754646</v>
      </c>
      <c r="B4297" s="7"/>
      <c r="C4297" s="6" t="str">
        <f>HYPERLINK("http://www.ncbi.nlm.nih.gov/protein/6754646","Matk")</f>
        <v>Matk</v>
      </c>
      <c r="D4297" s="8"/>
      <c r="E4297" s="8">
        <v>56016</v>
      </c>
      <c r="F4297" s="8"/>
      <c r="G4297" s="15" t="s">
        <v>10</v>
      </c>
      <c r="H4297" s="15" t="s">
        <v>10</v>
      </c>
      <c r="I4297" s="15">
        <v>0.86232099257884376</v>
      </c>
      <c r="J4297" s="15">
        <v>0.86232099257884376</v>
      </c>
      <c r="K4297" s="15" t="s">
        <v>10</v>
      </c>
      <c r="L4297" s="15" t="s">
        <v>10</v>
      </c>
      <c r="M4297" s="15" t="s">
        <v>10</v>
      </c>
      <c r="N4297" s="15" t="s">
        <v>10</v>
      </c>
      <c r="O4297" s="15" t="s">
        <v>10</v>
      </c>
      <c r="P4297" s="15" t="s">
        <v>10</v>
      </c>
      <c r="Q4297" s="8"/>
      <c r="R4297" s="9" t="s">
        <v>3845</v>
      </c>
    </row>
    <row r="4298" spans="1:18" x14ac:dyDescent="0.25">
      <c r="A4298" s="6" t="str">
        <f>HYPERLINK("proteomic_fractions_linear_files/Yang_linear_img/25141233.jpg", "25141233")</f>
        <v>25141233</v>
      </c>
      <c r="B4298" s="7"/>
      <c r="C4298" s="6" t="str">
        <f>HYPERLINK("http://www.ncbi.nlm.nih.gov/protein/25141233","Matr3")</f>
        <v>Matr3</v>
      </c>
      <c r="D4298" s="8"/>
      <c r="E4298" s="8">
        <v>94500</v>
      </c>
      <c r="F4298" s="8"/>
      <c r="G4298" s="15">
        <v>1.6152933803814931</v>
      </c>
      <c r="H4298" s="15">
        <v>1.6152933803814931</v>
      </c>
      <c r="I4298" s="15" t="s">
        <v>10</v>
      </c>
      <c r="J4298" s="15" t="s">
        <v>10</v>
      </c>
      <c r="K4298" s="15">
        <v>1.6152933803814931</v>
      </c>
      <c r="L4298" s="15">
        <v>1.6152933803814931</v>
      </c>
      <c r="M4298" s="15">
        <v>1.6152933803814931</v>
      </c>
      <c r="N4298" s="15">
        <v>1.6152933803814931</v>
      </c>
      <c r="O4298" s="15" t="s">
        <v>10</v>
      </c>
      <c r="P4298" s="15" t="s">
        <v>10</v>
      </c>
      <c r="Q4298" s="8"/>
      <c r="R4298" s="9" t="s">
        <v>3846</v>
      </c>
    </row>
    <row r="4299" spans="1:18" x14ac:dyDescent="0.25">
      <c r="A4299" s="6" t="str">
        <f>HYPERLINK("proteomic_fractions_linear_files/Yang_linear_img/269308211.jpg", "269308211")</f>
        <v>269308211</v>
      </c>
      <c r="B4299" s="7"/>
      <c r="C4299" s="6" t="str">
        <f>HYPERLINK("http://www.ncbi.nlm.nih.gov/protein/269308211","Mau2")</f>
        <v>Mau2</v>
      </c>
      <c r="D4299" s="8"/>
      <c r="E4299" s="8">
        <v>69349</v>
      </c>
      <c r="F4299" s="8"/>
      <c r="G4299" s="15" t="s">
        <v>10</v>
      </c>
      <c r="H4299" s="15" t="s">
        <v>10</v>
      </c>
      <c r="I4299" s="15" t="s">
        <v>10</v>
      </c>
      <c r="J4299" s="15" t="s">
        <v>10</v>
      </c>
      <c r="K4299" s="15">
        <v>0.94859801928325116</v>
      </c>
      <c r="L4299" s="15">
        <v>0.94859801928325116</v>
      </c>
      <c r="M4299" s="15" t="s">
        <v>10</v>
      </c>
      <c r="N4299" s="15" t="s">
        <v>10</v>
      </c>
      <c r="O4299" s="15" t="s">
        <v>10</v>
      </c>
      <c r="P4299" s="15" t="s">
        <v>10</v>
      </c>
      <c r="Q4299" s="8"/>
      <c r="R4299" s="9" t="s">
        <v>3847</v>
      </c>
    </row>
    <row r="4300" spans="1:18" x14ac:dyDescent="0.25">
      <c r="A4300" s="6" t="str">
        <f>HYPERLINK("proteomic_fractions_linear_files/Yang_linear_img/269308215.jpg", "269308215")</f>
        <v>269308215</v>
      </c>
      <c r="B4300" s="7"/>
      <c r="C4300" s="6" t="str">
        <f>HYPERLINK("http://www.ncbi.nlm.nih.gov/protein/269308215","Mau2")</f>
        <v>Mau2</v>
      </c>
      <c r="D4300" s="8"/>
      <c r="E4300" s="8">
        <v>72878</v>
      </c>
      <c r="F4300" s="8"/>
      <c r="G4300" s="15" t="s">
        <v>10</v>
      </c>
      <c r="H4300" s="15" t="s">
        <v>10</v>
      </c>
      <c r="I4300" s="15" t="s">
        <v>10</v>
      </c>
      <c r="J4300" s="15" t="s">
        <v>10</v>
      </c>
      <c r="K4300" s="15">
        <v>0.89662004562389497</v>
      </c>
      <c r="L4300" s="15">
        <v>0.89662004562389497</v>
      </c>
      <c r="M4300" s="15" t="s">
        <v>10</v>
      </c>
      <c r="N4300" s="15" t="s">
        <v>10</v>
      </c>
      <c r="O4300" s="15" t="s">
        <v>10</v>
      </c>
      <c r="P4300" s="15" t="s">
        <v>10</v>
      </c>
      <c r="Q4300" s="8"/>
      <c r="R4300" s="9" t="s">
        <v>3848</v>
      </c>
    </row>
    <row r="4301" spans="1:18" x14ac:dyDescent="0.25">
      <c r="A4301" s="6" t="str">
        <f>HYPERLINK("proteomic_fractions_linear_files/Yang_linear_img/21450263.jpg", "21450263")</f>
        <v>21450263</v>
      </c>
      <c r="B4301" s="7"/>
      <c r="C4301" s="6" t="str">
        <f>HYPERLINK("http://www.ncbi.nlm.nih.gov/protein/21450263","Mavs")</f>
        <v>Mavs</v>
      </c>
      <c r="D4301" s="8"/>
      <c r="E4301" s="8">
        <v>53268</v>
      </c>
      <c r="F4301" s="8"/>
      <c r="G4301" s="15">
        <v>1.5678992164744123</v>
      </c>
      <c r="H4301" s="15">
        <v>1.5678992164744123</v>
      </c>
      <c r="I4301" s="15">
        <v>0.65195050057500348</v>
      </c>
      <c r="J4301" s="15">
        <v>0.65195050057500348</v>
      </c>
      <c r="K4301" s="15">
        <v>0.46329850213730034</v>
      </c>
      <c r="L4301" s="15">
        <v>0.46329850213730034</v>
      </c>
      <c r="M4301" s="15" t="s">
        <v>10</v>
      </c>
      <c r="N4301" s="15" t="s">
        <v>10</v>
      </c>
      <c r="O4301" s="15">
        <v>0.65195050057500348</v>
      </c>
      <c r="P4301" s="15">
        <v>0.65195050057500348</v>
      </c>
      <c r="Q4301" s="8"/>
      <c r="R4301" s="9" t="s">
        <v>3849</v>
      </c>
    </row>
    <row r="4302" spans="1:18" x14ac:dyDescent="0.25">
      <c r="A4302" s="6" t="str">
        <f>HYPERLINK("proteomic_fractions_linear_files/Yang_linear_img/329755284.jpg", "329755284")</f>
        <v>329755284</v>
      </c>
      <c r="B4302" s="7"/>
      <c r="C4302" s="6" t="str">
        <f>HYPERLINK("http://www.ncbi.nlm.nih.gov/protein/329755284","Mavs")</f>
        <v>Mavs</v>
      </c>
      <c r="D4302" s="8"/>
      <c r="E4302" s="8">
        <v>34258</v>
      </c>
      <c r="F4302" s="8"/>
      <c r="G4302" s="15">
        <v>2.444078190386584</v>
      </c>
      <c r="H4302" s="15">
        <v>2.444078190386584</v>
      </c>
      <c r="I4302" s="15">
        <v>0.34561516546540105</v>
      </c>
      <c r="J4302" s="15">
        <v>0.33231291757662396</v>
      </c>
      <c r="K4302" s="15">
        <v>0.72220060627285054</v>
      </c>
      <c r="L4302" s="15">
        <v>0.72220060627285054</v>
      </c>
      <c r="M4302" s="15" t="s">
        <v>10</v>
      </c>
      <c r="N4302" s="15" t="s">
        <v>10</v>
      </c>
      <c r="O4302" s="15">
        <v>1.0162757803080937</v>
      </c>
      <c r="P4302" s="15">
        <v>1.0162757803080937</v>
      </c>
      <c r="Q4302" s="8"/>
      <c r="R4302" s="9" t="s">
        <v>3850</v>
      </c>
    </row>
    <row r="4303" spans="1:18" x14ac:dyDescent="0.25">
      <c r="A4303" s="6" t="str">
        <f>HYPERLINK("proteomic_fractions_linear_files/Yang_linear_img/226051832.jpg", "226051832")</f>
        <v>226051832</v>
      </c>
      <c r="B4303" s="7"/>
      <c r="C4303" s="6" t="str">
        <f>HYPERLINK("http://www.ncbi.nlm.nih.gov/protein/226051832","Max")</f>
        <v>Max</v>
      </c>
      <c r="D4303" s="8"/>
      <c r="E4303" s="8">
        <v>18114</v>
      </c>
      <c r="F4303" s="8"/>
      <c r="G4303" s="15" t="s">
        <v>10</v>
      </c>
      <c r="H4303" s="15" t="s">
        <v>10</v>
      </c>
      <c r="I4303" s="15" t="s">
        <v>10</v>
      </c>
      <c r="J4303" s="15" t="s">
        <v>10</v>
      </c>
      <c r="K4303" s="15" t="s">
        <v>10</v>
      </c>
      <c r="L4303" s="15" t="s">
        <v>10</v>
      </c>
      <c r="M4303" s="15" t="s">
        <v>10</v>
      </c>
      <c r="N4303" s="15" t="s">
        <v>10</v>
      </c>
      <c r="O4303" s="15">
        <v>1.0275166202535602</v>
      </c>
      <c r="P4303" s="15">
        <v>1.0275166202535602</v>
      </c>
      <c r="Q4303" s="8"/>
      <c r="R4303" s="9" t="s">
        <v>3851</v>
      </c>
    </row>
    <row r="4304" spans="1:18" x14ac:dyDescent="0.25">
      <c r="A4304" s="6" t="str">
        <f>HYPERLINK("proteomic_fractions_linear_files/Yang_linear_img/226051848.jpg", "226051848")</f>
        <v>226051848</v>
      </c>
      <c r="B4304" s="7"/>
      <c r="C4304" s="6" t="str">
        <f>HYPERLINK("http://www.ncbi.nlm.nih.gov/protein/226051848","Max")</f>
        <v>Max</v>
      </c>
      <c r="D4304" s="8"/>
      <c r="E4304" s="8">
        <v>17041</v>
      </c>
      <c r="F4304" s="8"/>
      <c r="G4304" s="15" t="s">
        <v>10</v>
      </c>
      <c r="H4304" s="15" t="s">
        <v>10</v>
      </c>
      <c r="I4304" s="15" t="s">
        <v>10</v>
      </c>
      <c r="J4304" s="15" t="s">
        <v>10</v>
      </c>
      <c r="K4304" s="15" t="s">
        <v>10</v>
      </c>
      <c r="L4304" s="15" t="s">
        <v>10</v>
      </c>
      <c r="M4304" s="15" t="s">
        <v>10</v>
      </c>
      <c r="N4304" s="15" t="s">
        <v>10</v>
      </c>
      <c r="O4304" s="15">
        <v>1.0879587743861225</v>
      </c>
      <c r="P4304" s="15">
        <v>1.0879587743861225</v>
      </c>
      <c r="Q4304" s="8"/>
      <c r="R4304" s="9" t="s">
        <v>3852</v>
      </c>
    </row>
    <row r="4305" spans="1:18" x14ac:dyDescent="0.25">
      <c r="A4305" s="6" t="str">
        <f>HYPERLINK("proteomic_fractions_linear_files/Yang_linear_img/116812912.jpg", "116812912")</f>
        <v>116812912</v>
      </c>
      <c r="B4305" s="7"/>
      <c r="C4305" s="6" t="str">
        <f>HYPERLINK("http://www.ncbi.nlm.nih.gov/protein/116812912","Mb21d1")</f>
        <v>Mb21d1</v>
      </c>
      <c r="D4305" s="8"/>
      <c r="E4305" s="8">
        <v>58063</v>
      </c>
      <c r="F4305" s="8"/>
      <c r="G4305" s="15" t="s">
        <v>10</v>
      </c>
      <c r="H4305" s="15" t="s">
        <v>10</v>
      </c>
      <c r="I4305" s="15" t="s">
        <v>10</v>
      </c>
      <c r="J4305" s="15" t="s">
        <v>10</v>
      </c>
      <c r="K4305" s="15" t="s">
        <v>10</v>
      </c>
      <c r="L4305" s="15" t="s">
        <v>10</v>
      </c>
      <c r="M4305" s="15">
        <v>1.1285045401817988</v>
      </c>
      <c r="N4305" s="15">
        <v>1.1285045401817988</v>
      </c>
      <c r="O4305" s="15" t="s">
        <v>10</v>
      </c>
      <c r="P4305" s="15" t="s">
        <v>10</v>
      </c>
      <c r="Q4305" s="8"/>
      <c r="R4305" s="9" t="s">
        <v>3853</v>
      </c>
    </row>
    <row r="4306" spans="1:18" x14ac:dyDescent="0.25">
      <c r="A4306" s="6" t="str">
        <f>HYPERLINK("proteomic_fractions_linear_files/Yang_linear_img/7305261.jpg", "7305261")</f>
        <v>7305261</v>
      </c>
      <c r="B4306" s="7"/>
      <c r="C4306" s="6" t="str">
        <f>HYPERLINK("http://www.ncbi.nlm.nih.gov/protein/7305261","Mbd3")</f>
        <v>Mbd3</v>
      </c>
      <c r="D4306" s="8"/>
      <c r="E4306" s="8">
        <v>32037</v>
      </c>
      <c r="F4306" s="8"/>
      <c r="G4306" s="15">
        <v>1.2658536938507108</v>
      </c>
      <c r="H4306" s="15">
        <v>1.2658536938507108</v>
      </c>
      <c r="I4306" s="15">
        <v>0.93391896536603536</v>
      </c>
      <c r="J4306" s="15">
        <v>0.93391896536603536</v>
      </c>
      <c r="K4306" s="15" t="s">
        <v>10</v>
      </c>
      <c r="L4306" s="15" t="s">
        <v>10</v>
      </c>
      <c r="M4306" s="15">
        <v>0.45367105380844835</v>
      </c>
      <c r="N4306" s="15">
        <v>0.45367105380844835</v>
      </c>
      <c r="O4306" s="15" t="s">
        <v>10</v>
      </c>
      <c r="P4306" s="15" t="s">
        <v>10</v>
      </c>
      <c r="Q4306" s="8"/>
      <c r="R4306" s="9" t="s">
        <v>3854</v>
      </c>
    </row>
    <row r="4307" spans="1:18" x14ac:dyDescent="0.25">
      <c r="A4307" s="6" t="str">
        <f>HYPERLINK("proteomic_fractions_linear_files/Yang_linear_img/29244490.jpg", "29244490")</f>
        <v>29244490</v>
      </c>
      <c r="B4307" s="7"/>
      <c r="C4307" s="6" t="str">
        <f>HYPERLINK("http://www.ncbi.nlm.nih.gov/protein/29244490","Mblac1")</f>
        <v>Mblac1</v>
      </c>
      <c r="D4307" s="8"/>
      <c r="E4307" s="8">
        <v>26792</v>
      </c>
      <c r="F4307" s="8"/>
      <c r="G4307" s="15" t="s">
        <v>10</v>
      </c>
      <c r="H4307" s="15" t="s">
        <v>10</v>
      </c>
      <c r="I4307" s="15" t="s">
        <v>10</v>
      </c>
      <c r="J4307" s="15" t="s">
        <v>10</v>
      </c>
      <c r="K4307" s="15" t="s">
        <v>10</v>
      </c>
      <c r="L4307" s="15" t="s">
        <v>10</v>
      </c>
      <c r="M4307" s="15" t="s">
        <v>10</v>
      </c>
      <c r="N4307" s="15" t="s">
        <v>10</v>
      </c>
      <c r="O4307" s="15">
        <v>0.855910124989535</v>
      </c>
      <c r="P4307" s="15">
        <v>0.855910124989535</v>
      </c>
      <c r="Q4307" s="8"/>
      <c r="R4307" s="9" t="s">
        <v>3855</v>
      </c>
    </row>
    <row r="4308" spans="1:18" x14ac:dyDescent="0.25">
      <c r="A4308" s="6" t="str">
        <f>HYPERLINK("proteomic_fractions_linear_files/Yang_linear_img/358679352.jpg", "358679352")</f>
        <v>358679352</v>
      </c>
      <c r="B4308" s="7"/>
      <c r="C4308" s="6" t="str">
        <f>HYPERLINK("http://www.ncbi.nlm.nih.gov/protein/358679352","Mbnl1")</f>
        <v>Mbnl1</v>
      </c>
      <c r="D4308" s="8"/>
      <c r="E4308" s="8">
        <v>36845</v>
      </c>
      <c r="F4308" s="8"/>
      <c r="G4308" s="15" t="s">
        <v>10</v>
      </c>
      <c r="H4308" s="15" t="s">
        <v>10</v>
      </c>
      <c r="I4308" s="15" t="s">
        <v>10</v>
      </c>
      <c r="J4308" s="15" t="s">
        <v>10</v>
      </c>
      <c r="K4308" s="15">
        <v>1.0092250384628267</v>
      </c>
      <c r="L4308" s="15">
        <v>1.0092250384628267</v>
      </c>
      <c r="M4308" s="15" t="s">
        <v>10</v>
      </c>
      <c r="N4308" s="15" t="s">
        <v>10</v>
      </c>
      <c r="O4308" s="15" t="s">
        <v>10</v>
      </c>
      <c r="P4308" s="15" t="s">
        <v>10</v>
      </c>
      <c r="Q4308" s="8"/>
      <c r="R4308" s="9" t="s">
        <v>3856</v>
      </c>
    </row>
    <row r="4309" spans="1:18" x14ac:dyDescent="0.25">
      <c r="A4309" s="6" t="str">
        <f>HYPERLINK("proteomic_fractions_linear_files/Yang_linear_img/46411182.jpg", "46411182")</f>
        <v>46411182</v>
      </c>
      <c r="B4309" s="7"/>
      <c r="C4309" s="6" t="str">
        <f>HYPERLINK("http://www.ncbi.nlm.nih.gov/protein/46411182","Mbnl1")</f>
        <v>Mbnl1</v>
      </c>
      <c r="D4309" s="8"/>
      <c r="E4309" s="8">
        <v>40763</v>
      </c>
      <c r="F4309" s="8"/>
      <c r="G4309" s="15" t="s">
        <v>10</v>
      </c>
      <c r="H4309" s="15" t="s">
        <v>10</v>
      </c>
      <c r="I4309" s="15" t="s">
        <v>10</v>
      </c>
      <c r="J4309" s="15" t="s">
        <v>10</v>
      </c>
      <c r="K4309" s="15">
        <v>0.91076405910059977</v>
      </c>
      <c r="L4309" s="15">
        <v>0.91076405910059977</v>
      </c>
      <c r="M4309" s="15" t="s">
        <v>10</v>
      </c>
      <c r="N4309" s="15" t="s">
        <v>10</v>
      </c>
      <c r="O4309" s="15" t="s">
        <v>10</v>
      </c>
      <c r="P4309" s="15" t="s">
        <v>10</v>
      </c>
      <c r="Q4309" s="8"/>
      <c r="R4309" s="9" t="s">
        <v>3857</v>
      </c>
    </row>
    <row r="4310" spans="1:18" x14ac:dyDescent="0.25">
      <c r="A4310" s="6" t="str">
        <f>HYPERLINK("proteomic_fractions_linear_files/Yang_linear_img/30425032.jpg", "30425032")</f>
        <v>30425032</v>
      </c>
      <c r="B4310" s="7"/>
      <c r="C4310" s="6" t="str">
        <f>HYPERLINK("http://www.ncbi.nlm.nih.gov/protein/30425032","Mbnl2")</f>
        <v>Mbnl2</v>
      </c>
      <c r="D4310" s="8"/>
      <c r="E4310" s="8">
        <v>40025</v>
      </c>
      <c r="F4310" s="8"/>
      <c r="G4310" s="15" t="s">
        <v>10</v>
      </c>
      <c r="H4310" s="15" t="s">
        <v>10</v>
      </c>
      <c r="I4310" s="15" t="s">
        <v>10</v>
      </c>
      <c r="J4310" s="15" t="s">
        <v>10</v>
      </c>
      <c r="K4310" s="15">
        <v>0.93353316057811475</v>
      </c>
      <c r="L4310" s="15">
        <v>0.93353316057811475</v>
      </c>
      <c r="M4310" s="15" t="s">
        <v>10</v>
      </c>
      <c r="N4310" s="15" t="s">
        <v>10</v>
      </c>
      <c r="O4310" s="15" t="s">
        <v>10</v>
      </c>
      <c r="P4310" s="15" t="s">
        <v>10</v>
      </c>
      <c r="Q4310" s="8"/>
      <c r="R4310" s="9" t="s">
        <v>3858</v>
      </c>
    </row>
    <row r="4311" spans="1:18" x14ac:dyDescent="0.25">
      <c r="A4311" s="6" t="str">
        <f>HYPERLINK("proteomic_fractions_linear_files/Yang_linear_img/46411185.jpg", "46411185")</f>
        <v>46411185</v>
      </c>
      <c r="B4311" s="7"/>
      <c r="C4311" s="6" t="str">
        <f>HYPERLINK("http://www.ncbi.nlm.nih.gov/protein/46411185","Mbnl2")</f>
        <v>Mbnl2</v>
      </c>
      <c r="D4311" s="8"/>
      <c r="E4311" s="8">
        <v>38101</v>
      </c>
      <c r="F4311" s="8"/>
      <c r="G4311" s="15" t="s">
        <v>10</v>
      </c>
      <c r="H4311" s="15" t="s">
        <v>10</v>
      </c>
      <c r="I4311" s="15" t="s">
        <v>10</v>
      </c>
      <c r="J4311" s="15" t="s">
        <v>10</v>
      </c>
      <c r="K4311" s="15">
        <v>0.98266648481906815</v>
      </c>
      <c r="L4311" s="15">
        <v>0.98266648481906815</v>
      </c>
      <c r="M4311" s="15" t="s">
        <v>10</v>
      </c>
      <c r="N4311" s="15" t="s">
        <v>10</v>
      </c>
      <c r="O4311" s="15" t="s">
        <v>10</v>
      </c>
      <c r="P4311" s="15" t="s">
        <v>10</v>
      </c>
      <c r="Q4311" s="8"/>
      <c r="R4311" s="9" t="s">
        <v>3859</v>
      </c>
    </row>
    <row r="4312" spans="1:18" x14ac:dyDescent="0.25">
      <c r="A4312" s="6" t="str">
        <f>HYPERLINK("proteomic_fractions_linear_files/Yang_linear_img/19527398.jpg", "19527398")</f>
        <v>19527398</v>
      </c>
      <c r="B4312" s="7"/>
      <c r="C4312" s="6" t="str">
        <f>HYPERLINK("http://www.ncbi.nlm.nih.gov/protein/19527398","Mbnl3")</f>
        <v>Mbnl3</v>
      </c>
      <c r="D4312" s="8"/>
      <c r="E4312" s="8">
        <v>37440</v>
      </c>
      <c r="F4312" s="8"/>
      <c r="G4312" s="15" t="s">
        <v>10</v>
      </c>
      <c r="H4312" s="15" t="s">
        <v>10</v>
      </c>
      <c r="I4312" s="15" t="s">
        <v>10</v>
      </c>
      <c r="J4312" s="15" t="s">
        <v>10</v>
      </c>
      <c r="K4312" s="15">
        <v>1.0947923838708851</v>
      </c>
      <c r="L4312" s="15">
        <v>1.0947923838708851</v>
      </c>
      <c r="M4312" s="15" t="s">
        <v>10</v>
      </c>
      <c r="N4312" s="15" t="s">
        <v>10</v>
      </c>
      <c r="O4312" s="15" t="s">
        <v>10</v>
      </c>
      <c r="P4312" s="15" t="s">
        <v>10</v>
      </c>
      <c r="Q4312" s="8"/>
      <c r="R4312" s="9" t="s">
        <v>3860</v>
      </c>
    </row>
    <row r="4313" spans="1:18" x14ac:dyDescent="0.25">
      <c r="A4313" s="6" t="str">
        <f>HYPERLINK("proteomic_fractions_linear_files/Yang_linear_img/23956314.jpg", "23956314")</f>
        <v>23956314</v>
      </c>
      <c r="B4313" s="7"/>
      <c r="C4313" s="6" t="str">
        <f>HYPERLINK("http://www.ncbi.nlm.nih.gov/protein/23956314","Mboat1")</f>
        <v>Mboat1</v>
      </c>
      <c r="D4313" s="8"/>
      <c r="E4313" s="8">
        <v>56029</v>
      </c>
      <c r="F4313" s="8"/>
      <c r="G4313" s="15" t="s">
        <v>10</v>
      </c>
      <c r="H4313" s="15" t="s">
        <v>10</v>
      </c>
      <c r="I4313" s="15" t="s">
        <v>10</v>
      </c>
      <c r="J4313" s="15" t="s">
        <v>10</v>
      </c>
      <c r="K4313" s="15">
        <v>0.72334496791469183</v>
      </c>
      <c r="L4313" s="15">
        <v>0.72334496791469183</v>
      </c>
      <c r="M4313" s="15" t="s">
        <v>10</v>
      </c>
      <c r="N4313" s="15" t="s">
        <v>10</v>
      </c>
      <c r="O4313" s="15" t="s">
        <v>10</v>
      </c>
      <c r="P4313" s="15" t="s">
        <v>10</v>
      </c>
      <c r="Q4313" s="8"/>
      <c r="R4313" s="9" t="s">
        <v>3861</v>
      </c>
    </row>
    <row r="4314" spans="1:18" x14ac:dyDescent="0.25">
      <c r="A4314" s="6" t="str">
        <f>HYPERLINK("proteomic_fractions_linear_files/Yang_linear_img/31542014.jpg", "31542014")</f>
        <v>31542014</v>
      </c>
      <c r="B4314" s="7"/>
      <c r="C4314" s="6" t="str">
        <f>HYPERLINK("http://www.ncbi.nlm.nih.gov/protein/31542014","Mboat7")</f>
        <v>Mboat7</v>
      </c>
      <c r="D4314" s="8"/>
      <c r="E4314" s="8">
        <v>53305</v>
      </c>
      <c r="F4314" s="8"/>
      <c r="G4314" s="15" t="s">
        <v>10</v>
      </c>
      <c r="H4314" s="15" t="s">
        <v>10</v>
      </c>
      <c r="I4314" s="15">
        <v>0.76428902270231591</v>
      </c>
      <c r="J4314" s="15">
        <v>0.76428902270231591</v>
      </c>
      <c r="K4314" s="15">
        <v>0.76428902270231591</v>
      </c>
      <c r="L4314" s="15">
        <v>0.76428902270231591</v>
      </c>
      <c r="M4314" s="15" t="s">
        <v>10</v>
      </c>
      <c r="N4314" s="15" t="s">
        <v>10</v>
      </c>
      <c r="O4314" s="15" t="s">
        <v>10</v>
      </c>
      <c r="P4314" s="15" t="s">
        <v>10</v>
      </c>
      <c r="Q4314" s="8"/>
      <c r="R4314" s="9" t="s">
        <v>3862</v>
      </c>
    </row>
    <row r="4315" spans="1:18" x14ac:dyDescent="0.25">
      <c r="A4315" s="6" t="str">
        <f>HYPERLINK("proteomic_fractions_linear_files/Yang_linear_img/71725343.jpg", "71725343")</f>
        <v>71725343</v>
      </c>
      <c r="B4315" s="7"/>
      <c r="C4315" s="6" t="str">
        <f>HYPERLINK("http://www.ncbi.nlm.nih.gov/protein/71725343","Mcat")</f>
        <v>Mcat</v>
      </c>
      <c r="D4315" s="8"/>
      <c r="E4315" s="8">
        <v>41797</v>
      </c>
      <c r="F4315" s="8"/>
      <c r="G4315" s="15" t="s">
        <v>10</v>
      </c>
      <c r="H4315" s="15" t="s">
        <v>10</v>
      </c>
      <c r="I4315" s="15">
        <v>0.88907920055058554</v>
      </c>
      <c r="J4315" s="15">
        <v>0.88907920055058554</v>
      </c>
      <c r="K4315" s="15" t="s">
        <v>10</v>
      </c>
      <c r="L4315" s="15" t="s">
        <v>10</v>
      </c>
      <c r="M4315" s="15" t="s">
        <v>10</v>
      </c>
      <c r="N4315" s="15" t="s">
        <v>10</v>
      </c>
      <c r="O4315" s="15" t="s">
        <v>10</v>
      </c>
      <c r="P4315" s="15" t="s">
        <v>10</v>
      </c>
      <c r="Q4315" s="8"/>
      <c r="R4315" s="9" t="s">
        <v>3863</v>
      </c>
    </row>
    <row r="4316" spans="1:18" x14ac:dyDescent="0.25">
      <c r="A4316" s="6" t="str">
        <f>HYPERLINK("proteomic_fractions_linear_files/Yang_linear_img/186700620.jpg", "186700620")</f>
        <v>186700620</v>
      </c>
      <c r="B4316" s="7"/>
      <c r="C4316" s="6" t="str">
        <f>HYPERLINK("http://www.ncbi.nlm.nih.gov/protein/186700620","Mccc1")</f>
        <v>Mccc1</v>
      </c>
      <c r="D4316" s="8"/>
      <c r="E4316" s="8">
        <v>74941</v>
      </c>
      <c r="F4316" s="8"/>
      <c r="G4316" s="15">
        <v>1.2662397491011268</v>
      </c>
      <c r="H4316" s="15">
        <v>1.2662397491011268</v>
      </c>
      <c r="I4316" s="15">
        <v>1.1079821129752514</v>
      </c>
      <c r="J4316" s="15">
        <v>1.1079821129752514</v>
      </c>
      <c r="K4316" s="15" t="s">
        <v>10</v>
      </c>
      <c r="L4316" s="15" t="s">
        <v>10</v>
      </c>
      <c r="M4316" s="15">
        <v>1.1079821129752514</v>
      </c>
      <c r="N4316" s="15">
        <v>1.1079821129752514</v>
      </c>
      <c r="O4316" s="15" t="s">
        <v>10</v>
      </c>
      <c r="P4316" s="15" t="s">
        <v>10</v>
      </c>
      <c r="Q4316" s="8"/>
      <c r="R4316" s="9" t="s">
        <v>3864</v>
      </c>
    </row>
    <row r="4317" spans="1:18" x14ac:dyDescent="0.25">
      <c r="A4317" s="6" t="str">
        <f>HYPERLINK("proteomic_fractions_linear_files/Yang_linear_img/73622267.jpg", "73622267")</f>
        <v>73622267</v>
      </c>
      <c r="B4317" s="7"/>
      <c r="C4317" s="6" t="str">
        <f>HYPERLINK("http://www.ncbi.nlm.nih.gov/protein/73622267","Mccc2")</f>
        <v>Mccc2</v>
      </c>
      <c r="D4317" s="8"/>
      <c r="E4317" s="8">
        <v>58986</v>
      </c>
      <c r="F4317" s="8"/>
      <c r="G4317" s="15">
        <v>1.244680682062411</v>
      </c>
      <c r="H4317" s="15">
        <v>1.244680682062411</v>
      </c>
      <c r="I4317" s="15">
        <v>0.99615606077277719</v>
      </c>
      <c r="J4317" s="15">
        <v>0.99615606077277719</v>
      </c>
      <c r="K4317" s="15" t="s">
        <v>10</v>
      </c>
      <c r="L4317" s="15" t="s">
        <v>10</v>
      </c>
      <c r="M4317" s="15">
        <v>0.99615606077277719</v>
      </c>
      <c r="N4317" s="15">
        <v>0.99615606077277719</v>
      </c>
      <c r="O4317" s="15" t="s">
        <v>10</v>
      </c>
      <c r="P4317" s="15" t="s">
        <v>10</v>
      </c>
      <c r="Q4317" s="8"/>
      <c r="R4317" s="9" t="s">
        <v>3865</v>
      </c>
    </row>
    <row r="4318" spans="1:18" x14ac:dyDescent="0.25">
      <c r="A4318" s="6" t="str">
        <f>HYPERLINK("proteomic_fractions_linear_files/Yang_linear_img/165972319.jpg", "165972319")</f>
        <v>165972319</v>
      </c>
      <c r="B4318" s="7"/>
      <c r="C4318" s="6" t="str">
        <f>HYPERLINK("http://www.ncbi.nlm.nih.gov/protein/165972319","Mcf2")</f>
        <v>Mcf2</v>
      </c>
      <c r="D4318" s="8"/>
      <c r="E4318" s="8">
        <v>107139</v>
      </c>
      <c r="F4318" s="8"/>
      <c r="G4318" s="15">
        <v>0.34898435909462233</v>
      </c>
      <c r="H4318" s="15">
        <v>0.34898435909462233</v>
      </c>
      <c r="I4318" s="15">
        <v>0.22948430479698054</v>
      </c>
      <c r="J4318" s="15">
        <v>0.22948430479698054</v>
      </c>
      <c r="K4318" s="15">
        <v>0.24439493565817758</v>
      </c>
      <c r="L4318" s="15">
        <v>0.24439493565817758</v>
      </c>
      <c r="M4318" s="15">
        <v>0.22948430479698054</v>
      </c>
      <c r="N4318" s="15">
        <v>0.22948430479698054</v>
      </c>
      <c r="O4318" s="15">
        <v>0.20369852589419393</v>
      </c>
      <c r="P4318" s="15">
        <v>0.20369852589419393</v>
      </c>
      <c r="Q4318" s="8"/>
      <c r="R4318" s="9" t="s">
        <v>3866</v>
      </c>
    </row>
    <row r="4319" spans="1:18" x14ac:dyDescent="0.25">
      <c r="A4319" s="6" t="str">
        <f>HYPERLINK("proteomic_fractions_linear_files/Yang_linear_img/21314834.jpg", "21314834")</f>
        <v>21314834</v>
      </c>
      <c r="B4319" s="7"/>
      <c r="C4319" s="6" t="str">
        <f>HYPERLINK("http://www.ncbi.nlm.nih.gov/protein/21314834","Mcfd2")</f>
        <v>Mcfd2</v>
      </c>
      <c r="D4319" s="8"/>
      <c r="E4319" s="8">
        <v>13359</v>
      </c>
      <c r="F4319" s="8"/>
      <c r="G4319" s="15" t="s">
        <v>10</v>
      </c>
      <c r="H4319" s="15" t="s">
        <v>10</v>
      </c>
      <c r="I4319" s="15">
        <v>1.4227153203510834</v>
      </c>
      <c r="J4319" s="15">
        <v>1.4227153203510834</v>
      </c>
      <c r="K4319" s="15">
        <v>1.5844185528197132</v>
      </c>
      <c r="L4319" s="15">
        <v>1.5844185528197132</v>
      </c>
      <c r="M4319" s="15" t="s">
        <v>10</v>
      </c>
      <c r="N4319" s="15" t="s">
        <v>10</v>
      </c>
      <c r="O4319" s="15" t="s">
        <v>10</v>
      </c>
      <c r="P4319" s="15" t="s">
        <v>10</v>
      </c>
      <c r="Q4319" s="8"/>
      <c r="R4319" s="9" t="s">
        <v>3867</v>
      </c>
    </row>
    <row r="4320" spans="1:18" x14ac:dyDescent="0.25">
      <c r="A4320" s="6" t="str">
        <f>HYPERLINK("proteomic_fractions_linear_files/Yang_linear_img/309262615.jpg", "309262615")</f>
        <v>309262615</v>
      </c>
      <c r="B4320" s="7"/>
      <c r="C4320" s="6" t="str">
        <f>HYPERLINK("http://www.ncbi.nlm.nih.gov/protein/309262615","Mcg1038069")</f>
        <v>Mcg1038069</v>
      </c>
      <c r="D4320" s="8"/>
      <c r="E4320" s="8">
        <v>22538</v>
      </c>
      <c r="F4320" s="8"/>
      <c r="G4320" s="15">
        <v>8.1202535495626247</v>
      </c>
      <c r="H4320" s="15">
        <v>8.1202535495626247</v>
      </c>
      <c r="I4320" s="15">
        <v>0.66071036060062116</v>
      </c>
      <c r="J4320" s="15">
        <v>0.66071036060062116</v>
      </c>
      <c r="K4320" s="15">
        <v>0.69249746883399022</v>
      </c>
      <c r="L4320" s="15">
        <v>0.69249746883399022</v>
      </c>
      <c r="M4320" s="15">
        <v>0.69249746883399022</v>
      </c>
      <c r="N4320" s="15">
        <v>0.69249746883399022</v>
      </c>
      <c r="O4320" s="15">
        <v>0.89554092115896833</v>
      </c>
      <c r="P4320" s="15">
        <v>0.69249746883399022</v>
      </c>
      <c r="Q4320" s="8"/>
      <c r="R4320" s="9" t="s">
        <v>8315</v>
      </c>
    </row>
    <row r="4321" spans="1:18" x14ac:dyDescent="0.25">
      <c r="A4321" s="6" t="str">
        <f>HYPERLINK("proteomic_fractions_linear_files/Yang_linear_img/6678824.jpg", "6678824")</f>
        <v>6678824</v>
      </c>
      <c r="B4321" s="7"/>
      <c r="C4321" s="6" t="str">
        <f>HYPERLINK("http://www.ncbi.nlm.nih.gov/protein/6678824","Mcl1")</f>
        <v>Mcl1</v>
      </c>
      <c r="D4321" s="8"/>
      <c r="E4321" s="8">
        <v>35086</v>
      </c>
      <c r="F4321" s="8"/>
      <c r="G4321" s="15" t="s">
        <v>10</v>
      </c>
      <c r="H4321" s="15" t="s">
        <v>10</v>
      </c>
      <c r="I4321" s="15">
        <v>0.91668779587810256</v>
      </c>
      <c r="J4321" s="15">
        <v>0.91668779587810256</v>
      </c>
      <c r="K4321" s="15" t="s">
        <v>10</v>
      </c>
      <c r="L4321" s="15" t="s">
        <v>10</v>
      </c>
      <c r="M4321" s="15" t="s">
        <v>10</v>
      </c>
      <c r="N4321" s="15" t="s">
        <v>10</v>
      </c>
      <c r="O4321" s="15" t="s">
        <v>10</v>
      </c>
      <c r="P4321" s="15" t="s">
        <v>10</v>
      </c>
      <c r="Q4321" s="8"/>
      <c r="R4321" s="9" t="s">
        <v>3868</v>
      </c>
    </row>
    <row r="4322" spans="1:18" x14ac:dyDescent="0.25">
      <c r="A4322" s="6" t="str">
        <f>HYPERLINK("proteomic_fractions_linear_files/Yang_linear_img/172088119.jpg", "172088119")</f>
        <v>172088119</v>
      </c>
      <c r="B4322" s="7"/>
      <c r="C4322" s="6" t="str">
        <f>HYPERLINK("http://www.ncbi.nlm.nih.gov/protein/172088119","Mcm2")</f>
        <v>Mcm2</v>
      </c>
      <c r="D4322" s="8"/>
      <c r="E4322" s="8">
        <v>101947</v>
      </c>
      <c r="F4322" s="8"/>
      <c r="G4322" s="15">
        <v>1.5044399131004103</v>
      </c>
      <c r="H4322" s="15">
        <v>1.5044399131004103</v>
      </c>
      <c r="I4322" s="15">
        <v>1.5044399131004103</v>
      </c>
      <c r="J4322" s="15">
        <v>1.5044399131004103</v>
      </c>
      <c r="K4322" s="15">
        <v>1.5044399131004103</v>
      </c>
      <c r="L4322" s="15">
        <v>1.5044399131004103</v>
      </c>
      <c r="M4322" s="15">
        <v>1.5044399131004103</v>
      </c>
      <c r="N4322" s="15">
        <v>1.5044399131004103</v>
      </c>
      <c r="O4322" s="15">
        <v>1.2619767465207545</v>
      </c>
      <c r="P4322" s="15">
        <v>1.2619767465207545</v>
      </c>
      <c r="Q4322" s="8"/>
      <c r="R4322" s="9" t="s">
        <v>3869</v>
      </c>
    </row>
    <row r="4323" spans="1:18" x14ac:dyDescent="0.25">
      <c r="A4323" s="6" t="str">
        <f>HYPERLINK("proteomic_fractions_linear_files/Yang_linear_img/33859484.jpg", "33859484")</f>
        <v>33859484</v>
      </c>
      <c r="B4323" s="7"/>
      <c r="C4323" s="6" t="str">
        <f>HYPERLINK("http://www.ncbi.nlm.nih.gov/protein/33859484","Mcm3")</f>
        <v>Mcm3</v>
      </c>
      <c r="D4323" s="8"/>
      <c r="E4323" s="8">
        <v>91416</v>
      </c>
      <c r="F4323" s="8"/>
      <c r="G4323" s="15">
        <v>1.4145233862100766</v>
      </c>
      <c r="H4323" s="15">
        <v>1.4145233862100766</v>
      </c>
      <c r="I4323" s="15">
        <v>1.206610591441005</v>
      </c>
      <c r="J4323" s="15">
        <v>1.206610591441005</v>
      </c>
      <c r="K4323" s="15">
        <v>1.206610591441005</v>
      </c>
      <c r="L4323" s="15">
        <v>1.206610591441005</v>
      </c>
      <c r="M4323" s="15">
        <v>1.206610591441005</v>
      </c>
      <c r="N4323" s="15">
        <v>1.206610591441005</v>
      </c>
      <c r="O4323" s="15">
        <v>1.206610591441005</v>
      </c>
      <c r="P4323" s="15">
        <v>1.206610591441005</v>
      </c>
      <c r="Q4323" s="8"/>
      <c r="R4323" s="9" t="s">
        <v>3870</v>
      </c>
    </row>
    <row r="4324" spans="1:18" x14ac:dyDescent="0.25">
      <c r="A4324" s="6" t="str">
        <f>HYPERLINK("proteomic_fractions_linear_files/Yang_linear_img/255918149.jpg", "255918149")</f>
        <v>255918149</v>
      </c>
      <c r="B4324" s="7"/>
      <c r="C4324" s="6" t="str">
        <f>HYPERLINK("http://www.ncbi.nlm.nih.gov/protein/255918149","Mcm4")</f>
        <v>Mcm4</v>
      </c>
      <c r="D4324" s="8"/>
      <c r="E4324" s="8">
        <v>96605</v>
      </c>
      <c r="F4324" s="8"/>
      <c r="G4324" s="15">
        <v>0.97905135239777841</v>
      </c>
      <c r="H4324" s="15">
        <v>0.97905135239777841</v>
      </c>
      <c r="I4324" s="15">
        <v>1.1319748847539326</v>
      </c>
      <c r="J4324" s="15">
        <v>1.1319748847539326</v>
      </c>
      <c r="K4324" s="15">
        <v>1.1319748847539326</v>
      </c>
      <c r="L4324" s="15">
        <v>1.1319748847539326</v>
      </c>
      <c r="M4324" s="15">
        <v>1.1319748847539326</v>
      </c>
      <c r="N4324" s="15">
        <v>1.1319748847539326</v>
      </c>
      <c r="O4324" s="15">
        <v>0.97905135239777841</v>
      </c>
      <c r="P4324" s="15">
        <v>0.97905135239777841</v>
      </c>
      <c r="Q4324" s="8"/>
      <c r="R4324" s="9" t="s">
        <v>3871</v>
      </c>
    </row>
    <row r="4325" spans="1:18" x14ac:dyDescent="0.25">
      <c r="A4325" s="6" t="str">
        <f>HYPERLINK("proteomic_fractions_linear_files/Yang_linear_img/112293273.jpg", "112293273")</f>
        <v>112293273</v>
      </c>
      <c r="B4325" s="7"/>
      <c r="C4325" s="6" t="str">
        <f>HYPERLINK("http://www.ncbi.nlm.nih.gov/protein/112293273","Mcm5")</f>
        <v>Mcm5</v>
      </c>
      <c r="D4325" s="8"/>
      <c r="E4325" s="8">
        <v>82276</v>
      </c>
      <c r="F4325" s="8"/>
      <c r="G4325" s="15">
        <v>1.3390434612333106</v>
      </c>
      <c r="H4325" s="15">
        <v>1.3390434612333106</v>
      </c>
      <c r="I4325" s="15">
        <v>1.1581461119827379</v>
      </c>
      <c r="J4325" s="15">
        <v>1.1581461119827379</v>
      </c>
      <c r="K4325" s="15">
        <v>1.1581461119827379</v>
      </c>
      <c r="L4325" s="15">
        <v>1.1581461119827379</v>
      </c>
      <c r="M4325" s="15">
        <v>1.1581461119827379</v>
      </c>
      <c r="N4325" s="15">
        <v>1.1581461119827379</v>
      </c>
      <c r="O4325" s="15">
        <v>1.1581461119827379</v>
      </c>
      <c r="P4325" s="15">
        <v>1.1581461119827379</v>
      </c>
      <c r="Q4325" s="8"/>
      <c r="R4325" s="9" t="s">
        <v>3872</v>
      </c>
    </row>
    <row r="4326" spans="1:18" x14ac:dyDescent="0.25">
      <c r="A4326" s="6" t="str">
        <f>HYPERLINK("proteomic_fractions_linear_files/Yang_linear_img/6678832.jpg", "6678832")</f>
        <v>6678832</v>
      </c>
      <c r="B4326" s="7"/>
      <c r="C4326" s="6" t="str">
        <f>HYPERLINK("http://www.ncbi.nlm.nih.gov/protein/6678832","Mcm6")</f>
        <v>Mcm6</v>
      </c>
      <c r="D4326" s="8"/>
      <c r="E4326" s="8">
        <v>92736</v>
      </c>
      <c r="F4326" s="8"/>
      <c r="G4326" s="15">
        <v>1.3841035284421179</v>
      </c>
      <c r="H4326" s="15">
        <v>1.3841035284421179</v>
      </c>
      <c r="I4326" s="15">
        <v>1.180661976571306</v>
      </c>
      <c r="J4326" s="15">
        <v>1.180661976571306</v>
      </c>
      <c r="K4326" s="15">
        <v>1.180661976571306</v>
      </c>
      <c r="L4326" s="15">
        <v>1.180661976571306</v>
      </c>
      <c r="M4326" s="15">
        <v>1.180661976571306</v>
      </c>
      <c r="N4326" s="15">
        <v>1.180661976571306</v>
      </c>
      <c r="O4326" s="15">
        <v>1.180661976571306</v>
      </c>
      <c r="P4326" s="15">
        <v>1.180661976571306</v>
      </c>
      <c r="Q4326" s="8"/>
      <c r="R4326" s="9" t="s">
        <v>3873</v>
      </c>
    </row>
    <row r="4327" spans="1:18" x14ac:dyDescent="0.25">
      <c r="A4327" s="6" t="str">
        <f>HYPERLINK("proteomic_fractions_linear_files/Yang_linear_img/10242373.jpg", "10242373")</f>
        <v>10242373</v>
      </c>
      <c r="B4327" s="7"/>
      <c r="C4327" s="6" t="str">
        <f>HYPERLINK("http://www.ncbi.nlm.nih.gov/protein/10242373","Mcm7")</f>
        <v>Mcm7</v>
      </c>
      <c r="D4327" s="8"/>
      <c r="E4327" s="8">
        <v>81080</v>
      </c>
      <c r="F4327" s="8"/>
      <c r="G4327" s="15">
        <v>1.3555748619892773</v>
      </c>
      <c r="H4327" s="15">
        <v>1.3555748619892773</v>
      </c>
      <c r="I4327" s="15">
        <v>1.1724442121306728</v>
      </c>
      <c r="J4327" s="15">
        <v>1.1724442121306728</v>
      </c>
      <c r="K4327" s="15">
        <v>1.1724442121306728</v>
      </c>
      <c r="L4327" s="15">
        <v>1.1724442121306728</v>
      </c>
      <c r="M4327" s="15">
        <v>1.1724442121306728</v>
      </c>
      <c r="N4327" s="15">
        <v>1.1724442121306728</v>
      </c>
      <c r="O4327" s="15">
        <v>1.0259093638659735</v>
      </c>
      <c r="P4327" s="15">
        <v>1.0259093638659735</v>
      </c>
      <c r="Q4327" s="8"/>
      <c r="R4327" s="9" t="s">
        <v>3874</v>
      </c>
    </row>
    <row r="4328" spans="1:18" x14ac:dyDescent="0.25">
      <c r="A4328" s="6" t="str">
        <f>HYPERLINK("proteomic_fractions_linear_files/Yang_linear_img/22122389.jpg", "22122389")</f>
        <v>22122389</v>
      </c>
      <c r="B4328" s="7"/>
      <c r="C4328" s="6" t="str">
        <f>HYPERLINK("http://www.ncbi.nlm.nih.gov/protein/22122389","Mcmbp")</f>
        <v>Mcmbp</v>
      </c>
      <c r="D4328" s="8"/>
      <c r="E4328" s="8">
        <v>72760</v>
      </c>
      <c r="F4328" s="8"/>
      <c r="G4328" s="15" t="s">
        <v>10</v>
      </c>
      <c r="H4328" s="15" t="s">
        <v>10</v>
      </c>
      <c r="I4328" s="15">
        <v>1.0059747978312636</v>
      </c>
      <c r="J4328" s="15">
        <v>1.0059747978312636</v>
      </c>
      <c r="K4328" s="15">
        <v>1.1383377873033405</v>
      </c>
      <c r="L4328" s="15">
        <v>1.1383377873033405</v>
      </c>
      <c r="M4328" s="15">
        <v>1.1383377873033405</v>
      </c>
      <c r="N4328" s="15">
        <v>1.1383377873033405</v>
      </c>
      <c r="O4328" s="15">
        <v>1.0059747978312636</v>
      </c>
      <c r="P4328" s="15">
        <v>1.0059747978312636</v>
      </c>
      <c r="Q4328" s="8"/>
      <c r="R4328" s="9" t="s">
        <v>3875</v>
      </c>
    </row>
    <row r="4329" spans="1:18" x14ac:dyDescent="0.25">
      <c r="A4329" s="6" t="str">
        <f>HYPERLINK("proteomic_fractions_linear_files/Yang_linear_img/21389327.jpg", "21389327")</f>
        <v>21389327</v>
      </c>
      <c r="B4329" s="7"/>
      <c r="C4329" s="6" t="str">
        <f>HYPERLINK("http://www.ncbi.nlm.nih.gov/protein/21389327","Mcoln2")</f>
        <v>Mcoln2</v>
      </c>
      <c r="D4329" s="8"/>
      <c r="E4329" s="8">
        <v>65319</v>
      </c>
      <c r="F4329" s="8"/>
      <c r="G4329" s="15">
        <v>1.1297870806412653</v>
      </c>
      <c r="H4329" s="15">
        <v>1.1297870806412653</v>
      </c>
      <c r="I4329" s="15">
        <v>0.81723953276924732</v>
      </c>
      <c r="J4329" s="15">
        <v>0.81723953276924732</v>
      </c>
      <c r="K4329" s="15">
        <v>0.90420319362452084</v>
      </c>
      <c r="L4329" s="15">
        <v>0.90420319362452084</v>
      </c>
      <c r="M4329" s="15">
        <v>0.90420319362452084</v>
      </c>
      <c r="N4329" s="15">
        <v>0.90420319362452084</v>
      </c>
      <c r="O4329" s="15">
        <v>0.81723953276924732</v>
      </c>
      <c r="P4329" s="15">
        <v>0.81723953276924732</v>
      </c>
      <c r="Q4329" s="8"/>
      <c r="R4329" s="9" t="s">
        <v>3876</v>
      </c>
    </row>
    <row r="4330" spans="1:18" x14ac:dyDescent="0.25">
      <c r="A4330" s="6" t="str">
        <f>HYPERLINK("proteomic_fractions_linear_files/Yang_linear_img/54292128.jpg", "54292128")</f>
        <v>54292128</v>
      </c>
      <c r="B4330" s="7"/>
      <c r="C4330" s="6" t="str">
        <f>HYPERLINK("http://www.ncbi.nlm.nih.gov/protein/54292128","Mcoln2")</f>
        <v>Mcoln2</v>
      </c>
      <c r="D4330" s="8"/>
      <c r="E4330" s="8">
        <v>62139</v>
      </c>
      <c r="F4330" s="8"/>
      <c r="G4330" s="15">
        <v>1.1844541974464877</v>
      </c>
      <c r="H4330" s="15">
        <v>1.1844541974464877</v>
      </c>
      <c r="I4330" s="15">
        <v>0.85678338112904961</v>
      </c>
      <c r="J4330" s="15">
        <v>0.85678338112904961</v>
      </c>
      <c r="K4330" s="15">
        <v>0.9479549610579654</v>
      </c>
      <c r="L4330" s="15">
        <v>0.9479549610579654</v>
      </c>
      <c r="M4330" s="15">
        <v>0.9479549610579654</v>
      </c>
      <c r="N4330" s="15">
        <v>0.9479549610579654</v>
      </c>
      <c r="O4330" s="15">
        <v>0.85678338112904961</v>
      </c>
      <c r="P4330" s="15">
        <v>0.85678338112904961</v>
      </c>
      <c r="Q4330" s="8"/>
      <c r="R4330" s="9" t="s">
        <v>3877</v>
      </c>
    </row>
    <row r="4331" spans="1:18" x14ac:dyDescent="0.25">
      <c r="A4331" s="6" t="str">
        <f>HYPERLINK("proteomic_fractions_linear_files/Yang_linear_img/21312175.jpg", "21312175")</f>
        <v>21312175</v>
      </c>
      <c r="B4331" s="7"/>
      <c r="C4331" s="6" t="str">
        <f>HYPERLINK("http://www.ncbi.nlm.nih.gov/protein/21312175","Mcts1")</f>
        <v>Mcts1</v>
      </c>
      <c r="D4331" s="8"/>
      <c r="E4331" s="8">
        <v>20424</v>
      </c>
      <c r="F4331" s="8"/>
      <c r="G4331" s="15" t="s">
        <v>10</v>
      </c>
      <c r="H4331" s="15" t="s">
        <v>10</v>
      </c>
      <c r="I4331" s="15">
        <v>0.97505749140176368</v>
      </c>
      <c r="J4331" s="15">
        <v>0.97505749140176368</v>
      </c>
      <c r="K4331" s="15">
        <v>0.97505749140176368</v>
      </c>
      <c r="L4331" s="15">
        <v>0.97505749140176368</v>
      </c>
      <c r="M4331" s="15">
        <v>0.97505749140176368</v>
      </c>
      <c r="N4331" s="15">
        <v>0.97505749140176368</v>
      </c>
      <c r="O4331" s="15">
        <v>0.97505749140176368</v>
      </c>
      <c r="P4331" s="15">
        <v>0.97505749140176368</v>
      </c>
      <c r="Q4331" s="8"/>
      <c r="R4331" s="9" t="s">
        <v>3878</v>
      </c>
    </row>
    <row r="4332" spans="1:18" x14ac:dyDescent="0.25">
      <c r="A4332" s="6" t="str">
        <f>HYPERLINK("proteomic_fractions_linear_files/Yang_linear_img/13384966.jpg", "13384966")</f>
        <v>13384966</v>
      </c>
      <c r="B4332" s="7"/>
      <c r="C4332" s="6" t="str">
        <f>HYPERLINK("http://www.ncbi.nlm.nih.gov/protein/13384966","Mcts2")</f>
        <v>Mcts2</v>
      </c>
      <c r="D4332" s="8"/>
      <c r="E4332" s="8">
        <v>20306</v>
      </c>
      <c r="F4332" s="8"/>
      <c r="G4332" s="15" t="s">
        <v>10</v>
      </c>
      <c r="H4332" s="15" t="s">
        <v>10</v>
      </c>
      <c r="I4332" s="15">
        <v>0.97505749140176368</v>
      </c>
      <c r="J4332" s="15">
        <v>0.97505749140176368</v>
      </c>
      <c r="K4332" s="15">
        <v>0.97505749140176368</v>
      </c>
      <c r="L4332" s="15">
        <v>0.97505749140176368</v>
      </c>
      <c r="M4332" s="15">
        <v>0.97505749140176368</v>
      </c>
      <c r="N4332" s="15">
        <v>0.97505749140176368</v>
      </c>
      <c r="O4332" s="15">
        <v>0.97505749140176368</v>
      </c>
      <c r="P4332" s="15">
        <v>0.97505749140176368</v>
      </c>
      <c r="Q4332" s="8"/>
      <c r="R4332" s="9" t="s">
        <v>3879</v>
      </c>
    </row>
    <row r="4333" spans="1:18" x14ac:dyDescent="0.25">
      <c r="A4333" s="6" t="str">
        <f>HYPERLINK("proteomic_fractions_linear_files/Yang_linear_img/168823441.jpg", "168823441")</f>
        <v>168823441</v>
      </c>
      <c r="B4333" s="7"/>
      <c r="C4333" s="6" t="str">
        <f>HYPERLINK("http://www.ncbi.nlm.nih.gov/protein/168823441","Mcu")</f>
        <v>Mcu</v>
      </c>
      <c r="D4333" s="8"/>
      <c r="E4333" s="8">
        <v>37769</v>
      </c>
      <c r="F4333" s="8"/>
      <c r="G4333" s="15">
        <v>0.68816468724802637</v>
      </c>
      <c r="H4333" s="15">
        <v>0.68816468724802637</v>
      </c>
      <c r="I4333" s="15">
        <v>0.73468977099163313</v>
      </c>
      <c r="J4333" s="15">
        <v>0.73468977099163313</v>
      </c>
      <c r="K4333" s="15">
        <v>0.78645807609771401</v>
      </c>
      <c r="L4333" s="15">
        <v>0.78645807609771401</v>
      </c>
      <c r="M4333" s="15" t="s">
        <v>10</v>
      </c>
      <c r="N4333" s="15" t="s">
        <v>10</v>
      </c>
      <c r="O4333" s="15" t="s">
        <v>10</v>
      </c>
      <c r="P4333" s="15" t="s">
        <v>10</v>
      </c>
      <c r="Q4333" s="8"/>
      <c r="R4333" s="9" t="s">
        <v>3880</v>
      </c>
    </row>
    <row r="4334" spans="1:18" x14ac:dyDescent="0.25">
      <c r="A4334" s="6" t="str">
        <f>HYPERLINK("proteomic_fractions_linear_files/Yang_linear_img/124486696.jpg", "124486696")</f>
        <v>124486696</v>
      </c>
      <c r="B4334" s="7"/>
      <c r="C4334" s="6" t="str">
        <f>HYPERLINK("http://www.ncbi.nlm.nih.gov/protein/124486696","Mcur1")</f>
        <v>Mcur1</v>
      </c>
      <c r="D4334" s="8"/>
      <c r="E4334" s="8">
        <v>37718</v>
      </c>
      <c r="F4334" s="8"/>
      <c r="G4334" s="15" t="s">
        <v>10</v>
      </c>
      <c r="H4334" s="15" t="s">
        <v>10</v>
      </c>
      <c r="I4334" s="15">
        <v>0.5735721650178619</v>
      </c>
      <c r="J4334" s="15">
        <v>0.5735721650178619</v>
      </c>
      <c r="K4334" s="15" t="s">
        <v>10</v>
      </c>
      <c r="L4334" s="15" t="s">
        <v>10</v>
      </c>
      <c r="M4334" s="15" t="s">
        <v>10</v>
      </c>
      <c r="N4334" s="15" t="s">
        <v>10</v>
      </c>
      <c r="O4334" s="15" t="s">
        <v>10</v>
      </c>
      <c r="P4334" s="15" t="s">
        <v>10</v>
      </c>
      <c r="Q4334" s="8"/>
      <c r="R4334" s="9" t="s">
        <v>3881</v>
      </c>
    </row>
    <row r="4335" spans="1:18" x14ac:dyDescent="0.25">
      <c r="A4335" s="6" t="str">
        <f>HYPERLINK("proteomic_fractions_linear_files/Yang_linear_img/132626693.jpg", "132626693")</f>
        <v>132626693</v>
      </c>
      <c r="B4335" s="7"/>
      <c r="C4335" s="6" t="str">
        <f>HYPERLINK("http://www.ncbi.nlm.nih.gov/protein/132626693","Mdc1")</f>
        <v>Mdc1</v>
      </c>
      <c r="D4335" s="8"/>
      <c r="E4335" s="8">
        <v>184669</v>
      </c>
      <c r="F4335" s="8"/>
      <c r="G4335" s="15">
        <v>1.6312612142513447</v>
      </c>
      <c r="H4335" s="15">
        <v>1.6312612142513447</v>
      </c>
      <c r="I4335" s="15" t="s">
        <v>10</v>
      </c>
      <c r="J4335" s="15" t="s">
        <v>10</v>
      </c>
      <c r="K4335" s="15" t="s">
        <v>10</v>
      </c>
      <c r="L4335" s="15" t="s">
        <v>10</v>
      </c>
      <c r="M4335" s="15" t="s">
        <v>10</v>
      </c>
      <c r="N4335" s="15" t="s">
        <v>10</v>
      </c>
      <c r="O4335" s="15" t="s">
        <v>10</v>
      </c>
      <c r="P4335" s="15" t="s">
        <v>10</v>
      </c>
      <c r="Q4335" s="8"/>
      <c r="R4335" s="9" t="s">
        <v>3882</v>
      </c>
    </row>
    <row r="4336" spans="1:18" x14ac:dyDescent="0.25">
      <c r="A4336" s="6" t="str">
        <f>HYPERLINK("proteomic_fractions_linear_files/Yang_linear_img/124487209.jpg", "124487209")</f>
        <v>124487209</v>
      </c>
      <c r="B4336" s="7"/>
      <c r="C4336" s="6" t="str">
        <f>HYPERLINK("http://www.ncbi.nlm.nih.gov/protein/124487209","Mdga1")</f>
        <v>Mdga1</v>
      </c>
      <c r="D4336" s="8"/>
      <c r="E4336" s="8">
        <v>103236</v>
      </c>
      <c r="F4336" s="8"/>
      <c r="G4336" s="15" t="s">
        <v>10</v>
      </c>
      <c r="H4336" s="15" t="s">
        <v>10</v>
      </c>
      <c r="I4336" s="15" t="s">
        <v>10</v>
      </c>
      <c r="J4336" s="15" t="s">
        <v>10</v>
      </c>
      <c r="K4336" s="15" t="s">
        <v>10</v>
      </c>
      <c r="L4336" s="15" t="s">
        <v>10</v>
      </c>
      <c r="M4336" s="15" t="s">
        <v>10</v>
      </c>
      <c r="N4336" s="15" t="s">
        <v>10</v>
      </c>
      <c r="O4336" s="15">
        <v>0.3932749340118713</v>
      </c>
      <c r="P4336" s="15">
        <v>0.3932749340118713</v>
      </c>
      <c r="Q4336" s="8"/>
      <c r="R4336" s="9" t="s">
        <v>3883</v>
      </c>
    </row>
    <row r="4337" spans="1:18" x14ac:dyDescent="0.25">
      <c r="A4337" s="6" t="str">
        <f>HYPERLINK("proteomic_fractions_linear_files/Yang_linear_img/254540027.jpg", "254540027")</f>
        <v>254540027</v>
      </c>
      <c r="B4337" s="7"/>
      <c r="C4337" s="6" t="str">
        <f>HYPERLINK("http://www.ncbi.nlm.nih.gov/protein/254540027","Mdh1")</f>
        <v>Mdh1</v>
      </c>
      <c r="D4337" s="8"/>
      <c r="E4337" s="8">
        <v>36380</v>
      </c>
      <c r="F4337" s="8"/>
      <c r="G4337" s="15">
        <v>0.83015019143647584</v>
      </c>
      <c r="H4337" s="15">
        <v>0.83015019143647584</v>
      </c>
      <c r="I4337" s="15">
        <v>0.89122424599259964</v>
      </c>
      <c r="J4337" s="15">
        <v>0.89122424599259964</v>
      </c>
      <c r="K4337" s="15">
        <v>0.89122424599259964</v>
      </c>
      <c r="L4337" s="15">
        <v>0.89122424599259964</v>
      </c>
      <c r="M4337" s="15">
        <v>0.89122424599259964</v>
      </c>
      <c r="N4337" s="15">
        <v>0.89122424599259964</v>
      </c>
      <c r="O4337" s="15">
        <v>0.77550586938005717</v>
      </c>
      <c r="P4337" s="15">
        <v>0.77550586938005717</v>
      </c>
      <c r="Q4337" s="8"/>
      <c r="R4337" s="9" t="s">
        <v>3884</v>
      </c>
    </row>
    <row r="4338" spans="1:18" x14ac:dyDescent="0.25">
      <c r="A4338" s="6" t="str">
        <f>HYPERLINK("proteomic_fractions_linear_files/Yang_linear_img/31982186.jpg", "31982186")</f>
        <v>31982186</v>
      </c>
      <c r="B4338" s="7"/>
      <c r="C4338" s="6" t="str">
        <f>HYPERLINK("http://www.ncbi.nlm.nih.gov/protein/31982186","Mdh2")</f>
        <v>Mdh2</v>
      </c>
      <c r="D4338" s="8"/>
      <c r="E4338" s="8">
        <v>33139</v>
      </c>
      <c r="F4338" s="8"/>
      <c r="G4338" s="15">
        <v>1.3371390680898627</v>
      </c>
      <c r="H4338" s="15">
        <v>1.3371390680898627</v>
      </c>
      <c r="I4338" s="15">
        <v>1.0470720160750056</v>
      </c>
      <c r="J4338" s="15">
        <v>1.0470720160750056</v>
      </c>
      <c r="K4338" s="15">
        <v>1.0470720160750056</v>
      </c>
      <c r="L4338" s="15">
        <v>1.0470720160750056</v>
      </c>
      <c r="M4338" s="15">
        <v>1.0470720160750056</v>
      </c>
      <c r="N4338" s="15">
        <v>1.0470720160750056</v>
      </c>
      <c r="O4338" s="15">
        <v>0.90561839065797367</v>
      </c>
      <c r="P4338" s="15">
        <v>0.90561839065797367</v>
      </c>
      <c r="Q4338" s="8"/>
      <c r="R4338" s="9" t="s">
        <v>3885</v>
      </c>
    </row>
    <row r="4339" spans="1:18" x14ac:dyDescent="0.25">
      <c r="A4339" s="6" t="str">
        <f>HYPERLINK("proteomic_fractions_linear_files/Yang_linear_img/31543245.jpg", "31543245")</f>
        <v>31543245</v>
      </c>
      <c r="B4339" s="7"/>
      <c r="C4339" s="6" t="str">
        <f>HYPERLINK("http://www.ncbi.nlm.nih.gov/protein/31543245","Mdm4")</f>
        <v>Mdm4</v>
      </c>
      <c r="D4339" s="8"/>
      <c r="E4339" s="8">
        <v>54832</v>
      </c>
      <c r="F4339" s="8"/>
      <c r="G4339" s="15">
        <v>0.67893320769317445</v>
      </c>
      <c r="H4339" s="15">
        <v>0.67893320769317445</v>
      </c>
      <c r="I4339" s="15">
        <v>0.47545923846227273</v>
      </c>
      <c r="J4339" s="15">
        <v>0.47545923846227273</v>
      </c>
      <c r="K4339" s="15">
        <v>0.47545923846227273</v>
      </c>
      <c r="L4339" s="15">
        <v>0.47545923846227273</v>
      </c>
      <c r="M4339" s="15">
        <v>0.47545923846227273</v>
      </c>
      <c r="N4339" s="15">
        <v>0.47545923846227273</v>
      </c>
      <c r="O4339" s="15">
        <v>0.39628622310325001</v>
      </c>
      <c r="P4339" s="15">
        <v>0.39628622310325001</v>
      </c>
      <c r="Q4339" s="8"/>
      <c r="R4339" s="9" t="s">
        <v>3886</v>
      </c>
    </row>
    <row r="4340" spans="1:18" x14ac:dyDescent="0.25">
      <c r="A4340" s="6" t="str">
        <f>HYPERLINK("proteomic_fractions_linear_files/Yang_linear_img/124487133.jpg", "124487133")</f>
        <v>124487133</v>
      </c>
      <c r="B4340" s="7"/>
      <c r="C4340" s="6" t="str">
        <f>HYPERLINK("http://www.ncbi.nlm.nih.gov/protein/124487133","Mdn1")</f>
        <v>Mdn1</v>
      </c>
      <c r="D4340" s="8"/>
      <c r="E4340" s="8">
        <v>629456</v>
      </c>
      <c r="F4340" s="8"/>
      <c r="G4340" s="15" t="s">
        <v>10</v>
      </c>
      <c r="H4340" s="15" t="s">
        <v>10</v>
      </c>
      <c r="I4340" s="15" t="s">
        <v>10</v>
      </c>
      <c r="J4340" s="15" t="s">
        <v>10</v>
      </c>
      <c r="K4340" s="15">
        <v>0.20464487781417642</v>
      </c>
      <c r="L4340" s="15">
        <v>0.24396322915141788</v>
      </c>
      <c r="M4340" s="15">
        <v>0.94354977053943434</v>
      </c>
      <c r="N4340" s="15">
        <v>0.94354977053943434</v>
      </c>
      <c r="O4340" s="15" t="s">
        <v>10</v>
      </c>
      <c r="P4340" s="15" t="s">
        <v>10</v>
      </c>
      <c r="Q4340" s="8"/>
      <c r="R4340" s="9" t="s">
        <v>3887</v>
      </c>
    </row>
    <row r="4341" spans="1:18" x14ac:dyDescent="0.25">
      <c r="A4341" s="6" t="str">
        <f>HYPERLINK("proteomic_fractions_linear_files/Yang_linear_img/12963663.jpg", "12963663")</f>
        <v>12963663</v>
      </c>
      <c r="B4341" s="7"/>
      <c r="C4341" s="6" t="str">
        <f>HYPERLINK("http://www.ncbi.nlm.nih.gov/protein/12963663","Mdp1")</f>
        <v>Mdp1</v>
      </c>
      <c r="D4341" s="8"/>
      <c r="E4341" s="8">
        <v>18451</v>
      </c>
      <c r="F4341" s="8"/>
      <c r="G4341" s="15" t="s">
        <v>10</v>
      </c>
      <c r="H4341" s="15" t="s">
        <v>10</v>
      </c>
      <c r="I4341" s="15">
        <v>0.9286930289226123</v>
      </c>
      <c r="J4341" s="15">
        <v>0.9286930289226123</v>
      </c>
      <c r="K4341" s="15">
        <v>0.9286930289226123</v>
      </c>
      <c r="L4341" s="15">
        <v>0.9286930289226123</v>
      </c>
      <c r="M4341" s="15">
        <v>0.97610776474216487</v>
      </c>
      <c r="N4341" s="15">
        <v>0.97610776474216487</v>
      </c>
      <c r="O4341" s="15">
        <v>0.9286930289226123</v>
      </c>
      <c r="P4341" s="15">
        <v>0.9286930289226123</v>
      </c>
      <c r="Q4341" s="8"/>
      <c r="R4341" s="9" t="s">
        <v>3888</v>
      </c>
    </row>
    <row r="4342" spans="1:18" x14ac:dyDescent="0.25">
      <c r="A4342" s="6" t="str">
        <f>HYPERLINK("proteomic_fractions_linear_files/Yang_linear_img/162139827.jpg", "162139827")</f>
        <v>162139827</v>
      </c>
      <c r="B4342" s="7"/>
      <c r="C4342" s="6" t="str">
        <f>HYPERLINK("http://www.ncbi.nlm.nih.gov/protein/162139827","Me1")</f>
        <v>Me1</v>
      </c>
      <c r="D4342" s="8"/>
      <c r="E4342" s="8">
        <v>63823</v>
      </c>
      <c r="F4342" s="8"/>
      <c r="G4342" s="15" t="s">
        <v>10</v>
      </c>
      <c r="H4342" s="15" t="s">
        <v>10</v>
      </c>
      <c r="I4342" s="15">
        <v>1.0227072395397552</v>
      </c>
      <c r="J4342" s="15">
        <v>1.0227072395397552</v>
      </c>
      <c r="K4342" s="15">
        <v>1.0227072395397552</v>
      </c>
      <c r="L4342" s="15">
        <v>1.0227072395397552</v>
      </c>
      <c r="M4342" s="15">
        <v>1.0227072395397552</v>
      </c>
      <c r="N4342" s="15">
        <v>1.0227072395397552</v>
      </c>
      <c r="O4342" s="15">
        <v>1.0227072395397552</v>
      </c>
      <c r="P4342" s="15">
        <v>1.0227072395397552</v>
      </c>
      <c r="Q4342" s="8"/>
      <c r="R4342" s="9" t="s">
        <v>3889</v>
      </c>
    </row>
    <row r="4343" spans="1:18" x14ac:dyDescent="0.25">
      <c r="A4343" s="6" t="str">
        <f>HYPERLINK("proteomic_fractions_linear_files/Yang_linear_img/312147392.jpg", "312147392")</f>
        <v>312147392</v>
      </c>
      <c r="B4343" s="7"/>
      <c r="C4343" s="6" t="str">
        <f>HYPERLINK("http://www.ncbi.nlm.nih.gov/protein/312147392","Me1")</f>
        <v>Me1</v>
      </c>
      <c r="D4343" s="8"/>
      <c r="E4343" s="8">
        <v>61350</v>
      </c>
      <c r="F4343" s="8"/>
      <c r="G4343" s="15" t="s">
        <v>10</v>
      </c>
      <c r="H4343" s="15" t="s">
        <v>10</v>
      </c>
      <c r="I4343" s="15">
        <v>1.0730043168941694</v>
      </c>
      <c r="J4343" s="15">
        <v>1.0730043168941694</v>
      </c>
      <c r="K4343" s="15">
        <v>1.0730043168941694</v>
      </c>
      <c r="L4343" s="15">
        <v>1.0730043168941694</v>
      </c>
      <c r="M4343" s="15">
        <v>1.0730043168941694</v>
      </c>
      <c r="N4343" s="15">
        <v>1.0730043168941694</v>
      </c>
      <c r="O4343" s="15">
        <v>1.0730043168941694</v>
      </c>
      <c r="P4343" s="15">
        <v>1.0730043168941694</v>
      </c>
      <c r="Q4343" s="8"/>
      <c r="R4343" s="9" t="s">
        <v>3890</v>
      </c>
    </row>
    <row r="4344" spans="1:18" x14ac:dyDescent="0.25">
      <c r="A4344" s="6" t="str">
        <f>HYPERLINK("proteomic_fractions_linear_files/Yang_linear_img/21703972.jpg", "21703972")</f>
        <v>21703972</v>
      </c>
      <c r="B4344" s="7"/>
      <c r="C4344" s="6" t="str">
        <f>HYPERLINK("http://www.ncbi.nlm.nih.gov/protein/21703972","Me2")</f>
        <v>Me2</v>
      </c>
      <c r="D4344" s="8"/>
      <c r="E4344" s="8">
        <v>63705</v>
      </c>
      <c r="F4344" s="8"/>
      <c r="G4344" s="15">
        <v>1.2984165386428728</v>
      </c>
      <c r="H4344" s="15">
        <v>1.2984165386428728</v>
      </c>
      <c r="I4344" s="15">
        <v>1.0227072395397552</v>
      </c>
      <c r="J4344" s="15">
        <v>1.0227072395397552</v>
      </c>
      <c r="K4344" s="15" t="s">
        <v>10</v>
      </c>
      <c r="L4344" s="15" t="s">
        <v>10</v>
      </c>
      <c r="M4344" s="15" t="s">
        <v>10</v>
      </c>
      <c r="N4344" s="15" t="s">
        <v>10</v>
      </c>
      <c r="O4344" s="15" t="s">
        <v>10</v>
      </c>
      <c r="P4344" s="15" t="s">
        <v>10</v>
      </c>
      <c r="Q4344" s="8"/>
      <c r="R4344" s="9" t="s">
        <v>3891</v>
      </c>
    </row>
    <row r="4345" spans="1:18" x14ac:dyDescent="0.25">
      <c r="A4345" s="6" t="str">
        <f>HYPERLINK("proteomic_fractions_linear_files/Yang_linear_img/227116358.jpg", "227116358")</f>
        <v>227116358</v>
      </c>
      <c r="B4345" s="7"/>
      <c r="C4345" s="6" t="str">
        <f>HYPERLINK("http://www.ncbi.nlm.nih.gov/protein/227116358","Mecr")</f>
        <v>Mecr</v>
      </c>
      <c r="D4345" s="8"/>
      <c r="E4345" s="8">
        <v>34546</v>
      </c>
      <c r="F4345" s="8"/>
      <c r="G4345" s="15" t="s">
        <v>10</v>
      </c>
      <c r="H4345" s="15" t="s">
        <v>10</v>
      </c>
      <c r="I4345" s="15">
        <v>0.98723932944214809</v>
      </c>
      <c r="J4345" s="15">
        <v>0.98723932944214809</v>
      </c>
      <c r="K4345" s="15" t="s">
        <v>10</v>
      </c>
      <c r="L4345" s="15" t="s">
        <v>10</v>
      </c>
      <c r="M4345" s="15" t="s">
        <v>10</v>
      </c>
      <c r="N4345" s="15" t="s">
        <v>10</v>
      </c>
      <c r="O4345" s="15" t="s">
        <v>10</v>
      </c>
      <c r="P4345" s="15" t="s">
        <v>10</v>
      </c>
      <c r="Q4345" s="8"/>
      <c r="R4345" s="9" t="s">
        <v>3892</v>
      </c>
    </row>
    <row r="4346" spans="1:18" x14ac:dyDescent="0.25">
      <c r="A4346" s="6" t="str">
        <f>HYPERLINK("proteomic_fractions_linear_files/Yang_linear_img/121582398.jpg", "121582398")</f>
        <v>121582398</v>
      </c>
      <c r="B4346" s="7"/>
      <c r="C4346" s="6" t="str">
        <f>HYPERLINK("http://www.ncbi.nlm.nih.gov/protein/121582398","Med1")</f>
        <v>Med1</v>
      </c>
      <c r="D4346" s="8"/>
      <c r="E4346" s="8">
        <v>167010</v>
      </c>
      <c r="F4346" s="8"/>
      <c r="G4346" s="15" t="s">
        <v>10</v>
      </c>
      <c r="H4346" s="15" t="s">
        <v>10</v>
      </c>
      <c r="I4346" s="15" t="s">
        <v>10</v>
      </c>
      <c r="J4346" s="15" t="s">
        <v>10</v>
      </c>
      <c r="K4346" s="15">
        <v>0.49759675732421471</v>
      </c>
      <c r="L4346" s="15">
        <v>0.49759675732421471</v>
      </c>
      <c r="M4346" s="15" t="s">
        <v>10</v>
      </c>
      <c r="N4346" s="15" t="s">
        <v>10</v>
      </c>
      <c r="O4346" s="15" t="s">
        <v>10</v>
      </c>
      <c r="P4346" s="15" t="s">
        <v>10</v>
      </c>
      <c r="Q4346" s="8"/>
      <c r="R4346" s="9" t="s">
        <v>3893</v>
      </c>
    </row>
    <row r="4347" spans="1:18" x14ac:dyDescent="0.25">
      <c r="A4347" s="6" t="str">
        <f>HYPERLINK("proteomic_fractions_linear_files/Yang_linear_img/121582430.jpg", "121582430")</f>
        <v>121582430</v>
      </c>
      <c r="B4347" s="7"/>
      <c r="C4347" s="6" t="str">
        <f>HYPERLINK("http://www.ncbi.nlm.nih.gov/protein/121582430","Med1")</f>
        <v>Med1</v>
      </c>
      <c r="D4347" s="8"/>
      <c r="E4347" s="8">
        <v>165319</v>
      </c>
      <c r="F4347" s="8"/>
      <c r="G4347" s="15" t="s">
        <v>10</v>
      </c>
      <c r="H4347" s="15" t="s">
        <v>10</v>
      </c>
      <c r="I4347" s="15" t="s">
        <v>10</v>
      </c>
      <c r="J4347" s="15" t="s">
        <v>10</v>
      </c>
      <c r="K4347" s="15">
        <v>0.50362823317056882</v>
      </c>
      <c r="L4347" s="15">
        <v>0.50362823317056882</v>
      </c>
      <c r="M4347" s="15" t="s">
        <v>10</v>
      </c>
      <c r="N4347" s="15" t="s">
        <v>10</v>
      </c>
      <c r="O4347" s="15" t="s">
        <v>10</v>
      </c>
      <c r="P4347" s="15" t="s">
        <v>10</v>
      </c>
      <c r="Q4347" s="8"/>
      <c r="R4347" s="9" t="s">
        <v>3894</v>
      </c>
    </row>
    <row r="4348" spans="1:18" x14ac:dyDescent="0.25">
      <c r="A4348" s="6" t="str">
        <f>HYPERLINK("proteomic_fractions_linear_files/Yang_linear_img/121583906.jpg", "121583906")</f>
        <v>121583906</v>
      </c>
      <c r="B4348" s="7"/>
      <c r="C4348" s="6" t="str">
        <f>HYPERLINK("http://www.ncbi.nlm.nih.gov/protein/121583906","Med1")</f>
        <v>Med1</v>
      </c>
      <c r="D4348" s="8"/>
      <c r="E4348" s="8">
        <v>61435</v>
      </c>
      <c r="F4348" s="8"/>
      <c r="G4348" s="15" t="s">
        <v>10</v>
      </c>
      <c r="H4348" s="15" t="s">
        <v>10</v>
      </c>
      <c r="I4348" s="15" t="s">
        <v>10</v>
      </c>
      <c r="J4348" s="15" t="s">
        <v>10</v>
      </c>
      <c r="K4348" s="15">
        <v>1.3622730897236699</v>
      </c>
      <c r="L4348" s="15">
        <v>1.3622730897236699</v>
      </c>
      <c r="M4348" s="15" t="s">
        <v>10</v>
      </c>
      <c r="N4348" s="15" t="s">
        <v>10</v>
      </c>
      <c r="O4348" s="15" t="s">
        <v>10</v>
      </c>
      <c r="P4348" s="15" t="s">
        <v>10</v>
      </c>
      <c r="Q4348" s="8"/>
      <c r="R4348" s="9" t="s">
        <v>3895</v>
      </c>
    </row>
    <row r="4349" spans="1:18" x14ac:dyDescent="0.25">
      <c r="A4349" s="6" t="str">
        <f>HYPERLINK("proteomic_fractions_linear_files/Yang_linear_img/125628662.jpg", "125628662")</f>
        <v>125628662</v>
      </c>
      <c r="B4349" s="7"/>
      <c r="C4349" s="6" t="str">
        <f>HYPERLINK("http://www.ncbi.nlm.nih.gov/protein/125628662","Med12")</f>
        <v>Med12</v>
      </c>
      <c r="D4349" s="8"/>
      <c r="E4349" s="8">
        <v>244431</v>
      </c>
      <c r="F4349" s="8"/>
      <c r="G4349" s="15" t="s">
        <v>10</v>
      </c>
      <c r="H4349" s="15" t="s">
        <v>10</v>
      </c>
      <c r="I4349" s="15">
        <v>0.95639691650757819</v>
      </c>
      <c r="J4349" s="15">
        <v>0.95639691650757819</v>
      </c>
      <c r="K4349" s="15">
        <v>1.2368169042479458</v>
      </c>
      <c r="L4349" s="15">
        <v>1.2368169042479458</v>
      </c>
      <c r="M4349" s="15" t="s">
        <v>10</v>
      </c>
      <c r="N4349" s="15" t="s">
        <v>10</v>
      </c>
      <c r="O4349" s="15" t="s">
        <v>10</v>
      </c>
      <c r="P4349" s="15" t="s">
        <v>10</v>
      </c>
      <c r="Q4349" s="8"/>
      <c r="R4349" s="9" t="s">
        <v>3896</v>
      </c>
    </row>
    <row r="4350" spans="1:18" x14ac:dyDescent="0.25">
      <c r="A4350" s="6" t="str">
        <f>HYPERLINK("proteomic_fractions_linear_files/Yang_linear_img/242397421.jpg", "242397421")</f>
        <v>242397421</v>
      </c>
      <c r="B4350" s="7"/>
      <c r="C4350" s="6" t="str">
        <f>HYPERLINK("http://www.ncbi.nlm.nih.gov/protein/242397421","Med12l")</f>
        <v>Med12l</v>
      </c>
      <c r="D4350" s="8"/>
      <c r="E4350" s="8">
        <v>244187</v>
      </c>
      <c r="F4350" s="8"/>
      <c r="G4350" s="15" t="s">
        <v>10</v>
      </c>
      <c r="H4350" s="15" t="s">
        <v>10</v>
      </c>
      <c r="I4350" s="15" t="s">
        <v>10</v>
      </c>
      <c r="J4350" s="15" t="s">
        <v>10</v>
      </c>
      <c r="K4350" s="15">
        <v>1.2368169042479458</v>
      </c>
      <c r="L4350" s="15">
        <v>1.2368169042479458</v>
      </c>
      <c r="M4350" s="15" t="s">
        <v>10</v>
      </c>
      <c r="N4350" s="15" t="s">
        <v>10</v>
      </c>
      <c r="O4350" s="15" t="s">
        <v>10</v>
      </c>
      <c r="P4350" s="15" t="s">
        <v>10</v>
      </c>
      <c r="Q4350" s="8"/>
      <c r="R4350" s="9" t="s">
        <v>3897</v>
      </c>
    </row>
    <row r="4351" spans="1:18" x14ac:dyDescent="0.25">
      <c r="A4351" s="6" t="str">
        <f>HYPERLINK("proteomic_fractions_linear_files/Yang_linear_img/115270972.jpg", "115270972")</f>
        <v>115270972</v>
      </c>
      <c r="B4351" s="7"/>
      <c r="C4351" s="6" t="str">
        <f>HYPERLINK("http://www.ncbi.nlm.nih.gov/protein/115270972","Med14")</f>
        <v>Med14</v>
      </c>
      <c r="D4351" s="8"/>
      <c r="E4351" s="8">
        <v>158512</v>
      </c>
      <c r="F4351" s="8"/>
      <c r="G4351" s="15" t="s">
        <v>10</v>
      </c>
      <c r="H4351" s="15" t="s">
        <v>10</v>
      </c>
      <c r="I4351" s="15" t="s">
        <v>10</v>
      </c>
      <c r="J4351" s="15" t="s">
        <v>10</v>
      </c>
      <c r="K4351" s="15">
        <v>1.1746278719493104</v>
      </c>
      <c r="L4351" s="15">
        <v>1.1746278719493104</v>
      </c>
      <c r="M4351" s="15" t="s">
        <v>10</v>
      </c>
      <c r="N4351" s="15" t="s">
        <v>10</v>
      </c>
      <c r="O4351" s="15" t="s">
        <v>10</v>
      </c>
      <c r="P4351" s="15" t="s">
        <v>10</v>
      </c>
      <c r="Q4351" s="8"/>
      <c r="R4351" s="9" t="s">
        <v>3898</v>
      </c>
    </row>
    <row r="4352" spans="1:18" x14ac:dyDescent="0.25">
      <c r="A4352" s="6" t="str">
        <f>HYPERLINK("proteomic_fractions_linear_files/Yang_linear_img/115270977.jpg", "115270977")</f>
        <v>115270977</v>
      </c>
      <c r="B4352" s="7"/>
      <c r="C4352" s="6" t="str">
        <f>HYPERLINK("http://www.ncbi.nlm.nih.gov/protein/115270977","Med14")</f>
        <v>Med14</v>
      </c>
      <c r="D4352" s="8"/>
      <c r="E4352" s="8">
        <v>160835</v>
      </c>
      <c r="F4352" s="8"/>
      <c r="G4352" s="15" t="s">
        <v>10</v>
      </c>
      <c r="H4352" s="15" t="s">
        <v>10</v>
      </c>
      <c r="I4352" s="15" t="s">
        <v>10</v>
      </c>
      <c r="J4352" s="15" t="s">
        <v>10</v>
      </c>
      <c r="K4352" s="15">
        <v>1.1600362213660891</v>
      </c>
      <c r="L4352" s="15">
        <v>1.1600362213660891</v>
      </c>
      <c r="M4352" s="15" t="s">
        <v>10</v>
      </c>
      <c r="N4352" s="15" t="s">
        <v>10</v>
      </c>
      <c r="O4352" s="15" t="s">
        <v>10</v>
      </c>
      <c r="P4352" s="15" t="s">
        <v>10</v>
      </c>
      <c r="Q4352" s="8"/>
      <c r="R4352" s="9" t="s">
        <v>3899</v>
      </c>
    </row>
    <row r="4353" spans="1:18" x14ac:dyDescent="0.25">
      <c r="A4353" s="6" t="str">
        <f>HYPERLINK("proteomic_fractions_linear_files/Yang_linear_img/100816770.jpg", "100816770")</f>
        <v>100816770</v>
      </c>
      <c r="B4353" s="7"/>
      <c r="C4353" s="6" t="str">
        <f>HYPERLINK("http://www.ncbi.nlm.nih.gov/protein/100816770","Med15")</f>
        <v>Med15</v>
      </c>
      <c r="D4353" s="8"/>
      <c r="E4353" s="8">
        <v>86477</v>
      </c>
      <c r="F4353" s="8"/>
      <c r="G4353" s="15" t="s">
        <v>10</v>
      </c>
      <c r="H4353" s="15" t="s">
        <v>10</v>
      </c>
      <c r="I4353" s="15" t="s">
        <v>10</v>
      </c>
      <c r="J4353" s="15" t="s">
        <v>10</v>
      </c>
      <c r="K4353" s="15">
        <v>1.2767623700131565</v>
      </c>
      <c r="L4353" s="15">
        <v>1.2767623700131565</v>
      </c>
      <c r="M4353" s="15" t="s">
        <v>10</v>
      </c>
      <c r="N4353" s="15" t="s">
        <v>10</v>
      </c>
      <c r="O4353" s="15" t="s">
        <v>10</v>
      </c>
      <c r="P4353" s="15" t="s">
        <v>10</v>
      </c>
      <c r="Q4353" s="8"/>
      <c r="R4353" s="9" t="s">
        <v>3900</v>
      </c>
    </row>
    <row r="4354" spans="1:18" x14ac:dyDescent="0.25">
      <c r="A4354" s="6" t="str">
        <f>HYPERLINK("proteomic_fractions_linear_files/Yang_linear_img/100817039.jpg", "100817039")</f>
        <v>100817039</v>
      </c>
      <c r="B4354" s="7"/>
      <c r="C4354" s="6" t="str">
        <f>HYPERLINK("http://www.ncbi.nlm.nih.gov/protein/100817039","Med15")</f>
        <v>Med15</v>
      </c>
      <c r="D4354" s="8"/>
      <c r="E4354" s="8">
        <v>82465</v>
      </c>
      <c r="F4354" s="8"/>
      <c r="G4354" s="15" t="s">
        <v>10</v>
      </c>
      <c r="H4354" s="15" t="s">
        <v>10</v>
      </c>
      <c r="I4354" s="15" t="s">
        <v>10</v>
      </c>
      <c r="J4354" s="15" t="s">
        <v>10</v>
      </c>
      <c r="K4354" s="15">
        <v>1.3390434612333106</v>
      </c>
      <c r="L4354" s="15">
        <v>1.3390434612333106</v>
      </c>
      <c r="M4354" s="15" t="s">
        <v>10</v>
      </c>
      <c r="N4354" s="15" t="s">
        <v>10</v>
      </c>
      <c r="O4354" s="15" t="s">
        <v>10</v>
      </c>
      <c r="P4354" s="15" t="s">
        <v>10</v>
      </c>
      <c r="Q4354" s="8"/>
      <c r="R4354" s="9" t="s">
        <v>3901</v>
      </c>
    </row>
    <row r="4355" spans="1:18" x14ac:dyDescent="0.25">
      <c r="A4355" s="6" t="str">
        <f>HYPERLINK("proteomic_fractions_linear_files/Yang_linear_img/21450345.jpg", "21450345")</f>
        <v>21450345</v>
      </c>
      <c r="B4355" s="7"/>
      <c r="C4355" s="6" t="str">
        <f>HYPERLINK("http://www.ncbi.nlm.nih.gov/protein/21450345","Med17")</f>
        <v>Med17</v>
      </c>
      <c r="D4355" s="8"/>
      <c r="E4355" s="8">
        <v>72331</v>
      </c>
      <c r="F4355" s="8"/>
      <c r="G4355" s="15" t="s">
        <v>10</v>
      </c>
      <c r="H4355" s="15" t="s">
        <v>10</v>
      </c>
      <c r="I4355" s="15" t="s">
        <v>10</v>
      </c>
      <c r="J4355" s="15" t="s">
        <v>10</v>
      </c>
      <c r="K4355" s="15">
        <v>1.1541480343492203</v>
      </c>
      <c r="L4355" s="15">
        <v>1.1541480343492203</v>
      </c>
      <c r="M4355" s="15" t="s">
        <v>10</v>
      </c>
      <c r="N4355" s="15" t="s">
        <v>10</v>
      </c>
      <c r="O4355" s="15" t="s">
        <v>10</v>
      </c>
      <c r="P4355" s="15" t="s">
        <v>10</v>
      </c>
      <c r="Q4355" s="8"/>
      <c r="R4355" s="9" t="s">
        <v>3902</v>
      </c>
    </row>
    <row r="4356" spans="1:18" x14ac:dyDescent="0.25">
      <c r="A4356" s="6" t="str">
        <f>HYPERLINK("proteomic_fractions_linear_files/Yang_linear_img/21313064.jpg", "21313064")</f>
        <v>21313064</v>
      </c>
      <c r="B4356" s="7"/>
      <c r="C4356" s="6" t="str">
        <f>HYPERLINK("http://www.ncbi.nlm.nih.gov/protein/21313064","Med18")</f>
        <v>Med18</v>
      </c>
      <c r="D4356" s="8"/>
      <c r="E4356" s="8">
        <v>23514</v>
      </c>
      <c r="F4356" s="8"/>
      <c r="G4356" s="15" t="s">
        <v>10</v>
      </c>
      <c r="H4356" s="15" t="s">
        <v>10</v>
      </c>
      <c r="I4356" s="15" t="s">
        <v>10</v>
      </c>
      <c r="J4356" s="15" t="s">
        <v>10</v>
      </c>
      <c r="K4356" s="15">
        <v>0.85822671611067802</v>
      </c>
      <c r="L4356" s="15">
        <v>0.85822671611067802</v>
      </c>
      <c r="M4356" s="15" t="s">
        <v>10</v>
      </c>
      <c r="N4356" s="15" t="s">
        <v>10</v>
      </c>
      <c r="O4356" s="15" t="s">
        <v>10</v>
      </c>
      <c r="P4356" s="15" t="s">
        <v>10</v>
      </c>
      <c r="Q4356" s="8"/>
      <c r="R4356" s="9" t="s">
        <v>3903</v>
      </c>
    </row>
    <row r="4357" spans="1:18" x14ac:dyDescent="0.25">
      <c r="A4357" s="6" t="str">
        <f>HYPERLINK("proteomic_fractions_linear_files/Yang_linear_img/21313194.jpg", "21313194")</f>
        <v>21313194</v>
      </c>
      <c r="B4357" s="7"/>
      <c r="C4357" s="6" t="str">
        <f>HYPERLINK("http://www.ncbi.nlm.nih.gov/protein/21313194","Med19")</f>
        <v>Med19</v>
      </c>
      <c r="D4357" s="8"/>
      <c r="E4357" s="8">
        <v>26132</v>
      </c>
      <c r="F4357" s="8"/>
      <c r="G4357" s="15" t="s">
        <v>10</v>
      </c>
      <c r="H4357" s="15" t="s">
        <v>10</v>
      </c>
      <c r="I4357" s="15" t="s">
        <v>10</v>
      </c>
      <c r="J4357" s="15" t="s">
        <v>10</v>
      </c>
      <c r="K4357" s="15" t="s">
        <v>10</v>
      </c>
      <c r="L4357" s="15" t="s">
        <v>10</v>
      </c>
      <c r="M4357" s="15">
        <v>0.7113576601755417</v>
      </c>
      <c r="N4357" s="15">
        <v>0.7113576601755417</v>
      </c>
      <c r="O4357" s="15" t="s">
        <v>10</v>
      </c>
      <c r="P4357" s="15" t="s">
        <v>10</v>
      </c>
      <c r="Q4357" s="8"/>
      <c r="R4357" s="9" t="s">
        <v>3904</v>
      </c>
    </row>
    <row r="4358" spans="1:18" x14ac:dyDescent="0.25">
      <c r="A4358" s="6" t="str">
        <f>HYPERLINK("proteomic_fractions_linear_files/Yang_linear_img/9910590.jpg", "9910590")</f>
        <v>9910590</v>
      </c>
      <c r="B4358" s="7"/>
      <c r="C4358" s="6" t="str">
        <f>HYPERLINK("http://www.ncbi.nlm.nih.gov/protein/9910590","Med20")</f>
        <v>Med20</v>
      </c>
      <c r="D4358" s="8"/>
      <c r="E4358" s="8">
        <v>23061</v>
      </c>
      <c r="F4358" s="8"/>
      <c r="G4358" s="15" t="s">
        <v>10</v>
      </c>
      <c r="H4358" s="15" t="s">
        <v>10</v>
      </c>
      <c r="I4358" s="15">
        <v>0.94764096829038047</v>
      </c>
      <c r="J4358" s="15">
        <v>0.94764096829038047</v>
      </c>
      <c r="K4358" s="15">
        <v>0.94764096829038047</v>
      </c>
      <c r="L4358" s="15">
        <v>0.94764096829038047</v>
      </c>
      <c r="M4358" s="15">
        <v>0.94764096829038047</v>
      </c>
      <c r="N4358" s="15">
        <v>0.94764096829038047</v>
      </c>
      <c r="O4358" s="15">
        <v>0.94764096829038047</v>
      </c>
      <c r="P4358" s="15">
        <v>0.94764096829038047</v>
      </c>
      <c r="Q4358" s="8"/>
      <c r="R4358" s="9" t="s">
        <v>3905</v>
      </c>
    </row>
    <row r="4359" spans="1:18" x14ac:dyDescent="0.25">
      <c r="A4359" s="6" t="str">
        <f>HYPERLINK("proteomic_fractions_linear_files/Yang_linear_img/13384678.jpg", "13384678")</f>
        <v>13384678</v>
      </c>
      <c r="B4359" s="7"/>
      <c r="C4359" s="6" t="str">
        <f>HYPERLINK("http://www.ncbi.nlm.nih.gov/protein/13384678","Med21")</f>
        <v>Med21</v>
      </c>
      <c r="D4359" s="8"/>
      <c r="E4359" s="8">
        <v>15457</v>
      </c>
      <c r="F4359" s="8"/>
      <c r="G4359" s="15" t="s">
        <v>10</v>
      </c>
      <c r="H4359" s="15" t="s">
        <v>10</v>
      </c>
      <c r="I4359" s="15" t="s">
        <v>10</v>
      </c>
      <c r="J4359" s="15" t="s">
        <v>10</v>
      </c>
      <c r="K4359" s="15">
        <v>1.0618294522121183</v>
      </c>
      <c r="L4359" s="15">
        <v>1.0618294522121183</v>
      </c>
      <c r="M4359" s="15" t="s">
        <v>10</v>
      </c>
      <c r="N4359" s="15" t="s">
        <v>10</v>
      </c>
      <c r="O4359" s="15">
        <v>1.0130892195876191</v>
      </c>
      <c r="P4359" s="15">
        <v>1.0130892195876191</v>
      </c>
      <c r="Q4359" s="8"/>
      <c r="R4359" s="9" t="s">
        <v>3906</v>
      </c>
    </row>
    <row r="4360" spans="1:18" x14ac:dyDescent="0.25">
      <c r="A4360" s="6" t="str">
        <f>HYPERLINK("proteomic_fractions_linear_files/Yang_linear_img/6755700.jpg", "6755700")</f>
        <v>6755700</v>
      </c>
      <c r="B4360" s="7"/>
      <c r="C4360" s="6" t="str">
        <f>HYPERLINK("http://www.ncbi.nlm.nih.gov/protein/6755700","Med22")</f>
        <v>Med22</v>
      </c>
      <c r="D4360" s="8"/>
      <c r="E4360" s="8">
        <v>16304</v>
      </c>
      <c r="F4360" s="8"/>
      <c r="G4360" s="15" t="s">
        <v>10</v>
      </c>
      <c r="H4360" s="15" t="s">
        <v>10</v>
      </c>
      <c r="I4360" s="15" t="s">
        <v>10</v>
      </c>
      <c r="J4360" s="15" t="s">
        <v>10</v>
      </c>
      <c r="K4360" s="15">
        <v>0.99546511144886096</v>
      </c>
      <c r="L4360" s="15">
        <v>0.99546511144886096</v>
      </c>
      <c r="M4360" s="15" t="s">
        <v>10</v>
      </c>
      <c r="N4360" s="15" t="s">
        <v>10</v>
      </c>
      <c r="O4360" s="15">
        <v>0.94977114336339286</v>
      </c>
      <c r="P4360" s="15">
        <v>0.94977114336339286</v>
      </c>
      <c r="Q4360" s="8"/>
      <c r="R4360" s="9" t="s">
        <v>3907</v>
      </c>
    </row>
    <row r="4361" spans="1:18" x14ac:dyDescent="0.25">
      <c r="A4361" s="6" t="str">
        <f>HYPERLINK("proteomic_fractions_linear_files/Yang_linear_img/76781479.jpg", "76781479")</f>
        <v>76781479</v>
      </c>
      <c r="B4361" s="7"/>
      <c r="C4361" s="6" t="str">
        <f>HYPERLINK("http://www.ncbi.nlm.nih.gov/protein/76781479","Med22")</f>
        <v>Med22</v>
      </c>
      <c r="D4361" s="8"/>
      <c r="E4361" s="8">
        <v>22151</v>
      </c>
      <c r="F4361" s="8"/>
      <c r="G4361" s="15" t="s">
        <v>10</v>
      </c>
      <c r="H4361" s="15" t="s">
        <v>10</v>
      </c>
      <c r="I4361" s="15" t="s">
        <v>10</v>
      </c>
      <c r="J4361" s="15" t="s">
        <v>10</v>
      </c>
      <c r="K4361" s="15">
        <v>0.7239746265082625</v>
      </c>
      <c r="L4361" s="15">
        <v>0.7239746265082625</v>
      </c>
      <c r="M4361" s="15" t="s">
        <v>10</v>
      </c>
      <c r="N4361" s="15" t="s">
        <v>10</v>
      </c>
      <c r="O4361" s="15">
        <v>0.69074264971883115</v>
      </c>
      <c r="P4361" s="15">
        <v>0.69074264971883115</v>
      </c>
      <c r="Q4361" s="8"/>
      <c r="R4361" s="9" t="s">
        <v>3908</v>
      </c>
    </row>
    <row r="4362" spans="1:18" x14ac:dyDescent="0.25">
      <c r="A4362" s="6" t="str">
        <f>HYPERLINK("proteomic_fractions_linear_files/Yang_linear_img/261878545.jpg", "261878545")</f>
        <v>261878545</v>
      </c>
      <c r="B4362" s="7"/>
      <c r="C4362" s="6" t="str">
        <f>HYPERLINK("http://www.ncbi.nlm.nih.gov/protein/261878545","Med23")</f>
        <v>Med23</v>
      </c>
      <c r="D4362" s="8"/>
      <c r="E4362" s="8">
        <v>156925</v>
      </c>
      <c r="F4362" s="8"/>
      <c r="G4362" s="15" t="s">
        <v>10</v>
      </c>
      <c r="H4362" s="15" t="s">
        <v>10</v>
      </c>
      <c r="I4362" s="15">
        <v>0.97740682252383337</v>
      </c>
      <c r="J4362" s="15">
        <v>0.97740682252383337</v>
      </c>
      <c r="K4362" s="15">
        <v>1.1895912843308303</v>
      </c>
      <c r="L4362" s="15">
        <v>1.1895912843308303</v>
      </c>
      <c r="M4362" s="15">
        <v>1.1895912843308303</v>
      </c>
      <c r="N4362" s="15">
        <v>1.1895912843308303</v>
      </c>
      <c r="O4362" s="15">
        <v>1.1895912843308303</v>
      </c>
      <c r="P4362" s="15">
        <v>1.1895912843308303</v>
      </c>
      <c r="Q4362" s="8"/>
      <c r="R4362" s="9" t="s">
        <v>3909</v>
      </c>
    </row>
    <row r="4363" spans="1:18" x14ac:dyDescent="0.25">
      <c r="A4363" s="6" t="str">
        <f>HYPERLINK("proteomic_fractions_linear_files/Yang_linear_img/261878547.jpg", "261878547")</f>
        <v>261878547</v>
      </c>
      <c r="B4363" s="7"/>
      <c r="C4363" s="6" t="str">
        <f>HYPERLINK("http://www.ncbi.nlm.nih.gov/protein/261878547","Med23")</f>
        <v>Med23</v>
      </c>
      <c r="D4363" s="8"/>
      <c r="E4363" s="8">
        <v>156285</v>
      </c>
      <c r="F4363" s="8"/>
      <c r="G4363" s="15" t="s">
        <v>10</v>
      </c>
      <c r="H4363" s="15" t="s">
        <v>10</v>
      </c>
      <c r="I4363" s="15">
        <v>0.98367225087334509</v>
      </c>
      <c r="J4363" s="15">
        <v>0.98367225087334509</v>
      </c>
      <c r="K4363" s="15">
        <v>1.1972168694867971</v>
      </c>
      <c r="L4363" s="15">
        <v>1.1972168694867971</v>
      </c>
      <c r="M4363" s="15">
        <v>1.1972168694867971</v>
      </c>
      <c r="N4363" s="15">
        <v>1.1972168694867971</v>
      </c>
      <c r="O4363" s="15">
        <v>1.1972168694867971</v>
      </c>
      <c r="P4363" s="15">
        <v>1.1972168694867971</v>
      </c>
      <c r="Q4363" s="8"/>
      <c r="R4363" s="9" t="s">
        <v>3910</v>
      </c>
    </row>
    <row r="4364" spans="1:18" x14ac:dyDescent="0.25">
      <c r="A4364" s="6" t="str">
        <f>HYPERLINK("proteomic_fractions_linear_files/Yang_linear_img/119220579.jpg", "119220579")</f>
        <v>119220579</v>
      </c>
      <c r="B4364" s="7"/>
      <c r="C4364" s="6" t="str">
        <f>HYPERLINK("http://www.ncbi.nlm.nih.gov/protein/119220579","Med24")</f>
        <v>Med24</v>
      </c>
      <c r="D4364" s="8"/>
      <c r="E4364" s="8">
        <v>109854</v>
      </c>
      <c r="F4364" s="8"/>
      <c r="G4364" s="15" t="s">
        <v>10</v>
      </c>
      <c r="H4364" s="15" t="s">
        <v>10</v>
      </c>
      <c r="I4364" s="15" t="s">
        <v>10</v>
      </c>
      <c r="J4364" s="15" t="s">
        <v>10</v>
      </c>
      <c r="K4364" s="15">
        <v>0.9981960347375588</v>
      </c>
      <c r="L4364" s="15">
        <v>0.9981960347375588</v>
      </c>
      <c r="M4364" s="15" t="s">
        <v>10</v>
      </c>
      <c r="N4364" s="15" t="s">
        <v>10</v>
      </c>
      <c r="O4364" s="15" t="s">
        <v>10</v>
      </c>
      <c r="P4364" s="15" t="s">
        <v>10</v>
      </c>
      <c r="Q4364" s="8"/>
      <c r="R4364" s="9" t="s">
        <v>3911</v>
      </c>
    </row>
    <row r="4365" spans="1:18" x14ac:dyDescent="0.25">
      <c r="A4365" s="6" t="str">
        <f>HYPERLINK("proteomic_fractions_linear_files/Yang_linear_img/76253678.jpg", "76253678")</f>
        <v>76253678</v>
      </c>
      <c r="B4365" s="7"/>
      <c r="C4365" s="6" t="str">
        <f>HYPERLINK("http://www.ncbi.nlm.nih.gov/protein/76253678","Med27")</f>
        <v>Med27</v>
      </c>
      <c r="D4365" s="8"/>
      <c r="E4365" s="8">
        <v>35167</v>
      </c>
      <c r="F4365" s="8"/>
      <c r="G4365" s="15" t="s">
        <v>10</v>
      </c>
      <c r="H4365" s="15" t="s">
        <v>10</v>
      </c>
      <c r="I4365" s="15">
        <v>0.85386876833466085</v>
      </c>
      <c r="J4365" s="15">
        <v>0.85386876833466085</v>
      </c>
      <c r="K4365" s="15">
        <v>0.91668779587810256</v>
      </c>
      <c r="L4365" s="15">
        <v>0.91668779587810256</v>
      </c>
      <c r="M4365" s="15">
        <v>0.85386876833466085</v>
      </c>
      <c r="N4365" s="15">
        <v>0.85386876833466085</v>
      </c>
      <c r="O4365" s="15" t="s">
        <v>10</v>
      </c>
      <c r="P4365" s="15" t="s">
        <v>10</v>
      </c>
      <c r="Q4365" s="8"/>
      <c r="R4365" s="9" t="s">
        <v>3912</v>
      </c>
    </row>
    <row r="4366" spans="1:18" x14ac:dyDescent="0.25">
      <c r="A4366" s="6" t="str">
        <f>HYPERLINK("proteomic_fractions_linear_files/Yang_linear_img/13385388.jpg", "13385388")</f>
        <v>13385388</v>
      </c>
      <c r="B4366" s="7"/>
      <c r="C4366" s="6" t="str">
        <f>HYPERLINK("http://www.ncbi.nlm.nih.gov/protein/13385388","Med28")</f>
        <v>Med28</v>
      </c>
      <c r="D4366" s="8"/>
      <c r="E4366" s="8">
        <v>19407</v>
      </c>
      <c r="F4366" s="8"/>
      <c r="G4366" s="15" t="s">
        <v>10</v>
      </c>
      <c r="H4366" s="15" t="s">
        <v>10</v>
      </c>
      <c r="I4366" s="15" t="s">
        <v>10</v>
      </c>
      <c r="J4366" s="15" t="s">
        <v>10</v>
      </c>
      <c r="K4366" s="15">
        <v>1.1471443300357238</v>
      </c>
      <c r="L4366" s="15">
        <v>1.1471443300357238</v>
      </c>
      <c r="M4366" s="15" t="s">
        <v>10</v>
      </c>
      <c r="N4366" s="15" t="s">
        <v>10</v>
      </c>
      <c r="O4366" s="15">
        <v>1.0840758519292775</v>
      </c>
      <c r="P4366" s="15">
        <v>1.0840758519292775</v>
      </c>
      <c r="Q4366" s="8"/>
      <c r="R4366" s="9" t="s">
        <v>3913</v>
      </c>
    </row>
    <row r="4367" spans="1:18" x14ac:dyDescent="0.25">
      <c r="A4367" s="6" t="str">
        <f>HYPERLINK("proteomic_fractions_linear_files/Yang_linear_img/19882231.jpg", "19882231")</f>
        <v>19882231</v>
      </c>
      <c r="B4367" s="7"/>
      <c r="C4367" s="6" t="str">
        <f>HYPERLINK("http://www.ncbi.nlm.nih.gov/protein/19882231","Med30")</f>
        <v>Med30</v>
      </c>
      <c r="D4367" s="8"/>
      <c r="E4367" s="8">
        <v>20227</v>
      </c>
      <c r="F4367" s="8"/>
      <c r="G4367" s="15" t="s">
        <v>10</v>
      </c>
      <c r="H4367" s="15" t="s">
        <v>10</v>
      </c>
      <c r="I4367" s="15">
        <v>1.0897871135339376</v>
      </c>
      <c r="J4367" s="15">
        <v>1.0897871135339376</v>
      </c>
      <c r="K4367" s="15">
        <v>1.0897871135339376</v>
      </c>
      <c r="L4367" s="15">
        <v>1.0897871135339376</v>
      </c>
      <c r="M4367" s="15">
        <v>1.0897871135339376</v>
      </c>
      <c r="N4367" s="15">
        <v>1.0897871135339376</v>
      </c>
      <c r="O4367" s="15">
        <v>1.0897871135339376</v>
      </c>
      <c r="P4367" s="15">
        <v>1.0897871135339376</v>
      </c>
      <c r="Q4367" s="8"/>
      <c r="R4367" s="9" t="s">
        <v>3914</v>
      </c>
    </row>
    <row r="4368" spans="1:18" x14ac:dyDescent="0.25">
      <c r="A4368" s="6" t="str">
        <f>HYPERLINK("proteomic_fractions_linear_files/Yang_linear_img/56119162.jpg", "56119162")</f>
        <v>56119162</v>
      </c>
      <c r="B4368" s="7"/>
      <c r="C4368" s="6" t="str">
        <f>HYPERLINK("http://www.ncbi.nlm.nih.gov/protein/56119162","Med31")</f>
        <v>Med31</v>
      </c>
      <c r="D4368" s="8"/>
      <c r="E4368" s="8">
        <v>15640</v>
      </c>
      <c r="F4368" s="8"/>
      <c r="G4368" s="15" t="s">
        <v>10</v>
      </c>
      <c r="H4368" s="15" t="s">
        <v>10</v>
      </c>
      <c r="I4368" s="15">
        <v>0.99546511144886096</v>
      </c>
      <c r="J4368" s="15">
        <v>0.99546511144886096</v>
      </c>
      <c r="K4368" s="15">
        <v>0.99546511144886096</v>
      </c>
      <c r="L4368" s="15">
        <v>0.99546511144886096</v>
      </c>
      <c r="M4368" s="15">
        <v>0.99546511144886096</v>
      </c>
      <c r="N4368" s="15">
        <v>0.99546511144886096</v>
      </c>
      <c r="O4368" s="15">
        <v>0.94977114336339286</v>
      </c>
      <c r="P4368" s="15">
        <v>0.94977114336339286</v>
      </c>
      <c r="Q4368" s="8"/>
      <c r="R4368" s="9" t="s">
        <v>3915</v>
      </c>
    </row>
    <row r="4369" spans="1:18" x14ac:dyDescent="0.25">
      <c r="A4369" s="6" t="str">
        <f>HYPERLINK("proteomic_fractions_linear_files/Yang_linear_img/157266302;157266322.jpg", "157266302;157266322")</f>
        <v>157266302;157266322</v>
      </c>
      <c r="B4369" s="8"/>
      <c r="C4369" s="6" t="str">
        <f>HYPERLINK("http://www.ncbi.nlm.nih.gov/protein/157266302;157266322","Med7")</f>
        <v>Med7</v>
      </c>
      <c r="D4369" s="8"/>
      <c r="E4369" s="8">
        <v>27074</v>
      </c>
      <c r="F4369" s="8"/>
      <c r="G4369" s="15" t="s">
        <v>10</v>
      </c>
      <c r="H4369" s="15" t="s">
        <v>10</v>
      </c>
      <c r="I4369" s="15" t="s">
        <v>10</v>
      </c>
      <c r="J4369" s="15" t="s">
        <v>10</v>
      </c>
      <c r="K4369" s="15">
        <v>1.0340078258400762</v>
      </c>
      <c r="L4369" s="15">
        <v>1.0340078258400762</v>
      </c>
      <c r="M4369" s="15">
        <v>1.0340078258400762</v>
      </c>
      <c r="N4369" s="15">
        <v>1.0340078258400762</v>
      </c>
      <c r="O4369" s="15" t="s">
        <v>10</v>
      </c>
      <c r="P4369" s="15" t="s">
        <v>10</v>
      </c>
      <c r="Q4369" s="8"/>
      <c r="R4369" s="9" t="s">
        <v>3916</v>
      </c>
    </row>
    <row r="4370" spans="1:18" x14ac:dyDescent="0.25">
      <c r="A4370" s="6" t="str">
        <f>HYPERLINK("proteomic_fractions_linear_files/Yang_linear_img/255982602.jpg", "255982602")</f>
        <v>255982602</v>
      </c>
      <c r="B4370" s="7"/>
      <c r="C4370" s="6" t="str">
        <f>HYPERLINK("http://www.ncbi.nlm.nih.gov/protein/255982602","Mei1")</f>
        <v>Mei1</v>
      </c>
      <c r="D4370" s="8"/>
      <c r="E4370" s="8">
        <v>140744</v>
      </c>
      <c r="F4370" s="8"/>
      <c r="G4370" s="15" t="s">
        <v>10</v>
      </c>
      <c r="H4370" s="15" t="s">
        <v>10</v>
      </c>
      <c r="I4370" s="15" t="s">
        <v>10</v>
      </c>
      <c r="J4370" s="15" t="s">
        <v>10</v>
      </c>
      <c r="K4370" s="15">
        <v>0.5893521877527933</v>
      </c>
      <c r="L4370" s="15">
        <v>0.5893521877527933</v>
      </c>
      <c r="M4370" s="15" t="s">
        <v>10</v>
      </c>
      <c r="N4370" s="15" t="s">
        <v>10</v>
      </c>
      <c r="O4370" s="15" t="s">
        <v>10</v>
      </c>
      <c r="P4370" s="15" t="s">
        <v>10</v>
      </c>
      <c r="Q4370" s="8"/>
      <c r="R4370" s="9" t="s">
        <v>3917</v>
      </c>
    </row>
    <row r="4371" spans="1:18" x14ac:dyDescent="0.25">
      <c r="A4371" s="6" t="str">
        <f>HYPERLINK("proteomic_fractions_linear_files/Yang_linear_img/19526994.jpg", "19526994")</f>
        <v>19526994</v>
      </c>
      <c r="B4371" s="7"/>
      <c r="C4371" s="6" t="str">
        <f>HYPERLINK("http://www.ncbi.nlm.nih.gov/protein/19526994","Memo1")</f>
        <v>Memo1</v>
      </c>
      <c r="D4371" s="8"/>
      <c r="E4371" s="8">
        <v>33561</v>
      </c>
      <c r="F4371" s="8"/>
      <c r="G4371" s="15" t="s">
        <v>10</v>
      </c>
      <c r="H4371" s="15" t="s">
        <v>10</v>
      </c>
      <c r="I4371" s="15">
        <v>0.82112386169653118</v>
      </c>
      <c r="J4371" s="15">
        <v>0.82112386169653118</v>
      </c>
      <c r="K4371" s="15">
        <v>0.82112386169653118</v>
      </c>
      <c r="L4371" s="15">
        <v>0.82112386169653118</v>
      </c>
      <c r="M4371" s="15" t="s">
        <v>10</v>
      </c>
      <c r="N4371" s="15" t="s">
        <v>10</v>
      </c>
      <c r="O4371" s="15">
        <v>0.72220060627285054</v>
      </c>
      <c r="P4371" s="15">
        <v>0.72220060627285054</v>
      </c>
      <c r="Q4371" s="8"/>
      <c r="R4371" s="9" t="s">
        <v>3918</v>
      </c>
    </row>
    <row r="4372" spans="1:18" x14ac:dyDescent="0.25">
      <c r="A4372" s="6" t="str">
        <f>HYPERLINK("proteomic_fractions_linear_files/Yang_linear_img/119672920.jpg", "119672920")</f>
        <v>119672920</v>
      </c>
      <c r="B4372" s="7"/>
      <c r="C4372" s="6" t="str">
        <f>HYPERLINK("http://www.ncbi.nlm.nih.gov/protein/119672920","Mepce")</f>
        <v>Mepce</v>
      </c>
      <c r="D4372" s="8"/>
      <c r="E4372" s="8">
        <v>71920</v>
      </c>
      <c r="F4372" s="8"/>
      <c r="G4372" s="15" t="s">
        <v>10</v>
      </c>
      <c r="H4372" s="15" t="s">
        <v>10</v>
      </c>
      <c r="I4372" s="15" t="s">
        <v>10</v>
      </c>
      <c r="J4372" s="15" t="s">
        <v>10</v>
      </c>
      <c r="K4372" s="15">
        <v>1.3189997386470071</v>
      </c>
      <c r="L4372" s="15">
        <v>1.3189997386470071</v>
      </c>
      <c r="M4372" s="15">
        <v>1.3189997386470071</v>
      </c>
      <c r="N4372" s="15">
        <v>1.3189997386470071</v>
      </c>
      <c r="O4372" s="15">
        <v>1.1541480343492203</v>
      </c>
      <c r="P4372" s="15">
        <v>1.1541480343492203</v>
      </c>
      <c r="Q4372" s="8"/>
      <c r="R4372" s="9" t="s">
        <v>3919</v>
      </c>
    </row>
    <row r="4373" spans="1:18" x14ac:dyDescent="0.25">
      <c r="A4373" s="6" t="str">
        <f>HYPERLINK("proteomic_fractions_linear_files/Yang_linear_img/228480219.jpg", "228480219")</f>
        <v>228480219</v>
      </c>
      <c r="B4373" s="7"/>
      <c r="C4373" s="6" t="str">
        <f>HYPERLINK("http://www.ncbi.nlm.nih.gov/protein/228480219","Mesdc2")</f>
        <v>Mesdc2</v>
      </c>
      <c r="D4373" s="8"/>
      <c r="E4373" s="8">
        <v>22038</v>
      </c>
      <c r="F4373" s="8"/>
      <c r="G4373" s="15" t="s">
        <v>10</v>
      </c>
      <c r="H4373" s="15" t="s">
        <v>10</v>
      </c>
      <c r="I4373" s="15">
        <v>1.0504351533962475</v>
      </c>
      <c r="J4373" s="15">
        <v>1.0504351533962475</v>
      </c>
      <c r="K4373" s="15">
        <v>1.0504351533962475</v>
      </c>
      <c r="L4373" s="15">
        <v>1.0504351533962475</v>
      </c>
      <c r="M4373" s="15" t="s">
        <v>10</v>
      </c>
      <c r="N4373" s="15" t="s">
        <v>10</v>
      </c>
      <c r="O4373" s="15" t="s">
        <v>10</v>
      </c>
      <c r="P4373" s="15" t="s">
        <v>10</v>
      </c>
      <c r="Q4373" s="8"/>
      <c r="R4373" s="9" t="s">
        <v>3920</v>
      </c>
    </row>
    <row r="4374" spans="1:18" x14ac:dyDescent="0.25">
      <c r="A4374" s="6" t="str">
        <f>HYPERLINK("proteomic_fractions_linear_files/Yang_linear_img/146198696.jpg", "146198696")</f>
        <v>146198696</v>
      </c>
      <c r="B4374" s="7"/>
      <c r="C4374" s="6" t="str">
        <f>HYPERLINK("http://www.ncbi.nlm.nih.gov/protein/146198696","Met")</f>
        <v>Met</v>
      </c>
      <c r="D4374" s="8"/>
      <c r="E4374" s="8">
        <v>151050</v>
      </c>
      <c r="F4374" s="8"/>
      <c r="G4374" s="15" t="s">
        <v>10</v>
      </c>
      <c r="H4374" s="15" t="s">
        <v>10</v>
      </c>
      <c r="I4374" s="15">
        <v>0.35179185185431178</v>
      </c>
      <c r="J4374" s="15">
        <v>0.35179185185431178</v>
      </c>
      <c r="K4374" s="15">
        <v>0.38922654030194603</v>
      </c>
      <c r="L4374" s="15">
        <v>0.38922654030194603</v>
      </c>
      <c r="M4374" s="15" t="s">
        <v>10</v>
      </c>
      <c r="N4374" s="15" t="s">
        <v>10</v>
      </c>
      <c r="O4374" s="15">
        <v>0.31980116281069704</v>
      </c>
      <c r="P4374" s="15">
        <v>0.31980116281069704</v>
      </c>
      <c r="Q4374" s="8"/>
      <c r="R4374" s="9" t="s">
        <v>3921</v>
      </c>
    </row>
    <row r="4375" spans="1:18" x14ac:dyDescent="0.25">
      <c r="A4375" s="6" t="str">
        <f>HYPERLINK("proteomic_fractions_linear_files/Yang_linear_img/28202007.jpg", "28202007")</f>
        <v>28202007</v>
      </c>
      <c r="B4375" s="7"/>
      <c r="C4375" s="6" t="str">
        <f>HYPERLINK("http://www.ncbi.nlm.nih.gov/protein/28202007","Metap1")</f>
        <v>Metap1</v>
      </c>
      <c r="D4375" s="8"/>
      <c r="E4375" s="8">
        <v>43090</v>
      </c>
      <c r="F4375" s="8"/>
      <c r="G4375" s="15" t="s">
        <v>10</v>
      </c>
      <c r="H4375" s="15" t="s">
        <v>10</v>
      </c>
      <c r="I4375" s="15">
        <v>0.942030655888901</v>
      </c>
      <c r="J4375" s="15">
        <v>0.942030655888901</v>
      </c>
      <c r="K4375" s="15">
        <v>1.0261764941154761</v>
      </c>
      <c r="L4375" s="15">
        <v>1.0261764941154761</v>
      </c>
      <c r="M4375" s="15">
        <v>0.942030655888901</v>
      </c>
      <c r="N4375" s="15">
        <v>0.942030655888901</v>
      </c>
      <c r="O4375" s="15">
        <v>0.86840294007266494</v>
      </c>
      <c r="P4375" s="15">
        <v>0.86840294007266494</v>
      </c>
      <c r="Q4375" s="8"/>
      <c r="R4375" s="9" t="s">
        <v>3922</v>
      </c>
    </row>
    <row r="4376" spans="1:18" x14ac:dyDescent="0.25">
      <c r="A4376" s="6" t="str">
        <f>HYPERLINK("proteomic_fractions_linear_files/Yang_linear_img/17975502.jpg", "17975502")</f>
        <v>17975502</v>
      </c>
      <c r="B4376" s="7"/>
      <c r="C4376" s="6" t="str">
        <f>HYPERLINK("http://www.ncbi.nlm.nih.gov/protein/17975502","Metap1d")</f>
        <v>Metap1d</v>
      </c>
      <c r="D4376" s="8"/>
      <c r="E4376" s="8">
        <v>35316</v>
      </c>
      <c r="F4376" s="8"/>
      <c r="G4376" s="15" t="s">
        <v>10</v>
      </c>
      <c r="H4376" s="15" t="s">
        <v>10</v>
      </c>
      <c r="I4376" s="15">
        <v>0.85386876833466085</v>
      </c>
      <c r="J4376" s="15">
        <v>0.85386876833466085</v>
      </c>
      <c r="K4376" s="15" t="s">
        <v>10</v>
      </c>
      <c r="L4376" s="15" t="s">
        <v>10</v>
      </c>
      <c r="M4376" s="15" t="s">
        <v>10</v>
      </c>
      <c r="N4376" s="15" t="s">
        <v>10</v>
      </c>
      <c r="O4376" s="15" t="s">
        <v>10</v>
      </c>
      <c r="P4376" s="15" t="s">
        <v>10</v>
      </c>
      <c r="Q4376" s="8"/>
      <c r="R4376" s="9" t="s">
        <v>3923</v>
      </c>
    </row>
    <row r="4377" spans="1:18" x14ac:dyDescent="0.25">
      <c r="A4377" s="6" t="str">
        <f>HYPERLINK("proteomic_fractions_linear_files/Yang_linear_img/9789873.jpg", "9789873")</f>
        <v>9789873</v>
      </c>
      <c r="B4377" s="7"/>
      <c r="C4377" s="6" t="str">
        <f>HYPERLINK("http://www.ncbi.nlm.nih.gov/protein/9789873","Metap2")</f>
        <v>Metap2</v>
      </c>
      <c r="D4377" s="8"/>
      <c r="E4377" s="8">
        <v>52791</v>
      </c>
      <c r="F4377" s="8"/>
      <c r="G4377" s="15">
        <v>1.5678992164744123</v>
      </c>
      <c r="H4377" s="15">
        <v>1.5678992164744123</v>
      </c>
      <c r="I4377" s="15">
        <v>1.2349672326517798</v>
      </c>
      <c r="J4377" s="15">
        <v>1.2349672326517798</v>
      </c>
      <c r="K4377" s="15">
        <v>1.2349672326517798</v>
      </c>
      <c r="L4377" s="15">
        <v>1.2349672326517798</v>
      </c>
      <c r="M4377" s="15">
        <v>1.2349672326517798</v>
      </c>
      <c r="N4377" s="15">
        <v>1.2349672326517798</v>
      </c>
      <c r="O4377" s="15">
        <v>1.1089284450112047</v>
      </c>
      <c r="P4377" s="15">
        <v>1.1089284450112047</v>
      </c>
      <c r="Q4377" s="8"/>
      <c r="R4377" s="9" t="s">
        <v>3924</v>
      </c>
    </row>
    <row r="4378" spans="1:18" x14ac:dyDescent="0.25">
      <c r="A4378" s="6" t="str">
        <f>HYPERLINK("proteomic_fractions_linear_files/Yang_linear_img/6754682.jpg", "6754682")</f>
        <v>6754682</v>
      </c>
      <c r="B4378" s="7"/>
      <c r="C4378" s="6" t="str">
        <f>HYPERLINK("http://www.ncbi.nlm.nih.gov/protein/6754682","Mettl1")</f>
        <v>Mettl1</v>
      </c>
      <c r="D4378" s="8"/>
      <c r="E4378" s="8">
        <v>30472</v>
      </c>
      <c r="F4378" s="8"/>
      <c r="G4378" s="15" t="s">
        <v>10</v>
      </c>
      <c r="H4378" s="15" t="s">
        <v>10</v>
      </c>
      <c r="I4378" s="15">
        <v>0.93060704325606869</v>
      </c>
      <c r="J4378" s="15">
        <v>0.93060704325606869</v>
      </c>
      <c r="K4378" s="15" t="s">
        <v>10</v>
      </c>
      <c r="L4378" s="15" t="s">
        <v>10</v>
      </c>
      <c r="M4378" s="15">
        <v>0.99618022972377107</v>
      </c>
      <c r="N4378" s="15">
        <v>0.99618022972377107</v>
      </c>
      <c r="O4378" s="15">
        <v>0.87167527051416671</v>
      </c>
      <c r="P4378" s="15">
        <v>0.87167527051416671</v>
      </c>
      <c r="Q4378" s="8"/>
      <c r="R4378" s="9" t="s">
        <v>3925</v>
      </c>
    </row>
    <row r="4379" spans="1:18" x14ac:dyDescent="0.25">
      <c r="A4379" s="6" t="str">
        <f>HYPERLINK("proteomic_fractions_linear_files/Yang_linear_img/47059504.jpg", "47059504")</f>
        <v>47059504</v>
      </c>
      <c r="B4379" s="7"/>
      <c r="C4379" s="6" t="str">
        <f>HYPERLINK("http://www.ncbi.nlm.nih.gov/protein/47059504","Mettl10")</f>
        <v>Mettl10</v>
      </c>
      <c r="D4379" s="8"/>
      <c r="E4379" s="8">
        <v>26733</v>
      </c>
      <c r="F4379" s="8"/>
      <c r="G4379" s="15" t="s">
        <v>10</v>
      </c>
      <c r="H4379" s="15" t="s">
        <v>10</v>
      </c>
      <c r="I4379" s="15" t="s">
        <v>10</v>
      </c>
      <c r="J4379" s="15" t="s">
        <v>10</v>
      </c>
      <c r="K4379" s="15" t="s">
        <v>10</v>
      </c>
      <c r="L4379" s="15" t="s">
        <v>10</v>
      </c>
      <c r="M4379" s="15" t="s">
        <v>10</v>
      </c>
      <c r="N4379" s="15" t="s">
        <v>10</v>
      </c>
      <c r="O4379" s="15">
        <v>0.90943780049173761</v>
      </c>
      <c r="P4379" s="15">
        <v>0.90943780049173761</v>
      </c>
      <c r="Q4379" s="8"/>
      <c r="R4379" s="9" t="s">
        <v>3926</v>
      </c>
    </row>
    <row r="4380" spans="1:18" x14ac:dyDescent="0.25">
      <c r="A4380" s="6" t="str">
        <f>HYPERLINK("proteomic_fractions_linear_files/Yang_linear_img/21536262.jpg", "21536262")</f>
        <v>21536262</v>
      </c>
      <c r="B4380" s="7"/>
      <c r="C4380" s="6" t="str">
        <f>HYPERLINK("http://www.ncbi.nlm.nih.gov/protein/21536262","Mettl13")</f>
        <v>Mettl13</v>
      </c>
      <c r="D4380" s="8"/>
      <c r="E4380" s="8">
        <v>78626</v>
      </c>
      <c r="F4380" s="8"/>
      <c r="G4380" s="15" t="s">
        <v>10</v>
      </c>
      <c r="H4380" s="15" t="s">
        <v>10</v>
      </c>
      <c r="I4380" s="15">
        <v>1.0518817528246058</v>
      </c>
      <c r="J4380" s="15">
        <v>1.0518817528246058</v>
      </c>
      <c r="K4380" s="15">
        <v>1.2021263440833483</v>
      </c>
      <c r="L4380" s="15">
        <v>1.2021263440833483</v>
      </c>
      <c r="M4380" s="15">
        <v>1.0518817528246058</v>
      </c>
      <c r="N4380" s="15">
        <v>1.0518817528246058</v>
      </c>
      <c r="O4380" s="15">
        <v>1.0518817528246058</v>
      </c>
      <c r="P4380" s="15">
        <v>1.0518817528246058</v>
      </c>
      <c r="Q4380" s="8"/>
      <c r="R4380" s="9" t="s">
        <v>3927</v>
      </c>
    </row>
    <row r="4381" spans="1:18" x14ac:dyDescent="0.25">
      <c r="A4381" s="6" t="str">
        <f>HYPERLINK("proteomic_fractions_linear_files/Yang_linear_img/21312938.jpg", "21312938")</f>
        <v>21312938</v>
      </c>
      <c r="B4381" s="7"/>
      <c r="C4381" s="6" t="str">
        <f>HYPERLINK("http://www.ncbi.nlm.nih.gov/protein/21312938","Mettl16")</f>
        <v>Mettl16</v>
      </c>
      <c r="D4381" s="8"/>
      <c r="E4381" s="8">
        <v>62210</v>
      </c>
      <c r="F4381" s="8"/>
      <c r="G4381" s="15" t="s">
        <v>10</v>
      </c>
      <c r="H4381" s="15" t="s">
        <v>10</v>
      </c>
      <c r="I4381" s="15" t="s">
        <v>10</v>
      </c>
      <c r="J4381" s="15" t="s">
        <v>10</v>
      </c>
      <c r="K4381" s="15">
        <v>1.3403009431152235</v>
      </c>
      <c r="L4381" s="15">
        <v>1.3403009431152235</v>
      </c>
      <c r="M4381" s="15">
        <v>1.3403009431152235</v>
      </c>
      <c r="N4381" s="15">
        <v>1.3403009431152235</v>
      </c>
      <c r="O4381" s="15">
        <v>1.1844541974464877</v>
      </c>
      <c r="P4381" s="15">
        <v>1.1844541974464877</v>
      </c>
      <c r="Q4381" s="8"/>
      <c r="R4381" s="9" t="s">
        <v>3928</v>
      </c>
    </row>
    <row r="4382" spans="1:18" x14ac:dyDescent="0.25">
      <c r="A4382" s="6" t="str">
        <f>HYPERLINK("proteomic_fractions_linear_files/Yang_linear_img/255683413.jpg", "255683413")</f>
        <v>255683413</v>
      </c>
      <c r="B4382" s="7"/>
      <c r="C4382" s="6" t="str">
        <f>HYPERLINK("http://www.ncbi.nlm.nih.gov/protein/255683413","Mettl2")</f>
        <v>Mettl2</v>
      </c>
      <c r="D4382" s="8"/>
      <c r="E4382" s="8">
        <v>43781</v>
      </c>
      <c r="F4382" s="8"/>
      <c r="G4382" s="15" t="s">
        <v>10</v>
      </c>
      <c r="H4382" s="15" t="s">
        <v>10</v>
      </c>
      <c r="I4382" s="15" t="s">
        <v>10</v>
      </c>
      <c r="J4382" s="15" t="s">
        <v>10</v>
      </c>
      <c r="K4382" s="15" t="s">
        <v>10</v>
      </c>
      <c r="L4382" s="15" t="s">
        <v>10</v>
      </c>
      <c r="M4382" s="15" t="s">
        <v>10</v>
      </c>
      <c r="N4382" s="15" t="s">
        <v>10</v>
      </c>
      <c r="O4382" s="15">
        <v>0.9206208682550624</v>
      </c>
      <c r="P4382" s="15">
        <v>0.9206208682550624</v>
      </c>
      <c r="Q4382" s="8"/>
      <c r="R4382" s="9" t="s">
        <v>3929</v>
      </c>
    </row>
    <row r="4383" spans="1:18" x14ac:dyDescent="0.25">
      <c r="A4383" s="6" t="str">
        <f>HYPERLINK("proteomic_fractions_linear_files/Yang_linear_img/77627973.jpg", "77627973")</f>
        <v>77627973</v>
      </c>
      <c r="B4383" s="7"/>
      <c r="C4383" s="6" t="str">
        <f>HYPERLINK("http://www.ncbi.nlm.nih.gov/protein/77627973","Mettl3")</f>
        <v>Mettl3</v>
      </c>
      <c r="D4383" s="8"/>
      <c r="E4383" s="8">
        <v>64499</v>
      </c>
      <c r="F4383" s="8"/>
      <c r="G4383" s="15" t="s">
        <v>10</v>
      </c>
      <c r="H4383" s="15" t="s">
        <v>10</v>
      </c>
      <c r="I4383" s="15" t="s">
        <v>10</v>
      </c>
      <c r="J4383" s="15" t="s">
        <v>10</v>
      </c>
      <c r="K4383" s="15" t="s">
        <v>10</v>
      </c>
      <c r="L4383" s="15" t="s">
        <v>10</v>
      </c>
      <c r="M4383" s="15" t="s">
        <v>10</v>
      </c>
      <c r="N4383" s="15" t="s">
        <v>10</v>
      </c>
      <c r="O4383" s="15">
        <v>1.1474400037762851</v>
      </c>
      <c r="P4383" s="15">
        <v>1.1474400037762851</v>
      </c>
      <c r="Q4383" s="8"/>
      <c r="R4383" s="9" t="s">
        <v>3930</v>
      </c>
    </row>
    <row r="4384" spans="1:18" x14ac:dyDescent="0.25">
      <c r="A4384" s="6" t="str">
        <f>HYPERLINK("proteomic_fractions_linear_files/Yang_linear_img/33563290.jpg", "33563290")</f>
        <v>33563290</v>
      </c>
      <c r="B4384" s="7"/>
      <c r="C4384" s="6" t="str">
        <f>HYPERLINK("http://www.ncbi.nlm.nih.gov/protein/33563290","Mettl7a1")</f>
        <v>Mettl7a1</v>
      </c>
      <c r="D4384" s="8"/>
      <c r="E4384" s="8">
        <v>27965</v>
      </c>
      <c r="F4384" s="8"/>
      <c r="G4384" s="15">
        <v>1.2340491618026852</v>
      </c>
      <c r="H4384" s="15">
        <v>0.82534190623990877</v>
      </c>
      <c r="I4384" s="15">
        <v>0.87695787904560418</v>
      </c>
      <c r="J4384" s="15">
        <v>0.87695787904560418</v>
      </c>
      <c r="K4384" s="15">
        <v>0.87695787904560418</v>
      </c>
      <c r="L4384" s="15">
        <v>0.87695787904560418</v>
      </c>
      <c r="M4384" s="15">
        <v>0.87695787904560418</v>
      </c>
      <c r="N4384" s="15">
        <v>0.87695787904560418</v>
      </c>
      <c r="O4384" s="15" t="s">
        <v>10</v>
      </c>
      <c r="P4384" s="15" t="s">
        <v>10</v>
      </c>
      <c r="Q4384" s="8"/>
      <c r="R4384" s="9" t="s">
        <v>3931</v>
      </c>
    </row>
    <row r="4385" spans="1:18" x14ac:dyDescent="0.25">
      <c r="A4385" s="6" t="str">
        <f>HYPERLINK("proteomic_fractions_linear_files/Yang_linear_img/61098178.jpg", "61098178")</f>
        <v>61098178</v>
      </c>
      <c r="B4385" s="7"/>
      <c r="C4385" s="6" t="str">
        <f>HYPERLINK("http://www.ncbi.nlm.nih.gov/protein/61098178","Mettl7a2")</f>
        <v>Mettl7a2</v>
      </c>
      <c r="D4385" s="8"/>
      <c r="E4385" s="8">
        <v>27915</v>
      </c>
      <c r="F4385" s="8"/>
      <c r="G4385" s="15">
        <v>1.2340491618026852</v>
      </c>
      <c r="H4385" s="15">
        <v>0.82534190623990877</v>
      </c>
      <c r="I4385" s="15">
        <v>0.87695787904560418</v>
      </c>
      <c r="J4385" s="15">
        <v>0.87695787904560418</v>
      </c>
      <c r="K4385" s="15">
        <v>0.93393778983660714</v>
      </c>
      <c r="L4385" s="15">
        <v>0.87695787904560418</v>
      </c>
      <c r="M4385" s="15">
        <v>0.87695787904560418</v>
      </c>
      <c r="N4385" s="15">
        <v>0.87695787904560418</v>
      </c>
      <c r="O4385" s="15" t="s">
        <v>10</v>
      </c>
      <c r="P4385" s="15" t="s">
        <v>10</v>
      </c>
      <c r="Q4385" s="8"/>
      <c r="R4385" s="9" t="s">
        <v>3932</v>
      </c>
    </row>
    <row r="4386" spans="1:18" x14ac:dyDescent="0.25">
      <c r="A4386" s="6" t="str">
        <f>HYPERLINK("proteomic_fractions_linear_files/Yang_linear_img/67003561.jpg", "67003561")</f>
        <v>67003561</v>
      </c>
      <c r="B4386" s="7"/>
      <c r="C4386" s="6" t="str">
        <f>HYPERLINK("http://www.ncbi.nlm.nih.gov/protein/67003561","Mettl7a2Higd1c")</f>
        <v>Mettl7a2Higd1c</v>
      </c>
      <c r="D4386" s="8"/>
      <c r="E4386" s="8">
        <v>29866</v>
      </c>
      <c r="F4386" s="8"/>
      <c r="G4386" s="15">
        <v>1.1517792176825061</v>
      </c>
      <c r="H4386" s="15">
        <v>0.77031911249058149</v>
      </c>
      <c r="I4386" s="15">
        <v>0.81849402044256392</v>
      </c>
      <c r="J4386" s="15">
        <v>0.81849402044256392</v>
      </c>
      <c r="K4386" s="15">
        <v>0.87167527051416671</v>
      </c>
      <c r="L4386" s="15">
        <v>0.81849402044256392</v>
      </c>
      <c r="M4386" s="15">
        <v>0.81849402044256392</v>
      </c>
      <c r="N4386" s="15">
        <v>0.81849402044256392</v>
      </c>
      <c r="O4386" s="15" t="s">
        <v>10</v>
      </c>
      <c r="P4386" s="15" t="s">
        <v>10</v>
      </c>
      <c r="Q4386" s="8"/>
      <c r="R4386" s="9" t="s">
        <v>3933</v>
      </c>
    </row>
    <row r="4387" spans="1:18" x14ac:dyDescent="0.25">
      <c r="A4387" s="6" t="str">
        <f>HYPERLINK("proteomic_fractions_linear_files/Yang_linear_img/125490373.jpg", "125490373")</f>
        <v>125490373</v>
      </c>
      <c r="B4387" s="7"/>
      <c r="C4387" s="6" t="str">
        <f>HYPERLINK("http://www.ncbi.nlm.nih.gov/protein/125490373","Mettl7a3")</f>
        <v>Mettl7a3</v>
      </c>
      <c r="D4387" s="8"/>
      <c r="E4387" s="8">
        <v>27897</v>
      </c>
      <c r="F4387" s="8"/>
      <c r="G4387" s="15">
        <v>0.82534190623990877</v>
      </c>
      <c r="H4387" s="15">
        <v>0.82534190623990877</v>
      </c>
      <c r="I4387" s="15">
        <v>0.87695787904560418</v>
      </c>
      <c r="J4387" s="15">
        <v>0.87695787904560418</v>
      </c>
      <c r="K4387" s="15">
        <v>0.93393778983660714</v>
      </c>
      <c r="L4387" s="15">
        <v>0.87695787904560418</v>
      </c>
      <c r="M4387" s="15">
        <v>0.87695787904560418</v>
      </c>
      <c r="N4387" s="15">
        <v>0.87695787904560418</v>
      </c>
      <c r="O4387" s="15" t="s">
        <v>10</v>
      </c>
      <c r="P4387" s="15" t="s">
        <v>10</v>
      </c>
      <c r="Q4387" s="8"/>
      <c r="R4387" s="9" t="s">
        <v>3934</v>
      </c>
    </row>
    <row r="4388" spans="1:18" x14ac:dyDescent="0.25">
      <c r="A4388" s="6" t="str">
        <f>HYPERLINK("proteomic_fractions_linear_files/Yang_linear_img/34328259.jpg", "34328259")</f>
        <v>34328259</v>
      </c>
      <c r="B4388" s="7"/>
      <c r="C4388" s="6" t="str">
        <f>HYPERLINK("http://www.ncbi.nlm.nih.gov/protein/34328259","Mettl9")</f>
        <v>Mettl9</v>
      </c>
      <c r="D4388" s="8"/>
      <c r="E4388" s="8">
        <v>34441</v>
      </c>
      <c r="F4388" s="8"/>
      <c r="G4388" s="15" t="s">
        <v>10</v>
      </c>
      <c r="H4388" s="15" t="s">
        <v>10</v>
      </c>
      <c r="I4388" s="15">
        <v>0.76912523868897065</v>
      </c>
      <c r="J4388" s="15">
        <v>0.76912523868897065</v>
      </c>
      <c r="K4388" s="15">
        <v>0.82112386169653118</v>
      </c>
      <c r="L4388" s="15">
        <v>0.82112386169653118</v>
      </c>
      <c r="M4388" s="15" t="s">
        <v>10</v>
      </c>
      <c r="N4388" s="15" t="s">
        <v>10</v>
      </c>
      <c r="O4388" s="15" t="s">
        <v>10</v>
      </c>
      <c r="P4388" s="15" t="s">
        <v>10</v>
      </c>
      <c r="Q4388" s="8"/>
      <c r="R4388" s="9" t="s">
        <v>3935</v>
      </c>
    </row>
    <row r="4389" spans="1:18" x14ac:dyDescent="0.25">
      <c r="A4389" s="6" t="str">
        <f>HYPERLINK("proteomic_fractions_linear_files/Yang_linear_img/126517472.jpg", "126517472")</f>
        <v>126517472</v>
      </c>
      <c r="B4389" s="7"/>
      <c r="C4389" s="6" t="str">
        <f>HYPERLINK("http://www.ncbi.nlm.nih.gov/protein/126517472","Mfap1b")</f>
        <v>Mfap1b</v>
      </c>
      <c r="D4389" s="8"/>
      <c r="E4389" s="8">
        <v>51823</v>
      </c>
      <c r="F4389" s="8"/>
      <c r="G4389" s="15" t="s">
        <v>10</v>
      </c>
      <c r="H4389" s="15" t="s">
        <v>10</v>
      </c>
      <c r="I4389" s="15">
        <v>115.25192307692308</v>
      </c>
      <c r="J4389" s="15">
        <v>115.25192307692308</v>
      </c>
      <c r="K4389" s="15">
        <v>1.4122338508015817</v>
      </c>
      <c r="L4389" s="15">
        <v>1.4122338508015817</v>
      </c>
      <c r="M4389" s="15" t="s">
        <v>10</v>
      </c>
      <c r="N4389" s="15" t="s">
        <v>10</v>
      </c>
      <c r="O4389" s="15" t="s">
        <v>10</v>
      </c>
      <c r="P4389" s="15" t="s">
        <v>10</v>
      </c>
      <c r="Q4389" s="8"/>
      <c r="R4389" s="9" t="s">
        <v>3936</v>
      </c>
    </row>
    <row r="4390" spans="1:18" x14ac:dyDescent="0.25">
      <c r="A4390" s="6" t="str">
        <f>HYPERLINK("proteomic_fractions_linear_files/Yang_linear_img/113865977.jpg", "113865977")</f>
        <v>113865977</v>
      </c>
      <c r="B4390" s="7"/>
      <c r="C4390" s="6" t="str">
        <f>HYPERLINK("http://www.ncbi.nlm.nih.gov/protein/113865977","Mfge8")</f>
        <v>Mfge8</v>
      </c>
      <c r="D4390" s="8"/>
      <c r="E4390" s="8">
        <v>44933</v>
      </c>
      <c r="F4390" s="8"/>
      <c r="G4390" s="15" t="s">
        <v>10</v>
      </c>
      <c r="H4390" s="15" t="s">
        <v>10</v>
      </c>
      <c r="I4390" s="15">
        <v>0.71297939679407973</v>
      </c>
      <c r="J4390" s="15">
        <v>0.71297939679407973</v>
      </c>
      <c r="K4390" s="15">
        <v>1.3060712796798635</v>
      </c>
      <c r="L4390" s="15">
        <v>1.3060712796798635</v>
      </c>
      <c r="M4390" s="15">
        <v>0.71297939679407973</v>
      </c>
      <c r="N4390" s="15">
        <v>0.71297939679407973</v>
      </c>
      <c r="O4390" s="15" t="s">
        <v>10</v>
      </c>
      <c r="P4390" s="15" t="s">
        <v>10</v>
      </c>
      <c r="Q4390" s="8"/>
      <c r="R4390" s="9" t="s">
        <v>3937</v>
      </c>
    </row>
    <row r="4391" spans="1:18" x14ac:dyDescent="0.25">
      <c r="A4391" s="6" t="str">
        <f>HYPERLINK("proteomic_fractions_linear_files/Yang_linear_img/113865979.jpg", "113865979")</f>
        <v>113865979</v>
      </c>
      <c r="B4391" s="7"/>
      <c r="C4391" s="6" t="str">
        <f>HYPERLINK("http://www.ncbi.nlm.nih.gov/protein/113865979","Mfge8")</f>
        <v>Mfge8</v>
      </c>
      <c r="D4391" s="8"/>
      <c r="E4391" s="8">
        <v>49004</v>
      </c>
      <c r="F4391" s="8"/>
      <c r="G4391" s="15" t="s">
        <v>10</v>
      </c>
      <c r="H4391" s="15" t="s">
        <v>10</v>
      </c>
      <c r="I4391" s="15">
        <v>0.65477699705578751</v>
      </c>
      <c r="J4391" s="15">
        <v>0.65477699705578751</v>
      </c>
      <c r="K4391" s="15">
        <v>1.1994532160325275</v>
      </c>
      <c r="L4391" s="15">
        <v>1.1994532160325275</v>
      </c>
      <c r="M4391" s="15">
        <v>0.65477699705578751</v>
      </c>
      <c r="N4391" s="15">
        <v>0.65477699705578751</v>
      </c>
      <c r="O4391" s="15" t="s">
        <v>10</v>
      </c>
      <c r="P4391" s="15" t="s">
        <v>10</v>
      </c>
      <c r="Q4391" s="8"/>
      <c r="R4391" s="9" t="s">
        <v>3938</v>
      </c>
    </row>
    <row r="4392" spans="1:18" x14ac:dyDescent="0.25">
      <c r="A4392" s="6" t="str">
        <f>HYPERLINK("proteomic_fractions_linear_files/Yang_linear_img/124486881.jpg", "124486881")</f>
        <v>124486881</v>
      </c>
      <c r="B4392" s="7"/>
      <c r="C4392" s="6" t="str">
        <f>HYPERLINK("http://www.ncbi.nlm.nih.gov/protein/124486881","Mfhas1")</f>
        <v>Mfhas1</v>
      </c>
      <c r="D4392" s="8"/>
      <c r="E4392" s="8">
        <v>116469</v>
      </c>
      <c r="F4392" s="8"/>
      <c r="G4392" s="15" t="s">
        <v>10</v>
      </c>
      <c r="H4392" s="15" t="s">
        <v>10</v>
      </c>
      <c r="I4392" s="15" t="s">
        <v>10</v>
      </c>
      <c r="J4392" s="15" t="s">
        <v>10</v>
      </c>
      <c r="K4392" s="15" t="s">
        <v>10</v>
      </c>
      <c r="L4392" s="15" t="s">
        <v>10</v>
      </c>
      <c r="M4392" s="15">
        <v>8.2671398091932691</v>
      </c>
      <c r="N4392" s="15">
        <v>8.2671398091932691</v>
      </c>
      <c r="O4392" s="15">
        <v>2.0117314450676642</v>
      </c>
      <c r="P4392" s="15">
        <v>2.0117314450676642</v>
      </c>
      <c r="Q4392" s="8"/>
      <c r="R4392" s="9" t="s">
        <v>3939</v>
      </c>
    </row>
    <row r="4393" spans="1:18" x14ac:dyDescent="0.25">
      <c r="A4393" s="6" t="str">
        <f>HYPERLINK("proteomic_fractions_linear_files/Yang_linear_img/244793488.jpg", "244793488")</f>
        <v>244793488</v>
      </c>
      <c r="B4393" s="7"/>
      <c r="C4393" s="6" t="str">
        <f>HYPERLINK("http://www.ncbi.nlm.nih.gov/protein/244793488","Mfn1")</f>
        <v>Mfn1</v>
      </c>
      <c r="D4393" s="8"/>
      <c r="E4393" s="8">
        <v>83595</v>
      </c>
      <c r="F4393" s="8"/>
      <c r="G4393" s="15">
        <v>1.3071614740610888</v>
      </c>
      <c r="H4393" s="15">
        <v>1.3071614740610888</v>
      </c>
      <c r="I4393" s="15">
        <v>1.1305712045545775</v>
      </c>
      <c r="J4393" s="15">
        <v>1.1305712045545775</v>
      </c>
      <c r="K4393" s="15">
        <v>1.1305712045545775</v>
      </c>
      <c r="L4393" s="15">
        <v>1.1305712045545775</v>
      </c>
      <c r="M4393" s="15" t="s">
        <v>10</v>
      </c>
      <c r="N4393" s="15" t="s">
        <v>10</v>
      </c>
      <c r="O4393" s="15" t="s">
        <v>10</v>
      </c>
      <c r="P4393" s="15" t="s">
        <v>10</v>
      </c>
      <c r="Q4393" s="8"/>
      <c r="R4393" s="9" t="s">
        <v>3940</v>
      </c>
    </row>
    <row r="4394" spans="1:18" x14ac:dyDescent="0.25">
      <c r="A4394" s="6" t="str">
        <f>HYPERLINK("proteomic_fractions_linear_files/Yang_linear_img/21313266.jpg", "21313266")</f>
        <v>21313266</v>
      </c>
      <c r="B4394" s="7"/>
      <c r="C4394" s="6" t="str">
        <f>HYPERLINK("http://www.ncbi.nlm.nih.gov/protein/21313266","Mfsd1")</f>
        <v>Mfsd1</v>
      </c>
      <c r="D4394" s="8"/>
      <c r="E4394" s="8">
        <v>51265</v>
      </c>
      <c r="F4394" s="8"/>
      <c r="G4394" s="15" t="s">
        <v>10</v>
      </c>
      <c r="H4394" s="15" t="s">
        <v>10</v>
      </c>
      <c r="I4394" s="15">
        <v>0.62909946775948211</v>
      </c>
      <c r="J4394" s="15">
        <v>0.62909946775948211</v>
      </c>
      <c r="K4394" s="15">
        <v>0.67751718687206242</v>
      </c>
      <c r="L4394" s="15">
        <v>0.67751718687206242</v>
      </c>
      <c r="M4394" s="15" t="s">
        <v>10</v>
      </c>
      <c r="N4394" s="15" t="s">
        <v>10</v>
      </c>
      <c r="O4394" s="15" t="s">
        <v>10</v>
      </c>
      <c r="P4394" s="15" t="s">
        <v>10</v>
      </c>
      <c r="Q4394" s="8"/>
      <c r="R4394" s="9" t="s">
        <v>3941</v>
      </c>
    </row>
    <row r="4395" spans="1:18" x14ac:dyDescent="0.25">
      <c r="A4395" s="6" t="str">
        <f>HYPERLINK("proteomic_fractions_linear_files/Yang_linear_img/13386144.jpg", "13386144")</f>
        <v>13386144</v>
      </c>
      <c r="B4395" s="7"/>
      <c r="C4395" s="6" t="str">
        <f>HYPERLINK("http://www.ncbi.nlm.nih.gov/protein/13386144","Mfsd10")</f>
        <v>Mfsd10</v>
      </c>
      <c r="D4395" s="8"/>
      <c r="E4395" s="8">
        <v>49238</v>
      </c>
      <c r="F4395" s="8"/>
      <c r="G4395" s="15">
        <v>0.65477699705578751</v>
      </c>
      <c r="H4395" s="15">
        <v>0.65477699705578751</v>
      </c>
      <c r="I4395" s="15">
        <v>0.70517094960153437</v>
      </c>
      <c r="J4395" s="15">
        <v>0.70517094960153437</v>
      </c>
      <c r="K4395" s="15">
        <v>0.70517094960153437</v>
      </c>
      <c r="L4395" s="15">
        <v>0.70517094960153437</v>
      </c>
      <c r="M4395" s="15">
        <v>0.70517094960153437</v>
      </c>
      <c r="N4395" s="15">
        <v>0.70517094960153437</v>
      </c>
      <c r="O4395" s="15" t="s">
        <v>10</v>
      </c>
      <c r="P4395" s="15" t="s">
        <v>10</v>
      </c>
      <c r="Q4395" s="8"/>
      <c r="R4395" s="9" t="s">
        <v>3942</v>
      </c>
    </row>
    <row r="4396" spans="1:18" x14ac:dyDescent="0.25">
      <c r="A4396" s="6" t="str">
        <f>HYPERLINK("proteomic_fractions_linear_files/Yang_linear_img/148540196.jpg", "148540196")</f>
        <v>148540196</v>
      </c>
      <c r="B4396" s="7"/>
      <c r="C4396" s="6" t="str">
        <f>HYPERLINK("http://www.ncbi.nlm.nih.gov/protein/148540196","Mfsd12")</f>
        <v>Mfsd12</v>
      </c>
      <c r="D4396" s="8"/>
      <c r="E4396" s="8">
        <v>51373</v>
      </c>
      <c r="F4396" s="8"/>
      <c r="G4396" s="15" t="s">
        <v>10</v>
      </c>
      <c r="H4396" s="15" t="s">
        <v>10</v>
      </c>
      <c r="I4396" s="15">
        <v>0.67751718687206242</v>
      </c>
      <c r="J4396" s="15">
        <v>0.67751718687206242</v>
      </c>
      <c r="K4396" s="15">
        <v>0.67751718687206242</v>
      </c>
      <c r="L4396" s="15">
        <v>0.67751718687206242</v>
      </c>
      <c r="M4396" s="15" t="s">
        <v>10</v>
      </c>
      <c r="N4396" s="15" t="s">
        <v>10</v>
      </c>
      <c r="O4396" s="15" t="s">
        <v>10</v>
      </c>
      <c r="P4396" s="15" t="s">
        <v>10</v>
      </c>
      <c r="Q4396" s="8"/>
      <c r="R4396" s="9" t="s">
        <v>3943</v>
      </c>
    </row>
    <row r="4397" spans="1:18" x14ac:dyDescent="0.25">
      <c r="A4397" s="6" t="str">
        <f>HYPERLINK("proteomic_fractions_linear_files/Yang_linear_img/19527330.jpg", "19527330")</f>
        <v>19527330</v>
      </c>
      <c r="B4397" s="7"/>
      <c r="C4397" s="6" t="str">
        <f>HYPERLINK("http://www.ncbi.nlm.nih.gov/protein/19527330","Mfsd5")</f>
        <v>Mfsd5</v>
      </c>
      <c r="D4397" s="8"/>
      <c r="E4397" s="8">
        <v>47839</v>
      </c>
      <c r="F4397" s="8"/>
      <c r="G4397" s="15" t="s">
        <v>10</v>
      </c>
      <c r="H4397" s="15" t="s">
        <v>10</v>
      </c>
      <c r="I4397" s="15">
        <v>0.62261264357735691</v>
      </c>
      <c r="J4397" s="15">
        <v>0.62261264357735691</v>
      </c>
      <c r="K4397" s="15" t="s">
        <v>10</v>
      </c>
      <c r="L4397" s="15" t="s">
        <v>10</v>
      </c>
      <c r="M4397" s="15" t="s">
        <v>10</v>
      </c>
      <c r="N4397" s="15" t="s">
        <v>10</v>
      </c>
      <c r="O4397" s="15" t="s">
        <v>10</v>
      </c>
      <c r="P4397" s="15" t="s">
        <v>10</v>
      </c>
      <c r="Q4397" s="8"/>
      <c r="R4397" s="9" t="s">
        <v>3944</v>
      </c>
    </row>
    <row r="4398" spans="1:18" x14ac:dyDescent="0.25">
      <c r="A4398" s="6" t="str">
        <f>HYPERLINK("proteomic_fractions_linear_files/Yang_linear_img/160707919.jpg", "160707919")</f>
        <v>160707919</v>
      </c>
      <c r="B4398" s="7"/>
      <c r="C4398" s="6" t="str">
        <f>HYPERLINK("http://www.ncbi.nlm.nih.gov/protein/160707919","Mfsd6")</f>
        <v>Mfsd6</v>
      </c>
      <c r="D4398" s="8"/>
      <c r="E4398" s="8">
        <v>87697</v>
      </c>
      <c r="F4398" s="8"/>
      <c r="G4398" s="15" t="s">
        <v>10</v>
      </c>
      <c r="H4398" s="15" t="s">
        <v>10</v>
      </c>
      <c r="I4398" s="15">
        <v>1.7437826265482028</v>
      </c>
      <c r="J4398" s="15">
        <v>1.7437826265482028</v>
      </c>
      <c r="K4398" s="15" t="s">
        <v>10</v>
      </c>
      <c r="L4398" s="15" t="s">
        <v>10</v>
      </c>
      <c r="M4398" s="15">
        <v>1.7437826265482028</v>
      </c>
      <c r="N4398" s="15">
        <v>1.7437826265482028</v>
      </c>
      <c r="O4398" s="15" t="s">
        <v>10</v>
      </c>
      <c r="P4398" s="15" t="s">
        <v>10</v>
      </c>
      <c r="Q4398" s="8"/>
      <c r="R4398" s="9" t="s">
        <v>3945</v>
      </c>
    </row>
    <row r="4399" spans="1:18" x14ac:dyDescent="0.25">
      <c r="A4399" s="6" t="str">
        <f>HYPERLINK("proteomic_fractions_linear_files/Yang_linear_img/31541926.jpg", "31541926")</f>
        <v>31541926</v>
      </c>
      <c r="B4399" s="7"/>
      <c r="C4399" s="6" t="str">
        <f>HYPERLINK("http://www.ncbi.nlm.nih.gov/protein/31541926","Mfsd8")</f>
        <v>Mfsd8</v>
      </c>
      <c r="D4399" s="8"/>
      <c r="E4399" s="8">
        <v>57438</v>
      </c>
      <c r="F4399" s="8"/>
      <c r="G4399" s="15" t="s">
        <v>10</v>
      </c>
      <c r="H4399" s="15" t="s">
        <v>10</v>
      </c>
      <c r="I4399" s="15">
        <v>0.3082445572869994</v>
      </c>
      <c r="J4399" s="15">
        <v>0.3082445572869994</v>
      </c>
      <c r="K4399" s="15" t="s">
        <v>10</v>
      </c>
      <c r="L4399" s="15" t="s">
        <v>10</v>
      </c>
      <c r="M4399" s="15" t="s">
        <v>10</v>
      </c>
      <c r="N4399" s="15" t="s">
        <v>10</v>
      </c>
      <c r="O4399" s="15" t="s">
        <v>10</v>
      </c>
      <c r="P4399" s="15" t="s">
        <v>10</v>
      </c>
      <c r="Q4399" s="8"/>
      <c r="R4399" s="9" t="s">
        <v>3946</v>
      </c>
    </row>
    <row r="4400" spans="1:18" x14ac:dyDescent="0.25">
      <c r="A4400" s="6" t="str">
        <f>HYPERLINK("proteomic_fractions_linear_files/Yang_linear_img/158711696.jpg", "158711696")</f>
        <v>158711696</v>
      </c>
      <c r="B4400" s="7"/>
      <c r="C4400" s="6" t="str">
        <f>HYPERLINK("http://www.ncbi.nlm.nih.gov/protein/158711696","Mgat1")</f>
        <v>Mgat1</v>
      </c>
      <c r="D4400" s="8"/>
      <c r="E4400" s="8">
        <v>51559</v>
      </c>
      <c r="F4400" s="8"/>
      <c r="G4400" s="15" t="s">
        <v>10</v>
      </c>
      <c r="H4400" s="15" t="s">
        <v>10</v>
      </c>
      <c r="I4400" s="15" t="s">
        <v>10</v>
      </c>
      <c r="J4400" s="15" t="s">
        <v>10</v>
      </c>
      <c r="K4400" s="15" t="s">
        <v>10</v>
      </c>
      <c r="L4400" s="15" t="s">
        <v>10</v>
      </c>
      <c r="M4400" s="15">
        <v>36.268546233326745</v>
      </c>
      <c r="N4400" s="15">
        <v>36.268546233326745</v>
      </c>
      <c r="O4400" s="15" t="s">
        <v>10</v>
      </c>
      <c r="P4400" s="15" t="s">
        <v>10</v>
      </c>
      <c r="Q4400" s="8"/>
      <c r="R4400" s="9" t="s">
        <v>3947</v>
      </c>
    </row>
    <row r="4401" spans="1:18" x14ac:dyDescent="0.25">
      <c r="A4401" s="6" t="str">
        <f>HYPERLINK("proteomic_fractions_linear_files/Yang_linear_img/22122521.jpg", "22122521")</f>
        <v>22122521</v>
      </c>
      <c r="B4401" s="7"/>
      <c r="C4401" s="6" t="str">
        <f>HYPERLINK("http://www.ncbi.nlm.nih.gov/protein/22122521","Mgat2")</f>
        <v>Mgat2</v>
      </c>
      <c r="D4401" s="8"/>
      <c r="E4401" s="8">
        <v>50899</v>
      </c>
      <c r="F4401" s="8"/>
      <c r="G4401" s="15" t="s">
        <v>10</v>
      </c>
      <c r="H4401" s="15" t="s">
        <v>10</v>
      </c>
      <c r="I4401" s="15">
        <v>1.1524158350116442</v>
      </c>
      <c r="J4401" s="15">
        <v>1.1524158350116442</v>
      </c>
      <c r="K4401" s="15" t="s">
        <v>10</v>
      </c>
      <c r="L4401" s="15" t="s">
        <v>10</v>
      </c>
      <c r="M4401" s="15" t="s">
        <v>10</v>
      </c>
      <c r="N4401" s="15" t="s">
        <v>10</v>
      </c>
      <c r="O4401" s="15" t="s">
        <v>10</v>
      </c>
      <c r="P4401" s="15" t="s">
        <v>10</v>
      </c>
      <c r="Q4401" s="8"/>
      <c r="R4401" s="9" t="s">
        <v>3948</v>
      </c>
    </row>
    <row r="4402" spans="1:18" x14ac:dyDescent="0.25">
      <c r="A4402" s="6" t="str">
        <f>HYPERLINK("proteomic_fractions_linear_files/Yang_linear_img/253683470.jpg", "253683470")</f>
        <v>253683470</v>
      </c>
      <c r="B4402" s="7"/>
      <c r="C4402" s="6" t="str">
        <f>HYPERLINK("http://www.ncbi.nlm.nih.gov/protein/253683470","Mgat4b")</f>
        <v>Mgat4b</v>
      </c>
      <c r="D4402" s="8"/>
      <c r="E4402" s="8">
        <v>60687</v>
      </c>
      <c r="F4402" s="8"/>
      <c r="G4402" s="15" t="s">
        <v>10</v>
      </c>
      <c r="H4402" s="15" t="s">
        <v>10</v>
      </c>
      <c r="I4402" s="15">
        <v>1.3622730897236699</v>
      </c>
      <c r="J4402" s="15">
        <v>1.3622730897236699</v>
      </c>
      <c r="K4402" s="15" t="s">
        <v>10</v>
      </c>
      <c r="L4402" s="15" t="s">
        <v>10</v>
      </c>
      <c r="M4402" s="15" t="s">
        <v>10</v>
      </c>
      <c r="N4402" s="15" t="s">
        <v>10</v>
      </c>
      <c r="O4402" s="15" t="s">
        <v>10</v>
      </c>
      <c r="P4402" s="15" t="s">
        <v>10</v>
      </c>
      <c r="Q4402" s="8"/>
      <c r="R4402" s="9" t="s">
        <v>3949</v>
      </c>
    </row>
    <row r="4403" spans="1:18" x14ac:dyDescent="0.25">
      <c r="A4403" s="6" t="str">
        <f>HYPERLINK("proteomic_fractions_linear_files/Yang_linear_img/326633239.jpg", "326633239")</f>
        <v>326633239</v>
      </c>
      <c r="B4403" s="7"/>
      <c r="C4403" s="6" t="str">
        <f>HYPERLINK("http://www.ncbi.nlm.nih.gov/protein/326633239","Mgat4c")</f>
        <v>Mgat4c</v>
      </c>
      <c r="D4403" s="8"/>
      <c r="E4403" s="8">
        <v>56119</v>
      </c>
      <c r="F4403" s="8"/>
      <c r="G4403" s="15" t="s">
        <v>10</v>
      </c>
      <c r="H4403" s="15" t="s">
        <v>10</v>
      </c>
      <c r="I4403" s="15" t="s">
        <v>10</v>
      </c>
      <c r="J4403" s="15" t="s">
        <v>10</v>
      </c>
      <c r="K4403" s="15">
        <v>0.33027319936721578</v>
      </c>
      <c r="L4403" s="15">
        <v>0.33027319936721578</v>
      </c>
      <c r="M4403" s="15" t="s">
        <v>10</v>
      </c>
      <c r="N4403" s="15" t="s">
        <v>10</v>
      </c>
      <c r="O4403" s="15" t="s">
        <v>10</v>
      </c>
      <c r="P4403" s="15" t="s">
        <v>10</v>
      </c>
      <c r="Q4403" s="8"/>
      <c r="R4403" s="9" t="s">
        <v>3950</v>
      </c>
    </row>
    <row r="4404" spans="1:18" x14ac:dyDescent="0.25">
      <c r="A4404" s="6" t="str">
        <f>HYPERLINK("proteomic_fractions_linear_files/Yang_linear_img/15011884.jpg", "15011884")</f>
        <v>15011884</v>
      </c>
      <c r="B4404" s="7"/>
      <c r="C4404" s="6" t="str">
        <f>HYPERLINK("http://www.ncbi.nlm.nih.gov/protein/15011884","Mgea5")</f>
        <v>Mgea5</v>
      </c>
      <c r="D4404" s="8"/>
      <c r="E4404" s="8">
        <v>103032</v>
      </c>
      <c r="F4404" s="8"/>
      <c r="G4404" s="15" t="s">
        <v>10</v>
      </c>
      <c r="H4404" s="15" t="s">
        <v>10</v>
      </c>
      <c r="I4404" s="15" t="s">
        <v>10</v>
      </c>
      <c r="J4404" s="15" t="s">
        <v>10</v>
      </c>
      <c r="K4404" s="15">
        <v>1.4898337003518625</v>
      </c>
      <c r="L4404" s="15">
        <v>1.4898337003518625</v>
      </c>
      <c r="M4404" s="15">
        <v>1.4898337003518625</v>
      </c>
      <c r="N4404" s="15">
        <v>1.4898337003518625</v>
      </c>
      <c r="O4404" s="15">
        <v>1.2497245450982231</v>
      </c>
      <c r="P4404" s="15">
        <v>1.2497245450982231</v>
      </c>
      <c r="Q4404" s="8"/>
      <c r="R4404" s="9" t="s">
        <v>3951</v>
      </c>
    </row>
    <row r="4405" spans="1:18" x14ac:dyDescent="0.25">
      <c r="A4405" s="6" t="str">
        <f>HYPERLINK("proteomic_fractions_linear_files/Yang_linear_img/21312780.jpg", "21312780")</f>
        <v>21312780</v>
      </c>
      <c r="B4405" s="7"/>
      <c r="C4405" s="6" t="str">
        <f>HYPERLINK("http://www.ncbi.nlm.nih.gov/protein/21312780","Mgme1")</f>
        <v>Mgme1</v>
      </c>
      <c r="D4405" s="8"/>
      <c r="E4405" s="8">
        <v>31121</v>
      </c>
      <c r="F4405" s="8"/>
      <c r="G4405" s="15" t="s">
        <v>10</v>
      </c>
      <c r="H4405" s="15" t="s">
        <v>10</v>
      </c>
      <c r="I4405" s="15">
        <v>0.96404538360364944</v>
      </c>
      <c r="J4405" s="15">
        <v>0.96404538360364944</v>
      </c>
      <c r="K4405" s="15" t="s">
        <v>10</v>
      </c>
      <c r="L4405" s="15" t="s">
        <v>10</v>
      </c>
      <c r="M4405" s="15" t="s">
        <v>10</v>
      </c>
      <c r="N4405" s="15" t="s">
        <v>10</v>
      </c>
      <c r="O4405" s="15" t="s">
        <v>10</v>
      </c>
      <c r="P4405" s="15" t="s">
        <v>10</v>
      </c>
      <c r="Q4405" s="8"/>
      <c r="R4405" s="9" t="s">
        <v>3952</v>
      </c>
    </row>
    <row r="4406" spans="1:18" x14ac:dyDescent="0.25">
      <c r="A4406" s="6" t="str">
        <f>HYPERLINK("proteomic_fractions_linear_files/Yang_linear_img/27229238.jpg", "27229238")</f>
        <v>27229238</v>
      </c>
      <c r="B4406" s="7"/>
      <c r="C4406" s="6" t="str">
        <f>HYPERLINK("http://www.ncbi.nlm.nih.gov/protein/27229238","Mgrn1")</f>
        <v>Mgrn1</v>
      </c>
      <c r="D4406" s="8"/>
      <c r="E4406" s="8">
        <v>58347</v>
      </c>
      <c r="F4406" s="8"/>
      <c r="G4406" s="15" t="s">
        <v>10</v>
      </c>
      <c r="H4406" s="15" t="s">
        <v>10</v>
      </c>
      <c r="I4406" s="15" t="s">
        <v>10</v>
      </c>
      <c r="J4406" s="15" t="s">
        <v>10</v>
      </c>
      <c r="K4406" s="15">
        <v>1.4327354909162735</v>
      </c>
      <c r="L4406" s="15">
        <v>1.4327354909162735</v>
      </c>
      <c r="M4406" s="15">
        <v>0.33622672117302199</v>
      </c>
      <c r="N4406" s="15">
        <v>0.33622672117302199</v>
      </c>
      <c r="O4406" s="15">
        <v>0.3188844683545532</v>
      </c>
      <c r="P4406" s="15">
        <v>0.3188844683545532</v>
      </c>
      <c r="Q4406" s="8"/>
      <c r="R4406" s="9" t="s">
        <v>3953</v>
      </c>
    </row>
    <row r="4407" spans="1:18" x14ac:dyDescent="0.25">
      <c r="A4407" s="6" t="str">
        <f>HYPERLINK("proteomic_fractions_linear_files/Yang_linear_img/356995926.jpg", "356995926")</f>
        <v>356995926</v>
      </c>
      <c r="B4407" s="7"/>
      <c r="C4407" s="6" t="str">
        <f>HYPERLINK("http://www.ncbi.nlm.nih.gov/protein/356995926","Mgrn1")</f>
        <v>Mgrn1</v>
      </c>
      <c r="D4407" s="8"/>
      <c r="E4407" s="8">
        <v>58418</v>
      </c>
      <c r="F4407" s="8"/>
      <c r="G4407" s="15" t="s">
        <v>10</v>
      </c>
      <c r="H4407" s="15" t="s">
        <v>10</v>
      </c>
      <c r="I4407" s="15" t="s">
        <v>10</v>
      </c>
      <c r="J4407" s="15" t="s">
        <v>10</v>
      </c>
      <c r="K4407" s="15">
        <v>1.4327354909162735</v>
      </c>
      <c r="L4407" s="15">
        <v>1.4327354909162735</v>
      </c>
      <c r="M4407" s="15">
        <v>0.33622672117302199</v>
      </c>
      <c r="N4407" s="15">
        <v>0.33622672117302199</v>
      </c>
      <c r="O4407" s="15">
        <v>0.3188844683545532</v>
      </c>
      <c r="P4407" s="15">
        <v>0.3188844683545532</v>
      </c>
      <c r="Q4407" s="8"/>
      <c r="R4407" s="9" t="s">
        <v>3954</v>
      </c>
    </row>
    <row r="4408" spans="1:18" x14ac:dyDescent="0.25">
      <c r="A4408" s="6" t="str">
        <f>HYPERLINK("proteomic_fractions_linear_files/Yang_linear_img/31981068.jpg", "31981068")</f>
        <v>31981068</v>
      </c>
      <c r="B4408" s="7"/>
      <c r="C4408" s="6" t="str">
        <f>HYPERLINK("http://www.ncbi.nlm.nih.gov/protein/31981068","Mgst1")</f>
        <v>Mgst1</v>
      </c>
      <c r="D4408" s="8"/>
      <c r="E4408" s="8">
        <v>17420</v>
      </c>
      <c r="F4408" s="8"/>
      <c r="G4408" s="15">
        <v>1.2821024865105148</v>
      </c>
      <c r="H4408" s="15">
        <v>1.2821024865105148</v>
      </c>
      <c r="I4408" s="15">
        <v>0.89390225257731093</v>
      </c>
      <c r="J4408" s="15">
        <v>0.89390225257731093</v>
      </c>
      <c r="K4408" s="15">
        <v>0.89390225257731093</v>
      </c>
      <c r="L4408" s="15">
        <v>0.89390225257731093</v>
      </c>
      <c r="M4408" s="15" t="s">
        <v>10</v>
      </c>
      <c r="N4408" s="15" t="s">
        <v>10</v>
      </c>
      <c r="O4408" s="15" t="s">
        <v>10</v>
      </c>
      <c r="P4408" s="15" t="s">
        <v>10</v>
      </c>
      <c r="Q4408" s="8"/>
      <c r="R4408" s="9" t="s">
        <v>3955</v>
      </c>
    </row>
    <row r="4409" spans="1:18" x14ac:dyDescent="0.25">
      <c r="A4409" s="6" t="str">
        <f>HYPERLINK("proteomic_fractions_linear_files/Yang_linear_img/13385010.jpg", "13385010")</f>
        <v>13385010</v>
      </c>
      <c r="B4409" s="7"/>
      <c r="C4409" s="6" t="str">
        <f>HYPERLINK("http://www.ncbi.nlm.nih.gov/protein/13385010","Mgst3")</f>
        <v>Mgst3</v>
      </c>
      <c r="D4409" s="8"/>
      <c r="E4409" s="8">
        <v>16827</v>
      </c>
      <c r="F4409" s="8"/>
      <c r="G4409" s="15">
        <v>1.3593866691010261</v>
      </c>
      <c r="H4409" s="15">
        <v>1.3593866691010261</v>
      </c>
      <c r="I4409" s="15">
        <v>0.89390225257731093</v>
      </c>
      <c r="J4409" s="15">
        <v>0.89390225257731093</v>
      </c>
      <c r="K4409" s="15">
        <v>0.93690834018716329</v>
      </c>
      <c r="L4409" s="15">
        <v>0.93690834018716329</v>
      </c>
      <c r="M4409" s="15">
        <v>0.93690834018716329</v>
      </c>
      <c r="N4409" s="15">
        <v>0.93690834018716329</v>
      </c>
      <c r="O4409" s="15" t="s">
        <v>10</v>
      </c>
      <c r="P4409" s="15" t="s">
        <v>10</v>
      </c>
      <c r="Q4409" s="8"/>
      <c r="R4409" s="9" t="s">
        <v>3956</v>
      </c>
    </row>
    <row r="4410" spans="1:18" x14ac:dyDescent="0.25">
      <c r="A4410" s="6" t="str">
        <f>HYPERLINK("proteomic_fractions_linear_files/Yang_linear_img/124001582.jpg", "124001582")</f>
        <v>124001582</v>
      </c>
      <c r="B4410" s="7"/>
      <c r="C4410" s="6" t="str">
        <f>HYPERLINK("http://www.ncbi.nlm.nih.gov/protein/124001582","Mia3")</f>
        <v>Mia3</v>
      </c>
      <c r="D4410" s="8"/>
      <c r="E4410" s="8">
        <v>211063</v>
      </c>
      <c r="F4410" s="8"/>
      <c r="G4410" s="15" t="s">
        <v>10</v>
      </c>
      <c r="H4410" s="15" t="s">
        <v>10</v>
      </c>
      <c r="I4410" s="15">
        <v>1.4302527233957287</v>
      </c>
      <c r="J4410" s="15">
        <v>1.4302527233957287</v>
      </c>
      <c r="K4410" s="15" t="s">
        <v>10</v>
      </c>
      <c r="L4410" s="15" t="s">
        <v>10</v>
      </c>
      <c r="M4410" s="15" t="s">
        <v>10</v>
      </c>
      <c r="N4410" s="15" t="s">
        <v>10</v>
      </c>
      <c r="O4410" s="15" t="s">
        <v>10</v>
      </c>
      <c r="P4410" s="15" t="s">
        <v>10</v>
      </c>
      <c r="Q4410" s="8"/>
      <c r="R4410" s="9" t="s">
        <v>3957</v>
      </c>
    </row>
    <row r="4411" spans="1:18" x14ac:dyDescent="0.25">
      <c r="A4411" s="6" t="str">
        <f>HYPERLINK("proteomic_fractions_linear_files/Yang_linear_img/32189428.jpg", "32189428")</f>
        <v>32189428</v>
      </c>
      <c r="B4411" s="7"/>
      <c r="C4411" s="6" t="str">
        <f>HYPERLINK("http://www.ncbi.nlm.nih.gov/protein/32189428","Mib1")</f>
        <v>Mib1</v>
      </c>
      <c r="D4411" s="8"/>
      <c r="E4411" s="8">
        <v>109957</v>
      </c>
      <c r="F4411" s="8"/>
      <c r="G4411" s="15" t="s">
        <v>10</v>
      </c>
      <c r="H4411" s="15" t="s">
        <v>10</v>
      </c>
      <c r="I4411" s="15" t="s">
        <v>10</v>
      </c>
      <c r="J4411" s="15" t="s">
        <v>10</v>
      </c>
      <c r="K4411" s="15">
        <v>0.66760145674256588</v>
      </c>
      <c r="L4411" s="15">
        <v>0.66760145674256588</v>
      </c>
      <c r="M4411" s="15" t="s">
        <v>10</v>
      </c>
      <c r="N4411" s="15" t="s">
        <v>10</v>
      </c>
      <c r="O4411" s="15">
        <v>1.1701966195010634</v>
      </c>
      <c r="P4411" s="15">
        <v>1.1701966195010634</v>
      </c>
      <c r="Q4411" s="8"/>
      <c r="R4411" s="9" t="s">
        <v>3958</v>
      </c>
    </row>
    <row r="4412" spans="1:18" x14ac:dyDescent="0.25">
      <c r="A4412" s="6" t="str">
        <f>HYPERLINK("proteomic_fractions_linear_files/Yang_linear_img/170932490.jpg", "170932490")</f>
        <v>170932490</v>
      </c>
      <c r="B4412" s="7"/>
      <c r="C4412" s="6" t="str">
        <f>HYPERLINK("http://www.ncbi.nlm.nih.gov/protein/170932490","Mical3")</f>
        <v>Mical3</v>
      </c>
      <c r="D4412" s="8"/>
      <c r="E4412" s="8">
        <v>97798</v>
      </c>
      <c r="F4412" s="8"/>
      <c r="G4412" s="15" t="s">
        <v>10</v>
      </c>
      <c r="H4412" s="15" t="s">
        <v>10</v>
      </c>
      <c r="I4412" s="15" t="s">
        <v>10</v>
      </c>
      <c r="J4412" s="15" t="s">
        <v>10</v>
      </c>
      <c r="K4412" s="15" t="s">
        <v>10</v>
      </c>
      <c r="L4412" s="15" t="s">
        <v>10</v>
      </c>
      <c r="M4412" s="15">
        <v>3.0794216799642733</v>
      </c>
      <c r="N4412" s="15">
        <v>3.0794216799642733</v>
      </c>
      <c r="O4412" s="15">
        <v>3.0794216799642733</v>
      </c>
      <c r="P4412" s="15">
        <v>2.3812331390596846</v>
      </c>
      <c r="Q4412" s="8"/>
      <c r="R4412" s="9" t="s">
        <v>3959</v>
      </c>
    </row>
    <row r="4413" spans="1:18" x14ac:dyDescent="0.25">
      <c r="A4413" s="6" t="str">
        <f>HYPERLINK("proteomic_fractions_linear_files/Yang_linear_img/394582113.jpg", "394582113")</f>
        <v>394582113</v>
      </c>
      <c r="B4413" s="7"/>
      <c r="C4413" s="6" t="str">
        <f>HYPERLINK("http://www.ncbi.nlm.nih.gov/protein/394582113","Mical3")</f>
        <v>Mical3</v>
      </c>
      <c r="D4413" s="8"/>
      <c r="E4413" s="8">
        <v>223591</v>
      </c>
      <c r="F4413" s="8"/>
      <c r="G4413" s="15">
        <v>7.4627118395567058E-2</v>
      </c>
      <c r="H4413" s="15">
        <v>7.4627118395567058E-2</v>
      </c>
      <c r="I4413" s="15" t="s">
        <v>10</v>
      </c>
      <c r="J4413" s="15" t="s">
        <v>10</v>
      </c>
      <c r="K4413" s="15" t="s">
        <v>10</v>
      </c>
      <c r="L4413" s="15" t="s">
        <v>10</v>
      </c>
      <c r="M4413" s="15">
        <v>1.3472469849843696</v>
      </c>
      <c r="N4413" s="15">
        <v>1.3472469849843696</v>
      </c>
      <c r="O4413" s="15">
        <v>1.3472469849843696</v>
      </c>
      <c r="P4413" s="15">
        <v>1.041789498338612</v>
      </c>
      <c r="Q4413" s="8"/>
      <c r="R4413" s="9" t="s">
        <v>3960</v>
      </c>
    </row>
    <row r="4414" spans="1:18" x14ac:dyDescent="0.25">
      <c r="A4414" s="6" t="str">
        <f>HYPERLINK("proteomic_fractions_linear_files/Yang_linear_img/168229165.jpg", "168229165")</f>
        <v>168229165</v>
      </c>
      <c r="B4414" s="7"/>
      <c r="C4414" s="6" t="str">
        <f>HYPERLINK("http://www.ncbi.nlm.nih.gov/protein/168229165","Micall1")</f>
        <v>Micall1</v>
      </c>
      <c r="D4414" s="8"/>
      <c r="E4414" s="8">
        <v>93949</v>
      </c>
      <c r="F4414" s="8"/>
      <c r="G4414" s="15" t="s">
        <v>10</v>
      </c>
      <c r="H4414" s="15" t="s">
        <v>10</v>
      </c>
      <c r="I4414" s="15" t="s">
        <v>10</v>
      </c>
      <c r="J4414" s="15" t="s">
        <v>10</v>
      </c>
      <c r="K4414" s="15" t="s">
        <v>10</v>
      </c>
      <c r="L4414" s="15" t="s">
        <v>10</v>
      </c>
      <c r="M4414" s="15" t="s">
        <v>10</v>
      </c>
      <c r="N4414" s="15" t="s">
        <v>10</v>
      </c>
      <c r="O4414" s="15">
        <v>1.632477352513211</v>
      </c>
      <c r="P4414" s="15">
        <v>1.632477352513211</v>
      </c>
      <c r="Q4414" s="8"/>
      <c r="R4414" s="9" t="s">
        <v>3961</v>
      </c>
    </row>
    <row r="4415" spans="1:18" x14ac:dyDescent="0.25">
      <c r="A4415" s="6" t="str">
        <f>HYPERLINK("proteomic_fractions_linear_files/Yang_linear_img/21450201.jpg", "21450201")</f>
        <v>21450201</v>
      </c>
      <c r="B4415" s="7"/>
      <c r="C4415" s="6" t="str">
        <f>HYPERLINK("http://www.ncbi.nlm.nih.gov/protein/21450201","Micu1")</f>
        <v>Micu1</v>
      </c>
      <c r="D4415" s="8"/>
      <c r="E4415" s="8">
        <v>54222</v>
      </c>
      <c r="F4415" s="8"/>
      <c r="G4415" s="15">
        <v>1.0883927330665528</v>
      </c>
      <c r="H4415" s="15">
        <v>1.0883927330665528</v>
      </c>
      <c r="I4415" s="15">
        <v>0.81714054161047167</v>
      </c>
      <c r="J4415" s="15">
        <v>0.81714054161047167</v>
      </c>
      <c r="K4415" s="15">
        <v>0.81714054161047167</v>
      </c>
      <c r="L4415" s="15">
        <v>0.81714054161047167</v>
      </c>
      <c r="M4415" s="15" t="s">
        <v>10</v>
      </c>
      <c r="N4415" s="15" t="s">
        <v>10</v>
      </c>
      <c r="O4415" s="15" t="s">
        <v>10</v>
      </c>
      <c r="P4415" s="15" t="s">
        <v>10</v>
      </c>
      <c r="Q4415" s="8"/>
      <c r="R4415" s="9" t="s">
        <v>3962</v>
      </c>
    </row>
    <row r="4416" spans="1:18" x14ac:dyDescent="0.25">
      <c r="A4416" s="6" t="str">
        <f>HYPERLINK("proteomic_fractions_linear_files/Yang_linear_img/27477043.jpg", "27477043")</f>
        <v>27477043</v>
      </c>
      <c r="B4416" s="7"/>
      <c r="C4416" s="6" t="str">
        <f>HYPERLINK("http://www.ncbi.nlm.nih.gov/protein/27477043","Micu2")</f>
        <v>Micu2</v>
      </c>
      <c r="D4416" s="8"/>
      <c r="E4416" s="8">
        <v>47195</v>
      </c>
      <c r="F4416" s="8"/>
      <c r="G4416" s="15">
        <v>1.0840932577551241</v>
      </c>
      <c r="H4416" s="15">
        <v>1.0840932577551241</v>
      </c>
      <c r="I4416" s="15">
        <v>0.82667996333107641</v>
      </c>
      <c r="J4416" s="15">
        <v>0.82667996333107641</v>
      </c>
      <c r="K4416" s="15">
        <v>0.82667996333107641</v>
      </c>
      <c r="L4416" s="15">
        <v>0.82667996333107641</v>
      </c>
      <c r="M4416" s="15" t="s">
        <v>10</v>
      </c>
      <c r="N4416" s="15" t="s">
        <v>10</v>
      </c>
      <c r="O4416" s="15" t="s">
        <v>10</v>
      </c>
      <c r="P4416" s="15" t="s">
        <v>10</v>
      </c>
      <c r="Q4416" s="8"/>
      <c r="R4416" s="9" t="s">
        <v>3963</v>
      </c>
    </row>
    <row r="4417" spans="1:18" x14ac:dyDescent="0.25">
      <c r="A4417" s="6" t="str">
        <f>HYPERLINK("proteomic_fractions_linear_files/Yang_linear_img/10947008.jpg", "10947008")</f>
        <v>10947008</v>
      </c>
      <c r="B4417" s="7"/>
      <c r="C4417" s="6" t="str">
        <f>HYPERLINK("http://www.ncbi.nlm.nih.gov/protein/10947008","Midn")</f>
        <v>Midn</v>
      </c>
      <c r="D4417" s="8"/>
      <c r="E4417" s="8">
        <v>53809</v>
      </c>
      <c r="F4417" s="8"/>
      <c r="G4417" s="15">
        <v>2.0333622929839161</v>
      </c>
      <c r="H4417" s="15">
        <v>2.0333622929839161</v>
      </c>
      <c r="I4417" s="15" t="s">
        <v>10</v>
      </c>
      <c r="J4417" s="15" t="s">
        <v>10</v>
      </c>
      <c r="K4417" s="15">
        <v>2.3837338545392033</v>
      </c>
      <c r="L4417" s="15">
        <v>2.3837338545392033</v>
      </c>
      <c r="M4417" s="15">
        <v>2.3837338545392033</v>
      </c>
      <c r="N4417" s="15">
        <v>2.3837338545392033</v>
      </c>
      <c r="O4417" s="15" t="s">
        <v>10</v>
      </c>
      <c r="P4417" s="15" t="s">
        <v>10</v>
      </c>
      <c r="Q4417" s="8"/>
      <c r="R4417" s="9" t="s">
        <v>3964</v>
      </c>
    </row>
    <row r="4418" spans="1:18" x14ac:dyDescent="0.25">
      <c r="A4418" s="6" t="str">
        <f>HYPERLINK("proteomic_fractions_linear_files/Yang_linear_img/13384990.jpg", "13384990")</f>
        <v>13384990</v>
      </c>
      <c r="B4418" s="7"/>
      <c r="C4418" s="6" t="str">
        <f>HYPERLINK("http://www.ncbi.nlm.nih.gov/protein/13384990","Mien1")</f>
        <v>Mien1</v>
      </c>
      <c r="D4418" s="8"/>
      <c r="E4418" s="8">
        <v>12164</v>
      </c>
      <c r="F4418" s="8"/>
      <c r="G4418" s="15" t="s">
        <v>10</v>
      </c>
      <c r="H4418" s="15" t="s">
        <v>10</v>
      </c>
      <c r="I4418" s="15">
        <v>1.209789476822529</v>
      </c>
      <c r="J4418" s="15">
        <v>1.209789476822529</v>
      </c>
      <c r="K4418" s="15">
        <v>1.2663615244845239</v>
      </c>
      <c r="L4418" s="15">
        <v>1.2663615244845239</v>
      </c>
      <c r="M4418" s="15">
        <v>1.2663615244845239</v>
      </c>
      <c r="N4418" s="15">
        <v>1.2663615244845239</v>
      </c>
      <c r="O4418" s="15">
        <v>1.1571542083280542</v>
      </c>
      <c r="P4418" s="15">
        <v>1.209789476822529</v>
      </c>
      <c r="Q4418" s="8"/>
      <c r="R4418" s="9" t="s">
        <v>3965</v>
      </c>
    </row>
    <row r="4419" spans="1:18" x14ac:dyDescent="0.25">
      <c r="A4419" s="6" t="str">
        <f>HYPERLINK("proteomic_fractions_linear_files/Yang_linear_img/555290129.jpg", "555290129")</f>
        <v>555290129</v>
      </c>
      <c r="B4419" s="7"/>
      <c r="C4419" s="6" t="str">
        <f>HYPERLINK("http://www.ncbi.nlm.nih.gov/protein/555290129","Mier1")</f>
        <v>Mier1</v>
      </c>
      <c r="D4419" s="8"/>
      <c r="E4419" s="8">
        <v>57690</v>
      </c>
      <c r="F4419" s="8"/>
      <c r="G4419" s="15">
        <v>0.22925972453450921</v>
      </c>
      <c r="H4419" s="15">
        <v>0.22925972453450921</v>
      </c>
      <c r="I4419" s="15" t="s">
        <v>10</v>
      </c>
      <c r="J4419" s="15" t="s">
        <v>10</v>
      </c>
      <c r="K4419" s="15" t="s">
        <v>10</v>
      </c>
      <c r="L4419" s="15" t="s">
        <v>10</v>
      </c>
      <c r="M4419" s="15" t="s">
        <v>10</v>
      </c>
      <c r="N4419" s="15" t="s">
        <v>10</v>
      </c>
      <c r="O4419" s="15" t="s">
        <v>10</v>
      </c>
      <c r="P4419" s="15" t="s">
        <v>10</v>
      </c>
      <c r="Q4419" s="8"/>
      <c r="R4419" s="9" t="s">
        <v>3966</v>
      </c>
    </row>
    <row r="4420" spans="1:18" x14ac:dyDescent="0.25">
      <c r="A4420" s="6" t="str">
        <f>HYPERLINK("proteomic_fractions_linear_files/Yang_linear_img/555290144.jpg", "555290144")</f>
        <v>555290144</v>
      </c>
      <c r="B4420" s="7"/>
      <c r="C4420" s="6" t="str">
        <f>HYPERLINK("http://www.ncbi.nlm.nih.gov/protein/555290144","Mier1")</f>
        <v>Mier1</v>
      </c>
      <c r="D4420" s="8"/>
      <c r="E4420" s="8">
        <v>61289</v>
      </c>
      <c r="F4420" s="8"/>
      <c r="G4420" s="15">
        <v>0.21798465611477924</v>
      </c>
      <c r="H4420" s="15">
        <v>0.21798465611477924</v>
      </c>
      <c r="I4420" s="15" t="s">
        <v>10</v>
      </c>
      <c r="J4420" s="15" t="s">
        <v>10</v>
      </c>
      <c r="K4420" s="15" t="s">
        <v>10</v>
      </c>
      <c r="L4420" s="15" t="s">
        <v>10</v>
      </c>
      <c r="M4420" s="15" t="s">
        <v>10</v>
      </c>
      <c r="N4420" s="15" t="s">
        <v>10</v>
      </c>
      <c r="O4420" s="15" t="s">
        <v>10</v>
      </c>
      <c r="P4420" s="15" t="s">
        <v>10</v>
      </c>
      <c r="Q4420" s="8"/>
      <c r="R4420" s="9" t="s">
        <v>3967</v>
      </c>
    </row>
    <row r="4421" spans="1:18" x14ac:dyDescent="0.25">
      <c r="A4421" s="6" t="str">
        <f>HYPERLINK("proteomic_fractions_linear_files/Yang_linear_img/84872225.jpg", "84872225")</f>
        <v>84872225</v>
      </c>
      <c r="B4421" s="7"/>
      <c r="C4421" s="6" t="str">
        <f>HYPERLINK("http://www.ncbi.nlm.nih.gov/protein/84872225","Mier1")</f>
        <v>Mier1</v>
      </c>
      <c r="D4421" s="8"/>
      <c r="E4421" s="8">
        <v>57777</v>
      </c>
      <c r="F4421" s="8"/>
      <c r="G4421" s="15">
        <v>0.22925972453450921</v>
      </c>
      <c r="H4421" s="15">
        <v>0.22925972453450921</v>
      </c>
      <c r="I4421" s="15">
        <v>0.23941121551614913</v>
      </c>
      <c r="J4421" s="15">
        <v>0.23941121551614913</v>
      </c>
      <c r="K4421" s="15" t="s">
        <v>10</v>
      </c>
      <c r="L4421" s="15" t="s">
        <v>10</v>
      </c>
      <c r="M4421" s="15" t="s">
        <v>10</v>
      </c>
      <c r="N4421" s="15" t="s">
        <v>10</v>
      </c>
      <c r="O4421" s="15">
        <v>0.22925972453450921</v>
      </c>
      <c r="P4421" s="15">
        <v>0.22925972453450921</v>
      </c>
      <c r="Q4421" s="8"/>
      <c r="R4421" s="9" t="s">
        <v>3968</v>
      </c>
    </row>
    <row r="4422" spans="1:18" x14ac:dyDescent="0.25">
      <c r="A4422" s="6" t="str">
        <f>HYPERLINK("proteomic_fractions_linear_files/Yang_linear_img/84872227.jpg", "84872227")</f>
        <v>84872227</v>
      </c>
      <c r="B4422" s="7"/>
      <c r="C4422" s="6" t="str">
        <f>HYPERLINK("http://www.ncbi.nlm.nih.gov/protein/84872227","Mier1")</f>
        <v>Mier1</v>
      </c>
      <c r="D4422" s="8"/>
      <c r="E4422" s="8">
        <v>57078</v>
      </c>
      <c r="F4422" s="8"/>
      <c r="G4422" s="15">
        <v>0.23328182496493918</v>
      </c>
      <c r="H4422" s="15">
        <v>0.23328182496493918</v>
      </c>
      <c r="I4422" s="15">
        <v>0.24361141227959035</v>
      </c>
      <c r="J4422" s="15">
        <v>0.24361141227959035</v>
      </c>
      <c r="K4422" s="15" t="s">
        <v>10</v>
      </c>
      <c r="L4422" s="15" t="s">
        <v>10</v>
      </c>
      <c r="M4422" s="15" t="s">
        <v>10</v>
      </c>
      <c r="N4422" s="15" t="s">
        <v>10</v>
      </c>
      <c r="O4422" s="15">
        <v>0.23328182496493918</v>
      </c>
      <c r="P4422" s="15">
        <v>0.23328182496493918</v>
      </c>
      <c r="Q4422" s="8"/>
      <c r="R4422" s="9" t="s">
        <v>3969</v>
      </c>
    </row>
    <row r="4423" spans="1:18" x14ac:dyDescent="0.25">
      <c r="A4423" s="6" t="str">
        <f>HYPERLINK("proteomic_fractions_linear_files/Yang_linear_img/6754696.jpg", "6754696")</f>
        <v>6754696</v>
      </c>
      <c r="B4423" s="7"/>
      <c r="C4423" s="6" t="str">
        <f>HYPERLINK("http://www.ncbi.nlm.nih.gov/protein/6754696","Mif")</f>
        <v>Mif</v>
      </c>
      <c r="D4423" s="8"/>
      <c r="E4423" s="8">
        <v>12373</v>
      </c>
      <c r="F4423" s="8"/>
      <c r="G4423" s="15">
        <v>1.6250958190029394</v>
      </c>
      <c r="H4423" s="15">
        <v>1.6250958190029394</v>
      </c>
      <c r="I4423" s="15">
        <v>1.1080886685834612</v>
      </c>
      <c r="J4423" s="15">
        <v>1.1080886685834612</v>
      </c>
      <c r="K4423" s="15">
        <v>1.1571542083280542</v>
      </c>
      <c r="L4423" s="15">
        <v>1.1571542083280542</v>
      </c>
      <c r="M4423" s="15">
        <v>1.1080886685834612</v>
      </c>
      <c r="N4423" s="15">
        <v>1.1080886685834612</v>
      </c>
      <c r="O4423" s="15">
        <v>1.1080886685834612</v>
      </c>
      <c r="P4423" s="15">
        <v>1.1080886685834612</v>
      </c>
      <c r="Q4423" s="8"/>
      <c r="R4423" s="9" t="s">
        <v>3970</v>
      </c>
    </row>
    <row r="4424" spans="1:18" x14ac:dyDescent="0.25">
      <c r="A4424" s="6" t="str">
        <f>HYPERLINK("proteomic_fractions_linear_files/Yang_linear_img/343790914;262073012.jpg", "343790914;262073012")</f>
        <v>343790914;262073012</v>
      </c>
      <c r="B4424" s="8"/>
      <c r="C4424" s="6" t="str">
        <f>HYPERLINK("http://www.ncbi.nlm.nih.gov/protein/343790914;262073012","Mif4gd")</f>
        <v>Mif4gd</v>
      </c>
      <c r="D4424" s="8"/>
      <c r="E4424" s="8">
        <v>25362</v>
      </c>
      <c r="F4424" s="8"/>
      <c r="G4424" s="15" t="s">
        <v>10</v>
      </c>
      <c r="H4424" s="15" t="s">
        <v>10</v>
      </c>
      <c r="I4424" s="15" t="s">
        <v>10</v>
      </c>
      <c r="J4424" s="15" t="s">
        <v>10</v>
      </c>
      <c r="K4424" s="15" t="s">
        <v>10</v>
      </c>
      <c r="L4424" s="15" t="s">
        <v>10</v>
      </c>
      <c r="M4424" s="15" t="s">
        <v>10</v>
      </c>
      <c r="N4424" s="15" t="s">
        <v>10</v>
      </c>
      <c r="O4424" s="15">
        <v>0.82389764746625094</v>
      </c>
      <c r="P4424" s="15">
        <v>0.82389764746625094</v>
      </c>
      <c r="Q4424" s="8"/>
      <c r="R4424" s="9" t="s">
        <v>3971</v>
      </c>
    </row>
    <row r="4425" spans="1:18" x14ac:dyDescent="0.25">
      <c r="A4425" s="6" t="str">
        <f>HYPERLINK("proteomic_fractions_linear_files/Yang_linear_img/343790916.jpg", "343790916")</f>
        <v>343790916</v>
      </c>
      <c r="B4425" s="7"/>
      <c r="C4425" s="6" t="str">
        <f>HYPERLINK("http://www.ncbi.nlm.nih.gov/protein/343790916","Mif4gd")</f>
        <v>Mif4gd</v>
      </c>
      <c r="D4425" s="8"/>
      <c r="E4425" s="8">
        <v>23181</v>
      </c>
      <c r="F4425" s="8"/>
      <c r="G4425" s="15" t="s">
        <v>10</v>
      </c>
      <c r="H4425" s="15" t="s">
        <v>10</v>
      </c>
      <c r="I4425" s="15" t="s">
        <v>10</v>
      </c>
      <c r="J4425" s="15" t="s">
        <v>10</v>
      </c>
      <c r="K4425" s="15" t="s">
        <v>10</v>
      </c>
      <c r="L4425" s="15" t="s">
        <v>10</v>
      </c>
      <c r="M4425" s="15" t="s">
        <v>10</v>
      </c>
      <c r="N4425" s="15" t="s">
        <v>10</v>
      </c>
      <c r="O4425" s="15">
        <v>0.89554092115896833</v>
      </c>
      <c r="P4425" s="15">
        <v>0.89554092115896833</v>
      </c>
      <c r="Q4425" s="8"/>
      <c r="R4425" s="9" t="s">
        <v>3972</v>
      </c>
    </row>
    <row r="4426" spans="1:18" x14ac:dyDescent="0.25">
      <c r="A4426" s="6" t="str">
        <f>HYPERLINK("proteomic_fractions_linear_files/Yang_linear_img/256355182.jpg", "256355182")</f>
        <v>256355182</v>
      </c>
      <c r="B4426" s="7"/>
      <c r="C4426" s="6" t="str">
        <f>HYPERLINK("http://www.ncbi.nlm.nih.gov/protein/256355182","Mina")</f>
        <v>Mina</v>
      </c>
      <c r="D4426" s="8"/>
      <c r="E4426" s="8">
        <v>53386</v>
      </c>
      <c r="F4426" s="8"/>
      <c r="G4426" s="15" t="s">
        <v>10</v>
      </c>
      <c r="H4426" s="15" t="s">
        <v>10</v>
      </c>
      <c r="I4426" s="15" t="s">
        <v>10</v>
      </c>
      <c r="J4426" s="15" t="s">
        <v>10</v>
      </c>
      <c r="K4426" s="15">
        <v>1.0022748986792656</v>
      </c>
      <c r="L4426" s="15">
        <v>1.0022748986792656</v>
      </c>
      <c r="M4426" s="15">
        <v>1.0022748986792656</v>
      </c>
      <c r="N4426" s="15">
        <v>1.0022748986792656</v>
      </c>
      <c r="O4426" s="15" t="s">
        <v>10</v>
      </c>
      <c r="P4426" s="15" t="s">
        <v>10</v>
      </c>
      <c r="Q4426" s="8"/>
      <c r="R4426" s="9" t="s">
        <v>3973</v>
      </c>
    </row>
    <row r="4427" spans="1:18" x14ac:dyDescent="0.25">
      <c r="A4427" s="6" t="str">
        <f>HYPERLINK("proteomic_fractions_linear_files/Yang_linear_img/114052104.jpg", "114052104")</f>
        <v>114052104</v>
      </c>
      <c r="B4427" s="7"/>
      <c r="C4427" s="6" t="str">
        <f>HYPERLINK("http://www.ncbi.nlm.nih.gov/protein/114052104","Mink1")</f>
        <v>Mink1</v>
      </c>
      <c r="D4427" s="8"/>
      <c r="E4427" s="8">
        <v>151093</v>
      </c>
      <c r="F4427" s="8"/>
      <c r="G4427" s="15" t="s">
        <v>10</v>
      </c>
      <c r="H4427" s="15" t="s">
        <v>10</v>
      </c>
      <c r="I4427" s="15" t="s">
        <v>10</v>
      </c>
      <c r="J4427" s="15" t="s">
        <v>10</v>
      </c>
      <c r="K4427" s="15">
        <v>0.48633218703100822</v>
      </c>
      <c r="L4427" s="15">
        <v>0.48633218703100822</v>
      </c>
      <c r="M4427" s="15" t="s">
        <v>10</v>
      </c>
      <c r="N4427" s="15" t="s">
        <v>10</v>
      </c>
      <c r="O4427" s="15" t="s">
        <v>10</v>
      </c>
      <c r="P4427" s="15" t="s">
        <v>10</v>
      </c>
      <c r="Q4427" s="8"/>
      <c r="R4427" s="9" t="s">
        <v>3974</v>
      </c>
    </row>
    <row r="4428" spans="1:18" x14ac:dyDescent="0.25">
      <c r="A4428" s="6" t="str">
        <f>HYPERLINK("proteomic_fractions_linear_files/Yang_linear_img/114052416.jpg", "114052416")</f>
        <v>114052416</v>
      </c>
      <c r="B4428" s="7"/>
      <c r="C4428" s="6" t="str">
        <f>HYPERLINK("http://www.ncbi.nlm.nih.gov/protein/114052416","Mink1")</f>
        <v>Mink1</v>
      </c>
      <c r="D4428" s="8"/>
      <c r="E4428" s="8">
        <v>147164</v>
      </c>
      <c r="F4428" s="8"/>
      <c r="G4428" s="15" t="s">
        <v>10</v>
      </c>
      <c r="H4428" s="15" t="s">
        <v>10</v>
      </c>
      <c r="I4428" s="15" t="s">
        <v>10</v>
      </c>
      <c r="J4428" s="15" t="s">
        <v>10</v>
      </c>
      <c r="K4428" s="15">
        <v>0.49956571592981119</v>
      </c>
      <c r="L4428" s="15">
        <v>0.49956571592981119</v>
      </c>
      <c r="M4428" s="15" t="s">
        <v>10</v>
      </c>
      <c r="N4428" s="15" t="s">
        <v>10</v>
      </c>
      <c r="O4428" s="15" t="s">
        <v>10</v>
      </c>
      <c r="P4428" s="15" t="s">
        <v>10</v>
      </c>
      <c r="Q4428" s="8"/>
      <c r="R4428" s="9" t="s">
        <v>3975</v>
      </c>
    </row>
    <row r="4429" spans="1:18" x14ac:dyDescent="0.25">
      <c r="A4429" s="6" t="str">
        <f>HYPERLINK("proteomic_fractions_linear_files/Yang_linear_img/114052442.jpg", "114052442")</f>
        <v>114052442</v>
      </c>
      <c r="B4429" s="7"/>
      <c r="C4429" s="6" t="str">
        <f>HYPERLINK("http://www.ncbi.nlm.nih.gov/protein/114052442","Mink1")</f>
        <v>Mink1</v>
      </c>
      <c r="D4429" s="8"/>
      <c r="E4429" s="8">
        <v>146259</v>
      </c>
      <c r="F4429" s="8"/>
      <c r="G4429" s="15" t="s">
        <v>10</v>
      </c>
      <c r="H4429" s="15" t="s">
        <v>10</v>
      </c>
      <c r="I4429" s="15" t="s">
        <v>10</v>
      </c>
      <c r="J4429" s="15" t="s">
        <v>10</v>
      </c>
      <c r="K4429" s="15">
        <v>0.50298739891563182</v>
      </c>
      <c r="L4429" s="15">
        <v>0.50298739891563182</v>
      </c>
      <c r="M4429" s="15" t="s">
        <v>10</v>
      </c>
      <c r="N4429" s="15" t="s">
        <v>10</v>
      </c>
      <c r="O4429" s="15" t="s">
        <v>10</v>
      </c>
      <c r="P4429" s="15" t="s">
        <v>10</v>
      </c>
      <c r="Q4429" s="8"/>
      <c r="R4429" s="9" t="s">
        <v>3976</v>
      </c>
    </row>
    <row r="4430" spans="1:18" x14ac:dyDescent="0.25">
      <c r="A4430" s="6" t="str">
        <f>HYPERLINK("proteomic_fractions_linear_files/Yang_linear_img/114052522.jpg", "114052522")</f>
        <v>114052522</v>
      </c>
      <c r="B4430" s="7"/>
      <c r="C4430" s="6" t="str">
        <f>HYPERLINK("http://www.ncbi.nlm.nih.gov/protein/114052522","Mink1")</f>
        <v>Mink1</v>
      </c>
      <c r="D4430" s="8"/>
      <c r="E4430" s="8">
        <v>150275</v>
      </c>
      <c r="F4430" s="8"/>
      <c r="G4430" s="15" t="s">
        <v>10</v>
      </c>
      <c r="H4430" s="15" t="s">
        <v>10</v>
      </c>
      <c r="I4430" s="15" t="s">
        <v>10</v>
      </c>
      <c r="J4430" s="15" t="s">
        <v>10</v>
      </c>
      <c r="K4430" s="15">
        <v>0.48957440161121496</v>
      </c>
      <c r="L4430" s="15">
        <v>0.48957440161121496</v>
      </c>
      <c r="M4430" s="15" t="s">
        <v>10</v>
      </c>
      <c r="N4430" s="15" t="s">
        <v>10</v>
      </c>
      <c r="O4430" s="15" t="s">
        <v>10</v>
      </c>
      <c r="P4430" s="15" t="s">
        <v>10</v>
      </c>
      <c r="Q4430" s="8"/>
      <c r="R4430" s="9" t="s">
        <v>3977</v>
      </c>
    </row>
    <row r="4431" spans="1:18" x14ac:dyDescent="0.25">
      <c r="A4431" s="6" t="str">
        <f>HYPERLINK("proteomic_fractions_linear_files/Yang_linear_img/244791232.jpg", "244791232")</f>
        <v>244791232</v>
      </c>
      <c r="B4431" s="7"/>
      <c r="C4431" s="6" t="str">
        <f>HYPERLINK("http://www.ncbi.nlm.nih.gov/protein/244791232","Minos1")</f>
        <v>Minos1</v>
      </c>
      <c r="D4431" s="8"/>
      <c r="E4431" s="8">
        <v>8436</v>
      </c>
      <c r="F4431" s="8"/>
      <c r="G4431" s="15">
        <v>1.5934024177422033</v>
      </c>
      <c r="H4431" s="15">
        <v>1.5934024177422033</v>
      </c>
      <c r="I4431" s="15">
        <v>1.5934024177422033</v>
      </c>
      <c r="J4431" s="15">
        <v>1.5934024177422033</v>
      </c>
      <c r="K4431" s="15">
        <v>1.5934024177422033</v>
      </c>
      <c r="L4431" s="15">
        <v>1.5934024177422033</v>
      </c>
      <c r="M4431" s="15" t="s">
        <v>10</v>
      </c>
      <c r="N4431" s="15" t="s">
        <v>10</v>
      </c>
      <c r="O4431" s="15" t="s">
        <v>10</v>
      </c>
      <c r="P4431" s="15" t="s">
        <v>10</v>
      </c>
      <c r="Q4431" s="8"/>
      <c r="R4431" s="9" t="s">
        <v>3978</v>
      </c>
    </row>
    <row r="4432" spans="1:18" x14ac:dyDescent="0.25">
      <c r="A4432" s="6" t="str">
        <f>HYPERLINK("proteomic_fractions_linear_files/Yang_linear_img/6754698.jpg", "6754698")</f>
        <v>6754698</v>
      </c>
      <c r="B4432" s="7"/>
      <c r="C4432" s="6" t="str">
        <f>HYPERLINK("http://www.ncbi.nlm.nih.gov/protein/6754698","Minpp1")</f>
        <v>Minpp1</v>
      </c>
      <c r="D4432" s="8"/>
      <c r="E4432" s="8">
        <v>51547</v>
      </c>
      <c r="F4432" s="8"/>
      <c r="G4432" s="15" t="s">
        <v>10</v>
      </c>
      <c r="H4432" s="15" t="s">
        <v>10</v>
      </c>
      <c r="I4432" s="15">
        <v>0.84856902398010514</v>
      </c>
      <c r="J4432" s="15">
        <v>0.84856902398010514</v>
      </c>
      <c r="K4432" s="15">
        <v>1.0215494159615592</v>
      </c>
      <c r="L4432" s="15">
        <v>1.0215494159615592</v>
      </c>
      <c r="M4432" s="15" t="s">
        <v>10</v>
      </c>
      <c r="N4432" s="15" t="s">
        <v>10</v>
      </c>
      <c r="O4432" s="15">
        <v>0.84856902398010514</v>
      </c>
      <c r="P4432" s="15">
        <v>0.84856902398010514</v>
      </c>
      <c r="Q4432" s="8"/>
      <c r="R4432" s="9" t="s">
        <v>3979</v>
      </c>
    </row>
    <row r="4433" spans="1:18" x14ac:dyDescent="0.25">
      <c r="A4433" s="6" t="str">
        <f>HYPERLINK("proteomic_fractions_linear_files/Yang_linear_img/213021192.jpg", "213021192")</f>
        <v>213021192</v>
      </c>
      <c r="B4433" s="7"/>
      <c r="C4433" s="6" t="str">
        <f>HYPERLINK("http://www.ncbi.nlm.nih.gov/protein/213021192","Mios")</f>
        <v>Mios</v>
      </c>
      <c r="D4433" s="8"/>
      <c r="E4433" s="8">
        <v>98204</v>
      </c>
      <c r="F4433" s="8"/>
      <c r="G4433" s="15" t="s">
        <v>10</v>
      </c>
      <c r="H4433" s="15" t="s">
        <v>10</v>
      </c>
      <c r="I4433" s="15">
        <v>1.1204241206237904</v>
      </c>
      <c r="J4433" s="15">
        <v>1.1204241206237904</v>
      </c>
      <c r="K4433" s="15">
        <v>1.1204241206237904</v>
      </c>
      <c r="L4433" s="15">
        <v>1.1204241206237904</v>
      </c>
      <c r="M4433" s="15" t="s">
        <v>10</v>
      </c>
      <c r="N4433" s="15" t="s">
        <v>10</v>
      </c>
      <c r="O4433" s="15" t="s">
        <v>10</v>
      </c>
      <c r="P4433" s="15" t="s">
        <v>10</v>
      </c>
      <c r="Q4433" s="8"/>
      <c r="R4433" s="9" t="s">
        <v>3980</v>
      </c>
    </row>
    <row r="4434" spans="1:18" x14ac:dyDescent="0.25">
      <c r="A4434" s="6" t="str">
        <f>HYPERLINK("proteomic_fractions_linear_files/Yang_linear_img/256418961.jpg", "256418961")</f>
        <v>256418961</v>
      </c>
      <c r="B4434" s="7"/>
      <c r="C4434" s="6" t="str">
        <f>HYPERLINK("http://www.ncbi.nlm.nih.gov/protein/256418961","Mipol1")</f>
        <v>Mipol1</v>
      </c>
      <c r="D4434" s="8"/>
      <c r="E4434" s="8">
        <v>43374</v>
      </c>
      <c r="F4434" s="8"/>
      <c r="G4434" s="15" t="s">
        <v>10</v>
      </c>
      <c r="H4434" s="15" t="s">
        <v>10</v>
      </c>
      <c r="I4434" s="15" t="s">
        <v>10</v>
      </c>
      <c r="J4434" s="15" t="s">
        <v>10</v>
      </c>
      <c r="K4434" s="15">
        <v>0.45351511227989011</v>
      </c>
      <c r="L4434" s="15">
        <v>0.45351511227989011</v>
      </c>
      <c r="M4434" s="15">
        <v>0.80356689605756237</v>
      </c>
      <c r="N4434" s="15">
        <v>0.80356689605756237</v>
      </c>
      <c r="O4434" s="15" t="s">
        <v>10</v>
      </c>
      <c r="P4434" s="15" t="s">
        <v>10</v>
      </c>
      <c r="Q4434" s="8"/>
      <c r="R4434" s="9" t="s">
        <v>3981</v>
      </c>
    </row>
    <row r="4435" spans="1:18" x14ac:dyDescent="0.25">
      <c r="A4435" s="6" t="str">
        <f>HYPERLINK("proteomic_fractions_linear_files/Yang_linear_img/70909369.jpg", "70909369")</f>
        <v>70909369</v>
      </c>
      <c r="B4435" s="7"/>
      <c r="C4435" s="6" t="str">
        <f>HYPERLINK("http://www.ncbi.nlm.nih.gov/protein/70909369","Mis18a")</f>
        <v>Mis18a</v>
      </c>
      <c r="D4435" s="8"/>
      <c r="E4435" s="8">
        <v>22818</v>
      </c>
      <c r="F4435" s="8"/>
      <c r="G4435" s="15" t="s">
        <v>10</v>
      </c>
      <c r="H4435" s="15" t="s">
        <v>10</v>
      </c>
      <c r="I4435" s="15">
        <v>0.84787607947979449</v>
      </c>
      <c r="J4435" s="15">
        <v>0.84787607947979449</v>
      </c>
      <c r="K4435" s="15" t="s">
        <v>10</v>
      </c>
      <c r="L4435" s="15" t="s">
        <v>10</v>
      </c>
      <c r="M4435" s="15">
        <v>0.84787607947979449</v>
      </c>
      <c r="N4435" s="15">
        <v>0.84787607947979449</v>
      </c>
      <c r="O4435" s="15">
        <v>0.84787607947979449</v>
      </c>
      <c r="P4435" s="15">
        <v>0.84787607947979449</v>
      </c>
      <c r="Q4435" s="8"/>
      <c r="R4435" s="9" t="s">
        <v>3982</v>
      </c>
    </row>
    <row r="4436" spans="1:18" x14ac:dyDescent="0.25">
      <c r="A4436" s="6" t="str">
        <f>HYPERLINK("proteomic_fractions_linear_files/Yang_linear_img/110625710.jpg", "110625710")</f>
        <v>110625710</v>
      </c>
      <c r="B4436" s="7"/>
      <c r="C4436" s="6" t="str">
        <f>HYPERLINK("http://www.ncbi.nlm.nih.gov/protein/110625710","Mitd1")</f>
        <v>Mitd1</v>
      </c>
      <c r="D4436" s="8"/>
      <c r="E4436" s="8">
        <v>28716</v>
      </c>
      <c r="F4436" s="8"/>
      <c r="G4436" s="15" t="s">
        <v>10</v>
      </c>
      <c r="H4436" s="15" t="s">
        <v>10</v>
      </c>
      <c r="I4436" s="15" t="s">
        <v>10</v>
      </c>
      <c r="J4436" s="15" t="s">
        <v>10</v>
      </c>
      <c r="K4436" s="15">
        <v>0.90173303846293107</v>
      </c>
      <c r="L4436" s="15">
        <v>0.90173303846293107</v>
      </c>
      <c r="M4436" s="15">
        <v>0.90173303846293107</v>
      </c>
      <c r="N4436" s="15">
        <v>0.90173303846293107</v>
      </c>
      <c r="O4436" s="15" t="s">
        <v>10</v>
      </c>
      <c r="P4436" s="15" t="s">
        <v>10</v>
      </c>
      <c r="Q4436" s="8"/>
      <c r="R4436" s="9" t="s">
        <v>3983</v>
      </c>
    </row>
    <row r="4437" spans="1:18" x14ac:dyDescent="0.25">
      <c r="A4437" s="6" t="str">
        <f>HYPERLINK("proteomic_fractions_linear_files/Yang_linear_img/127138894.jpg", "127138894")</f>
        <v>127138894</v>
      </c>
      <c r="B4437" s="7"/>
      <c r="C4437" s="6" t="str">
        <f>HYPERLINK("http://www.ncbi.nlm.nih.gov/protein/127138894","Mkl1")</f>
        <v>Mkl1</v>
      </c>
      <c r="D4437" s="8"/>
      <c r="E4437" s="8">
        <v>102415</v>
      </c>
      <c r="F4437" s="8"/>
      <c r="G4437" s="15" t="s">
        <v>10</v>
      </c>
      <c r="H4437" s="15" t="s">
        <v>10</v>
      </c>
      <c r="I4437" s="15">
        <v>0.93105863904494612</v>
      </c>
      <c r="J4437" s="15">
        <v>0.93105863904494612</v>
      </c>
      <c r="K4437" s="15" t="s">
        <v>10</v>
      </c>
      <c r="L4437" s="15" t="s">
        <v>10</v>
      </c>
      <c r="M4437" s="15">
        <v>0.93105863904494612</v>
      </c>
      <c r="N4437" s="15">
        <v>0.93105863904494612</v>
      </c>
      <c r="O4437" s="15">
        <v>1.5044399131004103</v>
      </c>
      <c r="P4437" s="15">
        <v>1.5044399131004103</v>
      </c>
      <c r="Q4437" s="8"/>
      <c r="R4437" s="9" t="s">
        <v>3984</v>
      </c>
    </row>
    <row r="4438" spans="1:18" x14ac:dyDescent="0.25">
      <c r="A4438" s="6" t="str">
        <f>HYPERLINK("proteomic_fractions_linear_files/Yang_linear_img/127139379.jpg", "127139379")</f>
        <v>127139379</v>
      </c>
      <c r="B4438" s="7"/>
      <c r="C4438" s="6" t="str">
        <f>HYPERLINK("http://www.ncbi.nlm.nih.gov/protein/127139379","Mkl1")</f>
        <v>Mkl1</v>
      </c>
      <c r="D4438" s="8"/>
      <c r="E4438" s="8">
        <v>98332</v>
      </c>
      <c r="F4438" s="8"/>
      <c r="G4438" s="15" t="s">
        <v>10</v>
      </c>
      <c r="H4438" s="15" t="s">
        <v>10</v>
      </c>
      <c r="I4438" s="15">
        <v>0.96906103247535214</v>
      </c>
      <c r="J4438" s="15">
        <v>0.96906103247535214</v>
      </c>
      <c r="K4438" s="15" t="s">
        <v>10</v>
      </c>
      <c r="L4438" s="15" t="s">
        <v>10</v>
      </c>
      <c r="M4438" s="15">
        <v>0.96906103247535214</v>
      </c>
      <c r="N4438" s="15">
        <v>0.96906103247535214</v>
      </c>
      <c r="O4438" s="15">
        <v>1.5658456238392024</v>
      </c>
      <c r="P4438" s="15">
        <v>1.5658456238392024</v>
      </c>
      <c r="Q4438" s="8"/>
      <c r="R4438" s="9" t="s">
        <v>3985</v>
      </c>
    </row>
    <row r="4439" spans="1:18" x14ac:dyDescent="0.25">
      <c r="A4439" s="6" t="str">
        <f>HYPERLINK("proteomic_fractions_linear_files/Yang_linear_img/169881261.jpg", "169881261")</f>
        <v>169881261</v>
      </c>
      <c r="B4439" s="7"/>
      <c r="C4439" s="6" t="str">
        <f>HYPERLINK("http://www.ncbi.nlm.nih.gov/protein/169881261","Mkl2")</f>
        <v>Mkl2</v>
      </c>
      <c r="D4439" s="8"/>
      <c r="E4439" s="8">
        <v>118420</v>
      </c>
      <c r="F4439" s="8"/>
      <c r="G4439" s="15" t="s">
        <v>10</v>
      </c>
      <c r="H4439" s="15" t="s">
        <v>10</v>
      </c>
      <c r="I4439" s="15" t="s">
        <v>10</v>
      </c>
      <c r="J4439" s="15" t="s">
        <v>10</v>
      </c>
      <c r="K4439" s="15" t="s">
        <v>10</v>
      </c>
      <c r="L4439" s="15" t="s">
        <v>10</v>
      </c>
      <c r="M4439" s="15">
        <v>0.40923708122385805</v>
      </c>
      <c r="N4439" s="15">
        <v>0.40923708122385805</v>
      </c>
      <c r="O4439" s="15">
        <v>0.37394567158445313</v>
      </c>
      <c r="P4439" s="15">
        <v>0.37394567158445313</v>
      </c>
      <c r="Q4439" s="8"/>
      <c r="R4439" s="9" t="s">
        <v>3986</v>
      </c>
    </row>
    <row r="4440" spans="1:18" x14ac:dyDescent="0.25">
      <c r="A4440" s="6" t="str">
        <f>HYPERLINK("proteomic_fractions_linear_files/Yang_linear_img/237820633.jpg", "237820633")</f>
        <v>237820633</v>
      </c>
      <c r="B4440" s="7"/>
      <c r="C4440" s="6" t="str">
        <f>HYPERLINK("http://www.ncbi.nlm.nih.gov/protein/237820633","Mkl2")</f>
        <v>Mkl2</v>
      </c>
      <c r="D4440" s="8"/>
      <c r="E4440" s="8">
        <v>117386</v>
      </c>
      <c r="F4440" s="8"/>
      <c r="G4440" s="15" t="s">
        <v>10</v>
      </c>
      <c r="H4440" s="15" t="s">
        <v>10</v>
      </c>
      <c r="I4440" s="15" t="s">
        <v>10</v>
      </c>
      <c r="J4440" s="15" t="s">
        <v>10</v>
      </c>
      <c r="K4440" s="15" t="s">
        <v>10</v>
      </c>
      <c r="L4440" s="15" t="s">
        <v>10</v>
      </c>
      <c r="M4440" s="15">
        <v>0.41273483405483119</v>
      </c>
      <c r="N4440" s="15">
        <v>0.41273483405483119</v>
      </c>
      <c r="O4440" s="15">
        <v>0.37714178843560231</v>
      </c>
      <c r="P4440" s="15">
        <v>0.37714178843560231</v>
      </c>
      <c r="Q4440" s="8"/>
      <c r="R4440" s="9" t="s">
        <v>3987</v>
      </c>
    </row>
    <row r="4441" spans="1:18" x14ac:dyDescent="0.25">
      <c r="A4441" s="6" t="str">
        <f>HYPERLINK("proteomic_fractions_linear_files/Yang_linear_img/7305271.jpg", "7305271")</f>
        <v>7305271</v>
      </c>
      <c r="B4441" s="7"/>
      <c r="C4441" s="6" t="str">
        <f>HYPERLINK("http://www.ncbi.nlm.nih.gov/protein/7305271","Mkln1")</f>
        <v>Mkln1</v>
      </c>
      <c r="D4441" s="8"/>
      <c r="E4441" s="8">
        <v>84747</v>
      </c>
      <c r="F4441" s="8"/>
      <c r="G4441" s="15" t="s">
        <v>10</v>
      </c>
      <c r="H4441" s="15" t="s">
        <v>10</v>
      </c>
      <c r="I4441" s="15" t="s">
        <v>10</v>
      </c>
      <c r="J4441" s="15" t="s">
        <v>10</v>
      </c>
      <c r="K4441" s="15" t="s">
        <v>10</v>
      </c>
      <c r="L4441" s="15" t="s">
        <v>10</v>
      </c>
      <c r="M4441" s="15">
        <v>0.97763127615463363</v>
      </c>
      <c r="N4441" s="15">
        <v>0.97763127615463363</v>
      </c>
      <c r="O4441" s="15">
        <v>0.97763127615463363</v>
      </c>
      <c r="P4441" s="15">
        <v>0.97763127615463363</v>
      </c>
      <c r="Q4441" s="8"/>
      <c r="R4441" s="9" t="s">
        <v>3988</v>
      </c>
    </row>
    <row r="4442" spans="1:18" x14ac:dyDescent="0.25">
      <c r="A4442" s="6" t="str">
        <f>HYPERLINK("proteomic_fractions_linear_files/Yang_linear_img/10946852.jpg", "10946852")</f>
        <v>10946852</v>
      </c>
      <c r="B4442" s="7"/>
      <c r="C4442" s="6" t="str">
        <f>HYPERLINK("http://www.ncbi.nlm.nih.gov/protein/10946852","Mknk2")</f>
        <v>Mknk2</v>
      </c>
      <c r="D4442" s="8"/>
      <c r="E4442" s="8">
        <v>46083</v>
      </c>
      <c r="F4442" s="8"/>
      <c r="G4442" s="15" t="s">
        <v>10</v>
      </c>
      <c r="H4442" s="15" t="s">
        <v>10</v>
      </c>
      <c r="I4442" s="15" t="s">
        <v>10</v>
      </c>
      <c r="J4442" s="15" t="s">
        <v>10</v>
      </c>
      <c r="K4442" s="15">
        <v>6.5605070573151911</v>
      </c>
      <c r="L4442" s="15">
        <v>6.5605070573151911</v>
      </c>
      <c r="M4442" s="15">
        <v>12.90201751455009</v>
      </c>
      <c r="N4442" s="15">
        <v>12.90201751455009</v>
      </c>
      <c r="O4442" s="15" t="s">
        <v>10</v>
      </c>
      <c r="P4442" s="15" t="s">
        <v>10</v>
      </c>
      <c r="Q4442" s="8"/>
      <c r="R4442" s="9" t="s">
        <v>3989</v>
      </c>
    </row>
    <row r="4443" spans="1:18" x14ac:dyDescent="0.25">
      <c r="A4443" s="6" t="str">
        <f>HYPERLINK("proteomic_fractions_linear_files/Yang_linear_img/88853570.jpg", "88853570")</f>
        <v>88853570</v>
      </c>
      <c r="B4443" s="7"/>
      <c r="C4443" s="6" t="str">
        <f>HYPERLINK("http://www.ncbi.nlm.nih.gov/protein/88853570","Mkrn2")</f>
        <v>Mkrn2</v>
      </c>
      <c r="D4443" s="8"/>
      <c r="E4443" s="8">
        <v>46466</v>
      </c>
      <c r="F4443" s="8"/>
      <c r="G4443" s="15">
        <v>0.36340162001319615</v>
      </c>
      <c r="H4443" s="15">
        <v>0.36340162001319615</v>
      </c>
      <c r="I4443" s="15" t="s">
        <v>10</v>
      </c>
      <c r="J4443" s="15" t="s">
        <v>10</v>
      </c>
      <c r="K4443" s="15" t="s">
        <v>10</v>
      </c>
      <c r="L4443" s="15" t="s">
        <v>10</v>
      </c>
      <c r="M4443" s="15" t="s">
        <v>10</v>
      </c>
      <c r="N4443" s="15" t="s">
        <v>10</v>
      </c>
      <c r="O4443" s="15" t="s">
        <v>10</v>
      </c>
      <c r="P4443" s="15" t="s">
        <v>10</v>
      </c>
      <c r="Q4443" s="8"/>
      <c r="R4443" s="9" t="s">
        <v>3990</v>
      </c>
    </row>
    <row r="4444" spans="1:18" x14ac:dyDescent="0.25">
      <c r="A4444" s="6" t="str">
        <f>HYPERLINK("proteomic_fractions_linear_files/Yang_linear_img/188497650.jpg", "188497650")</f>
        <v>188497650</v>
      </c>
      <c r="B4444" s="7"/>
      <c r="C4444" s="6" t="str">
        <f>HYPERLINK("http://www.ncbi.nlm.nih.gov/protein/188497650","Mlec")</f>
        <v>Mlec</v>
      </c>
      <c r="D4444" s="8"/>
      <c r="E4444" s="8">
        <v>29135</v>
      </c>
      <c r="F4444" s="8"/>
      <c r="G4444" s="15">
        <v>1.3968040759731981</v>
      </c>
      <c r="H4444" s="15">
        <v>1.3968040759731981</v>
      </c>
      <c r="I4444" s="15">
        <v>1.0305312721280391</v>
      </c>
      <c r="J4444" s="15">
        <v>1.0305312721280391</v>
      </c>
      <c r="K4444" s="15">
        <v>1.1063473398528822</v>
      </c>
      <c r="L4444" s="15">
        <v>1.1063473398528822</v>
      </c>
      <c r="M4444" s="15">
        <v>1.0305312721280391</v>
      </c>
      <c r="N4444" s="15">
        <v>1.0305312721280391</v>
      </c>
      <c r="O4444" s="15" t="s">
        <v>10</v>
      </c>
      <c r="P4444" s="15" t="s">
        <v>10</v>
      </c>
      <c r="Q4444" s="8"/>
      <c r="R4444" s="9" t="s">
        <v>3991</v>
      </c>
    </row>
    <row r="4445" spans="1:18" x14ac:dyDescent="0.25">
      <c r="A4445" s="6" t="str">
        <f>HYPERLINK("proteomic_fractions_linear_files/Yang_linear_img/21703770.jpg", "21703770")</f>
        <v>21703770</v>
      </c>
      <c r="B4445" s="7"/>
      <c r="C4445" s="6" t="str">
        <f>HYPERLINK("http://www.ncbi.nlm.nih.gov/protein/21703770","Mlf2")</f>
        <v>Mlf2</v>
      </c>
      <c r="D4445" s="8"/>
      <c r="E4445" s="8">
        <v>27924</v>
      </c>
      <c r="F4445" s="8"/>
      <c r="G4445" s="15" t="s">
        <v>10</v>
      </c>
      <c r="H4445" s="15" t="s">
        <v>10</v>
      </c>
      <c r="I4445" s="15">
        <v>0.99707897491721642</v>
      </c>
      <c r="J4445" s="15">
        <v>0.99707897491721642</v>
      </c>
      <c r="K4445" s="15" t="s">
        <v>10</v>
      </c>
      <c r="L4445" s="15" t="s">
        <v>10</v>
      </c>
      <c r="M4445" s="15">
        <v>0.99707897491721642</v>
      </c>
      <c r="N4445" s="15">
        <v>0.99707897491721642</v>
      </c>
      <c r="O4445" s="15">
        <v>0.93393778983660714</v>
      </c>
      <c r="P4445" s="15">
        <v>0.93393778983660714</v>
      </c>
      <c r="Q4445" s="8"/>
      <c r="R4445" s="9" t="s">
        <v>3992</v>
      </c>
    </row>
    <row r="4446" spans="1:18" x14ac:dyDescent="0.25">
      <c r="A4446" s="6" t="str">
        <f>HYPERLINK("proteomic_fractions_linear_files/Yang_linear_img/110626037.jpg", "110626037")</f>
        <v>110626037</v>
      </c>
      <c r="B4446" s="7"/>
      <c r="C4446" s="6" t="str">
        <f>HYPERLINK("http://www.ncbi.nlm.nih.gov/protein/110626037","Mlkl")</f>
        <v>Mlkl</v>
      </c>
      <c r="D4446" s="8"/>
      <c r="E4446" s="8">
        <v>53244</v>
      </c>
      <c r="F4446" s="8"/>
      <c r="G4446" s="15" t="s">
        <v>10</v>
      </c>
      <c r="H4446" s="15" t="s">
        <v>10</v>
      </c>
      <c r="I4446" s="15" t="s">
        <v>10</v>
      </c>
      <c r="J4446" s="15" t="s">
        <v>10</v>
      </c>
      <c r="K4446" s="15" t="s">
        <v>10</v>
      </c>
      <c r="L4446" s="15" t="s">
        <v>10</v>
      </c>
      <c r="M4446" s="15">
        <v>1.0022748986792656</v>
      </c>
      <c r="N4446" s="15">
        <v>1.0022748986792656</v>
      </c>
      <c r="O4446" s="15">
        <v>0.91113161480028781</v>
      </c>
      <c r="P4446" s="15">
        <v>0.91113161480028781</v>
      </c>
      <c r="Q4446" s="8"/>
      <c r="R4446" s="9" t="s">
        <v>3993</v>
      </c>
    </row>
    <row r="4447" spans="1:18" x14ac:dyDescent="0.25">
      <c r="A4447" s="6" t="str">
        <f>HYPERLINK("proteomic_fractions_linear_files/Yang_linear_img/11612511.jpg", "11612511")</f>
        <v>11612511</v>
      </c>
      <c r="B4447" s="7"/>
      <c r="C4447" s="6" t="str">
        <f>HYPERLINK("http://www.ncbi.nlm.nih.gov/protein/11612511","Mllt1")</f>
        <v>Mllt1</v>
      </c>
      <c r="D4447" s="8"/>
      <c r="E4447" s="8">
        <v>60655</v>
      </c>
      <c r="F4447" s="8"/>
      <c r="G4447" s="15" t="s">
        <v>10</v>
      </c>
      <c r="H4447" s="15" t="s">
        <v>10</v>
      </c>
      <c r="I4447" s="15">
        <v>98.247540983606569</v>
      </c>
      <c r="J4447" s="15">
        <v>98.247540983606569</v>
      </c>
      <c r="K4447" s="15" t="s">
        <v>10</v>
      </c>
      <c r="L4447" s="15" t="s">
        <v>10</v>
      </c>
      <c r="M4447" s="15" t="s">
        <v>10</v>
      </c>
      <c r="N4447" s="15" t="s">
        <v>10</v>
      </c>
      <c r="O4447" s="15" t="s">
        <v>10</v>
      </c>
      <c r="P4447" s="15" t="s">
        <v>10</v>
      </c>
      <c r="Q4447" s="8"/>
      <c r="R4447" s="9" t="s">
        <v>3994</v>
      </c>
    </row>
    <row r="4448" spans="1:18" x14ac:dyDescent="0.25">
      <c r="A4448" s="6" t="str">
        <f>HYPERLINK("proteomic_fractions_linear_files/Yang_linear_img/145587092.jpg", "145587092")</f>
        <v>145587092</v>
      </c>
      <c r="B4448" s="7"/>
      <c r="C4448" s="6" t="str">
        <f>HYPERLINK("http://www.ncbi.nlm.nih.gov/protein/145587092","Mllt4")</f>
        <v>Mllt4</v>
      </c>
      <c r="D4448" s="8"/>
      <c r="E4448" s="8">
        <v>206369</v>
      </c>
      <c r="F4448" s="8"/>
      <c r="G4448" s="15">
        <v>1.1328196486788791</v>
      </c>
      <c r="H4448" s="15">
        <v>1.1328196486788791</v>
      </c>
      <c r="I4448" s="15">
        <v>1.1328196486788791</v>
      </c>
      <c r="J4448" s="15">
        <v>1.1328196486788791</v>
      </c>
      <c r="K4448" s="15">
        <v>1.4649675953228096</v>
      </c>
      <c r="L4448" s="15">
        <v>1.4649675953228096</v>
      </c>
      <c r="M4448" s="15">
        <v>0.74491685017593123</v>
      </c>
      <c r="N4448" s="15">
        <v>0.90663025067932212</v>
      </c>
      <c r="O4448" s="15">
        <v>1.1328196486788791</v>
      </c>
      <c r="P4448" s="15">
        <v>1.1328196486788791</v>
      </c>
      <c r="Q4448" s="8"/>
      <c r="R4448" s="9" t="s">
        <v>3995</v>
      </c>
    </row>
    <row r="4449" spans="1:18" x14ac:dyDescent="0.25">
      <c r="A4449" s="6" t="str">
        <f>HYPERLINK("proteomic_fractions_linear_files/Yang_linear_img/357197121;357197118.jpg", "357197121;357197118")</f>
        <v>357197121;357197118</v>
      </c>
      <c r="B4449" s="8"/>
      <c r="C4449" s="6" t="str">
        <f>HYPERLINK("http://www.ncbi.nlm.nih.gov/protein/357197121;357197118","Mlst8")</f>
        <v>Mlst8</v>
      </c>
      <c r="D4449" s="8"/>
      <c r="E4449" s="8">
        <v>35720</v>
      </c>
      <c r="F4449" s="8"/>
      <c r="G4449" s="15" t="s">
        <v>10</v>
      </c>
      <c r="H4449" s="15" t="s">
        <v>10</v>
      </c>
      <c r="I4449" s="15" t="s">
        <v>10</v>
      </c>
      <c r="J4449" s="15" t="s">
        <v>10</v>
      </c>
      <c r="K4449" s="15">
        <v>0.95981601473542177</v>
      </c>
      <c r="L4449" s="15">
        <v>0.95981601473542177</v>
      </c>
      <c r="M4449" s="15" t="s">
        <v>10</v>
      </c>
      <c r="N4449" s="15" t="s">
        <v>10</v>
      </c>
      <c r="O4449" s="15" t="s">
        <v>10</v>
      </c>
      <c r="P4449" s="15" t="s">
        <v>10</v>
      </c>
      <c r="Q4449" s="8"/>
      <c r="R4449" s="9" t="s">
        <v>3996</v>
      </c>
    </row>
    <row r="4450" spans="1:18" x14ac:dyDescent="0.25">
      <c r="A4450" s="6" t="str">
        <f>HYPERLINK("proteomic_fractions_linear_files/Yang_linear_img/357197118.jpg", "357197118")</f>
        <v>357197118</v>
      </c>
      <c r="B4450" s="7"/>
      <c r="C4450" s="6" t="str">
        <f>HYPERLINK("http://www.ncbi.nlm.nih.gov/protein/357197118","Mlst8")</f>
        <v>Mlst8</v>
      </c>
      <c r="D4450" s="8"/>
      <c r="E4450" s="8">
        <v>35720</v>
      </c>
      <c r="F4450" s="8"/>
      <c r="G4450" s="15" t="s">
        <v>10</v>
      </c>
      <c r="H4450" s="15" t="s">
        <v>10</v>
      </c>
      <c r="I4450" s="15">
        <v>0.89122424599259964</v>
      </c>
      <c r="J4450" s="15">
        <v>0.89122424599259964</v>
      </c>
      <c r="K4450" s="15" t="s">
        <v>10</v>
      </c>
      <c r="L4450" s="15" t="s">
        <v>10</v>
      </c>
      <c r="M4450" s="15">
        <v>0.95981601473542177</v>
      </c>
      <c r="N4450" s="15">
        <v>0.89122424599259964</v>
      </c>
      <c r="O4450" s="15" t="s">
        <v>10</v>
      </c>
      <c r="P4450" s="15" t="s">
        <v>10</v>
      </c>
      <c r="Q4450" s="8"/>
      <c r="R4450" s="9" t="s">
        <v>3996</v>
      </c>
    </row>
    <row r="4451" spans="1:18" x14ac:dyDescent="0.25">
      <c r="A4451" s="6" t="str">
        <f>HYPERLINK("proteomic_fractions_linear_files/Yang_linear_img/357197123.jpg", "357197123")</f>
        <v>357197123</v>
      </c>
      <c r="B4451" s="7"/>
      <c r="C4451" s="6" t="str">
        <f>HYPERLINK("http://www.ncbi.nlm.nih.gov/protein/357197123","Mlst8")</f>
        <v>Mlst8</v>
      </c>
      <c r="D4451" s="8"/>
      <c r="E4451" s="8">
        <v>28544</v>
      </c>
      <c r="F4451" s="8"/>
      <c r="G4451" s="15" t="s">
        <v>10</v>
      </c>
      <c r="H4451" s="15" t="s">
        <v>10</v>
      </c>
      <c r="I4451" s="15">
        <v>1.1063473398528822</v>
      </c>
      <c r="J4451" s="15">
        <v>1.1063473398528822</v>
      </c>
      <c r="K4451" s="15">
        <v>1.1914957424301789</v>
      </c>
      <c r="L4451" s="15">
        <v>1.1914957424301789</v>
      </c>
      <c r="M4451" s="15">
        <v>1.1914957424301789</v>
      </c>
      <c r="N4451" s="15">
        <v>1.1914957424301789</v>
      </c>
      <c r="O4451" s="15" t="s">
        <v>10</v>
      </c>
      <c r="P4451" s="15" t="s">
        <v>10</v>
      </c>
      <c r="Q4451" s="8"/>
      <c r="R4451" s="9" t="s">
        <v>3997</v>
      </c>
    </row>
    <row r="4452" spans="1:18" x14ac:dyDescent="0.25">
      <c r="A4452" s="6" t="str">
        <f>HYPERLINK("proteomic_fractions_linear_files/Yang_linear_img/56797739.jpg", "56797739")</f>
        <v>56797739</v>
      </c>
      <c r="B4452" s="7"/>
      <c r="C4452" s="6" t="str">
        <f>HYPERLINK("http://www.ncbi.nlm.nih.gov/protein/56797739","Mlycd")</f>
        <v>Mlycd</v>
      </c>
      <c r="D4452" s="8"/>
      <c r="E4452" s="8">
        <v>54605</v>
      </c>
      <c r="F4452" s="8"/>
      <c r="G4452" s="15" t="s">
        <v>10</v>
      </c>
      <c r="H4452" s="15" t="s">
        <v>10</v>
      </c>
      <c r="I4452" s="15">
        <v>0.87799955608027735</v>
      </c>
      <c r="J4452" s="15">
        <v>0.87799955608027735</v>
      </c>
      <c r="K4452" s="15" t="s">
        <v>10</v>
      </c>
      <c r="L4452" s="15" t="s">
        <v>10</v>
      </c>
      <c r="M4452" s="15" t="s">
        <v>10</v>
      </c>
      <c r="N4452" s="15" t="s">
        <v>10</v>
      </c>
      <c r="O4452" s="15" t="s">
        <v>10</v>
      </c>
      <c r="P4452" s="15" t="s">
        <v>10</v>
      </c>
      <c r="Q4452" s="8"/>
      <c r="R4452" s="9" t="s">
        <v>3998</v>
      </c>
    </row>
    <row r="4453" spans="1:18" x14ac:dyDescent="0.25">
      <c r="A4453" s="6" t="str">
        <f>HYPERLINK("proteomic_fractions_linear_files/Yang_linear_img/21313396.jpg", "21313396")</f>
        <v>21313396</v>
      </c>
      <c r="B4453" s="7"/>
      <c r="C4453" s="6" t="str">
        <f>HYPERLINK("http://www.ncbi.nlm.nih.gov/protein/21313396","Mmab")</f>
        <v>Mmab</v>
      </c>
      <c r="D4453" s="8"/>
      <c r="E4453" s="8">
        <v>23342</v>
      </c>
      <c r="F4453" s="8"/>
      <c r="G4453" s="15" t="s">
        <v>10</v>
      </c>
      <c r="H4453" s="15" t="s">
        <v>10</v>
      </c>
      <c r="I4453" s="15">
        <v>1.0047640597703238</v>
      </c>
      <c r="J4453" s="15">
        <v>1.0047640597703238</v>
      </c>
      <c r="K4453" s="15" t="s">
        <v>10</v>
      </c>
      <c r="L4453" s="15" t="s">
        <v>10</v>
      </c>
      <c r="M4453" s="15" t="s">
        <v>10</v>
      </c>
      <c r="N4453" s="15" t="s">
        <v>10</v>
      </c>
      <c r="O4453" s="15" t="s">
        <v>10</v>
      </c>
      <c r="P4453" s="15" t="s">
        <v>10</v>
      </c>
      <c r="Q4453" s="8"/>
      <c r="R4453" s="9" t="s">
        <v>3999</v>
      </c>
    </row>
    <row r="4454" spans="1:18" x14ac:dyDescent="0.25">
      <c r="A4454" s="6" t="str">
        <f>HYPERLINK("proteomic_fractions_linear_files/Yang_linear_img/31543255.jpg", "31543255")</f>
        <v>31543255</v>
      </c>
      <c r="B4454" s="7"/>
      <c r="C4454" s="6" t="str">
        <f>HYPERLINK("http://www.ncbi.nlm.nih.gov/protein/31543255","Mme")</f>
        <v>Mme</v>
      </c>
      <c r="D4454" s="8"/>
      <c r="E4454" s="8">
        <v>85571</v>
      </c>
      <c r="F4454" s="8"/>
      <c r="G4454" s="15" t="s">
        <v>10</v>
      </c>
      <c r="H4454" s="15" t="s">
        <v>10</v>
      </c>
      <c r="I4454" s="15">
        <v>1.2767623700131565</v>
      </c>
      <c r="J4454" s="15">
        <v>1.2767623700131565</v>
      </c>
      <c r="K4454" s="15">
        <v>1.2767623700131565</v>
      </c>
      <c r="L4454" s="15">
        <v>1.2767623700131565</v>
      </c>
      <c r="M4454" s="15" t="s">
        <v>10</v>
      </c>
      <c r="N4454" s="15" t="s">
        <v>10</v>
      </c>
      <c r="O4454" s="15" t="s">
        <v>10</v>
      </c>
      <c r="P4454" s="15" t="s">
        <v>10</v>
      </c>
      <c r="Q4454" s="8"/>
      <c r="R4454" s="9" t="s">
        <v>4000</v>
      </c>
    </row>
    <row r="4455" spans="1:18" x14ac:dyDescent="0.25">
      <c r="A4455" s="6" t="str">
        <f>HYPERLINK("proteomic_fractions_linear_files/Yang_linear_img/22122803.jpg", "22122803")</f>
        <v>22122803</v>
      </c>
      <c r="B4455" s="7"/>
      <c r="C4455" s="6" t="str">
        <f>HYPERLINK("http://www.ncbi.nlm.nih.gov/protein/22122803","Mmgt1")</f>
        <v>Mmgt1</v>
      </c>
      <c r="D4455" s="8"/>
      <c r="E4455" s="8">
        <v>12656</v>
      </c>
      <c r="F4455" s="8"/>
      <c r="G4455" s="15" t="s">
        <v>10</v>
      </c>
      <c r="H4455" s="15" t="s">
        <v>10</v>
      </c>
      <c r="I4455" s="15">
        <v>1.068142346148973</v>
      </c>
      <c r="J4455" s="15">
        <v>1.068142346148973</v>
      </c>
      <c r="K4455" s="15">
        <v>1.1689490995241758</v>
      </c>
      <c r="L4455" s="15">
        <v>1.1167287478361805</v>
      </c>
      <c r="M4455" s="15" t="s">
        <v>10</v>
      </c>
      <c r="N4455" s="15" t="s">
        <v>10</v>
      </c>
      <c r="O4455" s="15" t="s">
        <v>10</v>
      </c>
      <c r="P4455" s="15" t="s">
        <v>10</v>
      </c>
      <c r="Q4455" s="8"/>
      <c r="R4455" s="9" t="s">
        <v>4001</v>
      </c>
    </row>
    <row r="4456" spans="1:18" x14ac:dyDescent="0.25">
      <c r="A4456" s="6" t="str">
        <f>HYPERLINK("proteomic_fractions_linear_files/Yang_linear_img/188528637.jpg", "188528637")</f>
        <v>188528637</v>
      </c>
      <c r="B4456" s="7"/>
      <c r="C4456" s="6" t="str">
        <f>HYPERLINK("http://www.ncbi.nlm.nih.gov/protein/188528637","Mmp14")</f>
        <v>Mmp14</v>
      </c>
      <c r="D4456" s="8"/>
      <c r="E4456" s="8">
        <v>53780</v>
      </c>
      <c r="F4456" s="8"/>
      <c r="G4456" s="15" t="s">
        <v>10</v>
      </c>
      <c r="H4456" s="15" t="s">
        <v>10</v>
      </c>
      <c r="I4456" s="15">
        <v>0.21760954862636361</v>
      </c>
      <c r="J4456" s="15">
        <v>0.21760954862636361</v>
      </c>
      <c r="K4456" s="15">
        <v>0.22653446837650662</v>
      </c>
      <c r="L4456" s="15">
        <v>0.22653446837650662</v>
      </c>
      <c r="M4456" s="15" t="s">
        <v>10</v>
      </c>
      <c r="N4456" s="15" t="s">
        <v>10</v>
      </c>
      <c r="O4456" s="15" t="s">
        <v>10</v>
      </c>
      <c r="P4456" s="15" t="s">
        <v>10</v>
      </c>
      <c r="Q4456" s="8"/>
      <c r="R4456" s="9" t="s">
        <v>4002</v>
      </c>
    </row>
    <row r="4457" spans="1:18" x14ac:dyDescent="0.25">
      <c r="A4457" s="6" t="str">
        <f>HYPERLINK("proteomic_fractions_linear_files/Yang_linear_img/23308683.jpg", "23308683")</f>
        <v>23308683</v>
      </c>
      <c r="B4457" s="7"/>
      <c r="C4457" s="6" t="str">
        <f>HYPERLINK("http://www.ncbi.nlm.nih.gov/protein/23308683","Mmp21")</f>
        <v>Mmp21</v>
      </c>
      <c r="D4457" s="8"/>
      <c r="E4457" s="8">
        <v>62853</v>
      </c>
      <c r="F4457" s="8"/>
      <c r="G4457" s="15" t="s">
        <v>10</v>
      </c>
      <c r="H4457" s="15" t="s">
        <v>10</v>
      </c>
      <c r="I4457" s="15" t="s">
        <v>10</v>
      </c>
      <c r="J4457" s="15" t="s">
        <v>10</v>
      </c>
      <c r="K4457" s="15">
        <v>2.0432004467478881</v>
      </c>
      <c r="L4457" s="15">
        <v>2.0432004467478881</v>
      </c>
      <c r="M4457" s="15" t="s">
        <v>10</v>
      </c>
      <c r="N4457" s="15" t="s">
        <v>10</v>
      </c>
      <c r="O4457" s="15" t="s">
        <v>10</v>
      </c>
      <c r="P4457" s="15" t="s">
        <v>10</v>
      </c>
      <c r="Q4457" s="8"/>
      <c r="R4457" s="9" t="s">
        <v>4003</v>
      </c>
    </row>
    <row r="4458" spans="1:18" x14ac:dyDescent="0.25">
      <c r="A4458" s="6" t="str">
        <f>HYPERLINK("proteomic_fractions_linear_files/Yang_linear_img/15100156.jpg", "15100156")</f>
        <v>15100156</v>
      </c>
      <c r="B4458" s="7"/>
      <c r="C4458" s="6" t="str">
        <f>HYPERLINK("http://www.ncbi.nlm.nih.gov/protein/15100156","Mms19")</f>
        <v>Mms19</v>
      </c>
      <c r="D4458" s="8"/>
      <c r="E4458" s="8">
        <v>112958</v>
      </c>
      <c r="F4458" s="8"/>
      <c r="G4458" s="15" t="s">
        <v>10</v>
      </c>
      <c r="H4458" s="15" t="s">
        <v>10</v>
      </c>
      <c r="I4458" s="15">
        <v>0.9716952550542608</v>
      </c>
      <c r="J4458" s="15">
        <v>0.9716952550542608</v>
      </c>
      <c r="K4458" s="15">
        <v>1.1391294526116547</v>
      </c>
      <c r="L4458" s="15">
        <v>1.1391294526116547</v>
      </c>
      <c r="M4458" s="15">
        <v>0.14793340283723028</v>
      </c>
      <c r="N4458" s="15">
        <v>0.9716952550542608</v>
      </c>
      <c r="O4458" s="15">
        <v>0.9716952550542608</v>
      </c>
      <c r="P4458" s="15">
        <v>0.9716952550542608</v>
      </c>
      <c r="Q4458" s="8"/>
      <c r="R4458" s="9" t="s">
        <v>4004</v>
      </c>
    </row>
    <row r="4459" spans="1:18" x14ac:dyDescent="0.25">
      <c r="A4459" s="6" t="str">
        <f>HYPERLINK("proteomic_fractions_linear_files/Yang_linear_img/253970429.jpg", "253970429")</f>
        <v>253970429</v>
      </c>
      <c r="B4459" s="7"/>
      <c r="C4459" s="6" t="str">
        <f>HYPERLINK("http://www.ncbi.nlm.nih.gov/protein/253970429","Mms22l")</f>
        <v>Mms22l</v>
      </c>
      <c r="D4459" s="8"/>
      <c r="E4459" s="8">
        <v>140452</v>
      </c>
      <c r="F4459" s="8"/>
      <c r="G4459" s="15" t="s">
        <v>10</v>
      </c>
      <c r="H4459" s="15" t="s">
        <v>10</v>
      </c>
      <c r="I4459" s="15" t="s">
        <v>10</v>
      </c>
      <c r="J4459" s="15" t="s">
        <v>10</v>
      </c>
      <c r="K4459" s="15">
        <v>1.0960919366874418</v>
      </c>
      <c r="L4459" s="15">
        <v>1.0960919366874418</v>
      </c>
      <c r="M4459" s="15">
        <v>1.0960919366874418</v>
      </c>
      <c r="N4459" s="15">
        <v>1.0960919366874418</v>
      </c>
      <c r="O4459" s="15" t="s">
        <v>10</v>
      </c>
      <c r="P4459" s="15" t="s">
        <v>10</v>
      </c>
      <c r="Q4459" s="8"/>
      <c r="R4459" s="9" t="s">
        <v>4005</v>
      </c>
    </row>
    <row r="4460" spans="1:18" x14ac:dyDescent="0.25">
      <c r="A4460" s="6" t="str">
        <f>HYPERLINK("proteomic_fractions_linear_files/Yang_linear_img/89363038.jpg", "89363038")</f>
        <v>89363038</v>
      </c>
      <c r="B4460" s="7"/>
      <c r="C4460" s="6" t="str">
        <f>HYPERLINK("http://www.ncbi.nlm.nih.gov/protein/89363038","Mnat1")</f>
        <v>Mnat1</v>
      </c>
      <c r="D4460" s="8"/>
      <c r="E4460" s="8">
        <v>35717</v>
      </c>
      <c r="F4460" s="8"/>
      <c r="G4460" s="15" t="s">
        <v>10</v>
      </c>
      <c r="H4460" s="15" t="s">
        <v>10</v>
      </c>
      <c r="I4460" s="15" t="s">
        <v>10</v>
      </c>
      <c r="J4460" s="15" t="s">
        <v>10</v>
      </c>
      <c r="K4460" s="15" t="s">
        <v>10</v>
      </c>
      <c r="L4460" s="15" t="s">
        <v>10</v>
      </c>
      <c r="M4460" s="15" t="s">
        <v>10</v>
      </c>
      <c r="N4460" s="15" t="s">
        <v>10</v>
      </c>
      <c r="O4460" s="15">
        <v>0.77550586938005717</v>
      </c>
      <c r="P4460" s="15">
        <v>0.77550586938005717</v>
      </c>
      <c r="Q4460" s="8"/>
      <c r="R4460" s="9" t="s">
        <v>4006</v>
      </c>
    </row>
    <row r="4461" spans="1:18" x14ac:dyDescent="0.25">
      <c r="A4461" s="6" t="str">
        <f>HYPERLINK("proteomic_fractions_linear_files/Yang_linear_img/84781795.jpg", "84781795")</f>
        <v>84781795</v>
      </c>
      <c r="B4461" s="7"/>
      <c r="C4461" s="6" t="str">
        <f>HYPERLINK("http://www.ncbi.nlm.nih.gov/protein/84781795","Mnda")</f>
        <v>Mnda</v>
      </c>
      <c r="D4461" s="8"/>
      <c r="E4461" s="8">
        <v>46846</v>
      </c>
      <c r="F4461" s="8"/>
      <c r="G4461" s="15">
        <v>0.79449630687499129</v>
      </c>
      <c r="H4461" s="15">
        <v>0.79449630687499129</v>
      </c>
      <c r="I4461" s="15">
        <v>0.52244299177184927</v>
      </c>
      <c r="J4461" s="15">
        <v>0.52244299177184927</v>
      </c>
      <c r="K4461" s="15">
        <v>0.55638847054095741</v>
      </c>
      <c r="L4461" s="15">
        <v>0.55638847054095741</v>
      </c>
      <c r="M4461" s="15">
        <v>0.52244299177184927</v>
      </c>
      <c r="N4461" s="15">
        <v>0.52244299177184927</v>
      </c>
      <c r="O4461" s="15">
        <v>0.46373919724848406</v>
      </c>
      <c r="P4461" s="15">
        <v>0.46373919724848406</v>
      </c>
      <c r="Q4461" s="8"/>
      <c r="R4461" s="9" t="s">
        <v>4007</v>
      </c>
    </row>
    <row r="4462" spans="1:18" x14ac:dyDescent="0.25">
      <c r="A4462" s="6" t="str">
        <f>HYPERLINK("proteomic_fractions_linear_files/Yang_linear_img/21704148.jpg", "21704148")</f>
        <v>21704148</v>
      </c>
      <c r="B4462" s="7"/>
      <c r="C4462" s="6" t="str">
        <f>HYPERLINK("http://www.ncbi.nlm.nih.gov/protein/21704148","Mob1a")</f>
        <v>Mob1a</v>
      </c>
      <c r="D4462" s="8"/>
      <c r="E4462" s="8">
        <v>24949</v>
      </c>
      <c r="F4462" s="8"/>
      <c r="G4462" s="15" t="s">
        <v>10</v>
      </c>
      <c r="H4462" s="15" t="s">
        <v>10</v>
      </c>
      <c r="I4462" s="15">
        <v>0.92438293498869784</v>
      </c>
      <c r="J4462" s="15">
        <v>0.92438293498869784</v>
      </c>
      <c r="K4462" s="15">
        <v>0.92438293498869784</v>
      </c>
      <c r="L4462" s="15">
        <v>0.92438293498869784</v>
      </c>
      <c r="M4462" s="15">
        <v>0.92438293498869784</v>
      </c>
      <c r="N4462" s="15">
        <v>0.92438293498869784</v>
      </c>
      <c r="O4462" s="15">
        <v>0.82389764746625094</v>
      </c>
      <c r="P4462" s="15">
        <v>0.82389764746625094</v>
      </c>
      <c r="Q4462" s="8"/>
      <c r="R4462" s="9" t="s">
        <v>4008</v>
      </c>
    </row>
    <row r="4463" spans="1:18" x14ac:dyDescent="0.25">
      <c r="A4463" s="6" t="str">
        <f>HYPERLINK("proteomic_fractions_linear_files/Yang_linear_img/62412947.jpg", "62412947")</f>
        <v>62412947</v>
      </c>
      <c r="B4463" s="7"/>
      <c r="C4463" s="6" t="str">
        <f>HYPERLINK("http://www.ncbi.nlm.nih.gov/protein/62412947","Mob1b")</f>
        <v>Mob1b</v>
      </c>
      <c r="D4463" s="8"/>
      <c r="E4463" s="8">
        <v>24960</v>
      </c>
      <c r="F4463" s="8"/>
      <c r="G4463" s="15" t="s">
        <v>10</v>
      </c>
      <c r="H4463" s="15" t="s">
        <v>10</v>
      </c>
      <c r="I4463" s="15">
        <v>0.92438293498869784</v>
      </c>
      <c r="J4463" s="15">
        <v>0.92438293498869784</v>
      </c>
      <c r="K4463" s="15">
        <v>0.92438293498869784</v>
      </c>
      <c r="L4463" s="15">
        <v>0.92438293498869784</v>
      </c>
      <c r="M4463" s="15">
        <v>0.92438293498869784</v>
      </c>
      <c r="N4463" s="15">
        <v>0.92438293498869784</v>
      </c>
      <c r="O4463" s="15">
        <v>0.82389764746625094</v>
      </c>
      <c r="P4463" s="15">
        <v>0.82389764746625094</v>
      </c>
      <c r="Q4463" s="8"/>
      <c r="R4463" s="9" t="s">
        <v>4009</v>
      </c>
    </row>
    <row r="4464" spans="1:18" x14ac:dyDescent="0.25">
      <c r="A4464" s="6" t="str">
        <f>HYPERLINK("proteomic_fractions_linear_files/Yang_linear_img/20149310.jpg", "20149310")</f>
        <v>20149310</v>
      </c>
      <c r="B4464" s="7"/>
      <c r="C4464" s="6" t="str">
        <f>HYPERLINK("http://www.ncbi.nlm.nih.gov/protein/20149310","Mob2")</f>
        <v>Mob2</v>
      </c>
      <c r="D4464" s="8"/>
      <c r="E4464" s="8">
        <v>26720</v>
      </c>
      <c r="F4464" s="8"/>
      <c r="G4464" s="15" t="s">
        <v>10</v>
      </c>
      <c r="H4464" s="15" t="s">
        <v>10</v>
      </c>
      <c r="I4464" s="15" t="s">
        <v>10</v>
      </c>
      <c r="J4464" s="15" t="s">
        <v>10</v>
      </c>
      <c r="K4464" s="15" t="s">
        <v>10</v>
      </c>
      <c r="L4464" s="15" t="s">
        <v>10</v>
      </c>
      <c r="M4464" s="15" t="s">
        <v>10</v>
      </c>
      <c r="N4464" s="15" t="s">
        <v>10</v>
      </c>
      <c r="O4464" s="15">
        <v>0.90943780049173761</v>
      </c>
      <c r="P4464" s="15">
        <v>0.90943780049173761</v>
      </c>
      <c r="Q4464" s="8"/>
      <c r="R4464" s="9" t="s">
        <v>4010</v>
      </c>
    </row>
    <row r="4465" spans="1:18" x14ac:dyDescent="0.25">
      <c r="A4465" s="6" t="str">
        <f>HYPERLINK("proteomic_fractions_linear_files/Yang_linear_img/40254521.jpg", "40254521")</f>
        <v>40254521</v>
      </c>
      <c r="B4465" s="7"/>
      <c r="C4465" s="6" t="str">
        <f>HYPERLINK("http://www.ncbi.nlm.nih.gov/protein/40254521","Mob4")</f>
        <v>Mob4</v>
      </c>
      <c r="D4465" s="8"/>
      <c r="E4465" s="8">
        <v>25901</v>
      </c>
      <c r="F4465" s="8"/>
      <c r="G4465" s="15" t="s">
        <v>10</v>
      </c>
      <c r="H4465" s="15" t="s">
        <v>10</v>
      </c>
      <c r="I4465" s="15">
        <v>1.0057791582855768</v>
      </c>
      <c r="J4465" s="15">
        <v>1.0057791582855768</v>
      </c>
      <c r="K4465" s="15">
        <v>1.0057791582855768</v>
      </c>
      <c r="L4465" s="15">
        <v>1.0057791582855768</v>
      </c>
      <c r="M4465" s="15">
        <v>1.0057791582855768</v>
      </c>
      <c r="N4465" s="15">
        <v>1.0057791582855768</v>
      </c>
      <c r="O4465" s="15">
        <v>0.8888297451814402</v>
      </c>
      <c r="P4465" s="15">
        <v>0.8888297451814402</v>
      </c>
      <c r="Q4465" s="8"/>
      <c r="R4465" s="9" t="s">
        <v>4011</v>
      </c>
    </row>
    <row r="4466" spans="1:18" x14ac:dyDescent="0.25">
      <c r="A4466" s="6" t="str">
        <f>HYPERLINK("proteomic_fractions_linear_files/Yang_linear_img/161484628.jpg", "161484628")</f>
        <v>161484628</v>
      </c>
      <c r="B4466" s="7"/>
      <c r="C4466" s="6" t="str">
        <f>HYPERLINK("http://www.ncbi.nlm.nih.gov/protein/161484628","Mocs1")</f>
        <v>Mocs1</v>
      </c>
      <c r="D4466" s="8"/>
      <c r="E4466" s="8">
        <v>69728</v>
      </c>
      <c r="F4466" s="8"/>
      <c r="G4466" s="15" t="s">
        <v>10</v>
      </c>
      <c r="H4466" s="15" t="s">
        <v>10</v>
      </c>
      <c r="I4466" s="15">
        <v>0.29424915980937533</v>
      </c>
      <c r="J4466" s="15">
        <v>0.29424915980937533</v>
      </c>
      <c r="K4466" s="15" t="s">
        <v>10</v>
      </c>
      <c r="L4466" s="15" t="s">
        <v>10</v>
      </c>
      <c r="M4466" s="15" t="s">
        <v>10</v>
      </c>
      <c r="N4466" s="15" t="s">
        <v>10</v>
      </c>
      <c r="O4466" s="15" t="s">
        <v>10</v>
      </c>
      <c r="P4466" s="15" t="s">
        <v>10</v>
      </c>
      <c r="Q4466" s="8"/>
      <c r="R4466" s="9" t="s">
        <v>4012</v>
      </c>
    </row>
    <row r="4467" spans="1:18" x14ac:dyDescent="0.25">
      <c r="A4467" s="6" t="str">
        <f>HYPERLINK("proteomic_fractions_linear_files/Yang_linear_img/237820699.jpg", "237820699")</f>
        <v>237820699</v>
      </c>
      <c r="B4467" s="7"/>
      <c r="C4467" s="6" t="str">
        <f>HYPERLINK("http://www.ncbi.nlm.nih.gov/protein/237820699","Mocs3")</f>
        <v>Mocs3</v>
      </c>
      <c r="D4467" s="8"/>
      <c r="E4467" s="8">
        <v>49244</v>
      </c>
      <c r="F4467" s="8"/>
      <c r="G4467" s="15" t="s">
        <v>10</v>
      </c>
      <c r="H4467" s="15" t="s">
        <v>10</v>
      </c>
      <c r="I4467" s="15" t="s">
        <v>10</v>
      </c>
      <c r="J4467" s="15" t="s">
        <v>10</v>
      </c>
      <c r="K4467" s="15">
        <v>0.9855097058043929</v>
      </c>
      <c r="L4467" s="15">
        <v>0.9855097058043929</v>
      </c>
      <c r="M4467" s="15">
        <v>0.76206788618621613</v>
      </c>
      <c r="N4467" s="15">
        <v>0.76206788618621613</v>
      </c>
      <c r="O4467" s="15">
        <v>0.90052222952990757</v>
      </c>
      <c r="P4467" s="15">
        <v>0.90052222952990757</v>
      </c>
      <c r="Q4467" s="8"/>
      <c r="R4467" s="9" t="s">
        <v>4013</v>
      </c>
    </row>
    <row r="4468" spans="1:18" x14ac:dyDescent="0.25">
      <c r="A4468" s="6" t="str">
        <f>HYPERLINK("proteomic_fractions_linear_files/Yang_linear_img/31981106.jpg", "31981106")</f>
        <v>31981106</v>
      </c>
      <c r="B4468" s="7"/>
      <c r="C4468" s="6" t="str">
        <f>HYPERLINK("http://www.ncbi.nlm.nih.gov/protein/31981106","Mogs")</f>
        <v>Mogs</v>
      </c>
      <c r="D4468" s="8"/>
      <c r="E4468" s="8">
        <v>91701</v>
      </c>
      <c r="F4468" s="8"/>
      <c r="G4468" s="15">
        <v>4.4461256276026067</v>
      </c>
      <c r="H4468" s="15">
        <v>4.4461256276026067</v>
      </c>
      <c r="I4468" s="15">
        <v>1.0322606650280925</v>
      </c>
      <c r="J4468" s="15">
        <v>1.0322606650280925</v>
      </c>
      <c r="K4468" s="15">
        <v>1.0322606650280925</v>
      </c>
      <c r="L4468" s="15">
        <v>1.0322606650280925</v>
      </c>
      <c r="M4468" s="15" t="s">
        <v>10</v>
      </c>
      <c r="N4468" s="15" t="s">
        <v>10</v>
      </c>
      <c r="O4468" s="15" t="s">
        <v>10</v>
      </c>
      <c r="P4468" s="15" t="s">
        <v>10</v>
      </c>
      <c r="Q4468" s="8"/>
      <c r="R4468" s="9" t="s">
        <v>4014</v>
      </c>
    </row>
    <row r="4469" spans="1:18" x14ac:dyDescent="0.25">
      <c r="A4469" s="6" t="str">
        <f>HYPERLINK("proteomic_fractions_linear_files/Yang_linear_img/21312179.jpg", "21312179")</f>
        <v>21312179</v>
      </c>
      <c r="B4469" s="7"/>
      <c r="C4469" s="6" t="str">
        <f>HYPERLINK("http://www.ncbi.nlm.nih.gov/protein/21312179","Mon1a")</f>
        <v>Mon1a</v>
      </c>
      <c r="D4469" s="8"/>
      <c r="E4469" s="8">
        <v>61973</v>
      </c>
      <c r="F4469" s="8"/>
      <c r="G4469" s="15" t="s">
        <v>10</v>
      </c>
      <c r="H4469" s="15" t="s">
        <v>10</v>
      </c>
      <c r="I4469" s="15" t="s">
        <v>10</v>
      </c>
      <c r="J4469" s="15" t="s">
        <v>10</v>
      </c>
      <c r="K4469" s="15">
        <v>1.3403009431152235</v>
      </c>
      <c r="L4469" s="15">
        <v>1.3403009431152235</v>
      </c>
      <c r="M4469" s="15" t="s">
        <v>10</v>
      </c>
      <c r="N4469" s="15" t="s">
        <v>10</v>
      </c>
      <c r="O4469" s="15" t="s">
        <v>10</v>
      </c>
      <c r="P4469" s="15" t="s">
        <v>10</v>
      </c>
      <c r="Q4469" s="8"/>
      <c r="R4469" s="9" t="s">
        <v>4015</v>
      </c>
    </row>
    <row r="4470" spans="1:18" x14ac:dyDescent="0.25">
      <c r="A4470" s="6" t="str">
        <f>HYPERLINK("proteomic_fractions_linear_files/Yang_linear_img/27370524.jpg", "27370524")</f>
        <v>27370524</v>
      </c>
      <c r="B4470" s="7"/>
      <c r="C4470" s="6" t="str">
        <f>HYPERLINK("http://www.ncbi.nlm.nih.gov/protein/27370524","Mon1b")</f>
        <v>Mon1b</v>
      </c>
      <c r="D4470" s="8"/>
      <c r="E4470" s="8">
        <v>59885</v>
      </c>
      <c r="F4470" s="8"/>
      <c r="G4470" s="15" t="s">
        <v>10</v>
      </c>
      <c r="H4470" s="15" t="s">
        <v>10</v>
      </c>
      <c r="I4470" s="15">
        <v>1.2239360040280374</v>
      </c>
      <c r="J4470" s="15">
        <v>1.2239360040280374</v>
      </c>
      <c r="K4470" s="15">
        <v>1.2239360040280374</v>
      </c>
      <c r="L4470" s="15">
        <v>1.2239360040280374</v>
      </c>
      <c r="M4470" s="15" t="s">
        <v>10</v>
      </c>
      <c r="N4470" s="15" t="s">
        <v>10</v>
      </c>
      <c r="O4470" s="15" t="s">
        <v>10</v>
      </c>
      <c r="P4470" s="15" t="s">
        <v>10</v>
      </c>
      <c r="Q4470" s="8"/>
      <c r="R4470" s="9" t="s">
        <v>4016</v>
      </c>
    </row>
    <row r="4471" spans="1:18" x14ac:dyDescent="0.25">
      <c r="A4471" s="6" t="str">
        <f>HYPERLINK("proteomic_fractions_linear_files/Yang_linear_img/253683420.jpg", "253683420")</f>
        <v>253683420</v>
      </c>
      <c r="B4471" s="7"/>
      <c r="C4471" s="6" t="str">
        <f>HYPERLINK("http://www.ncbi.nlm.nih.gov/protein/253683420","Mon2")</f>
        <v>Mon2</v>
      </c>
      <c r="D4471" s="8"/>
      <c r="E4471" s="8">
        <v>188150</v>
      </c>
      <c r="F4471" s="8"/>
      <c r="G4471" s="15">
        <v>3.1568766259005541</v>
      </c>
      <c r="H4471" s="15">
        <v>3.1568766259005541</v>
      </c>
      <c r="I4471" s="15">
        <v>1.2412811044034524</v>
      </c>
      <c r="J4471" s="15">
        <v>1.2412811044034524</v>
      </c>
      <c r="K4471" s="15">
        <v>1.2412811044034524</v>
      </c>
      <c r="L4471" s="15">
        <v>1.2412811044034524</v>
      </c>
      <c r="M4471" s="15">
        <v>1.2412811044034524</v>
      </c>
      <c r="N4471" s="15">
        <v>1.2412811044034524</v>
      </c>
      <c r="O4471" s="15">
        <v>1.2412811044034524</v>
      </c>
      <c r="P4471" s="15">
        <v>1.2412811044034524</v>
      </c>
      <c r="Q4471" s="8"/>
      <c r="R4471" s="9" t="s">
        <v>4017</v>
      </c>
    </row>
    <row r="4472" spans="1:18" x14ac:dyDescent="0.25">
      <c r="A4472" s="6" t="str">
        <f>HYPERLINK("proteomic_fractions_linear_files/Yang_linear_img/253683422.jpg", "253683422")</f>
        <v>253683422</v>
      </c>
      <c r="B4472" s="7"/>
      <c r="C4472" s="6" t="str">
        <f>HYPERLINK("http://www.ncbi.nlm.nih.gov/protein/253683422","Mon2")</f>
        <v>Mon2</v>
      </c>
      <c r="D4472" s="8"/>
      <c r="E4472" s="8">
        <v>188948</v>
      </c>
      <c r="F4472" s="8"/>
      <c r="G4472" s="15">
        <v>3.1401735749698632</v>
      </c>
      <c r="H4472" s="15">
        <v>3.1401735749698632</v>
      </c>
      <c r="I4472" s="15">
        <v>1.2347134795124288</v>
      </c>
      <c r="J4472" s="15">
        <v>1.2347134795124288</v>
      </c>
      <c r="K4472" s="15">
        <v>1.2347134795124288</v>
      </c>
      <c r="L4472" s="15">
        <v>1.2347134795124288</v>
      </c>
      <c r="M4472" s="15">
        <v>1.2347134795124288</v>
      </c>
      <c r="N4472" s="15">
        <v>1.2347134795124288</v>
      </c>
      <c r="O4472" s="15">
        <v>1.2347134795124288</v>
      </c>
      <c r="P4472" s="15">
        <v>1.2347134795124288</v>
      </c>
      <c r="Q4472" s="8"/>
      <c r="R4472" s="9" t="s">
        <v>4018</v>
      </c>
    </row>
    <row r="4473" spans="1:18" x14ac:dyDescent="0.25">
      <c r="A4473" s="6" t="str">
        <f>HYPERLINK("proteomic_fractions_linear_files/Yang_linear_img/253683424.jpg", "253683424")</f>
        <v>253683424</v>
      </c>
      <c r="B4473" s="7"/>
      <c r="C4473" s="6" t="str">
        <f>HYPERLINK("http://www.ncbi.nlm.nih.gov/protein/253683424","Mon2")</f>
        <v>Mon2</v>
      </c>
      <c r="D4473" s="8"/>
      <c r="E4473" s="8">
        <v>188221</v>
      </c>
      <c r="F4473" s="8"/>
      <c r="G4473" s="15">
        <v>3.1568766259005541</v>
      </c>
      <c r="H4473" s="15">
        <v>3.1568766259005541</v>
      </c>
      <c r="I4473" s="15">
        <v>1.2412811044034524</v>
      </c>
      <c r="J4473" s="15">
        <v>1.2412811044034524</v>
      </c>
      <c r="K4473" s="15">
        <v>1.2412811044034524</v>
      </c>
      <c r="L4473" s="15">
        <v>1.2412811044034524</v>
      </c>
      <c r="M4473" s="15">
        <v>1.2412811044034524</v>
      </c>
      <c r="N4473" s="15">
        <v>1.2412811044034524</v>
      </c>
      <c r="O4473" s="15">
        <v>1.2412811044034524</v>
      </c>
      <c r="P4473" s="15">
        <v>1.2412811044034524</v>
      </c>
      <c r="Q4473" s="8"/>
      <c r="R4473" s="9" t="s">
        <v>4019</v>
      </c>
    </row>
    <row r="4474" spans="1:18" x14ac:dyDescent="0.25">
      <c r="A4474" s="6" t="str">
        <f>HYPERLINK("proteomic_fractions_linear_files/Yang_linear_img/13277348.jpg", "13277348")</f>
        <v>13277348</v>
      </c>
      <c r="B4474" s="7"/>
      <c r="C4474" s="6" t="str">
        <f>HYPERLINK("http://www.ncbi.nlm.nih.gov/protein/13277348","Morf4l1")</f>
        <v>Morf4l1</v>
      </c>
      <c r="D4474" s="8"/>
      <c r="E4474" s="8">
        <v>37100</v>
      </c>
      <c r="F4474" s="8"/>
      <c r="G4474" s="15" t="s">
        <v>10</v>
      </c>
      <c r="H4474" s="15" t="s">
        <v>10</v>
      </c>
      <c r="I4474" s="15" t="s">
        <v>10</v>
      </c>
      <c r="J4474" s="15" t="s">
        <v>10</v>
      </c>
      <c r="K4474" s="15">
        <v>1.0092250384628267</v>
      </c>
      <c r="L4474" s="15">
        <v>1.0092250384628267</v>
      </c>
      <c r="M4474" s="15">
        <v>1.0092250384628267</v>
      </c>
      <c r="N4474" s="15">
        <v>1.0092250384628267</v>
      </c>
      <c r="O4474" s="15">
        <v>0.93387504136419419</v>
      </c>
      <c r="P4474" s="15">
        <v>0.93387504136419419</v>
      </c>
      <c r="Q4474" s="8"/>
      <c r="R4474" s="9" t="s">
        <v>4020</v>
      </c>
    </row>
    <row r="4475" spans="1:18" x14ac:dyDescent="0.25">
      <c r="A4475" s="6" t="str">
        <f>HYPERLINK("proteomic_fractions_linear_files/Yang_linear_img/85540473.jpg", "85540473")</f>
        <v>85540473</v>
      </c>
      <c r="B4475" s="7"/>
      <c r="C4475" s="6" t="str">
        <f>HYPERLINK("http://www.ncbi.nlm.nih.gov/protein/85540473","Morf4l1")</f>
        <v>Morf4l1</v>
      </c>
      <c r="D4475" s="8"/>
      <c r="E4475" s="8">
        <v>41362</v>
      </c>
      <c r="F4475" s="8"/>
      <c r="G4475" s="15" t="s">
        <v>10</v>
      </c>
      <c r="H4475" s="15" t="s">
        <v>10</v>
      </c>
      <c r="I4475" s="15" t="s">
        <v>10</v>
      </c>
      <c r="J4475" s="15" t="s">
        <v>10</v>
      </c>
      <c r="K4475" s="15">
        <v>0.91076405910059977</v>
      </c>
      <c r="L4475" s="15">
        <v>0.91076405910059977</v>
      </c>
      <c r="M4475" s="15">
        <v>0.91076405910059977</v>
      </c>
      <c r="N4475" s="15">
        <v>0.91076405910059977</v>
      </c>
      <c r="O4475" s="15">
        <v>0.84276528123110206</v>
      </c>
      <c r="P4475" s="15">
        <v>0.84276528123110206</v>
      </c>
      <c r="Q4475" s="8"/>
      <c r="R4475" s="9" t="s">
        <v>4021</v>
      </c>
    </row>
    <row r="4476" spans="1:18" x14ac:dyDescent="0.25">
      <c r="A4476" s="6" t="str">
        <f>HYPERLINK("proteomic_fractions_linear_files/Yang_linear_img/167234396.jpg", "167234396")</f>
        <v>167234396</v>
      </c>
      <c r="B4476" s="7"/>
      <c r="C4476" s="6" t="str">
        <f>HYPERLINK("http://www.ncbi.nlm.nih.gov/protein/167234396","Mospd2")</f>
        <v>Mospd2</v>
      </c>
      <c r="D4476" s="8"/>
      <c r="E4476" s="8">
        <v>59680</v>
      </c>
      <c r="F4476" s="8"/>
      <c r="G4476" s="15" t="s">
        <v>10</v>
      </c>
      <c r="H4476" s="15" t="s">
        <v>10</v>
      </c>
      <c r="I4476" s="15">
        <v>0.97955345975989749</v>
      </c>
      <c r="J4476" s="15">
        <v>0.97955345975989749</v>
      </c>
      <c r="K4476" s="15">
        <v>1.0908877221757389</v>
      </c>
      <c r="L4476" s="15">
        <v>1.0908877221757389</v>
      </c>
      <c r="M4476" s="15" t="s">
        <v>10</v>
      </c>
      <c r="N4476" s="15" t="s">
        <v>10</v>
      </c>
      <c r="O4476" s="15" t="s">
        <v>10</v>
      </c>
      <c r="P4476" s="15" t="s">
        <v>10</v>
      </c>
      <c r="Q4476" s="8"/>
      <c r="R4476" s="9" t="s">
        <v>4022</v>
      </c>
    </row>
    <row r="4477" spans="1:18" x14ac:dyDescent="0.25">
      <c r="A4477" s="6" t="str">
        <f>HYPERLINK("proteomic_fractions_linear_files/Yang_linear_img/254540179.jpg", "254540179")</f>
        <v>254540179</v>
      </c>
      <c r="B4477" s="7"/>
      <c r="C4477" s="6" t="str">
        <f>HYPERLINK("http://www.ncbi.nlm.nih.gov/protein/254540179","Mov10")</f>
        <v>Mov10</v>
      </c>
      <c r="D4477" s="8"/>
      <c r="E4477" s="8">
        <v>113452</v>
      </c>
      <c r="F4477" s="8"/>
      <c r="G4477" s="15" t="s">
        <v>10</v>
      </c>
      <c r="H4477" s="15" t="s">
        <v>10</v>
      </c>
      <c r="I4477" s="15" t="s">
        <v>10</v>
      </c>
      <c r="J4477" s="15" t="s">
        <v>10</v>
      </c>
      <c r="K4477" s="15">
        <v>1.1391294526116547</v>
      </c>
      <c r="L4477" s="15">
        <v>1.1391294526116547</v>
      </c>
      <c r="M4477" s="15">
        <v>1.1391294526116547</v>
      </c>
      <c r="N4477" s="15">
        <v>1.1391294526116547</v>
      </c>
      <c r="O4477" s="15" t="s">
        <v>10</v>
      </c>
      <c r="P4477" s="15" t="s">
        <v>10</v>
      </c>
      <c r="Q4477" s="8"/>
      <c r="R4477" s="9" t="s">
        <v>4023</v>
      </c>
    </row>
    <row r="4478" spans="1:18" x14ac:dyDescent="0.25">
      <c r="A4478" s="6" t="str">
        <f>HYPERLINK("proteomic_fractions_linear_files/Yang_linear_img/254540181.jpg", "254540181")</f>
        <v>254540181</v>
      </c>
      <c r="B4478" s="7"/>
      <c r="C4478" s="6" t="str">
        <f>HYPERLINK("http://www.ncbi.nlm.nih.gov/protein/254540181","Mov10")</f>
        <v>Mov10</v>
      </c>
      <c r="D4478" s="8"/>
      <c r="E4478" s="8">
        <v>120840</v>
      </c>
      <c r="F4478" s="8"/>
      <c r="G4478" s="15" t="s">
        <v>10</v>
      </c>
      <c r="H4478" s="15" t="s">
        <v>10</v>
      </c>
      <c r="I4478" s="15" t="s">
        <v>10</v>
      </c>
      <c r="J4478" s="15" t="s">
        <v>10</v>
      </c>
      <c r="K4478" s="15">
        <v>1.0638151086373302</v>
      </c>
      <c r="L4478" s="15">
        <v>1.0638151086373302</v>
      </c>
      <c r="M4478" s="15">
        <v>1.0638151086373302</v>
      </c>
      <c r="N4478" s="15">
        <v>1.0638151086373302</v>
      </c>
      <c r="O4478" s="15" t="s">
        <v>10</v>
      </c>
      <c r="P4478" s="15" t="s">
        <v>10</v>
      </c>
      <c r="Q4478" s="8"/>
      <c r="R4478" s="9" t="s">
        <v>4024</v>
      </c>
    </row>
    <row r="4479" spans="1:18" x14ac:dyDescent="0.25">
      <c r="A4479" s="6" t="str">
        <f>HYPERLINK("proteomic_fractions_linear_files/Yang_linear_img/9055178.jpg", "9055178")</f>
        <v>9055178</v>
      </c>
      <c r="B4479" s="7"/>
      <c r="C4479" s="6" t="str">
        <f>HYPERLINK("http://www.ncbi.nlm.nih.gov/protein/9055178","Mpc1")</f>
        <v>Mpc1</v>
      </c>
      <c r="D4479" s="8"/>
      <c r="E4479" s="8">
        <v>12323</v>
      </c>
      <c r="F4479" s="8"/>
      <c r="G4479" s="15">
        <v>1.0194051076942798</v>
      </c>
      <c r="H4479" s="15">
        <v>1.0194051076942798</v>
      </c>
      <c r="I4479" s="15" t="s">
        <v>10</v>
      </c>
      <c r="J4479" s="15" t="s">
        <v>10</v>
      </c>
      <c r="K4479" s="15" t="s">
        <v>10</v>
      </c>
      <c r="L4479" s="15" t="s">
        <v>10</v>
      </c>
      <c r="M4479" s="15" t="s">
        <v>10</v>
      </c>
      <c r="N4479" s="15" t="s">
        <v>10</v>
      </c>
      <c r="O4479" s="15" t="s">
        <v>10</v>
      </c>
      <c r="P4479" s="15" t="s">
        <v>10</v>
      </c>
      <c r="Q4479" s="8"/>
      <c r="R4479" s="9" t="s">
        <v>4025</v>
      </c>
    </row>
    <row r="4480" spans="1:18" x14ac:dyDescent="0.25">
      <c r="A4480" s="6" t="str">
        <f>HYPERLINK("proteomic_fractions_linear_files/Yang_linear_img/21312594.jpg", "21312594")</f>
        <v>21312594</v>
      </c>
      <c r="B4480" s="7"/>
      <c r="C4480" s="6" t="str">
        <f>HYPERLINK("http://www.ncbi.nlm.nih.gov/protein/21312594","Mpc2")</f>
        <v>Mpc2</v>
      </c>
      <c r="D4480" s="8"/>
      <c r="E4480" s="8">
        <v>14155</v>
      </c>
      <c r="F4480" s="8"/>
      <c r="G4480" s="15">
        <v>1.5568387336199108</v>
      </c>
      <c r="H4480" s="15">
        <v>1.5568387336199108</v>
      </c>
      <c r="I4480" s="15">
        <v>1.0369624087050249</v>
      </c>
      <c r="J4480" s="15">
        <v>1.0369624087050249</v>
      </c>
      <c r="K4480" s="15">
        <v>1.085452735272449</v>
      </c>
      <c r="L4480" s="15">
        <v>1.085452735272449</v>
      </c>
      <c r="M4480" s="15" t="s">
        <v>10</v>
      </c>
      <c r="N4480" s="15" t="s">
        <v>10</v>
      </c>
      <c r="O4480" s="15" t="s">
        <v>10</v>
      </c>
      <c r="P4480" s="15" t="s">
        <v>10</v>
      </c>
      <c r="Q4480" s="8"/>
      <c r="R4480" s="9" t="s">
        <v>4026</v>
      </c>
    </row>
    <row r="4481" spans="1:18" x14ac:dyDescent="0.25">
      <c r="A4481" s="6" t="str">
        <f>HYPERLINK("proteomic_fractions_linear_files/Yang_linear_img/31981340.jpg", "31981340")</f>
        <v>31981340</v>
      </c>
      <c r="B4481" s="7"/>
      <c r="C4481" s="6" t="str">
        <f>HYPERLINK("http://www.ncbi.nlm.nih.gov/protein/31981340","Mpdu1")</f>
        <v>Mpdu1</v>
      </c>
      <c r="D4481" s="8"/>
      <c r="E4481" s="8">
        <v>26307</v>
      </c>
      <c r="F4481" s="8"/>
      <c r="G4481" s="15">
        <v>1.0737773576031562</v>
      </c>
      <c r="H4481" s="15">
        <v>1.0737773576031562</v>
      </c>
      <c r="I4481" s="15">
        <v>0.79220927640985661</v>
      </c>
      <c r="J4481" s="15">
        <v>0.79220927640985661</v>
      </c>
      <c r="K4481" s="15">
        <v>0.79220927640985661</v>
      </c>
      <c r="L4481" s="15">
        <v>0.79220927640985661</v>
      </c>
      <c r="M4481" s="15">
        <v>0.64294132771565471</v>
      </c>
      <c r="N4481" s="15">
        <v>0.64294132771565471</v>
      </c>
      <c r="O4481" s="15" t="s">
        <v>10</v>
      </c>
      <c r="P4481" s="15" t="s">
        <v>10</v>
      </c>
      <c r="Q4481" s="8"/>
      <c r="R4481" s="9" t="s">
        <v>4027</v>
      </c>
    </row>
    <row r="4482" spans="1:18" x14ac:dyDescent="0.25">
      <c r="A4482" s="6" t="str">
        <f>HYPERLINK("proteomic_fractions_linear_files/Yang_linear_img/124053457.jpg", "124053457")</f>
        <v>124053457</v>
      </c>
      <c r="B4482" s="7"/>
      <c r="C4482" s="6" t="str">
        <f>HYPERLINK("http://www.ncbi.nlm.nih.gov/protein/124053457","Mpdz")</f>
        <v>Mpdz</v>
      </c>
      <c r="D4482" s="8"/>
      <c r="E4482" s="8">
        <v>218581</v>
      </c>
      <c r="F4482" s="8"/>
      <c r="G4482" s="15" t="s">
        <v>10</v>
      </c>
      <c r="H4482" s="15" t="s">
        <v>10</v>
      </c>
      <c r="I4482" s="15" t="s">
        <v>10</v>
      </c>
      <c r="J4482" s="15" t="s">
        <v>10</v>
      </c>
      <c r="K4482" s="15">
        <v>1.3780060485684875</v>
      </c>
      <c r="L4482" s="15">
        <v>1.3780060485684875</v>
      </c>
      <c r="M4482" s="15">
        <v>0.11940757130331051</v>
      </c>
      <c r="N4482" s="15">
        <v>0.11940757130331051</v>
      </c>
      <c r="O4482" s="15" t="s">
        <v>10</v>
      </c>
      <c r="P4482" s="15" t="s">
        <v>10</v>
      </c>
      <c r="Q4482" s="8"/>
      <c r="R4482" s="9" t="s">
        <v>4028</v>
      </c>
    </row>
    <row r="4483" spans="1:18" x14ac:dyDescent="0.25">
      <c r="A4483" s="6" t="str">
        <f>HYPERLINK("proteomic_fractions_linear_files/Yang_linear_img/268370034.jpg", "268370034")</f>
        <v>268370034</v>
      </c>
      <c r="B4483" s="7"/>
      <c r="C4483" s="6" t="str">
        <f>HYPERLINK("http://www.ncbi.nlm.nih.gov/protein/268370034","Mpg")</f>
        <v>Mpg</v>
      </c>
      <c r="D4483" s="8"/>
      <c r="E4483" s="8">
        <v>36341</v>
      </c>
      <c r="F4483" s="8"/>
      <c r="G4483" s="15" t="s">
        <v>10</v>
      </c>
      <c r="H4483" s="15" t="s">
        <v>10</v>
      </c>
      <c r="I4483" s="15" t="s">
        <v>10</v>
      </c>
      <c r="J4483" s="15" t="s">
        <v>10</v>
      </c>
      <c r="K4483" s="15" t="s">
        <v>10</v>
      </c>
      <c r="L4483" s="15" t="s">
        <v>10</v>
      </c>
      <c r="M4483" s="15">
        <v>0.95981601473542177</v>
      </c>
      <c r="N4483" s="15">
        <v>0.95981601473542177</v>
      </c>
      <c r="O4483" s="15" t="s">
        <v>10</v>
      </c>
      <c r="P4483" s="15" t="s">
        <v>10</v>
      </c>
      <c r="Q4483" s="8"/>
      <c r="R4483" s="9" t="s">
        <v>4029</v>
      </c>
    </row>
    <row r="4484" spans="1:18" x14ac:dyDescent="0.25">
      <c r="A4484" s="6" t="str">
        <f>HYPERLINK("proteomic_fractions_linear_files/Yang_linear_img/21312048.jpg", "21312048")</f>
        <v>21312048</v>
      </c>
      <c r="B4484" s="7"/>
      <c r="C4484" s="6" t="str">
        <f>HYPERLINK("http://www.ncbi.nlm.nih.gov/protein/21312048","Mphosph6")</f>
        <v>Mphosph6</v>
      </c>
      <c r="D4484" s="8"/>
      <c r="E4484" s="8">
        <v>18955</v>
      </c>
      <c r="F4484" s="8"/>
      <c r="G4484" s="15" t="s">
        <v>10</v>
      </c>
      <c r="H4484" s="15" t="s">
        <v>10</v>
      </c>
      <c r="I4484" s="15" t="s">
        <v>10</v>
      </c>
      <c r="J4484" s="15" t="s">
        <v>10</v>
      </c>
      <c r="K4484" s="15" t="s">
        <v>10</v>
      </c>
      <c r="L4484" s="15" t="s">
        <v>10</v>
      </c>
      <c r="M4484" s="15">
        <v>0.76407756430896567</v>
      </c>
      <c r="N4484" s="15">
        <v>0.76407756430896567</v>
      </c>
      <c r="O4484" s="15">
        <v>1.0263763067386986</v>
      </c>
      <c r="P4484" s="15">
        <v>1.0263763067386986</v>
      </c>
      <c r="Q4484" s="8"/>
      <c r="R4484" s="9" t="s">
        <v>4030</v>
      </c>
    </row>
    <row r="4485" spans="1:18" x14ac:dyDescent="0.25">
      <c r="A4485" s="6" t="str">
        <f>HYPERLINK("proteomic_fractions_linear_files/Yang_linear_img/91206392.jpg", "91206392")</f>
        <v>91206392</v>
      </c>
      <c r="B4485" s="7"/>
      <c r="C4485" s="6" t="str">
        <f>HYPERLINK("http://www.ncbi.nlm.nih.gov/protein/91206392","Mpi")</f>
        <v>Mpi</v>
      </c>
      <c r="D4485" s="8"/>
      <c r="E4485" s="8">
        <v>46444</v>
      </c>
      <c r="F4485" s="8"/>
      <c r="G4485" s="15" t="s">
        <v>10</v>
      </c>
      <c r="H4485" s="15" t="s">
        <v>10</v>
      </c>
      <c r="I4485" s="15">
        <v>0.88059387398310318</v>
      </c>
      <c r="J4485" s="15">
        <v>0.88059387398310318</v>
      </c>
      <c r="K4485" s="15">
        <v>0.88059387398310318</v>
      </c>
      <c r="L4485" s="15">
        <v>0.88059387398310318</v>
      </c>
      <c r="M4485" s="15" t="s">
        <v>10</v>
      </c>
      <c r="N4485" s="15" t="s">
        <v>10</v>
      </c>
      <c r="O4485" s="15">
        <v>0.81176796572009979</v>
      </c>
      <c r="P4485" s="15">
        <v>0.81176796572009979</v>
      </c>
      <c r="Q4485" s="8"/>
      <c r="R4485" s="9" t="s">
        <v>4031</v>
      </c>
    </row>
    <row r="4486" spans="1:18" x14ac:dyDescent="0.25">
      <c r="A4486" s="6" t="str">
        <f>HYPERLINK("proteomic_fractions_linear_files/Yang_linear_img/7710062.jpg", "7710062")</f>
        <v>7710062</v>
      </c>
      <c r="B4486" s="7"/>
      <c r="C4486" s="6" t="str">
        <f>HYPERLINK("http://www.ncbi.nlm.nih.gov/protein/7710062","Mpp2")</f>
        <v>Mpp2</v>
      </c>
      <c r="D4486" s="8"/>
      <c r="E4486" s="8">
        <v>61424</v>
      </c>
      <c r="F4486" s="8"/>
      <c r="G4486" s="15" t="s">
        <v>10</v>
      </c>
      <c r="H4486" s="15" t="s">
        <v>10</v>
      </c>
      <c r="I4486" s="15" t="s">
        <v>10</v>
      </c>
      <c r="J4486" s="15" t="s">
        <v>10</v>
      </c>
      <c r="K4486" s="15">
        <v>0.96349520632121066</v>
      </c>
      <c r="L4486" s="15">
        <v>0.96349520632121066</v>
      </c>
      <c r="M4486" s="15" t="s">
        <v>10</v>
      </c>
      <c r="N4486" s="15" t="s">
        <v>10</v>
      </c>
      <c r="O4486" s="15" t="s">
        <v>10</v>
      </c>
      <c r="P4486" s="15" t="s">
        <v>10</v>
      </c>
      <c r="Q4486" s="8"/>
      <c r="R4486" s="9" t="s">
        <v>4032</v>
      </c>
    </row>
    <row r="4487" spans="1:18" x14ac:dyDescent="0.25">
      <c r="A4487" s="6" t="str">
        <f>HYPERLINK("proteomic_fractions_linear_files/Yang_linear_img/118026923.jpg", "118026923")</f>
        <v>118026923</v>
      </c>
      <c r="B4487" s="7"/>
      <c r="C4487" s="6" t="str">
        <f>HYPERLINK("http://www.ncbi.nlm.nih.gov/protein/118026923","Mpp3")</f>
        <v>Mpp3</v>
      </c>
      <c r="D4487" s="8"/>
      <c r="E4487" s="8">
        <v>66355</v>
      </c>
      <c r="F4487" s="8"/>
      <c r="G4487" s="15" t="s">
        <v>10</v>
      </c>
      <c r="H4487" s="15" t="s">
        <v>10</v>
      </c>
      <c r="I4487" s="15" t="s">
        <v>10</v>
      </c>
      <c r="J4487" s="15" t="s">
        <v>10</v>
      </c>
      <c r="K4487" s="15">
        <v>1.1126690945709432</v>
      </c>
      <c r="L4487" s="15">
        <v>1.1126690945709432</v>
      </c>
      <c r="M4487" s="15" t="s">
        <v>10</v>
      </c>
      <c r="N4487" s="15" t="s">
        <v>10</v>
      </c>
      <c r="O4487" s="15" t="s">
        <v>10</v>
      </c>
      <c r="P4487" s="15" t="s">
        <v>10</v>
      </c>
      <c r="Q4487" s="8"/>
      <c r="R4487" s="9" t="s">
        <v>4033</v>
      </c>
    </row>
    <row r="4488" spans="1:18" x14ac:dyDescent="0.25">
      <c r="A4488" s="6" t="str">
        <f>HYPERLINK("proteomic_fractions_linear_files/Yang_linear_img/9625023.jpg", "9625023")</f>
        <v>9625023</v>
      </c>
      <c r="B4488" s="7"/>
      <c r="C4488" s="6" t="str">
        <f>HYPERLINK("http://www.ncbi.nlm.nih.gov/protein/9625023","Mpp5")</f>
        <v>Mpp5</v>
      </c>
      <c r="D4488" s="8"/>
      <c r="E4488" s="8">
        <v>77099</v>
      </c>
      <c r="F4488" s="8"/>
      <c r="G4488" s="15" t="s">
        <v>10</v>
      </c>
      <c r="H4488" s="15" t="s">
        <v>10</v>
      </c>
      <c r="I4488" s="15" t="s">
        <v>10</v>
      </c>
      <c r="J4488" s="15" t="s">
        <v>10</v>
      </c>
      <c r="K4488" s="15">
        <v>1.2333504049686299</v>
      </c>
      <c r="L4488" s="15">
        <v>1.2333504049686299</v>
      </c>
      <c r="M4488" s="15" t="s">
        <v>10</v>
      </c>
      <c r="N4488" s="15" t="s">
        <v>10</v>
      </c>
      <c r="O4488" s="15" t="s">
        <v>10</v>
      </c>
      <c r="P4488" s="15" t="s">
        <v>10</v>
      </c>
      <c r="Q4488" s="8"/>
      <c r="R4488" s="9" t="s">
        <v>4034</v>
      </c>
    </row>
    <row r="4489" spans="1:18" x14ac:dyDescent="0.25">
      <c r="A4489" s="6" t="str">
        <f>HYPERLINK("proteomic_fractions_linear_files/Yang_linear_img/257900522.jpg", "257900522")</f>
        <v>257900522</v>
      </c>
      <c r="B4489" s="7"/>
      <c r="C4489" s="6" t="str">
        <f>HYPERLINK("http://www.ncbi.nlm.nih.gov/protein/257900522","Mpp6")</f>
        <v>Mpp6</v>
      </c>
      <c r="D4489" s="8"/>
      <c r="E4489" s="8">
        <v>62500</v>
      </c>
      <c r="F4489" s="8"/>
      <c r="G4489" s="15" t="s">
        <v>10</v>
      </c>
      <c r="H4489" s="15" t="s">
        <v>10</v>
      </c>
      <c r="I4489" s="15">
        <v>0.9329080569141881</v>
      </c>
      <c r="J4489" s="15">
        <v>0.9329080569141881</v>
      </c>
      <c r="K4489" s="15" t="s">
        <v>10</v>
      </c>
      <c r="L4489" s="15" t="s">
        <v>10</v>
      </c>
      <c r="M4489" s="15" t="s">
        <v>10</v>
      </c>
      <c r="N4489" s="15" t="s">
        <v>10</v>
      </c>
      <c r="O4489" s="15" t="s">
        <v>10</v>
      </c>
      <c r="P4489" s="15" t="s">
        <v>10</v>
      </c>
      <c r="Q4489" s="8"/>
      <c r="R4489" s="9" t="s">
        <v>4035</v>
      </c>
    </row>
    <row r="4490" spans="1:18" x14ac:dyDescent="0.25">
      <c r="A4490" s="6" t="str">
        <f>HYPERLINK("proteomic_fractions_linear_files/Yang_linear_img/257900524;257900522.jpg", "257900524;257900522")</f>
        <v>257900524;257900522</v>
      </c>
      <c r="B4490" s="8"/>
      <c r="C4490" s="6" t="str">
        <f>HYPERLINK("http://www.ncbi.nlm.nih.gov/protein/257900524;257900522","Mpp6")</f>
        <v>Mpp6</v>
      </c>
      <c r="D4490" s="8"/>
      <c r="E4490" s="8">
        <v>62500</v>
      </c>
      <c r="F4490" s="8"/>
      <c r="G4490" s="15" t="s">
        <v>10</v>
      </c>
      <c r="H4490" s="15" t="s">
        <v>10</v>
      </c>
      <c r="I4490" s="15" t="s">
        <v>10</v>
      </c>
      <c r="J4490" s="15" t="s">
        <v>10</v>
      </c>
      <c r="K4490" s="15">
        <v>0.9329080569141881</v>
      </c>
      <c r="L4490" s="15">
        <v>0.9329080569141881</v>
      </c>
      <c r="M4490" s="15" t="s">
        <v>10</v>
      </c>
      <c r="N4490" s="15" t="s">
        <v>10</v>
      </c>
      <c r="O4490" s="15" t="s">
        <v>10</v>
      </c>
      <c r="P4490" s="15" t="s">
        <v>10</v>
      </c>
      <c r="Q4490" s="8"/>
      <c r="R4490" s="9" t="s">
        <v>4035</v>
      </c>
    </row>
    <row r="4491" spans="1:18" x14ac:dyDescent="0.25">
      <c r="A4491" s="6" t="str">
        <f>HYPERLINK("proteomic_fractions_linear_files/Yang_linear_img/257900520.jpg", "257900520")</f>
        <v>257900520</v>
      </c>
      <c r="B4491" s="7"/>
      <c r="C4491" s="6" t="str">
        <f>HYPERLINK("http://www.ncbi.nlm.nih.gov/protein/257900520","Mpp6")</f>
        <v>Mpp6</v>
      </c>
      <c r="D4491" s="8"/>
      <c r="E4491" s="8">
        <v>60794</v>
      </c>
      <c r="F4491" s="8"/>
      <c r="G4491" s="15" t="s">
        <v>10</v>
      </c>
      <c r="H4491" s="15" t="s">
        <v>10</v>
      </c>
      <c r="I4491" s="15">
        <v>0.96349520632121066</v>
      </c>
      <c r="J4491" s="15">
        <v>0.96349520632121066</v>
      </c>
      <c r="K4491" s="15">
        <v>0.96349520632121066</v>
      </c>
      <c r="L4491" s="15">
        <v>0.96349520632121066</v>
      </c>
      <c r="M4491" s="15" t="s">
        <v>10</v>
      </c>
      <c r="N4491" s="15" t="s">
        <v>10</v>
      </c>
      <c r="O4491" s="15" t="s">
        <v>10</v>
      </c>
      <c r="P4491" s="15" t="s">
        <v>10</v>
      </c>
      <c r="Q4491" s="8"/>
      <c r="R4491" s="9" t="s">
        <v>4036</v>
      </c>
    </row>
    <row r="4492" spans="1:18" x14ac:dyDescent="0.25">
      <c r="A4492" s="6" t="str">
        <f>HYPERLINK("proteomic_fractions_linear_files/Yang_linear_img/239051572.jpg", "239051572")</f>
        <v>239051572</v>
      </c>
      <c r="B4492" s="7"/>
      <c r="C4492" s="6" t="str">
        <f>HYPERLINK("http://www.ncbi.nlm.nih.gov/protein/239051572","Mpp7")</f>
        <v>Mpp7</v>
      </c>
      <c r="D4492" s="8"/>
      <c r="E4492" s="8">
        <v>65410</v>
      </c>
      <c r="F4492" s="8"/>
      <c r="G4492" s="15">
        <v>1.0069732820083743</v>
      </c>
      <c r="H4492" s="15">
        <v>1.0069732820083743</v>
      </c>
      <c r="I4492" s="15">
        <v>1.1297870806412653</v>
      </c>
      <c r="J4492" s="15">
        <v>1.1297870806412653</v>
      </c>
      <c r="K4492" s="15">
        <v>1.1297870806412653</v>
      </c>
      <c r="L4492" s="15">
        <v>1.1297870806412653</v>
      </c>
      <c r="M4492" s="15">
        <v>1.1297870806412653</v>
      </c>
      <c r="N4492" s="15">
        <v>1.1297870806412653</v>
      </c>
      <c r="O4492" s="15" t="s">
        <v>10</v>
      </c>
      <c r="P4492" s="15" t="s">
        <v>10</v>
      </c>
      <c r="Q4492" s="8"/>
      <c r="R4492" s="9" t="s">
        <v>4037</v>
      </c>
    </row>
    <row r="4493" spans="1:18" x14ac:dyDescent="0.25">
      <c r="A4493" s="6" t="str">
        <f>HYPERLINK("proteomic_fractions_linear_files/Yang_linear_img/239051602.jpg", "239051602")</f>
        <v>239051602</v>
      </c>
      <c r="B4493" s="7"/>
      <c r="C4493" s="6" t="str">
        <f>HYPERLINK("http://www.ncbi.nlm.nih.gov/protein/239051602","Mpp7")</f>
        <v>Mpp7</v>
      </c>
      <c r="D4493" s="8"/>
      <c r="E4493" s="8">
        <v>48007</v>
      </c>
      <c r="F4493" s="8"/>
      <c r="G4493" s="15">
        <v>1.3636096527196735</v>
      </c>
      <c r="H4493" s="15">
        <v>1.3636096527196735</v>
      </c>
      <c r="I4493" s="15">
        <v>1.5299200050350468</v>
      </c>
      <c r="J4493" s="15">
        <v>1.5299200050350468</v>
      </c>
      <c r="K4493" s="15">
        <v>1.5299200050350468</v>
      </c>
      <c r="L4493" s="15">
        <v>1.5299200050350468</v>
      </c>
      <c r="M4493" s="15">
        <v>1.5299200050350468</v>
      </c>
      <c r="N4493" s="15">
        <v>1.5299200050350468</v>
      </c>
      <c r="O4493" s="15" t="s">
        <v>10</v>
      </c>
      <c r="P4493" s="15" t="s">
        <v>10</v>
      </c>
      <c r="Q4493" s="8"/>
      <c r="R4493" s="9" t="s">
        <v>4038</v>
      </c>
    </row>
    <row r="4494" spans="1:18" x14ac:dyDescent="0.25">
      <c r="A4494" s="6" t="str">
        <f>HYPERLINK("proteomic_fractions_linear_files/Yang_linear_img/244789999.jpg", "244789999")</f>
        <v>244789999</v>
      </c>
      <c r="B4494" s="7"/>
      <c r="C4494" s="6" t="str">
        <f>HYPERLINK("http://www.ncbi.nlm.nih.gov/protein/244789999","Mpst")</f>
        <v>Mpst</v>
      </c>
      <c r="D4494" s="8"/>
      <c r="E4494" s="8">
        <v>32966</v>
      </c>
      <c r="F4494" s="8"/>
      <c r="G4494" s="15">
        <v>1.2274944910067498</v>
      </c>
      <c r="H4494" s="15">
        <v>1.2274944910067498</v>
      </c>
      <c r="I4494" s="15">
        <v>0.84600640296006246</v>
      </c>
      <c r="J4494" s="15">
        <v>0.84600640296006246</v>
      </c>
      <c r="K4494" s="15">
        <v>0.90561839065797367</v>
      </c>
      <c r="L4494" s="15">
        <v>0.90561839065797367</v>
      </c>
      <c r="M4494" s="15" t="s">
        <v>10</v>
      </c>
      <c r="N4494" s="15" t="s">
        <v>10</v>
      </c>
      <c r="O4494" s="15">
        <v>0.79243206410378786</v>
      </c>
      <c r="P4494" s="15">
        <v>0.79243206410378786</v>
      </c>
      <c r="Q4494" s="8"/>
      <c r="R4494" s="9" t="s">
        <v>4039</v>
      </c>
    </row>
    <row r="4495" spans="1:18" x14ac:dyDescent="0.25">
      <c r="A4495" s="6" t="str">
        <f>HYPERLINK("proteomic_fractions_linear_files/Yang_linear_img/6678926.jpg", "6678926")</f>
        <v>6678926</v>
      </c>
      <c r="B4495" s="7"/>
      <c r="C4495" s="6" t="str">
        <f>HYPERLINK("http://www.ncbi.nlm.nih.gov/protein/6678926","Mpv17")</f>
        <v>Mpv17</v>
      </c>
      <c r="D4495" s="8"/>
      <c r="E4495" s="8">
        <v>19555</v>
      </c>
      <c r="F4495" s="8"/>
      <c r="G4495" s="15" t="s">
        <v>10</v>
      </c>
      <c r="H4495" s="15" t="s">
        <v>10</v>
      </c>
      <c r="I4495" s="15">
        <v>0.87849698826794831</v>
      </c>
      <c r="J4495" s="15">
        <v>0.87849698826794831</v>
      </c>
      <c r="K4495" s="15" t="s">
        <v>10</v>
      </c>
      <c r="L4495" s="15" t="s">
        <v>10</v>
      </c>
      <c r="M4495" s="15" t="s">
        <v>10</v>
      </c>
      <c r="N4495" s="15" t="s">
        <v>10</v>
      </c>
      <c r="O4495" s="15" t="s">
        <v>10</v>
      </c>
      <c r="P4495" s="15" t="s">
        <v>10</v>
      </c>
      <c r="Q4495" s="8"/>
      <c r="R4495" s="9" t="s">
        <v>4040</v>
      </c>
    </row>
    <row r="4496" spans="1:18" x14ac:dyDescent="0.25">
      <c r="A4496" s="6" t="str">
        <f>HYPERLINK("proteomic_fractions_linear_files/Yang_linear_img/31542623.jpg", "31542623")</f>
        <v>31542623</v>
      </c>
      <c r="B4496" s="7"/>
      <c r="C4496" s="6" t="str">
        <f>HYPERLINK("http://www.ncbi.nlm.nih.gov/protein/31542623","Mpzl2")</f>
        <v>Mpzl2</v>
      </c>
      <c r="D4496" s="8"/>
      <c r="E4496" s="8">
        <v>21367</v>
      </c>
      <c r="F4496" s="8"/>
      <c r="G4496" s="15" t="s">
        <v>10</v>
      </c>
      <c r="H4496" s="15" t="s">
        <v>10</v>
      </c>
      <c r="I4496" s="15">
        <v>1.2452503864488096</v>
      </c>
      <c r="J4496" s="15">
        <v>1.2452503864488096</v>
      </c>
      <c r="K4496" s="15">
        <v>1.2452503864488096</v>
      </c>
      <c r="L4496" s="15">
        <v>1.2452503864488096</v>
      </c>
      <c r="M4496" s="15" t="s">
        <v>10</v>
      </c>
      <c r="N4496" s="15" t="s">
        <v>10</v>
      </c>
      <c r="O4496" s="15" t="s">
        <v>10</v>
      </c>
      <c r="P4496" s="15" t="s">
        <v>10</v>
      </c>
      <c r="Q4496" s="8"/>
      <c r="R4496" s="9" t="s">
        <v>4041</v>
      </c>
    </row>
    <row r="4497" spans="1:18" x14ac:dyDescent="0.25">
      <c r="A4497" s="6" t="str">
        <f>HYPERLINK("proteomic_fractions_linear_files/Yang_linear_img/6678930.jpg", "6678930")</f>
        <v>6678930</v>
      </c>
      <c r="B4497" s="7"/>
      <c r="C4497" s="6" t="str">
        <f>HYPERLINK("http://www.ncbi.nlm.nih.gov/protein/6678930","Mras")</f>
        <v>Mras</v>
      </c>
      <c r="D4497" s="8"/>
      <c r="E4497" s="8">
        <v>23770</v>
      </c>
      <c r="F4497" s="8"/>
      <c r="G4497" s="15" t="s">
        <v>10</v>
      </c>
      <c r="H4497" s="15" t="s">
        <v>10</v>
      </c>
      <c r="I4497" s="15" t="s">
        <v>10</v>
      </c>
      <c r="J4497" s="15" t="s">
        <v>10</v>
      </c>
      <c r="K4497" s="15">
        <v>0.96289889061322687</v>
      </c>
      <c r="L4497" s="15">
        <v>0.96289889061322687</v>
      </c>
      <c r="M4497" s="15" t="s">
        <v>10</v>
      </c>
      <c r="N4497" s="15" t="s">
        <v>10</v>
      </c>
      <c r="O4497" s="15" t="s">
        <v>10</v>
      </c>
      <c r="P4497" s="15" t="s">
        <v>10</v>
      </c>
      <c r="Q4497" s="8"/>
      <c r="R4497" s="9" t="s">
        <v>4042</v>
      </c>
    </row>
    <row r="4498" spans="1:18" x14ac:dyDescent="0.25">
      <c r="A4498" s="6" t="str">
        <f>HYPERLINK("proteomic_fractions_linear_files/Yang_linear_img/9055282.jpg", "9055282")</f>
        <v>9055282</v>
      </c>
      <c r="B4498" s="7"/>
      <c r="C4498" s="6" t="str">
        <f>HYPERLINK("http://www.ncbi.nlm.nih.gov/protein/9055282","Mre11a")</f>
        <v>Mre11a</v>
      </c>
      <c r="D4498" s="8"/>
      <c r="E4498" s="8">
        <v>80092</v>
      </c>
      <c r="F4498" s="8"/>
      <c r="G4498" s="15">
        <v>1.0387332309142983</v>
      </c>
      <c r="H4498" s="15">
        <v>1.0387332309142983</v>
      </c>
      <c r="I4498" s="15" t="s">
        <v>10</v>
      </c>
      <c r="J4498" s="15" t="s">
        <v>10</v>
      </c>
      <c r="K4498" s="15">
        <v>1.1870997647823063</v>
      </c>
      <c r="L4498" s="15">
        <v>1.1870997647823063</v>
      </c>
      <c r="M4498" s="15">
        <v>1.1870997647823063</v>
      </c>
      <c r="N4498" s="15">
        <v>1.1870997647823063</v>
      </c>
      <c r="O4498" s="15">
        <v>1.0387332309142983</v>
      </c>
      <c r="P4498" s="15">
        <v>1.0387332309142983</v>
      </c>
      <c r="Q4498" s="8"/>
      <c r="R4498" s="9" t="s">
        <v>4043</v>
      </c>
    </row>
    <row r="4499" spans="1:18" x14ac:dyDescent="0.25">
      <c r="A4499" s="6" t="str">
        <f>HYPERLINK("proteomic_fractions_linear_files/Yang_linear_img/13385746.jpg", "13385746")</f>
        <v>13385746</v>
      </c>
      <c r="B4499" s="7"/>
      <c r="C4499" s="6" t="str">
        <f>HYPERLINK("http://www.ncbi.nlm.nih.gov/protein/13385746","Mrfap1")</f>
        <v>Mrfap1</v>
      </c>
      <c r="D4499" s="8"/>
      <c r="E4499" s="8">
        <v>14063</v>
      </c>
      <c r="F4499" s="8"/>
      <c r="G4499" s="15" t="s">
        <v>10</v>
      </c>
      <c r="H4499" s="15" t="s">
        <v>10</v>
      </c>
      <c r="I4499" s="15" t="s">
        <v>10</v>
      </c>
      <c r="J4499" s="15" t="s">
        <v>10</v>
      </c>
      <c r="K4499" s="15" t="s">
        <v>10</v>
      </c>
      <c r="L4499" s="15" t="s">
        <v>10</v>
      </c>
      <c r="M4499" s="15" t="s">
        <v>10</v>
      </c>
      <c r="N4499" s="15" t="s">
        <v>10</v>
      </c>
      <c r="O4499" s="15">
        <v>1.1376744130844125</v>
      </c>
      <c r="P4499" s="15">
        <v>1.1376744130844125</v>
      </c>
      <c r="Q4499" s="8"/>
      <c r="R4499" s="9" t="s">
        <v>4044</v>
      </c>
    </row>
    <row r="4500" spans="1:18" x14ac:dyDescent="0.25">
      <c r="A4500" s="6" t="str">
        <f>HYPERLINK("proteomic_fractions_linear_files/Yang_linear_img/268838020.jpg", "268838020")</f>
        <v>268838020</v>
      </c>
      <c r="B4500" s="7"/>
      <c r="C4500" s="6" t="str">
        <f>HYPERLINK("http://www.ncbi.nlm.nih.gov/protein/268838020","Mri1")</f>
        <v>Mri1</v>
      </c>
      <c r="D4500" s="8"/>
      <c r="E4500" s="8">
        <v>39280</v>
      </c>
      <c r="F4500" s="8"/>
      <c r="G4500" s="15" t="s">
        <v>10</v>
      </c>
      <c r="H4500" s="15" t="s">
        <v>10</v>
      </c>
      <c r="I4500" s="15">
        <v>0.59255316345429343</v>
      </c>
      <c r="J4500" s="15">
        <v>0.59255316345429343</v>
      </c>
      <c r="K4500" s="15">
        <v>1.038649184698019</v>
      </c>
      <c r="L4500" s="15">
        <v>1.038649184698019</v>
      </c>
      <c r="M4500" s="15">
        <v>0.95746990828524592</v>
      </c>
      <c r="N4500" s="15">
        <v>0.95746990828524592</v>
      </c>
      <c r="O4500" s="15">
        <v>0.8859840136019278</v>
      </c>
      <c r="P4500" s="15">
        <v>0.8859840136019278</v>
      </c>
      <c r="Q4500" s="8"/>
      <c r="R4500" s="9" t="s">
        <v>4045</v>
      </c>
    </row>
    <row r="4501" spans="1:18" x14ac:dyDescent="0.25">
      <c r="A4501" s="6" t="str">
        <f>HYPERLINK("proteomic_fractions_linear_files/Yang_linear_img/89337263.jpg", "89337263")</f>
        <v>89337263</v>
      </c>
      <c r="B4501" s="7"/>
      <c r="C4501" s="6" t="str">
        <f>HYPERLINK("http://www.ncbi.nlm.nih.gov/protein/89337263","Mrm1")</f>
        <v>Mrm1</v>
      </c>
      <c r="D4501" s="8"/>
      <c r="E4501" s="8">
        <v>32759</v>
      </c>
      <c r="F4501" s="8"/>
      <c r="G4501" s="15" t="s">
        <v>10</v>
      </c>
      <c r="H4501" s="15" t="s">
        <v>10</v>
      </c>
      <c r="I4501" s="15">
        <v>0.9722446319919269</v>
      </c>
      <c r="J4501" s="15">
        <v>0.9722446319919269</v>
      </c>
      <c r="K4501" s="15" t="s">
        <v>10</v>
      </c>
      <c r="L4501" s="15" t="s">
        <v>10</v>
      </c>
      <c r="M4501" s="15" t="s">
        <v>10</v>
      </c>
      <c r="N4501" s="15" t="s">
        <v>10</v>
      </c>
      <c r="O4501" s="15" t="s">
        <v>10</v>
      </c>
      <c r="P4501" s="15" t="s">
        <v>10</v>
      </c>
      <c r="Q4501" s="8"/>
      <c r="R4501" s="9" t="s">
        <v>4046</v>
      </c>
    </row>
    <row r="4502" spans="1:18" x14ac:dyDescent="0.25">
      <c r="A4502" s="6" t="str">
        <f>HYPERLINK("proteomic_fractions_linear_files/Yang_linear_img/241982824.jpg", "241982824")</f>
        <v>241982824</v>
      </c>
      <c r="B4502" s="7"/>
      <c r="C4502" s="6" t="str">
        <f>HYPERLINK("http://www.ncbi.nlm.nih.gov/protein/241982824","Mroh1")</f>
        <v>Mroh1</v>
      </c>
      <c r="D4502" s="8"/>
      <c r="E4502" s="8">
        <v>122061</v>
      </c>
      <c r="F4502" s="8"/>
      <c r="G4502" s="15" t="s">
        <v>10</v>
      </c>
      <c r="H4502" s="15" t="s">
        <v>10</v>
      </c>
      <c r="I4502" s="15">
        <v>1.9127938330151564</v>
      </c>
      <c r="J4502" s="15">
        <v>1.9127938330151564</v>
      </c>
      <c r="K4502" s="15">
        <v>1.9127938330151564</v>
      </c>
      <c r="L4502" s="15">
        <v>1.9127938330151564</v>
      </c>
      <c r="M4502" s="15">
        <v>1.9127938330151564</v>
      </c>
      <c r="N4502" s="15">
        <v>1.9127938330151564</v>
      </c>
      <c r="O4502" s="15">
        <v>1.5308674724585276</v>
      </c>
      <c r="P4502" s="15">
        <v>1.5308674724585276</v>
      </c>
      <c r="Q4502" s="8"/>
      <c r="R4502" s="9" t="s">
        <v>4047</v>
      </c>
    </row>
    <row r="4503" spans="1:18" x14ac:dyDescent="0.25">
      <c r="A4503" s="6" t="str">
        <f>HYPERLINK("proteomic_fractions_linear_files/Yang_linear_img/283046757.jpg", "283046757")</f>
        <v>283046757</v>
      </c>
      <c r="B4503" s="7"/>
      <c r="C4503" s="6" t="str">
        <f>HYPERLINK("http://www.ncbi.nlm.nih.gov/protein/283046757","Mroh1")</f>
        <v>Mroh1</v>
      </c>
      <c r="D4503" s="8"/>
      <c r="E4503" s="8">
        <v>181665</v>
      </c>
      <c r="F4503" s="8"/>
      <c r="G4503" s="15" t="s">
        <v>10</v>
      </c>
      <c r="H4503" s="15" t="s">
        <v>10</v>
      </c>
      <c r="I4503" s="15">
        <v>1.2822024594936763</v>
      </c>
      <c r="J4503" s="15">
        <v>1.2822024594936763</v>
      </c>
      <c r="K4503" s="15">
        <v>1.2822024594936763</v>
      </c>
      <c r="L4503" s="15">
        <v>1.2822024594936763</v>
      </c>
      <c r="M4503" s="15">
        <v>1.2822024594936763</v>
      </c>
      <c r="N4503" s="15">
        <v>1.2822024594936763</v>
      </c>
      <c r="O4503" s="15">
        <v>1.0261858881315404</v>
      </c>
      <c r="P4503" s="15">
        <v>1.0261858881315404</v>
      </c>
      <c r="Q4503" s="8"/>
      <c r="R4503" s="9" t="s">
        <v>4048</v>
      </c>
    </row>
    <row r="4504" spans="1:18" x14ac:dyDescent="0.25">
      <c r="A4504" s="6" t="str">
        <f>HYPERLINK("proteomic_fractions_linear_files/Yang_linear_img/527317377.jpg", "527317377")</f>
        <v>527317377</v>
      </c>
      <c r="B4504" s="7"/>
      <c r="C4504" s="6" t="str">
        <f>HYPERLINK("http://www.ncbi.nlm.nih.gov/protein/527317377","Mroh2a")</f>
        <v>Mroh2a</v>
      </c>
      <c r="D4504" s="8"/>
      <c r="E4504" s="8">
        <v>188873</v>
      </c>
      <c r="F4504" s="8"/>
      <c r="G4504" s="15">
        <v>2.1642516282510043</v>
      </c>
      <c r="H4504" s="15">
        <v>2.1642516282510043</v>
      </c>
      <c r="I4504" s="15" t="s">
        <v>10</v>
      </c>
      <c r="J4504" s="15" t="s">
        <v>10</v>
      </c>
      <c r="K4504" s="15" t="s">
        <v>10</v>
      </c>
      <c r="L4504" s="15" t="s">
        <v>10</v>
      </c>
      <c r="M4504" s="15" t="s">
        <v>10</v>
      </c>
      <c r="N4504" s="15" t="s">
        <v>10</v>
      </c>
      <c r="O4504" s="15" t="s">
        <v>10</v>
      </c>
      <c r="P4504" s="15" t="s">
        <v>10</v>
      </c>
      <c r="Q4504" s="8"/>
      <c r="R4504" s="9" t="s">
        <v>4049</v>
      </c>
    </row>
    <row r="4505" spans="1:18" x14ac:dyDescent="0.25">
      <c r="A4505" s="6" t="str">
        <f>HYPERLINK("proteomic_fractions_linear_files/Yang_linear_img/294460010.jpg", "294460010")</f>
        <v>294460010</v>
      </c>
      <c r="B4505" s="7"/>
      <c r="C4505" s="6" t="str">
        <f>HYPERLINK("http://www.ncbi.nlm.nih.gov/protein/294460010","Mroh4")</f>
        <v>Mroh4</v>
      </c>
      <c r="D4505" s="8"/>
      <c r="E4505" s="8">
        <v>112643</v>
      </c>
      <c r="F4505" s="8"/>
      <c r="G4505" s="15" t="s">
        <v>10</v>
      </c>
      <c r="H4505" s="15" t="s">
        <v>10</v>
      </c>
      <c r="I4505" s="15">
        <v>0.35847184250639597</v>
      </c>
      <c r="J4505" s="15">
        <v>0.35847184250639597</v>
      </c>
      <c r="K4505" s="15" t="s">
        <v>10</v>
      </c>
      <c r="L4505" s="15" t="s">
        <v>10</v>
      </c>
      <c r="M4505" s="15" t="s">
        <v>10</v>
      </c>
      <c r="N4505" s="15" t="s">
        <v>10</v>
      </c>
      <c r="O4505" s="15">
        <v>0.35847184250639597</v>
      </c>
      <c r="P4505" s="15">
        <v>0.35847184250639597</v>
      </c>
      <c r="Q4505" s="8"/>
      <c r="R4505" s="9" t="s">
        <v>4050</v>
      </c>
    </row>
    <row r="4506" spans="1:18" x14ac:dyDescent="0.25">
      <c r="A4506" s="6" t="str">
        <f>HYPERLINK("proteomic_fractions_linear_files/Yang_linear_img/254692919.jpg", "254692919")</f>
        <v>254692919</v>
      </c>
      <c r="B4506" s="7"/>
      <c r="C4506" s="6" t="str">
        <f>HYPERLINK("http://www.ncbi.nlm.nih.gov/protein/254692919","Mroh9")</f>
        <v>Mroh9</v>
      </c>
      <c r="D4506" s="8"/>
      <c r="E4506" s="8">
        <v>101555</v>
      </c>
      <c r="F4506" s="8"/>
      <c r="G4506" s="15">
        <v>0.36609143552082934</v>
      </c>
      <c r="H4506" s="15">
        <v>0.36609143552082934</v>
      </c>
      <c r="I4506" s="15">
        <v>0.25637507956299022</v>
      </c>
      <c r="J4506" s="15">
        <v>0.25637507956299022</v>
      </c>
      <c r="K4506" s="15">
        <v>0.25637507956299022</v>
      </c>
      <c r="L4506" s="15">
        <v>0.25637507956299022</v>
      </c>
      <c r="M4506" s="15">
        <v>0.25637507956299022</v>
      </c>
      <c r="N4506" s="15">
        <v>0.25637507956299022</v>
      </c>
      <c r="O4506" s="15">
        <v>0.21368374775175247</v>
      </c>
      <c r="P4506" s="15">
        <v>0.21368374775175247</v>
      </c>
      <c r="Q4506" s="8"/>
      <c r="R4506" s="9" t="s">
        <v>4051</v>
      </c>
    </row>
    <row r="4507" spans="1:18" x14ac:dyDescent="0.25">
      <c r="A4507" s="6" t="str">
        <f>HYPERLINK("proteomic_fractions_linear_files/Yang_linear_img/13385888.jpg", "13385888")</f>
        <v>13385888</v>
      </c>
      <c r="B4507" s="7"/>
      <c r="C4507" s="6" t="str">
        <f>HYPERLINK("http://www.ncbi.nlm.nih.gov/protein/13385888","Mrp63")</f>
        <v>Mrp63</v>
      </c>
      <c r="D4507" s="8"/>
      <c r="E4507" s="8">
        <v>11821</v>
      </c>
      <c r="F4507" s="8"/>
      <c r="G4507" s="15" t="s">
        <v>10</v>
      </c>
      <c r="H4507" s="15" t="s">
        <v>10</v>
      </c>
      <c r="I4507" s="15">
        <v>1.1080886685834612</v>
      </c>
      <c r="J4507" s="15">
        <v>1.1080886685834612</v>
      </c>
      <c r="K4507" s="15" t="s">
        <v>10</v>
      </c>
      <c r="L4507" s="15" t="s">
        <v>10</v>
      </c>
      <c r="M4507" s="15" t="s">
        <v>10</v>
      </c>
      <c r="N4507" s="15" t="s">
        <v>10</v>
      </c>
      <c r="O4507" s="15" t="s">
        <v>10</v>
      </c>
      <c r="P4507" s="15" t="s">
        <v>10</v>
      </c>
      <c r="Q4507" s="8"/>
      <c r="R4507" s="9" t="s">
        <v>4052</v>
      </c>
    </row>
    <row r="4508" spans="1:18" x14ac:dyDescent="0.25">
      <c r="A4508" s="6" t="str">
        <f>HYPERLINK("proteomic_fractions_linear_files/Yang_linear_img/84875528.jpg", "84875528")</f>
        <v>84875528</v>
      </c>
      <c r="B4508" s="7"/>
      <c r="C4508" s="6" t="str">
        <f>HYPERLINK("http://www.ncbi.nlm.nih.gov/protein/84875528","Mrpl1")</f>
        <v>Mrpl1</v>
      </c>
      <c r="D4508" s="8"/>
      <c r="E4508" s="8">
        <v>32144</v>
      </c>
      <c r="F4508" s="8"/>
      <c r="G4508" s="15" t="s">
        <v>10</v>
      </c>
      <c r="H4508" s="15" t="s">
        <v>10</v>
      </c>
      <c r="I4508" s="15">
        <v>1.0026272767416746</v>
      </c>
      <c r="J4508" s="15">
        <v>1.0026272767416746</v>
      </c>
      <c r="K4508" s="15" t="s">
        <v>10</v>
      </c>
      <c r="L4508" s="15" t="s">
        <v>10</v>
      </c>
      <c r="M4508" s="15">
        <v>1.0026272767416746</v>
      </c>
      <c r="N4508" s="15">
        <v>1.0026272767416746</v>
      </c>
      <c r="O4508" s="15" t="s">
        <v>10</v>
      </c>
      <c r="P4508" s="15" t="s">
        <v>10</v>
      </c>
      <c r="Q4508" s="8"/>
      <c r="R4508" s="9" t="s">
        <v>4053</v>
      </c>
    </row>
    <row r="4509" spans="1:18" x14ac:dyDescent="0.25">
      <c r="A4509" s="6" t="str">
        <f>HYPERLINK("proteomic_fractions_linear_files/Yang_linear_img/84875532.jpg", "84875532")</f>
        <v>84875532</v>
      </c>
      <c r="B4509" s="7"/>
      <c r="C4509" s="6" t="str">
        <f>HYPERLINK("http://www.ncbi.nlm.nih.gov/protein/84875532","Mrpl1")</f>
        <v>Mrpl1</v>
      </c>
      <c r="D4509" s="8"/>
      <c r="E4509" s="8">
        <v>25560</v>
      </c>
      <c r="F4509" s="8"/>
      <c r="G4509" s="15" t="s">
        <v>10</v>
      </c>
      <c r="H4509" s="15" t="s">
        <v>10</v>
      </c>
      <c r="I4509" s="15">
        <v>1.2340028021435996</v>
      </c>
      <c r="J4509" s="15">
        <v>1.2340028021435996</v>
      </c>
      <c r="K4509" s="15" t="s">
        <v>10</v>
      </c>
      <c r="L4509" s="15" t="s">
        <v>10</v>
      </c>
      <c r="M4509" s="15">
        <v>1.2340028021435996</v>
      </c>
      <c r="N4509" s="15">
        <v>1.2340028021435996</v>
      </c>
      <c r="O4509" s="15" t="s">
        <v>10</v>
      </c>
      <c r="P4509" s="15" t="s">
        <v>10</v>
      </c>
      <c r="Q4509" s="8"/>
      <c r="R4509" s="9" t="s">
        <v>4054</v>
      </c>
    </row>
    <row r="4510" spans="1:18" x14ac:dyDescent="0.25">
      <c r="A4510" s="6" t="str">
        <f>HYPERLINK("proteomic_fractions_linear_files/Yang_linear_img/13385658.jpg", "13385658")</f>
        <v>13385658</v>
      </c>
      <c r="B4510" s="7"/>
      <c r="C4510" s="6" t="str">
        <f>HYPERLINK("http://www.ncbi.nlm.nih.gov/protein/13385658","Mrpl10")</f>
        <v>Mrpl10</v>
      </c>
      <c r="D4510" s="8"/>
      <c r="E4510" s="8">
        <v>26489</v>
      </c>
      <c r="F4510" s="8"/>
      <c r="G4510" s="15" t="s">
        <v>10</v>
      </c>
      <c r="H4510" s="15" t="s">
        <v>10</v>
      </c>
      <c r="I4510" s="15">
        <v>1.0057791582855768</v>
      </c>
      <c r="J4510" s="15">
        <v>1.0057791582855768</v>
      </c>
      <c r="K4510" s="15">
        <v>1.0057791582855768</v>
      </c>
      <c r="L4510" s="15">
        <v>1.0057791582855768</v>
      </c>
      <c r="M4510" s="15" t="s">
        <v>10</v>
      </c>
      <c r="N4510" s="15" t="s">
        <v>10</v>
      </c>
      <c r="O4510" s="15" t="s">
        <v>10</v>
      </c>
      <c r="P4510" s="15" t="s">
        <v>10</v>
      </c>
      <c r="Q4510" s="8"/>
      <c r="R4510" s="9" t="s">
        <v>4055</v>
      </c>
    </row>
    <row r="4511" spans="1:18" x14ac:dyDescent="0.25">
      <c r="A4511" s="6" t="str">
        <f>HYPERLINK("proteomic_fractions_linear_files/Yang_linear_img/13384980.jpg", "13384980")</f>
        <v>13384980</v>
      </c>
      <c r="B4511" s="7"/>
      <c r="C4511" s="6" t="str">
        <f>HYPERLINK("http://www.ncbi.nlm.nih.gov/protein/13384980","Mrpl11")</f>
        <v>Mrpl11</v>
      </c>
      <c r="D4511" s="8"/>
      <c r="E4511" s="8">
        <v>20549</v>
      </c>
      <c r="F4511" s="8"/>
      <c r="G4511" s="15">
        <v>0.92862618228739402</v>
      </c>
      <c r="H4511" s="15">
        <v>0.92862618228739402</v>
      </c>
      <c r="I4511" s="15">
        <v>0.98083053269791776</v>
      </c>
      <c r="J4511" s="15">
        <v>0.98083053269791776</v>
      </c>
      <c r="K4511" s="15" t="s">
        <v>10</v>
      </c>
      <c r="L4511" s="15" t="s">
        <v>10</v>
      </c>
      <c r="M4511" s="15">
        <v>0.98083053269791776</v>
      </c>
      <c r="N4511" s="15">
        <v>0.98083053269791776</v>
      </c>
      <c r="O4511" s="15" t="s">
        <v>10</v>
      </c>
      <c r="P4511" s="15" t="s">
        <v>10</v>
      </c>
      <c r="Q4511" s="8"/>
      <c r="R4511" s="9" t="s">
        <v>4056</v>
      </c>
    </row>
    <row r="4512" spans="1:18" x14ac:dyDescent="0.25">
      <c r="A4512" s="6" t="str">
        <f>HYPERLINK("proteomic_fractions_linear_files/Yang_linear_img/22164792.jpg", "22164792")</f>
        <v>22164792</v>
      </c>
      <c r="B4512" s="7"/>
      <c r="C4512" s="6" t="str">
        <f>HYPERLINK("http://www.ncbi.nlm.nih.gov/protein/22164792","Mrpl12")</f>
        <v>Mrpl12</v>
      </c>
      <c r="D4512" s="8"/>
      <c r="E4512" s="8">
        <v>16653</v>
      </c>
      <c r="F4512" s="8"/>
      <c r="G4512" s="15">
        <v>1.0879587743861225</v>
      </c>
      <c r="H4512" s="15">
        <v>1.0879587743861225</v>
      </c>
      <c r="I4512" s="15">
        <v>1.1471264604726632</v>
      </c>
      <c r="J4512" s="15">
        <v>1.1471264604726632</v>
      </c>
      <c r="K4512" s="15">
        <v>1.1471264604726632</v>
      </c>
      <c r="L4512" s="15">
        <v>1.1471264604726632</v>
      </c>
      <c r="M4512" s="15">
        <v>1.211614187450369</v>
      </c>
      <c r="N4512" s="15">
        <v>1.211614187450369</v>
      </c>
      <c r="O4512" s="15">
        <v>1.1471264604726632</v>
      </c>
      <c r="P4512" s="15">
        <v>1.1471264604726632</v>
      </c>
      <c r="Q4512" s="8"/>
      <c r="R4512" s="9" t="s">
        <v>4057</v>
      </c>
    </row>
    <row r="4513" spans="1:18" x14ac:dyDescent="0.25">
      <c r="A4513" s="6" t="str">
        <f>HYPERLINK("proteomic_fractions_linear_files/Yang_linear_img/21312936.jpg", "21312936")</f>
        <v>21312936</v>
      </c>
      <c r="B4513" s="7"/>
      <c r="C4513" s="6" t="str">
        <f>HYPERLINK("http://www.ncbi.nlm.nih.gov/protein/21312936","Mrpl13")</f>
        <v>Mrpl13</v>
      </c>
      <c r="D4513" s="8"/>
      <c r="E4513" s="8">
        <v>20546</v>
      </c>
      <c r="F4513" s="8"/>
      <c r="G4513" s="15">
        <v>0.83666379835042703</v>
      </c>
      <c r="H4513" s="15">
        <v>0.83666379835042703</v>
      </c>
      <c r="I4513" s="15">
        <v>0.88072853164590881</v>
      </c>
      <c r="J4513" s="15">
        <v>0.88072853164590881</v>
      </c>
      <c r="K4513" s="15" t="s">
        <v>10</v>
      </c>
      <c r="L4513" s="15" t="s">
        <v>10</v>
      </c>
      <c r="M4513" s="15">
        <v>0.92862618228739402</v>
      </c>
      <c r="N4513" s="15">
        <v>0.92862618228739402</v>
      </c>
      <c r="O4513" s="15" t="s">
        <v>10</v>
      </c>
      <c r="P4513" s="15" t="s">
        <v>10</v>
      </c>
      <c r="Q4513" s="8"/>
      <c r="R4513" s="9" t="s">
        <v>4058</v>
      </c>
    </row>
    <row r="4514" spans="1:18" x14ac:dyDescent="0.25">
      <c r="A4514" s="6" t="str">
        <f>HYPERLINK("proteomic_fractions_linear_files/Yang_linear_img/21312028.jpg", "21312028")</f>
        <v>21312028</v>
      </c>
      <c r="B4514" s="7"/>
      <c r="C4514" s="6" t="str">
        <f>HYPERLINK("http://www.ncbi.nlm.nih.gov/protein/21312028","Mrpl14")</f>
        <v>Mrpl14</v>
      </c>
      <c r="D4514" s="8"/>
      <c r="E4514" s="8">
        <v>12729</v>
      </c>
      <c r="F4514" s="8"/>
      <c r="G4514" s="15" t="s">
        <v>10</v>
      </c>
      <c r="H4514" s="15" t="s">
        <v>10</v>
      </c>
      <c r="I4514" s="15">
        <v>1.068142346148973</v>
      </c>
      <c r="J4514" s="15">
        <v>1.068142346148973</v>
      </c>
      <c r="K4514" s="15">
        <v>1.1689490995241758</v>
      </c>
      <c r="L4514" s="15">
        <v>1.1689490995241758</v>
      </c>
      <c r="M4514" s="15">
        <v>1.1689490995241758</v>
      </c>
      <c r="N4514" s="15">
        <v>1.1689490995241758</v>
      </c>
      <c r="O4514" s="15" t="s">
        <v>10</v>
      </c>
      <c r="P4514" s="15" t="s">
        <v>10</v>
      </c>
      <c r="Q4514" s="8"/>
      <c r="R4514" s="9" t="s">
        <v>4059</v>
      </c>
    </row>
    <row r="4515" spans="1:18" x14ac:dyDescent="0.25">
      <c r="A4515" s="6" t="str">
        <f>HYPERLINK("proteomic_fractions_linear_files/Yang_linear_img/295054166.jpg", "295054166")</f>
        <v>295054166</v>
      </c>
      <c r="B4515" s="7"/>
      <c r="C4515" s="6" t="str">
        <f>HYPERLINK("http://www.ncbi.nlm.nih.gov/protein/295054166","Mrpl15")</f>
        <v>Mrpl15</v>
      </c>
      <c r="D4515" s="8"/>
      <c r="E4515" s="8">
        <v>31485</v>
      </c>
      <c r="F4515" s="8"/>
      <c r="G4515" s="15">
        <v>0.90058746121555033</v>
      </c>
      <c r="H4515" s="15">
        <v>0.90058746121555033</v>
      </c>
      <c r="I4515" s="15">
        <v>0.96404538360364944</v>
      </c>
      <c r="J4515" s="15">
        <v>0.96404538360364944</v>
      </c>
      <c r="K4515" s="15" t="s">
        <v>10</v>
      </c>
      <c r="L4515" s="15" t="s">
        <v>10</v>
      </c>
      <c r="M4515" s="15">
        <v>0.96404538360364944</v>
      </c>
      <c r="N4515" s="15">
        <v>0.96404538360364944</v>
      </c>
      <c r="O4515" s="15" t="s">
        <v>10</v>
      </c>
      <c r="P4515" s="15" t="s">
        <v>10</v>
      </c>
      <c r="Q4515" s="8"/>
      <c r="R4515" s="9" t="s">
        <v>4060</v>
      </c>
    </row>
    <row r="4516" spans="1:18" x14ac:dyDescent="0.25">
      <c r="A4516" s="6" t="str">
        <f>HYPERLINK("proteomic_fractions_linear_files/Yang_linear_img/33468983.jpg", "33468983")</f>
        <v>33468983</v>
      </c>
      <c r="B4516" s="7"/>
      <c r="C4516" s="6" t="str">
        <f>HYPERLINK("http://www.ncbi.nlm.nih.gov/protein/33468983","Mrpl15")</f>
        <v>Mrpl15</v>
      </c>
      <c r="D4516" s="8"/>
      <c r="E4516" s="8">
        <v>20961</v>
      </c>
      <c r="F4516" s="8"/>
      <c r="G4516" s="15">
        <v>1.3294386332229553</v>
      </c>
      <c r="H4516" s="15">
        <v>1.3294386332229553</v>
      </c>
      <c r="I4516" s="15">
        <v>1.4231146138911015</v>
      </c>
      <c r="J4516" s="15">
        <v>1.4231146138911015</v>
      </c>
      <c r="K4516" s="15" t="s">
        <v>10</v>
      </c>
      <c r="L4516" s="15" t="s">
        <v>10</v>
      </c>
      <c r="M4516" s="15">
        <v>1.4231146138911015</v>
      </c>
      <c r="N4516" s="15">
        <v>1.4231146138911015</v>
      </c>
      <c r="O4516" s="15" t="s">
        <v>10</v>
      </c>
      <c r="P4516" s="15" t="s">
        <v>10</v>
      </c>
      <c r="Q4516" s="8"/>
      <c r="R4516" s="9" t="s">
        <v>4061</v>
      </c>
    </row>
    <row r="4517" spans="1:18" x14ac:dyDescent="0.25">
      <c r="A4517" s="6" t="str">
        <f>HYPERLINK("proteomic_fractions_linear_files/Yang_linear_img/19424352.jpg", "19424352")</f>
        <v>19424352</v>
      </c>
      <c r="B4517" s="7"/>
      <c r="C4517" s="6" t="str">
        <f>HYPERLINK("http://www.ncbi.nlm.nih.gov/protein/19424352","Mrpl16")</f>
        <v>Mrpl16</v>
      </c>
      <c r="D4517" s="8"/>
      <c r="E4517" s="8">
        <v>24775</v>
      </c>
      <c r="F4517" s="8"/>
      <c r="G4517" s="15">
        <v>0.92438293498869784</v>
      </c>
      <c r="H4517" s="15">
        <v>0.92438293498869784</v>
      </c>
      <c r="I4517" s="15">
        <v>0.9821928245310767</v>
      </c>
      <c r="J4517" s="15">
        <v>0.9821928245310767</v>
      </c>
      <c r="K4517" s="15" t="s">
        <v>10</v>
      </c>
      <c r="L4517" s="15" t="s">
        <v>10</v>
      </c>
      <c r="M4517" s="15" t="s">
        <v>10</v>
      </c>
      <c r="N4517" s="15" t="s">
        <v>10</v>
      </c>
      <c r="O4517" s="15" t="s">
        <v>10</v>
      </c>
      <c r="P4517" s="15" t="s">
        <v>10</v>
      </c>
      <c r="Q4517" s="8"/>
      <c r="R4517" s="9" t="s">
        <v>4062</v>
      </c>
    </row>
    <row r="4518" spans="1:18" x14ac:dyDescent="0.25">
      <c r="A4518" s="6" t="str">
        <f>HYPERLINK("proteomic_fractions_linear_files/Yang_linear_img/13384658.jpg", "13384658")</f>
        <v>13384658</v>
      </c>
      <c r="B4518" s="7"/>
      <c r="C4518" s="6" t="str">
        <f>HYPERLINK("http://www.ncbi.nlm.nih.gov/protein/13384658","Mrpl17")</f>
        <v>Mrpl17</v>
      </c>
      <c r="D4518" s="8"/>
      <c r="E4518" s="8">
        <v>19435</v>
      </c>
      <c r="F4518" s="8"/>
      <c r="G4518" s="15" t="s">
        <v>10</v>
      </c>
      <c r="H4518" s="15" t="s">
        <v>10</v>
      </c>
      <c r="I4518" s="15">
        <v>0.97343679813495176</v>
      </c>
      <c r="J4518" s="15">
        <v>0.97343679813495176</v>
      </c>
      <c r="K4518" s="15" t="s">
        <v>10</v>
      </c>
      <c r="L4518" s="15" t="s">
        <v>10</v>
      </c>
      <c r="M4518" s="15" t="s">
        <v>10</v>
      </c>
      <c r="N4518" s="15" t="s">
        <v>10</v>
      </c>
      <c r="O4518" s="15" t="s">
        <v>10</v>
      </c>
      <c r="P4518" s="15" t="s">
        <v>10</v>
      </c>
      <c r="Q4518" s="8"/>
      <c r="R4518" s="9" t="s">
        <v>4063</v>
      </c>
    </row>
    <row r="4519" spans="1:18" x14ac:dyDescent="0.25">
      <c r="A4519" s="6" t="str">
        <f>HYPERLINK("proteomic_fractions_linear_files/Yang_linear_img/13385808.jpg", "13385808")</f>
        <v>13385808</v>
      </c>
      <c r="B4519" s="7"/>
      <c r="C4519" s="6" t="str">
        <f>HYPERLINK("http://www.ncbi.nlm.nih.gov/protein/13385808","Mrpl18")</f>
        <v>Mrpl18</v>
      </c>
      <c r="D4519" s="8"/>
      <c r="E4519" s="8">
        <v>20546</v>
      </c>
      <c r="F4519" s="8"/>
      <c r="G4519" s="15">
        <v>0.83666379835042703</v>
      </c>
      <c r="H4519" s="15">
        <v>0.83666379835042703</v>
      </c>
      <c r="I4519" s="15">
        <v>0.88072853164590881</v>
      </c>
      <c r="J4519" s="15">
        <v>0.88072853164590881</v>
      </c>
      <c r="K4519" s="15">
        <v>0.88072853164590881</v>
      </c>
      <c r="L4519" s="15">
        <v>0.88072853164590881</v>
      </c>
      <c r="M4519" s="15">
        <v>0.88072853164590881</v>
      </c>
      <c r="N4519" s="15">
        <v>0.88072853164590881</v>
      </c>
      <c r="O4519" s="15" t="s">
        <v>10</v>
      </c>
      <c r="P4519" s="15" t="s">
        <v>10</v>
      </c>
      <c r="Q4519" s="8"/>
      <c r="R4519" s="9" t="s">
        <v>4064</v>
      </c>
    </row>
    <row r="4520" spans="1:18" x14ac:dyDescent="0.25">
      <c r="A4520" s="6" t="str">
        <f>HYPERLINK("proteomic_fractions_linear_files/Yang_linear_img/13385976.jpg", "13385976")</f>
        <v>13385976</v>
      </c>
      <c r="B4520" s="7"/>
      <c r="C4520" s="6" t="str">
        <f>HYPERLINK("http://www.ncbi.nlm.nih.gov/protein/13385976","Mrpl19")</f>
        <v>Mrpl19</v>
      </c>
      <c r="D4520" s="8"/>
      <c r="E4520" s="8">
        <v>33447</v>
      </c>
      <c r="F4520" s="8"/>
      <c r="G4520" s="15" t="s">
        <v>10</v>
      </c>
      <c r="H4520" s="15" t="s">
        <v>10</v>
      </c>
      <c r="I4520" s="15">
        <v>0.84600640296006246</v>
      </c>
      <c r="J4520" s="15">
        <v>0.84600640296006246</v>
      </c>
      <c r="K4520" s="15" t="s">
        <v>10</v>
      </c>
      <c r="L4520" s="15" t="s">
        <v>10</v>
      </c>
      <c r="M4520" s="15" t="s">
        <v>10</v>
      </c>
      <c r="N4520" s="15" t="s">
        <v>10</v>
      </c>
      <c r="O4520" s="15" t="s">
        <v>10</v>
      </c>
      <c r="P4520" s="15" t="s">
        <v>10</v>
      </c>
      <c r="Q4520" s="8"/>
      <c r="R4520" s="9" t="s">
        <v>4065</v>
      </c>
    </row>
    <row r="4521" spans="1:18" x14ac:dyDescent="0.25">
      <c r="A4521" s="6" t="str">
        <f>HYPERLINK("proteomic_fractions_linear_files/Yang_linear_img/13384660.jpg", "13384660")</f>
        <v>13384660</v>
      </c>
      <c r="B4521" s="7"/>
      <c r="C4521" s="6" t="str">
        <f>HYPERLINK("http://www.ncbi.nlm.nih.gov/protein/13384660","Mrpl2")</f>
        <v>Mrpl2</v>
      </c>
      <c r="D4521" s="8"/>
      <c r="E4521" s="8">
        <v>27118</v>
      </c>
      <c r="F4521" s="8"/>
      <c r="G4521" s="15">
        <v>0.96852807834907406</v>
      </c>
      <c r="H4521" s="15">
        <v>0.96852807834907406</v>
      </c>
      <c r="I4521" s="15">
        <v>0.96852807834907406</v>
      </c>
      <c r="J4521" s="15">
        <v>0.96852807834907406</v>
      </c>
      <c r="K4521" s="15" t="s">
        <v>10</v>
      </c>
      <c r="L4521" s="15" t="s">
        <v>10</v>
      </c>
      <c r="M4521" s="15" t="s">
        <v>10</v>
      </c>
      <c r="N4521" s="15" t="s">
        <v>10</v>
      </c>
      <c r="O4521" s="15">
        <v>21.981215024789044</v>
      </c>
      <c r="P4521" s="15">
        <v>21.981215024789044</v>
      </c>
      <c r="Q4521" s="8"/>
      <c r="R4521" s="9" t="s">
        <v>4066</v>
      </c>
    </row>
    <row r="4522" spans="1:18" x14ac:dyDescent="0.25">
      <c r="A4522" s="6" t="str">
        <f>HYPERLINK("proteomic_fractions_linear_files/Yang_linear_img/20270194.jpg", "20270194")</f>
        <v>20270194</v>
      </c>
      <c r="B4522" s="7"/>
      <c r="C4522" s="6" t="str">
        <f>HYPERLINK("http://www.ncbi.nlm.nih.gov/protein/20270194","Mrpl20")</f>
        <v>Mrpl20</v>
      </c>
      <c r="D4522" s="8"/>
      <c r="E4522" s="8">
        <v>11897</v>
      </c>
      <c r="F4522" s="8"/>
      <c r="G4522" s="15" t="s">
        <v>10</v>
      </c>
      <c r="H4522" s="15" t="s">
        <v>10</v>
      </c>
      <c r="I4522" s="15">
        <v>1.3930395433839184</v>
      </c>
      <c r="J4522" s="15">
        <v>1.3930395433839184</v>
      </c>
      <c r="K4522" s="15">
        <v>1.4641616471132473</v>
      </c>
      <c r="L4522" s="15">
        <v>1.4641616471132473</v>
      </c>
      <c r="M4522" s="15">
        <v>1.4641616471132473</v>
      </c>
      <c r="N4522" s="15">
        <v>1.4641616471132473</v>
      </c>
      <c r="O4522" s="15" t="s">
        <v>10</v>
      </c>
      <c r="P4522" s="15" t="s">
        <v>10</v>
      </c>
      <c r="Q4522" s="8"/>
      <c r="R4522" s="9" t="s">
        <v>4067</v>
      </c>
    </row>
    <row r="4523" spans="1:18" x14ac:dyDescent="0.25">
      <c r="A4523" s="6" t="str">
        <f>HYPERLINK("proteomic_fractions_linear_files/Yang_linear_img/31982032.jpg", "31982032")</f>
        <v>31982032</v>
      </c>
      <c r="B4523" s="7"/>
      <c r="C4523" s="6" t="str">
        <f>HYPERLINK("http://www.ncbi.nlm.nih.gov/protein/31982032","Mrpl21")</f>
        <v>Mrpl21</v>
      </c>
      <c r="D4523" s="8"/>
      <c r="E4523" s="8">
        <v>19779</v>
      </c>
      <c r="F4523" s="8"/>
      <c r="G4523" s="15">
        <v>0.87849698826794831</v>
      </c>
      <c r="H4523" s="15">
        <v>0.87849698826794831</v>
      </c>
      <c r="I4523" s="15">
        <v>0.92476495822820426</v>
      </c>
      <c r="J4523" s="15">
        <v>0.92476495822820426</v>
      </c>
      <c r="K4523" s="15">
        <v>0.92476495822820426</v>
      </c>
      <c r="L4523" s="15">
        <v>0.92476495822820426</v>
      </c>
      <c r="M4523" s="15">
        <v>0.97505749140176368</v>
      </c>
      <c r="N4523" s="15">
        <v>0.97505749140176368</v>
      </c>
      <c r="O4523" s="15" t="s">
        <v>10</v>
      </c>
      <c r="P4523" s="15" t="s">
        <v>10</v>
      </c>
      <c r="Q4523" s="8"/>
      <c r="R4523" s="9" t="s">
        <v>4068</v>
      </c>
    </row>
    <row r="4524" spans="1:18" x14ac:dyDescent="0.25">
      <c r="A4524" s="6" t="str">
        <f>HYPERLINK("proteomic_fractions_linear_files/Yang_linear_img/262263310.jpg", "262263310")</f>
        <v>262263310</v>
      </c>
      <c r="B4524" s="7"/>
      <c r="C4524" s="6" t="str">
        <f>HYPERLINK("http://www.ncbi.nlm.nih.gov/protein/262263310","Mrpl22")</f>
        <v>Mrpl22</v>
      </c>
      <c r="D4524" s="8"/>
      <c r="E4524" s="8">
        <v>19467</v>
      </c>
      <c r="F4524" s="8"/>
      <c r="G4524" s="15">
        <v>1.3763293744960527</v>
      </c>
      <c r="H4524" s="15">
        <v>1.3763293744960527</v>
      </c>
      <c r="I4524" s="15">
        <v>0.97343679813495176</v>
      </c>
      <c r="J4524" s="15">
        <v>0.97343679813495176</v>
      </c>
      <c r="K4524" s="15" t="s">
        <v>10</v>
      </c>
      <c r="L4524" s="15" t="s">
        <v>10</v>
      </c>
      <c r="M4524" s="15">
        <v>0.97343679813495176</v>
      </c>
      <c r="N4524" s="15">
        <v>0.97343679813495176</v>
      </c>
      <c r="O4524" s="15" t="s">
        <v>10</v>
      </c>
      <c r="P4524" s="15" t="s">
        <v>10</v>
      </c>
      <c r="Q4524" s="8"/>
      <c r="R4524" s="9" t="s">
        <v>4069</v>
      </c>
    </row>
    <row r="4525" spans="1:18" x14ac:dyDescent="0.25">
      <c r="A4525" s="6" t="str">
        <f>HYPERLINK("proteomic_fractions_linear_files/Yang_linear_img/6755352.jpg", "6755352")</f>
        <v>6755352</v>
      </c>
      <c r="B4525" s="7"/>
      <c r="C4525" s="6" t="str">
        <f>HYPERLINK("http://www.ncbi.nlm.nih.gov/protein/6755352","Mrpl23")</f>
        <v>Mrpl23</v>
      </c>
      <c r="D4525" s="8"/>
      <c r="E4525" s="8">
        <v>16991</v>
      </c>
      <c r="F4525" s="8"/>
      <c r="G4525" s="15">
        <v>1.3593866691010261</v>
      </c>
      <c r="H4525" s="15">
        <v>1.3593866691010261</v>
      </c>
      <c r="I4525" s="15">
        <v>0.93690834018716329</v>
      </c>
      <c r="J4525" s="15">
        <v>0.93690834018716329</v>
      </c>
      <c r="K4525" s="15" t="s">
        <v>10</v>
      </c>
      <c r="L4525" s="15" t="s">
        <v>10</v>
      </c>
      <c r="M4525" s="15">
        <v>0.98332203062394252</v>
      </c>
      <c r="N4525" s="15">
        <v>0.98332203062394252</v>
      </c>
      <c r="O4525" s="15" t="s">
        <v>10</v>
      </c>
      <c r="P4525" s="15" t="s">
        <v>10</v>
      </c>
      <c r="Q4525" s="8"/>
      <c r="R4525" s="9" t="s">
        <v>4070</v>
      </c>
    </row>
    <row r="4526" spans="1:18" x14ac:dyDescent="0.25">
      <c r="A4526" s="6" t="str">
        <f>HYPERLINK("proteomic_fractions_linear_files/Yang_linear_img/153792729.jpg", "153792729")</f>
        <v>153792729</v>
      </c>
      <c r="B4526" s="7"/>
      <c r="C4526" s="6" t="str">
        <f>HYPERLINK("http://www.ncbi.nlm.nih.gov/protein/153792729","Mrpl24")</f>
        <v>Mrpl24</v>
      </c>
      <c r="D4526" s="8"/>
      <c r="E4526" s="8">
        <v>23975</v>
      </c>
      <c r="F4526" s="8"/>
      <c r="G4526" s="15">
        <v>1.4397240221031327</v>
      </c>
      <c r="H4526" s="15">
        <v>1.4397240221031327</v>
      </c>
      <c r="I4526" s="15">
        <v>1.0231175255532048</v>
      </c>
      <c r="J4526" s="15">
        <v>1.0231175255532048</v>
      </c>
      <c r="K4526" s="15" t="s">
        <v>10</v>
      </c>
      <c r="L4526" s="15" t="s">
        <v>10</v>
      </c>
      <c r="M4526" s="15" t="s">
        <v>10</v>
      </c>
      <c r="N4526" s="15" t="s">
        <v>10</v>
      </c>
      <c r="O4526" s="15" t="s">
        <v>10</v>
      </c>
      <c r="P4526" s="15" t="s">
        <v>10</v>
      </c>
      <c r="Q4526" s="8"/>
      <c r="R4526" s="9" t="s">
        <v>4071</v>
      </c>
    </row>
    <row r="4527" spans="1:18" x14ac:dyDescent="0.25">
      <c r="A4527" s="6" t="str">
        <f>HYPERLINK("proteomic_fractions_linear_files/Yang_linear_img/16716447.jpg", "16716447")</f>
        <v>16716447</v>
      </c>
      <c r="B4527" s="7"/>
      <c r="C4527" s="6" t="str">
        <f>HYPERLINK("http://www.ncbi.nlm.nih.gov/protein/16716447","Mrpl27")</f>
        <v>Mrpl27</v>
      </c>
      <c r="D4527" s="8"/>
      <c r="E4527" s="8">
        <v>15813</v>
      </c>
      <c r="F4527" s="8"/>
      <c r="G4527" s="15">
        <v>0.86786565624604062</v>
      </c>
      <c r="H4527" s="15">
        <v>1.3622338919174219</v>
      </c>
      <c r="I4527" s="15">
        <v>0.90734210761689671</v>
      </c>
      <c r="J4527" s="15">
        <v>0.90734210761689671</v>
      </c>
      <c r="K4527" s="15">
        <v>0.94977114336339286</v>
      </c>
      <c r="L4527" s="15">
        <v>0.94977114336339286</v>
      </c>
      <c r="M4527" s="15">
        <v>0.90734210761689671</v>
      </c>
      <c r="N4527" s="15">
        <v>0.90734210761689671</v>
      </c>
      <c r="O4527" s="15" t="s">
        <v>10</v>
      </c>
      <c r="P4527" s="15" t="s">
        <v>10</v>
      </c>
      <c r="Q4527" s="8"/>
      <c r="R4527" s="9" t="s">
        <v>4072</v>
      </c>
    </row>
    <row r="4528" spans="1:18" x14ac:dyDescent="0.25">
      <c r="A4528" s="6" t="str">
        <f>HYPERLINK("proteomic_fractions_linear_files/Yang_linear_img/26787989.jpg", "26787989")</f>
        <v>26787989</v>
      </c>
      <c r="B4528" s="7"/>
      <c r="C4528" s="6" t="str">
        <f>HYPERLINK("http://www.ncbi.nlm.nih.gov/protein/26787989","Mrpl28")</f>
        <v>Mrpl28</v>
      </c>
      <c r="D4528" s="8"/>
      <c r="E4528" s="8">
        <v>30039</v>
      </c>
      <c r="F4528" s="8"/>
      <c r="G4528" s="15" t="s">
        <v>10</v>
      </c>
      <c r="H4528" s="15" t="s">
        <v>10</v>
      </c>
      <c r="I4528" s="15">
        <v>0.87167527051416671</v>
      </c>
      <c r="J4528" s="15">
        <v>0.87167527051416671</v>
      </c>
      <c r="K4528" s="15" t="s">
        <v>10</v>
      </c>
      <c r="L4528" s="15" t="s">
        <v>10</v>
      </c>
      <c r="M4528" s="15" t="s">
        <v>10</v>
      </c>
      <c r="N4528" s="15" t="s">
        <v>10</v>
      </c>
      <c r="O4528" s="15" t="s">
        <v>10</v>
      </c>
      <c r="P4528" s="15" t="s">
        <v>10</v>
      </c>
      <c r="Q4528" s="8"/>
      <c r="R4528" s="9" t="s">
        <v>4073</v>
      </c>
    </row>
    <row r="4529" spans="1:18" x14ac:dyDescent="0.25">
      <c r="A4529" s="6" t="str">
        <f>HYPERLINK("proteomic_fractions_linear_files/Yang_linear_img/31981470.jpg", "31981470")</f>
        <v>31981470</v>
      </c>
      <c r="B4529" s="7"/>
      <c r="C4529" s="6" t="str">
        <f>HYPERLINK("http://www.ncbi.nlm.nih.gov/protein/31981470","Mrpl3")</f>
        <v>Mrpl3</v>
      </c>
      <c r="D4529" s="8"/>
      <c r="E4529" s="8">
        <v>38979</v>
      </c>
      <c r="F4529" s="8"/>
      <c r="G4529" s="15" t="s">
        <v>10</v>
      </c>
      <c r="H4529" s="15" t="s">
        <v>10</v>
      </c>
      <c r="I4529" s="15">
        <v>0.82266853476239965</v>
      </c>
      <c r="J4529" s="15">
        <v>0.82266853476239965</v>
      </c>
      <c r="K4529" s="15" t="s">
        <v>10</v>
      </c>
      <c r="L4529" s="15" t="s">
        <v>10</v>
      </c>
      <c r="M4529" s="15">
        <v>0.82266853476239965</v>
      </c>
      <c r="N4529" s="15">
        <v>0.82266853476239965</v>
      </c>
      <c r="O4529" s="15" t="s">
        <v>10</v>
      </c>
      <c r="P4529" s="15" t="s">
        <v>10</v>
      </c>
      <c r="Q4529" s="8"/>
      <c r="R4529" s="9" t="s">
        <v>4074</v>
      </c>
    </row>
    <row r="4530" spans="1:18" x14ac:dyDescent="0.25">
      <c r="A4530" s="6" t="str">
        <f>HYPERLINK("proteomic_fractions_linear_files/Yang_linear_img/21312302.jpg", "21312302")</f>
        <v>21312302</v>
      </c>
      <c r="B4530" s="7"/>
      <c r="C4530" s="6" t="str">
        <f>HYPERLINK("http://www.ncbi.nlm.nih.gov/protein/21312302","Mrpl30")</f>
        <v>Mrpl30</v>
      </c>
      <c r="D4530" s="8"/>
      <c r="E4530" s="8">
        <v>14554</v>
      </c>
      <c r="F4530" s="8"/>
      <c r="G4530" s="15" t="s">
        <v>10</v>
      </c>
      <c r="H4530" s="15" t="s">
        <v>10</v>
      </c>
      <c r="I4530" s="15">
        <v>1.0618294522121183</v>
      </c>
      <c r="J4530" s="15">
        <v>1.0618294522121183</v>
      </c>
      <c r="K4530" s="15" t="s">
        <v>10</v>
      </c>
      <c r="L4530" s="15" t="s">
        <v>10</v>
      </c>
      <c r="M4530" s="15">
        <v>1.1144316347071348</v>
      </c>
      <c r="N4530" s="15">
        <v>1.1144316347071348</v>
      </c>
      <c r="O4530" s="15" t="s">
        <v>10</v>
      </c>
      <c r="P4530" s="15" t="s">
        <v>10</v>
      </c>
      <c r="Q4530" s="8"/>
      <c r="R4530" s="9" t="s">
        <v>4075</v>
      </c>
    </row>
    <row r="4531" spans="1:18" x14ac:dyDescent="0.25">
      <c r="A4531" s="6" t="str">
        <f>HYPERLINK("proteomic_fractions_linear_files/Yang_linear_img/21312948.jpg", "21312948")</f>
        <v>21312948</v>
      </c>
      <c r="B4531" s="7"/>
      <c r="C4531" s="6" t="str">
        <f>HYPERLINK("http://www.ncbi.nlm.nih.gov/protein/21312948","Mrpl32")</f>
        <v>Mrpl32</v>
      </c>
      <c r="D4531" s="8"/>
      <c r="E4531" s="8">
        <v>21602</v>
      </c>
      <c r="F4531" s="8"/>
      <c r="G4531" s="15">
        <v>0.63117502272439319</v>
      </c>
      <c r="H4531" s="15">
        <v>0.63117502272439319</v>
      </c>
      <c r="I4531" s="15">
        <v>0.65988516917592488</v>
      </c>
      <c r="J4531" s="15">
        <v>0.65988516917592488</v>
      </c>
      <c r="K4531" s="15" t="s">
        <v>10</v>
      </c>
      <c r="L4531" s="15" t="s">
        <v>10</v>
      </c>
      <c r="M4531" s="15" t="s">
        <v>10</v>
      </c>
      <c r="N4531" s="15" t="s">
        <v>10</v>
      </c>
      <c r="O4531" s="15" t="s">
        <v>10</v>
      </c>
      <c r="P4531" s="15" t="s">
        <v>10</v>
      </c>
      <c r="Q4531" s="8"/>
      <c r="R4531" s="9" t="s">
        <v>4076</v>
      </c>
    </row>
    <row r="4532" spans="1:18" x14ac:dyDescent="0.25">
      <c r="A4532" s="6" t="str">
        <f>HYPERLINK("proteomic_fractions_linear_files/Yang_linear_img/269784741.jpg", "269784741")</f>
        <v>269784741</v>
      </c>
      <c r="B4532" s="7"/>
      <c r="C4532" s="6" t="str">
        <f>HYPERLINK("http://www.ncbi.nlm.nih.gov/protein/269784741","Mrpl33")</f>
        <v>Mrpl33</v>
      </c>
      <c r="D4532" s="8"/>
      <c r="E4532" s="8">
        <v>7285</v>
      </c>
      <c r="F4532" s="8"/>
      <c r="G4532" s="15" t="s">
        <v>10</v>
      </c>
      <c r="H4532" s="15" t="s">
        <v>10</v>
      </c>
      <c r="I4532" s="15">
        <v>1.821031334562518</v>
      </c>
      <c r="J4532" s="15">
        <v>1.821031334562518</v>
      </c>
      <c r="K4532" s="15" t="s">
        <v>10</v>
      </c>
      <c r="L4532" s="15" t="s">
        <v>10</v>
      </c>
      <c r="M4532" s="15" t="s">
        <v>10</v>
      </c>
      <c r="N4532" s="15" t="s">
        <v>10</v>
      </c>
      <c r="O4532" s="15" t="s">
        <v>10</v>
      </c>
      <c r="P4532" s="15" t="s">
        <v>10</v>
      </c>
      <c r="Q4532" s="8"/>
      <c r="R4532" s="9" t="s">
        <v>4077</v>
      </c>
    </row>
    <row r="4533" spans="1:18" x14ac:dyDescent="0.25">
      <c r="A4533" s="6" t="str">
        <f>HYPERLINK("proteomic_fractions_linear_files/Yang_linear_img/16716449.jpg", "16716449")</f>
        <v>16716449</v>
      </c>
      <c r="B4533" s="7"/>
      <c r="C4533" s="6" t="str">
        <f>HYPERLINK("http://www.ncbi.nlm.nih.gov/protein/16716449","Mrpl34")</f>
        <v>Mrpl34</v>
      </c>
      <c r="D4533" s="8"/>
      <c r="E4533" s="8">
        <v>10400</v>
      </c>
      <c r="F4533" s="8"/>
      <c r="G4533" s="15" t="s">
        <v>10</v>
      </c>
      <c r="H4533" s="15" t="s">
        <v>10</v>
      </c>
      <c r="I4533" s="15">
        <v>1.2747219341937626</v>
      </c>
      <c r="J4533" s="15">
        <v>1.2747219341937626</v>
      </c>
      <c r="K4533" s="15">
        <v>1.2747219341937626</v>
      </c>
      <c r="L4533" s="15">
        <v>1.2747219341937626</v>
      </c>
      <c r="M4533" s="15">
        <v>1.2747219341937626</v>
      </c>
      <c r="N4533" s="15">
        <v>1.2747219341937626</v>
      </c>
      <c r="O4533" s="15" t="s">
        <v>10</v>
      </c>
      <c r="P4533" s="15" t="s">
        <v>10</v>
      </c>
      <c r="Q4533" s="8"/>
      <c r="R4533" s="9" t="s">
        <v>4078</v>
      </c>
    </row>
    <row r="4534" spans="1:18" x14ac:dyDescent="0.25">
      <c r="A4534" s="6" t="str">
        <f>HYPERLINK("proteomic_fractions_linear_files/Yang_linear_img/22128625.jpg", "22128625")</f>
        <v>22128625</v>
      </c>
      <c r="B4534" s="7"/>
      <c r="C4534" s="6" t="str">
        <f>HYPERLINK("http://www.ncbi.nlm.nih.gov/protein/22128625","Mrpl37")</f>
        <v>Mrpl37</v>
      </c>
      <c r="D4534" s="8"/>
      <c r="E4534" s="8">
        <v>45603</v>
      </c>
      <c r="F4534" s="8"/>
      <c r="G4534" s="15">
        <v>0.88059387398310318</v>
      </c>
      <c r="H4534" s="15">
        <v>0.88059387398310318</v>
      </c>
      <c r="I4534" s="15">
        <v>0.95925194015142323</v>
      </c>
      <c r="J4534" s="15">
        <v>0.95925194015142323</v>
      </c>
      <c r="K4534" s="15" t="s">
        <v>10</v>
      </c>
      <c r="L4534" s="15" t="s">
        <v>10</v>
      </c>
      <c r="M4534" s="15" t="s">
        <v>10</v>
      </c>
      <c r="N4534" s="15" t="s">
        <v>10</v>
      </c>
      <c r="O4534" s="15" t="s">
        <v>10</v>
      </c>
      <c r="P4534" s="15" t="s">
        <v>10</v>
      </c>
      <c r="Q4534" s="8"/>
      <c r="R4534" s="9" t="s">
        <v>4079</v>
      </c>
    </row>
    <row r="4535" spans="1:18" x14ac:dyDescent="0.25">
      <c r="A4535" s="6" t="str">
        <f>HYPERLINK("proteomic_fractions_linear_files/Yang_linear_img/124430535.jpg", "124430535")</f>
        <v>124430535</v>
      </c>
      <c r="B4535" s="7"/>
      <c r="C4535" s="6" t="str">
        <f>HYPERLINK("http://www.ncbi.nlm.nih.gov/protein/124430535","Mrpl38")</f>
        <v>Mrpl38</v>
      </c>
      <c r="D4535" s="8"/>
      <c r="E4535" s="8">
        <v>42154</v>
      </c>
      <c r="F4535" s="8"/>
      <c r="G4535" s="15">
        <v>1.0506092677848922</v>
      </c>
      <c r="H4535" s="15">
        <v>1.0506092677848922</v>
      </c>
      <c r="I4535" s="15">
        <v>0.88907920055058554</v>
      </c>
      <c r="J4535" s="15">
        <v>0.88907920055058554</v>
      </c>
      <c r="K4535" s="15" t="s">
        <v>10</v>
      </c>
      <c r="L4535" s="15" t="s">
        <v>10</v>
      </c>
      <c r="M4535" s="15" t="s">
        <v>10</v>
      </c>
      <c r="N4535" s="15" t="s">
        <v>10</v>
      </c>
      <c r="O4535" s="15" t="s">
        <v>10</v>
      </c>
      <c r="P4535" s="15" t="s">
        <v>10</v>
      </c>
      <c r="Q4535" s="8"/>
      <c r="R4535" s="9" t="s">
        <v>4080</v>
      </c>
    </row>
    <row r="4536" spans="1:18" x14ac:dyDescent="0.25">
      <c r="A4536" s="6" t="str">
        <f>HYPERLINK("proteomic_fractions_linear_files/Yang_linear_img/364023817.jpg", "364023817")</f>
        <v>364023817</v>
      </c>
      <c r="B4536" s="7"/>
      <c r="C4536" s="6" t="str">
        <f>HYPERLINK("http://www.ncbi.nlm.nih.gov/protein/364023817","Mrpl39")</f>
        <v>Mrpl39</v>
      </c>
      <c r="D4536" s="8"/>
      <c r="E4536" s="8">
        <v>38418</v>
      </c>
      <c r="F4536" s="8"/>
      <c r="G4536" s="15" t="s">
        <v>10</v>
      </c>
      <c r="H4536" s="15" t="s">
        <v>10</v>
      </c>
      <c r="I4536" s="15">
        <v>0.90929938238092589</v>
      </c>
      <c r="J4536" s="15">
        <v>0.90929938238092589</v>
      </c>
      <c r="K4536" s="15" t="s">
        <v>10</v>
      </c>
      <c r="L4536" s="15" t="s">
        <v>10</v>
      </c>
      <c r="M4536" s="15" t="s">
        <v>10</v>
      </c>
      <c r="N4536" s="15" t="s">
        <v>10</v>
      </c>
      <c r="O4536" s="15" t="s">
        <v>10</v>
      </c>
      <c r="P4536" s="15" t="s">
        <v>10</v>
      </c>
      <c r="Q4536" s="8"/>
      <c r="R4536" s="9" t="s">
        <v>4081</v>
      </c>
    </row>
    <row r="4537" spans="1:18" x14ac:dyDescent="0.25">
      <c r="A4537" s="6" t="str">
        <f>HYPERLINK("proteomic_fractions_linear_files/Yang_linear_img/119508437.jpg", "119508437")</f>
        <v>119508437</v>
      </c>
      <c r="B4537" s="7"/>
      <c r="C4537" s="6" t="str">
        <f>HYPERLINK("http://www.ncbi.nlm.nih.gov/protein/119508437","Mrpl4")</f>
        <v>Mrpl4</v>
      </c>
      <c r="D4537" s="8"/>
      <c r="E4537" s="8">
        <v>32942</v>
      </c>
      <c r="F4537" s="8"/>
      <c r="G4537" s="15" t="s">
        <v>10</v>
      </c>
      <c r="H4537" s="15" t="s">
        <v>10</v>
      </c>
      <c r="I4537" s="15">
        <v>0.79243206410378786</v>
      </c>
      <c r="J4537" s="15">
        <v>0.79243206410378786</v>
      </c>
      <c r="K4537" s="15" t="s">
        <v>10</v>
      </c>
      <c r="L4537" s="15" t="s">
        <v>10</v>
      </c>
      <c r="M4537" s="15">
        <v>0.84600640296006246</v>
      </c>
      <c r="N4537" s="15">
        <v>0.84600640296006246</v>
      </c>
      <c r="O4537" s="15" t="s">
        <v>10</v>
      </c>
      <c r="P4537" s="15" t="s">
        <v>10</v>
      </c>
      <c r="Q4537" s="8"/>
      <c r="R4537" s="9" t="s">
        <v>4082</v>
      </c>
    </row>
    <row r="4538" spans="1:18" x14ac:dyDescent="0.25">
      <c r="A4538" s="6" t="str">
        <f>HYPERLINK("proteomic_fractions_linear_files/Yang_linear_img/255003746.jpg", "255003746")</f>
        <v>255003746</v>
      </c>
      <c r="B4538" s="7"/>
      <c r="C4538" s="6" t="str">
        <f>HYPERLINK("http://www.ncbi.nlm.nih.gov/protein/255003746","Mrpl40")</f>
        <v>Mrpl40</v>
      </c>
      <c r="D4538" s="8"/>
      <c r="E4538" s="8">
        <v>19091</v>
      </c>
      <c r="F4538" s="8"/>
      <c r="G4538" s="15">
        <v>1.4693795419832663</v>
      </c>
      <c r="H4538" s="15">
        <v>1.4693795419832663</v>
      </c>
      <c r="I4538" s="15">
        <v>1.0263763067386986</v>
      </c>
      <c r="J4538" s="15">
        <v>1.0263763067386986</v>
      </c>
      <c r="K4538" s="15" t="s">
        <v>10</v>
      </c>
      <c r="L4538" s="15" t="s">
        <v>10</v>
      </c>
      <c r="M4538" s="15">
        <v>1.0263763067386986</v>
      </c>
      <c r="N4538" s="15">
        <v>1.0263763067386986</v>
      </c>
      <c r="O4538" s="15" t="s">
        <v>10</v>
      </c>
      <c r="P4538" s="15" t="s">
        <v>10</v>
      </c>
      <c r="Q4538" s="8"/>
      <c r="R4538" s="9" t="s">
        <v>4083</v>
      </c>
    </row>
    <row r="4539" spans="1:18" x14ac:dyDescent="0.25">
      <c r="A4539" s="6" t="str">
        <f>HYPERLINK("proteomic_fractions_linear_files/Yang_linear_img/113461980.jpg", "113461980")</f>
        <v>113461980</v>
      </c>
      <c r="B4539" s="7"/>
      <c r="C4539" s="6" t="str">
        <f>HYPERLINK("http://www.ncbi.nlm.nih.gov/protein/113461980","Mrpl41")</f>
        <v>Mrpl41</v>
      </c>
      <c r="D4539" s="8"/>
      <c r="E4539" s="8">
        <v>13887</v>
      </c>
      <c r="F4539" s="8"/>
      <c r="G4539" s="15">
        <v>0.99184646428118928</v>
      </c>
      <c r="H4539" s="15">
        <v>0.99184646428118928</v>
      </c>
      <c r="I4539" s="15">
        <v>0.99184646428118928</v>
      </c>
      <c r="J4539" s="15">
        <v>0.99184646428118928</v>
      </c>
      <c r="K4539" s="15" t="s">
        <v>10</v>
      </c>
      <c r="L4539" s="15" t="s">
        <v>10</v>
      </c>
      <c r="M4539" s="15" t="s">
        <v>10</v>
      </c>
      <c r="N4539" s="15" t="s">
        <v>10</v>
      </c>
      <c r="O4539" s="15" t="s">
        <v>10</v>
      </c>
      <c r="P4539" s="15" t="s">
        <v>10</v>
      </c>
      <c r="Q4539" s="8"/>
      <c r="R4539" s="9" t="s">
        <v>4084</v>
      </c>
    </row>
    <row r="4540" spans="1:18" x14ac:dyDescent="0.25">
      <c r="A4540" s="6" t="str">
        <f>HYPERLINK("proteomic_fractions_linear_files/Yang_linear_img/13385564.jpg", "13385564")</f>
        <v>13385564</v>
      </c>
      <c r="B4540" s="7"/>
      <c r="C4540" s="6" t="str">
        <f>HYPERLINK("http://www.ncbi.nlm.nih.gov/protein/13385564","Mrpl42")</f>
        <v>Mrpl42</v>
      </c>
      <c r="D4540" s="8"/>
      <c r="E4540" s="8">
        <v>13122</v>
      </c>
      <c r="F4540" s="8"/>
      <c r="G4540" s="15" t="s">
        <v>10</v>
      </c>
      <c r="H4540" s="15" t="s">
        <v>10</v>
      </c>
      <c r="I4540" s="15">
        <v>1.1167287478361805</v>
      </c>
      <c r="J4540" s="15">
        <v>1.1167287478361805</v>
      </c>
      <c r="K4540" s="15" t="s">
        <v>10</v>
      </c>
      <c r="L4540" s="15" t="s">
        <v>10</v>
      </c>
      <c r="M4540" s="15" t="s">
        <v>10</v>
      </c>
      <c r="N4540" s="15" t="s">
        <v>10</v>
      </c>
      <c r="O4540" s="15" t="s">
        <v>10</v>
      </c>
      <c r="P4540" s="15" t="s">
        <v>10</v>
      </c>
      <c r="Q4540" s="8"/>
      <c r="R4540" s="9" t="s">
        <v>4085</v>
      </c>
    </row>
    <row r="4541" spans="1:18" x14ac:dyDescent="0.25">
      <c r="A4541" s="6" t="str">
        <f>HYPERLINK("proteomic_fractions_linear_files/Yang_linear_img/17298676.jpg", "17298676")</f>
        <v>17298676</v>
      </c>
      <c r="B4541" s="7"/>
      <c r="C4541" s="6" t="str">
        <f>HYPERLINK("http://www.ncbi.nlm.nih.gov/protein/17298676","Mrpl43")</f>
        <v>Mrpl43</v>
      </c>
      <c r="D4541" s="8"/>
      <c r="E4541" s="8">
        <v>17746</v>
      </c>
      <c r="F4541" s="8"/>
      <c r="G4541" s="15">
        <v>0.88485787684343198</v>
      </c>
      <c r="H4541" s="15">
        <v>0.88485787684343198</v>
      </c>
      <c r="I4541" s="15">
        <v>0.9286930289226123</v>
      </c>
      <c r="J4541" s="15">
        <v>0.9286930289226123</v>
      </c>
      <c r="K4541" s="15" t="s">
        <v>10</v>
      </c>
      <c r="L4541" s="15" t="s">
        <v>10</v>
      </c>
      <c r="M4541" s="15" t="s">
        <v>10</v>
      </c>
      <c r="N4541" s="15" t="s">
        <v>10</v>
      </c>
      <c r="O4541" s="15" t="s">
        <v>10</v>
      </c>
      <c r="P4541" s="15" t="s">
        <v>10</v>
      </c>
      <c r="Q4541" s="8"/>
      <c r="R4541" s="9" t="s">
        <v>4086</v>
      </c>
    </row>
    <row r="4542" spans="1:18" x14ac:dyDescent="0.25">
      <c r="A4542" s="6" t="str">
        <f>HYPERLINK("proteomic_fractions_linear_files/Yang_linear_img/124487075.jpg", "124487075")</f>
        <v>124487075</v>
      </c>
      <c r="B4542" s="7"/>
      <c r="C4542" s="6" t="str">
        <f>HYPERLINK("http://www.ncbi.nlm.nih.gov/protein/124487075","Mrpl44")</f>
        <v>Mrpl44</v>
      </c>
      <c r="D4542" s="8"/>
      <c r="E4542" s="8">
        <v>34362</v>
      </c>
      <c r="F4542" s="8"/>
      <c r="G4542" s="15">
        <v>1.2978114484401608</v>
      </c>
      <c r="H4542" s="15">
        <v>1.2978114484401608</v>
      </c>
      <c r="I4542" s="15">
        <v>0.87898255563862149</v>
      </c>
      <c r="J4542" s="15">
        <v>0.87898255563862149</v>
      </c>
      <c r="K4542" s="15">
        <v>0.94364920163922317</v>
      </c>
      <c r="L4542" s="15">
        <v>0.94364920163922317</v>
      </c>
      <c r="M4542" s="15" t="s">
        <v>10</v>
      </c>
      <c r="N4542" s="15" t="s">
        <v>10</v>
      </c>
      <c r="O4542" s="15" t="s">
        <v>10</v>
      </c>
      <c r="P4542" s="15" t="s">
        <v>10</v>
      </c>
      <c r="Q4542" s="8"/>
      <c r="R4542" s="9" t="s">
        <v>4087</v>
      </c>
    </row>
    <row r="4543" spans="1:18" x14ac:dyDescent="0.25">
      <c r="A4543" s="6" t="str">
        <f>HYPERLINK("proteomic_fractions_linear_files/Yang_linear_img/13385418.jpg", "13385418")</f>
        <v>13385418</v>
      </c>
      <c r="B4543" s="7"/>
      <c r="C4543" s="6" t="str">
        <f>HYPERLINK("http://www.ncbi.nlm.nih.gov/protein/13385418","Mrpl45")</f>
        <v>Mrpl45</v>
      </c>
      <c r="D4543" s="8"/>
      <c r="E4543" s="8">
        <v>35280</v>
      </c>
      <c r="F4543" s="8"/>
      <c r="G4543" s="15" t="s">
        <v>10</v>
      </c>
      <c r="H4543" s="15" t="s">
        <v>10</v>
      </c>
      <c r="I4543" s="15">
        <v>0.79766317993377311</v>
      </c>
      <c r="J4543" s="15">
        <v>0.79766317993377311</v>
      </c>
      <c r="K4543" s="15" t="s">
        <v>10</v>
      </c>
      <c r="L4543" s="15" t="s">
        <v>10</v>
      </c>
      <c r="M4543" s="15" t="s">
        <v>10</v>
      </c>
      <c r="N4543" s="15" t="s">
        <v>10</v>
      </c>
      <c r="O4543" s="15" t="s">
        <v>10</v>
      </c>
      <c r="P4543" s="15" t="s">
        <v>10</v>
      </c>
      <c r="Q4543" s="8"/>
      <c r="R4543" s="9" t="s">
        <v>4088</v>
      </c>
    </row>
    <row r="4544" spans="1:18" x14ac:dyDescent="0.25">
      <c r="A4544" s="6" t="str">
        <f>HYPERLINK("proteomic_fractions_linear_files/Yang_linear_img/12963643.jpg", "12963643")</f>
        <v>12963643</v>
      </c>
      <c r="B4544" s="7"/>
      <c r="C4544" s="6" t="str">
        <f>HYPERLINK("http://www.ncbi.nlm.nih.gov/protein/12963643","Mrpl46")</f>
        <v>Mrpl46</v>
      </c>
      <c r="D4544" s="8"/>
      <c r="E4544" s="8">
        <v>32001</v>
      </c>
      <c r="F4544" s="8"/>
      <c r="G4544" s="15">
        <v>1.1669164507226435</v>
      </c>
      <c r="H4544" s="15">
        <v>1.1669164507226435</v>
      </c>
      <c r="I4544" s="15">
        <v>0.81719556610703126</v>
      </c>
      <c r="J4544" s="15">
        <v>0.81719556610703126</v>
      </c>
      <c r="K4544" s="15">
        <v>0.81719556610703126</v>
      </c>
      <c r="L4544" s="15">
        <v>0.81719556610703126</v>
      </c>
      <c r="M4544" s="15">
        <v>0.81719556610703126</v>
      </c>
      <c r="N4544" s="15">
        <v>0.81719556610703126</v>
      </c>
      <c r="O4544" s="15" t="s">
        <v>10</v>
      </c>
      <c r="P4544" s="15" t="s">
        <v>10</v>
      </c>
      <c r="Q4544" s="8"/>
      <c r="R4544" s="9" t="s">
        <v>4089</v>
      </c>
    </row>
    <row r="4545" spans="1:18" x14ac:dyDescent="0.25">
      <c r="A4545" s="6" t="str">
        <f>HYPERLINK("proteomic_fractions_linear_files/Yang_linear_img/29826332.jpg", "29826332")</f>
        <v>29826332</v>
      </c>
      <c r="B4545" s="7"/>
      <c r="C4545" s="6" t="str">
        <f>HYPERLINK("http://www.ncbi.nlm.nih.gov/protein/29826332","Mrpl47")</f>
        <v>Mrpl47</v>
      </c>
      <c r="D4545" s="8"/>
      <c r="E4545" s="8">
        <v>29595</v>
      </c>
      <c r="F4545" s="8"/>
      <c r="G4545" s="15">
        <v>0.65003832760117575</v>
      </c>
      <c r="H4545" s="15">
        <v>0.65003832760117575</v>
      </c>
      <c r="I4545" s="15">
        <v>0.65003832760117575</v>
      </c>
      <c r="J4545" s="15">
        <v>0.68658137288854237</v>
      </c>
      <c r="K4545" s="15" t="s">
        <v>10</v>
      </c>
      <c r="L4545" s="15" t="s">
        <v>10</v>
      </c>
      <c r="M4545" s="15" t="s">
        <v>10</v>
      </c>
      <c r="N4545" s="15" t="s">
        <v>10</v>
      </c>
      <c r="O4545" s="15" t="s">
        <v>10</v>
      </c>
      <c r="P4545" s="15" t="s">
        <v>10</v>
      </c>
      <c r="Q4545" s="8"/>
      <c r="R4545" s="9" t="s">
        <v>4090</v>
      </c>
    </row>
    <row r="4546" spans="1:18" x14ac:dyDescent="0.25">
      <c r="A4546" s="6" t="str">
        <f>HYPERLINK("proteomic_fractions_linear_files/Yang_linear_img/148368964.jpg", "148368964")</f>
        <v>148368964</v>
      </c>
      <c r="B4546" s="7"/>
      <c r="C4546" s="6" t="str">
        <f>HYPERLINK("http://www.ncbi.nlm.nih.gov/protein/148368964","Mrpl48")</f>
        <v>Mrpl48</v>
      </c>
      <c r="D4546" s="8"/>
      <c r="E4546" s="8">
        <v>21020</v>
      </c>
      <c r="F4546" s="8"/>
      <c r="G4546" s="15">
        <v>0.88072853164590881</v>
      </c>
      <c r="H4546" s="15">
        <v>0.88072853164590881</v>
      </c>
      <c r="I4546" s="15">
        <v>0.92862618228739402</v>
      </c>
      <c r="J4546" s="15">
        <v>0.92862618228739402</v>
      </c>
      <c r="K4546" s="15">
        <v>0.92862618228739402</v>
      </c>
      <c r="L4546" s="15">
        <v>0.92862618228739402</v>
      </c>
      <c r="M4546" s="15">
        <v>0.92862618228739402</v>
      </c>
      <c r="N4546" s="15">
        <v>0.92862618228739402</v>
      </c>
      <c r="O4546" s="15" t="s">
        <v>10</v>
      </c>
      <c r="P4546" s="15" t="s">
        <v>10</v>
      </c>
      <c r="Q4546" s="8"/>
      <c r="R4546" s="9" t="s">
        <v>4091</v>
      </c>
    </row>
    <row r="4547" spans="1:18" x14ac:dyDescent="0.25">
      <c r="A4547" s="6" t="str">
        <f>HYPERLINK("proteomic_fractions_linear_files/Yang_linear_img/13385752.jpg", "13385752")</f>
        <v>13385752</v>
      </c>
      <c r="B4547" s="7"/>
      <c r="C4547" s="6" t="str">
        <f>HYPERLINK("http://www.ncbi.nlm.nih.gov/protein/13385752","Mrpl49")</f>
        <v>Mrpl49</v>
      </c>
      <c r="D4547" s="8"/>
      <c r="E4547" s="8">
        <v>19002</v>
      </c>
      <c r="F4547" s="8"/>
      <c r="G4547" s="15">
        <v>1.2923589796461534</v>
      </c>
      <c r="H4547" s="15">
        <v>1.2923589796461534</v>
      </c>
      <c r="I4547" s="15">
        <v>0.87981444845300116</v>
      </c>
      <c r="J4547" s="15">
        <v>0.87981444845300116</v>
      </c>
      <c r="K4547" s="15" t="s">
        <v>10</v>
      </c>
      <c r="L4547" s="15" t="s">
        <v>10</v>
      </c>
      <c r="M4547" s="15">
        <v>0.87981444845300116</v>
      </c>
      <c r="N4547" s="15">
        <v>0.87981444845300116</v>
      </c>
      <c r="O4547" s="15" t="s">
        <v>10</v>
      </c>
      <c r="P4547" s="15" t="s">
        <v>10</v>
      </c>
      <c r="Q4547" s="8"/>
      <c r="R4547" s="9" t="s">
        <v>4092</v>
      </c>
    </row>
    <row r="4548" spans="1:18" x14ac:dyDescent="0.25">
      <c r="A4548" s="6" t="str">
        <f>HYPERLINK("proteomic_fractions_linear_files/Yang_linear_img/30519921.jpg", "30519921")</f>
        <v>30519921</v>
      </c>
      <c r="B4548" s="7"/>
      <c r="C4548" s="6" t="str">
        <f>HYPERLINK("http://www.ncbi.nlm.nih.gov/protein/30519921","Mrpl50")</f>
        <v>Mrpl50</v>
      </c>
      <c r="D4548" s="8"/>
      <c r="E4548" s="8">
        <v>18082</v>
      </c>
      <c r="F4548" s="8"/>
      <c r="G4548" s="15" t="s">
        <v>10</v>
      </c>
      <c r="H4548" s="15" t="s">
        <v>10</v>
      </c>
      <c r="I4548" s="15">
        <v>1.210874570593264</v>
      </c>
      <c r="J4548" s="15">
        <v>1.210874570593264</v>
      </c>
      <c r="K4548" s="15" t="s">
        <v>10</v>
      </c>
      <c r="L4548" s="15" t="s">
        <v>10</v>
      </c>
      <c r="M4548" s="15" t="s">
        <v>10</v>
      </c>
      <c r="N4548" s="15" t="s">
        <v>10</v>
      </c>
      <c r="O4548" s="15" t="s">
        <v>10</v>
      </c>
      <c r="P4548" s="15" t="s">
        <v>10</v>
      </c>
      <c r="Q4548" s="8"/>
      <c r="R4548" s="9" t="s">
        <v>4093</v>
      </c>
    </row>
    <row r="4549" spans="1:18" x14ac:dyDescent="0.25">
      <c r="A4549" s="6" t="str">
        <f>HYPERLINK("proteomic_fractions_linear_files/Yang_linear_img/13385050.jpg", "13385050")</f>
        <v>13385050</v>
      </c>
      <c r="B4549" s="7"/>
      <c r="C4549" s="6" t="str">
        <f>HYPERLINK("http://www.ncbi.nlm.nih.gov/protein/13385050","Mrpl51")</f>
        <v>Mrpl51</v>
      </c>
      <c r="D4549" s="8"/>
      <c r="E4549" s="8">
        <v>11719</v>
      </c>
      <c r="F4549" s="8"/>
      <c r="G4549" s="15" t="s">
        <v>10</v>
      </c>
      <c r="H4549" s="15" t="s">
        <v>10</v>
      </c>
      <c r="I4549" s="15">
        <v>1.1571542083280542</v>
      </c>
      <c r="J4549" s="15">
        <v>1.1571542083280542</v>
      </c>
      <c r="K4549" s="15" t="s">
        <v>10</v>
      </c>
      <c r="L4549" s="15" t="s">
        <v>10</v>
      </c>
      <c r="M4549" s="15" t="s">
        <v>10</v>
      </c>
      <c r="N4549" s="15" t="s">
        <v>10</v>
      </c>
      <c r="O4549" s="15" t="s">
        <v>10</v>
      </c>
      <c r="P4549" s="15" t="s">
        <v>10</v>
      </c>
      <c r="Q4549" s="8"/>
      <c r="R4549" s="9" t="s">
        <v>4094</v>
      </c>
    </row>
    <row r="4550" spans="1:18" x14ac:dyDescent="0.25">
      <c r="A4550" s="6" t="str">
        <f>HYPERLINK("proteomic_fractions_linear_files/Yang_linear_img/21313040.jpg", "21313040")</f>
        <v>21313040</v>
      </c>
      <c r="B4550" s="7"/>
      <c r="C4550" s="6" t="str">
        <f>HYPERLINK("http://www.ncbi.nlm.nih.gov/protein/21313040","Mrpl53")</f>
        <v>Mrpl53</v>
      </c>
      <c r="D4550" s="8"/>
      <c r="E4550" s="8">
        <v>12606</v>
      </c>
      <c r="F4550" s="8"/>
      <c r="G4550" s="15">
        <v>1.0228510786924256</v>
      </c>
      <c r="H4550" s="15">
        <v>1.0228510786924256</v>
      </c>
      <c r="I4550" s="15">
        <v>1.068142346148973</v>
      </c>
      <c r="J4550" s="15">
        <v>1.068142346148973</v>
      </c>
      <c r="K4550" s="15">
        <v>1.068142346148973</v>
      </c>
      <c r="L4550" s="15">
        <v>1.068142346148973</v>
      </c>
      <c r="M4550" s="15" t="s">
        <v>10</v>
      </c>
      <c r="N4550" s="15" t="s">
        <v>10</v>
      </c>
      <c r="O4550" s="15" t="s">
        <v>10</v>
      </c>
      <c r="P4550" s="15" t="s">
        <v>10</v>
      </c>
      <c r="Q4550" s="8"/>
      <c r="R4550" s="9" t="s">
        <v>4095</v>
      </c>
    </row>
    <row r="4551" spans="1:18" x14ac:dyDescent="0.25">
      <c r="A4551" s="6" t="str">
        <f>HYPERLINK("proteomic_fractions_linear_files/Yang_linear_img/21313400.jpg", "21313400")</f>
        <v>21313400</v>
      </c>
      <c r="B4551" s="7"/>
      <c r="C4551" s="6" t="str">
        <f>HYPERLINK("http://www.ncbi.nlm.nih.gov/protein/21313400","Mrpl55")</f>
        <v>Mrpl55</v>
      </c>
      <c r="D4551" s="8"/>
      <c r="E4551" s="8">
        <v>11554</v>
      </c>
      <c r="F4551" s="8"/>
      <c r="G4551" s="15" t="s">
        <v>10</v>
      </c>
      <c r="H4551" s="15" t="s">
        <v>10</v>
      </c>
      <c r="I4551" s="15">
        <v>1.1571542083280542</v>
      </c>
      <c r="J4551" s="15">
        <v>1.1571542083280542</v>
      </c>
      <c r="K4551" s="15" t="s">
        <v>10</v>
      </c>
      <c r="L4551" s="15" t="s">
        <v>10</v>
      </c>
      <c r="M4551" s="15" t="s">
        <v>10</v>
      </c>
      <c r="N4551" s="15" t="s">
        <v>10</v>
      </c>
      <c r="O4551" s="15" t="s">
        <v>10</v>
      </c>
      <c r="P4551" s="15" t="s">
        <v>10</v>
      </c>
      <c r="Q4551" s="8"/>
      <c r="R4551" s="9" t="s">
        <v>4096</v>
      </c>
    </row>
    <row r="4552" spans="1:18" x14ac:dyDescent="0.25">
      <c r="A4552" s="6" t="str">
        <f>HYPERLINK("proteomic_fractions_linear_files/Yang_linear_img/29789253.jpg", "29789253")</f>
        <v>29789253</v>
      </c>
      <c r="B4552" s="7"/>
      <c r="C4552" s="6" t="str">
        <f>HYPERLINK("http://www.ncbi.nlm.nih.gov/protein/29789253","Mrpl9")</f>
        <v>Mrpl9</v>
      </c>
      <c r="D4552" s="8"/>
      <c r="E4552" s="8">
        <v>30113</v>
      </c>
      <c r="F4552" s="8"/>
      <c r="G4552" s="15">
        <v>1.1517792176825061</v>
      </c>
      <c r="H4552" s="15">
        <v>1.1517792176825061</v>
      </c>
      <c r="I4552" s="15">
        <v>0.81849402044256392</v>
      </c>
      <c r="J4552" s="15">
        <v>0.81849402044256392</v>
      </c>
      <c r="K4552" s="15" t="s">
        <v>10</v>
      </c>
      <c r="L4552" s="15" t="s">
        <v>10</v>
      </c>
      <c r="M4552" s="15" t="s">
        <v>10</v>
      </c>
      <c r="N4552" s="15" t="s">
        <v>10</v>
      </c>
      <c r="O4552" s="15" t="s">
        <v>10</v>
      </c>
      <c r="P4552" s="15" t="s">
        <v>10</v>
      </c>
      <c r="Q4552" s="8"/>
      <c r="R4552" s="9" t="s">
        <v>4097</v>
      </c>
    </row>
    <row r="4553" spans="1:18" x14ac:dyDescent="0.25">
      <c r="A4553" s="6" t="str">
        <f>HYPERLINK("proteomic_fractions_linear_files/Yang_linear_img/226246598.jpg", "226246598")</f>
        <v>226246598</v>
      </c>
      <c r="B4553" s="7"/>
      <c r="C4553" s="6" t="str">
        <f>HYPERLINK("http://www.ncbi.nlm.nih.gov/protein/226246598","Mrps10")</f>
        <v>Mrps10</v>
      </c>
      <c r="D4553" s="8"/>
      <c r="E4553" s="8">
        <v>18568</v>
      </c>
      <c r="F4553" s="8"/>
      <c r="G4553" s="15">
        <v>0.87981444845300116</v>
      </c>
      <c r="H4553" s="15">
        <v>0.87981444845300116</v>
      </c>
      <c r="I4553" s="15">
        <v>0.92473367186099831</v>
      </c>
      <c r="J4553" s="15">
        <v>0.92473367186099831</v>
      </c>
      <c r="K4553" s="15" t="s">
        <v>10</v>
      </c>
      <c r="L4553" s="15" t="s">
        <v>10</v>
      </c>
      <c r="M4553" s="15">
        <v>0.92473367186099831</v>
      </c>
      <c r="N4553" s="15">
        <v>0.92473367186099831</v>
      </c>
      <c r="O4553" s="15" t="s">
        <v>10</v>
      </c>
      <c r="P4553" s="15" t="s">
        <v>10</v>
      </c>
      <c r="Q4553" s="8"/>
      <c r="R4553" s="9" t="s">
        <v>4098</v>
      </c>
    </row>
    <row r="4554" spans="1:18" x14ac:dyDescent="0.25">
      <c r="A4554" s="6" t="str">
        <f>HYPERLINK("proteomic_fractions_linear_files/Yang_linear_img/226246600.jpg", "226246600")</f>
        <v>226246600</v>
      </c>
      <c r="B4554" s="7"/>
      <c r="C4554" s="6" t="str">
        <f>HYPERLINK("http://www.ncbi.nlm.nih.gov/protein/226246600","Mrps10")</f>
        <v>Mrps10</v>
      </c>
      <c r="D4554" s="8"/>
      <c r="E4554" s="8">
        <v>22640</v>
      </c>
      <c r="F4554" s="8"/>
      <c r="G4554" s="15">
        <v>0.72680324002639229</v>
      </c>
      <c r="H4554" s="15">
        <v>0.72680324002639229</v>
      </c>
      <c r="I4554" s="15">
        <v>0.7639104245808247</v>
      </c>
      <c r="J4554" s="15">
        <v>0.7639104245808247</v>
      </c>
      <c r="K4554" s="15" t="s">
        <v>10</v>
      </c>
      <c r="L4554" s="15" t="s">
        <v>10</v>
      </c>
      <c r="M4554" s="15">
        <v>0.7639104245808247</v>
      </c>
      <c r="N4554" s="15">
        <v>0.7639104245808247</v>
      </c>
      <c r="O4554" s="15" t="s">
        <v>10</v>
      </c>
      <c r="P4554" s="15" t="s">
        <v>10</v>
      </c>
      <c r="Q4554" s="8"/>
      <c r="R4554" s="9" t="s">
        <v>4099</v>
      </c>
    </row>
    <row r="4555" spans="1:18" x14ac:dyDescent="0.25">
      <c r="A4555" s="6" t="str">
        <f>HYPERLINK("proteomic_fractions_linear_files/Yang_linear_img/226246602.jpg", "226246602")</f>
        <v>226246602</v>
      </c>
      <c r="B4555" s="7"/>
      <c r="C4555" s="6" t="str">
        <f>HYPERLINK("http://www.ncbi.nlm.nih.gov/protein/226246602","Mrps10")</f>
        <v>Mrps10</v>
      </c>
      <c r="D4555" s="8"/>
      <c r="E4555" s="8">
        <v>22727</v>
      </c>
      <c r="F4555" s="8"/>
      <c r="G4555" s="15">
        <v>0.72680324002639229</v>
      </c>
      <c r="H4555" s="15">
        <v>0.72680324002639229</v>
      </c>
      <c r="I4555" s="15">
        <v>0.7639104245808247</v>
      </c>
      <c r="J4555" s="15">
        <v>0.7639104245808247</v>
      </c>
      <c r="K4555" s="15" t="s">
        <v>10</v>
      </c>
      <c r="L4555" s="15" t="s">
        <v>10</v>
      </c>
      <c r="M4555" s="15">
        <v>0.7639104245808247</v>
      </c>
      <c r="N4555" s="15">
        <v>0.7639104245808247</v>
      </c>
      <c r="O4555" s="15" t="s">
        <v>10</v>
      </c>
      <c r="P4555" s="15" t="s">
        <v>10</v>
      </c>
      <c r="Q4555" s="8"/>
      <c r="R4555" s="9" t="s">
        <v>4100</v>
      </c>
    </row>
    <row r="4556" spans="1:18" x14ac:dyDescent="0.25">
      <c r="A4556" s="6" t="str">
        <f>HYPERLINK("proteomic_fractions_linear_files/Yang_linear_img/170650663.jpg", "170650663")</f>
        <v>170650663</v>
      </c>
      <c r="B4556" s="7"/>
      <c r="C4556" s="6" t="str">
        <f>HYPERLINK("http://www.ncbi.nlm.nih.gov/protein/170650663","Mrps11")</f>
        <v>Mrps11</v>
      </c>
      <c r="D4556" s="8"/>
      <c r="E4556" s="8">
        <v>20120</v>
      </c>
      <c r="F4556" s="8"/>
      <c r="G4556" s="15" t="s">
        <v>10</v>
      </c>
      <c r="H4556" s="15" t="s">
        <v>10</v>
      </c>
      <c r="I4556" s="15">
        <v>0.79637208915908875</v>
      </c>
      <c r="J4556" s="15">
        <v>0.79637208915908875</v>
      </c>
      <c r="K4556" s="15" t="s">
        <v>10</v>
      </c>
      <c r="L4556" s="15" t="s">
        <v>10</v>
      </c>
      <c r="M4556" s="15">
        <v>0.83582372603035116</v>
      </c>
      <c r="N4556" s="15">
        <v>0.83582372603035116</v>
      </c>
      <c r="O4556" s="15" t="s">
        <v>10</v>
      </c>
      <c r="P4556" s="15" t="s">
        <v>10</v>
      </c>
      <c r="Q4556" s="8"/>
      <c r="R4556" s="9" t="s">
        <v>4101</v>
      </c>
    </row>
    <row r="4557" spans="1:18" x14ac:dyDescent="0.25">
      <c r="A4557" s="6" t="str">
        <f>HYPERLINK("proteomic_fractions_linear_files/Yang_linear_img/6755360.jpg", "6755360")</f>
        <v>6755360</v>
      </c>
      <c r="B4557" s="7"/>
      <c r="C4557" s="6" t="str">
        <f>HYPERLINK("http://www.ncbi.nlm.nih.gov/protein/6755360","Mrps12")</f>
        <v>Mrps12</v>
      </c>
      <c r="D4557" s="8"/>
      <c r="E4557" s="8">
        <v>12338</v>
      </c>
      <c r="F4557" s="8"/>
      <c r="G4557" s="15" t="s">
        <v>10</v>
      </c>
      <c r="H4557" s="15" t="s">
        <v>10</v>
      </c>
      <c r="I4557" s="15">
        <v>1.2663615244845239</v>
      </c>
      <c r="J4557" s="15">
        <v>1.2663615244845239</v>
      </c>
      <c r="K4557" s="15" t="s">
        <v>10</v>
      </c>
      <c r="L4557" s="15" t="s">
        <v>10</v>
      </c>
      <c r="M4557" s="15" t="s">
        <v>10</v>
      </c>
      <c r="N4557" s="15" t="s">
        <v>10</v>
      </c>
      <c r="O4557" s="15" t="s">
        <v>10</v>
      </c>
      <c r="P4557" s="15" t="s">
        <v>10</v>
      </c>
      <c r="Q4557" s="8"/>
      <c r="R4557" s="9" t="s">
        <v>4102</v>
      </c>
    </row>
    <row r="4558" spans="1:18" x14ac:dyDescent="0.25">
      <c r="A4558" s="6" t="str">
        <f>HYPERLINK("proteomic_fractions_linear_files/Yang_linear_img/13384894.jpg", "13384894")</f>
        <v>13384894</v>
      </c>
      <c r="B4558" s="7"/>
      <c r="C4558" s="6" t="str">
        <f>HYPERLINK("http://www.ncbi.nlm.nih.gov/protein/13384894","Mrps14")</f>
        <v>Mrps14</v>
      </c>
      <c r="D4558" s="8"/>
      <c r="E4558" s="8">
        <v>14789</v>
      </c>
      <c r="F4558" s="8"/>
      <c r="G4558" s="15" t="s">
        <v>10</v>
      </c>
      <c r="H4558" s="15" t="s">
        <v>10</v>
      </c>
      <c r="I4558" s="15">
        <v>0.92572336666244337</v>
      </c>
      <c r="J4558" s="15">
        <v>0.92572336666244337</v>
      </c>
      <c r="K4558" s="15" t="s">
        <v>10</v>
      </c>
      <c r="L4558" s="15" t="s">
        <v>10</v>
      </c>
      <c r="M4558" s="15">
        <v>0.96783158145802317</v>
      </c>
      <c r="N4558" s="15">
        <v>0.96783158145802317</v>
      </c>
      <c r="O4558" s="15" t="s">
        <v>10</v>
      </c>
      <c r="P4558" s="15" t="s">
        <v>10</v>
      </c>
      <c r="Q4558" s="8"/>
      <c r="R4558" s="9" t="s">
        <v>4103</v>
      </c>
    </row>
    <row r="4559" spans="1:18" x14ac:dyDescent="0.25">
      <c r="A4559" s="6" t="str">
        <f>HYPERLINK("proteomic_fractions_linear_files/Yang_linear_img/48526512.jpg", "48526512")</f>
        <v>48526512</v>
      </c>
      <c r="B4559" s="7"/>
      <c r="C4559" s="6" t="str">
        <f>HYPERLINK("http://www.ncbi.nlm.nih.gov/protein/48526512","Mrps15")</f>
        <v>Mrps15</v>
      </c>
      <c r="D4559" s="8"/>
      <c r="E4559" s="8">
        <v>23551</v>
      </c>
      <c r="F4559" s="8"/>
      <c r="G4559" s="15">
        <v>0.96289889061322687</v>
      </c>
      <c r="H4559" s="15">
        <v>0.96289889061322687</v>
      </c>
      <c r="I4559" s="15">
        <v>1.0231175255532048</v>
      </c>
      <c r="J4559" s="15">
        <v>1.0231175255532048</v>
      </c>
      <c r="K4559" s="15" t="s">
        <v>10</v>
      </c>
      <c r="L4559" s="15" t="s">
        <v>10</v>
      </c>
      <c r="M4559" s="15" t="s">
        <v>10</v>
      </c>
      <c r="N4559" s="15" t="s">
        <v>10</v>
      </c>
      <c r="O4559" s="15" t="s">
        <v>10</v>
      </c>
      <c r="P4559" s="15" t="s">
        <v>10</v>
      </c>
      <c r="Q4559" s="8"/>
      <c r="R4559" s="9" t="s">
        <v>4104</v>
      </c>
    </row>
    <row r="4560" spans="1:18" x14ac:dyDescent="0.25">
      <c r="A4560" s="6" t="str">
        <f>HYPERLINK("proteomic_fractions_linear_files/Yang_linear_img/13384844.jpg", "13384844")</f>
        <v>13384844</v>
      </c>
      <c r="B4560" s="7"/>
      <c r="C4560" s="6" t="str">
        <f>HYPERLINK("http://www.ncbi.nlm.nih.gov/protein/13384844","Mrps16")</f>
        <v>Mrps16</v>
      </c>
      <c r="D4560" s="8"/>
      <c r="E4560" s="8">
        <v>11357</v>
      </c>
      <c r="F4560" s="8"/>
      <c r="G4560" s="15" t="s">
        <v>10</v>
      </c>
      <c r="H4560" s="15" t="s">
        <v>10</v>
      </c>
      <c r="I4560" s="15">
        <v>1.3814852994376623</v>
      </c>
      <c r="J4560" s="15">
        <v>1.3814852994376623</v>
      </c>
      <c r="K4560" s="15" t="s">
        <v>10</v>
      </c>
      <c r="L4560" s="15" t="s">
        <v>10</v>
      </c>
      <c r="M4560" s="15" t="s">
        <v>10</v>
      </c>
      <c r="N4560" s="15" t="s">
        <v>10</v>
      </c>
      <c r="O4560" s="15" t="s">
        <v>10</v>
      </c>
      <c r="P4560" s="15" t="s">
        <v>10</v>
      </c>
      <c r="Q4560" s="8"/>
      <c r="R4560" s="9" t="s">
        <v>4105</v>
      </c>
    </row>
    <row r="4561" spans="1:18" x14ac:dyDescent="0.25">
      <c r="A4561" s="6" t="str">
        <f>HYPERLINK("proteomic_fractions_linear_files/Yang_linear_img/13384854.jpg", "13384854")</f>
        <v>13384854</v>
      </c>
      <c r="B4561" s="7"/>
      <c r="C4561" s="6" t="str">
        <f>HYPERLINK("http://www.ncbi.nlm.nih.gov/protein/13384854","Mrps17")</f>
        <v>Mrps17</v>
      </c>
      <c r="D4561" s="8"/>
      <c r="E4561" s="8">
        <v>11245</v>
      </c>
      <c r="F4561" s="8"/>
      <c r="G4561" s="15">
        <v>1.9814311155162501</v>
      </c>
      <c r="H4561" s="15">
        <v>2.100870306792495</v>
      </c>
      <c r="I4561" s="15">
        <v>1.3814852994376623</v>
      </c>
      <c r="J4561" s="15">
        <v>1.3814852994376623</v>
      </c>
      <c r="K4561" s="15" t="s">
        <v>10</v>
      </c>
      <c r="L4561" s="15" t="s">
        <v>10</v>
      </c>
      <c r="M4561" s="15">
        <v>1.447949253016525</v>
      </c>
      <c r="N4561" s="15">
        <v>1.447949253016525</v>
      </c>
      <c r="O4561" s="15" t="s">
        <v>10</v>
      </c>
      <c r="P4561" s="15" t="s">
        <v>10</v>
      </c>
      <c r="Q4561" s="8"/>
      <c r="R4561" s="9" t="s">
        <v>4106</v>
      </c>
    </row>
    <row r="4562" spans="1:18" x14ac:dyDescent="0.25">
      <c r="A4562" s="6" t="str">
        <f>HYPERLINK("proteomic_fractions_linear_files/Yang_linear_img/17505206.jpg", "17505206")</f>
        <v>17505206</v>
      </c>
      <c r="B4562" s="7"/>
      <c r="C4562" s="6" t="str">
        <f>HYPERLINK("http://www.ncbi.nlm.nih.gov/protein/17505206","Mrps18a")</f>
        <v>Mrps18a</v>
      </c>
      <c r="D4562" s="8"/>
      <c r="E4562" s="8">
        <v>18743</v>
      </c>
      <c r="F4562" s="8"/>
      <c r="G4562" s="15">
        <v>0.97343679813495176</v>
      </c>
      <c r="H4562" s="15">
        <v>0.97343679813495176</v>
      </c>
      <c r="I4562" s="15">
        <v>1.0263763067386986</v>
      </c>
      <c r="J4562" s="15">
        <v>1.0263763067386986</v>
      </c>
      <c r="K4562" s="15" t="s">
        <v>10</v>
      </c>
      <c r="L4562" s="15" t="s">
        <v>10</v>
      </c>
      <c r="M4562" s="15">
        <v>1.0263763067386986</v>
      </c>
      <c r="N4562" s="15">
        <v>1.0263763067386986</v>
      </c>
      <c r="O4562" s="15" t="s">
        <v>10</v>
      </c>
      <c r="P4562" s="15" t="s">
        <v>10</v>
      </c>
      <c r="Q4562" s="8"/>
      <c r="R4562" s="9" t="s">
        <v>4107</v>
      </c>
    </row>
    <row r="4563" spans="1:18" x14ac:dyDescent="0.25">
      <c r="A4563" s="6" t="str">
        <f>HYPERLINK("proteomic_fractions_linear_files/Yang_linear_img/23956152.jpg", "23956152")</f>
        <v>23956152</v>
      </c>
      <c r="B4563" s="7"/>
      <c r="C4563" s="6" t="str">
        <f>HYPERLINK("http://www.ncbi.nlm.nih.gov/protein/23956152","Mrps18b")</f>
        <v>Mrps18b</v>
      </c>
      <c r="D4563" s="8"/>
      <c r="E4563" s="8">
        <v>28572</v>
      </c>
      <c r="F4563" s="8"/>
      <c r="G4563" s="15" t="s">
        <v>10</v>
      </c>
      <c r="H4563" s="15" t="s">
        <v>10</v>
      </c>
      <c r="I4563" s="15">
        <v>0.96269694129938133</v>
      </c>
      <c r="J4563" s="15">
        <v>0.96269694129938133</v>
      </c>
      <c r="K4563" s="15" t="s">
        <v>10</v>
      </c>
      <c r="L4563" s="15" t="s">
        <v>10</v>
      </c>
      <c r="M4563" s="15" t="s">
        <v>10</v>
      </c>
      <c r="N4563" s="15" t="s">
        <v>10</v>
      </c>
      <c r="O4563" s="15" t="s">
        <v>10</v>
      </c>
      <c r="P4563" s="15" t="s">
        <v>10</v>
      </c>
      <c r="Q4563" s="8"/>
      <c r="R4563" s="9" t="s">
        <v>4108</v>
      </c>
    </row>
    <row r="4564" spans="1:18" x14ac:dyDescent="0.25">
      <c r="A4564" s="6" t="str">
        <f>HYPERLINK("proteomic_fractions_linear_files/Yang_linear_img/260593696.jpg", "260593696")</f>
        <v>260593696</v>
      </c>
      <c r="B4564" s="7"/>
      <c r="C4564" s="6" t="str">
        <f>HYPERLINK("http://www.ncbi.nlm.nih.gov/protein/260593696","Mrps2")</f>
        <v>Mrps2</v>
      </c>
      <c r="D4564" s="8"/>
      <c r="E4564" s="8">
        <v>32182</v>
      </c>
      <c r="F4564" s="8"/>
      <c r="G4564" s="15">
        <v>0.81719556610703126</v>
      </c>
      <c r="H4564" s="15">
        <v>0.81719556610703126</v>
      </c>
      <c r="I4564" s="15">
        <v>0.87244410305256437</v>
      </c>
      <c r="J4564" s="15">
        <v>0.87244410305256437</v>
      </c>
      <c r="K4564" s="15" t="s">
        <v>10</v>
      </c>
      <c r="L4564" s="15" t="s">
        <v>10</v>
      </c>
      <c r="M4564" s="15">
        <v>0.87244410305256437</v>
      </c>
      <c r="N4564" s="15">
        <v>0.87244410305256437</v>
      </c>
      <c r="O4564" s="15" t="s">
        <v>10</v>
      </c>
      <c r="P4564" s="15" t="s">
        <v>10</v>
      </c>
      <c r="Q4564" s="8"/>
      <c r="R4564" s="9" t="s">
        <v>4109</v>
      </c>
    </row>
    <row r="4565" spans="1:18" x14ac:dyDescent="0.25">
      <c r="A4565" s="6" t="str">
        <f>HYPERLINK("proteomic_fractions_linear_files/Yang_linear_img/260593698.jpg", "260593698")</f>
        <v>260593698</v>
      </c>
      <c r="B4565" s="7"/>
      <c r="C4565" s="6" t="str">
        <f>HYPERLINK("http://www.ncbi.nlm.nih.gov/protein/260593698","Mrps2")</f>
        <v>Mrps2</v>
      </c>
      <c r="D4565" s="8"/>
      <c r="E4565" s="8">
        <v>30320</v>
      </c>
      <c r="F4565" s="8"/>
      <c r="G4565" s="15">
        <v>0.87167527051416671</v>
      </c>
      <c r="H4565" s="15">
        <v>0.87167527051416671</v>
      </c>
      <c r="I4565" s="15">
        <v>0.93060704325606869</v>
      </c>
      <c r="J4565" s="15">
        <v>0.93060704325606869</v>
      </c>
      <c r="K4565" s="15" t="s">
        <v>10</v>
      </c>
      <c r="L4565" s="15" t="s">
        <v>10</v>
      </c>
      <c r="M4565" s="15">
        <v>0.93060704325606869</v>
      </c>
      <c r="N4565" s="15">
        <v>0.93060704325606869</v>
      </c>
      <c r="O4565" s="15" t="s">
        <v>10</v>
      </c>
      <c r="P4565" s="15" t="s">
        <v>10</v>
      </c>
      <c r="Q4565" s="8"/>
      <c r="R4565" s="9" t="s">
        <v>4110</v>
      </c>
    </row>
    <row r="4566" spans="1:18" x14ac:dyDescent="0.25">
      <c r="A4566" s="6" t="str">
        <f>HYPERLINK("proteomic_fractions_linear_files/Yang_linear_img/17505220.jpg", "17505220")</f>
        <v>17505220</v>
      </c>
      <c r="B4566" s="7"/>
      <c r="C4566" s="6" t="str">
        <f>HYPERLINK("http://www.ncbi.nlm.nih.gov/protein/17505220","Mrps21")</f>
        <v>Mrps21</v>
      </c>
      <c r="D4566" s="8"/>
      <c r="E4566" s="8">
        <v>10430</v>
      </c>
      <c r="F4566" s="8"/>
      <c r="G4566" s="15">
        <v>1.3297064023001535</v>
      </c>
      <c r="H4566" s="15">
        <v>1.3297064023001535</v>
      </c>
      <c r="I4566" s="15">
        <v>1.3885850499936649</v>
      </c>
      <c r="J4566" s="15">
        <v>1.3885850499936649</v>
      </c>
      <c r="K4566" s="15" t="s">
        <v>10</v>
      </c>
      <c r="L4566" s="15" t="s">
        <v>10</v>
      </c>
      <c r="M4566" s="15">
        <v>1.3885850499936649</v>
      </c>
      <c r="N4566" s="15">
        <v>1.3885850499936649</v>
      </c>
      <c r="O4566" s="15" t="s">
        <v>10</v>
      </c>
      <c r="P4566" s="15" t="s">
        <v>10</v>
      </c>
      <c r="Q4566" s="8"/>
      <c r="R4566" s="9" t="s">
        <v>4111</v>
      </c>
    </row>
    <row r="4567" spans="1:18" x14ac:dyDescent="0.25">
      <c r="A4567" s="6" t="str">
        <f>HYPERLINK("proteomic_fractions_linear_files/Yang_linear_img/13384904.jpg", "13384904")</f>
        <v>13384904</v>
      </c>
      <c r="B4567" s="7"/>
      <c r="C4567" s="6" t="str">
        <f>HYPERLINK("http://www.ncbi.nlm.nih.gov/protein/13384904","Mrps22")</f>
        <v>Mrps22</v>
      </c>
      <c r="D4567" s="8"/>
      <c r="E4567" s="8">
        <v>41061</v>
      </c>
      <c r="F4567" s="8"/>
      <c r="G4567" s="15">
        <v>1.1778042825467134</v>
      </c>
      <c r="H4567" s="15">
        <v>1.1778042825467134</v>
      </c>
      <c r="I4567" s="15">
        <v>0.91076405910059977</v>
      </c>
      <c r="J4567" s="15">
        <v>0.91076405910059977</v>
      </c>
      <c r="K4567" s="15" t="s">
        <v>10</v>
      </c>
      <c r="L4567" s="15" t="s">
        <v>10</v>
      </c>
      <c r="M4567" s="15">
        <v>0.91076405910059977</v>
      </c>
      <c r="N4567" s="15">
        <v>0.91076405910059977</v>
      </c>
      <c r="O4567" s="15" t="s">
        <v>10</v>
      </c>
      <c r="P4567" s="15" t="s">
        <v>10</v>
      </c>
      <c r="Q4567" s="8"/>
      <c r="R4567" s="9" t="s">
        <v>4112</v>
      </c>
    </row>
    <row r="4568" spans="1:18" x14ac:dyDescent="0.25">
      <c r="A4568" s="6" t="str">
        <f>HYPERLINK("proteomic_fractions_linear_files/Yang_linear_img/27228982.jpg", "27228982")</f>
        <v>27228982</v>
      </c>
      <c r="B4568" s="7"/>
      <c r="C4568" s="6" t="str">
        <f>HYPERLINK("http://www.ncbi.nlm.nih.gov/protein/27228982","Mrps23")</f>
        <v>Mrps23</v>
      </c>
      <c r="D4568" s="8"/>
      <c r="E4568" s="8">
        <v>20217</v>
      </c>
      <c r="F4568" s="8"/>
      <c r="G4568" s="15">
        <v>1.395910564884103</v>
      </c>
      <c r="H4568" s="15">
        <v>1.395910564884103</v>
      </c>
      <c r="I4568" s="15">
        <v>0.97505749140176368</v>
      </c>
      <c r="J4568" s="15">
        <v>0.97505749140176368</v>
      </c>
      <c r="K4568" s="15" t="s">
        <v>10</v>
      </c>
      <c r="L4568" s="15" t="s">
        <v>10</v>
      </c>
      <c r="M4568" s="15">
        <v>1.0298720593328137</v>
      </c>
      <c r="N4568" s="15">
        <v>1.0298720593328137</v>
      </c>
      <c r="O4568" s="15" t="s">
        <v>10</v>
      </c>
      <c r="P4568" s="15" t="s">
        <v>10</v>
      </c>
      <c r="Q4568" s="8"/>
      <c r="R4568" s="9" t="s">
        <v>4113</v>
      </c>
    </row>
    <row r="4569" spans="1:18" x14ac:dyDescent="0.25">
      <c r="A4569" s="6" t="str">
        <f>HYPERLINK("proteomic_fractions_linear_files/Yang_linear_img/13385578.jpg", "13385578")</f>
        <v>13385578</v>
      </c>
      <c r="B4569" s="7"/>
      <c r="C4569" s="6" t="str">
        <f>HYPERLINK("http://www.ncbi.nlm.nih.gov/protein/13385578","Mrps24")</f>
        <v>Mrps24</v>
      </c>
      <c r="D4569" s="8"/>
      <c r="E4569" s="8">
        <v>15177</v>
      </c>
      <c r="F4569" s="8"/>
      <c r="G4569" s="15">
        <v>1.4530494847119166</v>
      </c>
      <c r="H4569" s="15">
        <v>1.4530494847119166</v>
      </c>
      <c r="I4569" s="15">
        <v>1.0130892195876191</v>
      </c>
      <c r="J4569" s="15">
        <v>1.0130892195876191</v>
      </c>
      <c r="K4569" s="15" t="s">
        <v>10</v>
      </c>
      <c r="L4569" s="15" t="s">
        <v>10</v>
      </c>
      <c r="M4569" s="15">
        <v>1.0130892195876191</v>
      </c>
      <c r="N4569" s="15">
        <v>1.0130892195876191</v>
      </c>
      <c r="O4569" s="15" t="s">
        <v>10</v>
      </c>
      <c r="P4569" s="15" t="s">
        <v>10</v>
      </c>
      <c r="Q4569" s="8"/>
      <c r="R4569" s="9" t="s">
        <v>4114</v>
      </c>
    </row>
    <row r="4570" spans="1:18" x14ac:dyDescent="0.25">
      <c r="A4570" s="6" t="str">
        <f>HYPERLINK("proteomic_fractions_linear_files/Yang_linear_img/31981257.jpg", "31981257")</f>
        <v>31981257</v>
      </c>
      <c r="B4570" s="7"/>
      <c r="C4570" s="6" t="str">
        <f>HYPERLINK("http://www.ncbi.nlm.nih.gov/protein/31981257","Mrps25")</f>
        <v>Mrps25</v>
      </c>
      <c r="D4570" s="8"/>
      <c r="E4570" s="8">
        <v>19789</v>
      </c>
      <c r="F4570" s="8"/>
      <c r="G4570" s="15">
        <v>1.395910564884103</v>
      </c>
      <c r="H4570" s="15">
        <v>1.395910564884103</v>
      </c>
      <c r="I4570" s="15">
        <v>0.97505749140176368</v>
      </c>
      <c r="J4570" s="15">
        <v>0.97505749140176368</v>
      </c>
      <c r="K4570" s="15" t="s">
        <v>10</v>
      </c>
      <c r="L4570" s="15" t="s">
        <v>10</v>
      </c>
      <c r="M4570" s="15" t="s">
        <v>10</v>
      </c>
      <c r="N4570" s="15" t="s">
        <v>10</v>
      </c>
      <c r="O4570" s="15" t="s">
        <v>10</v>
      </c>
      <c r="P4570" s="15" t="s">
        <v>10</v>
      </c>
      <c r="Q4570" s="8"/>
      <c r="R4570" s="9" t="s">
        <v>4115</v>
      </c>
    </row>
    <row r="4571" spans="1:18" x14ac:dyDescent="0.25">
      <c r="A4571" s="6" t="str">
        <f>HYPERLINK("proteomic_fractions_linear_files/Yang_linear_img/46402169.jpg", "46402169")</f>
        <v>46402169</v>
      </c>
      <c r="B4571" s="7"/>
      <c r="C4571" s="6" t="str">
        <f>HYPERLINK("http://www.ncbi.nlm.nih.gov/protein/46402169","Mrps26")</f>
        <v>Mrps26</v>
      </c>
      <c r="D4571" s="8"/>
      <c r="E4571" s="8">
        <v>20396</v>
      </c>
      <c r="F4571" s="8"/>
      <c r="G4571" s="15">
        <v>1.6042036427866795</v>
      </c>
      <c r="H4571" s="15">
        <v>1.6042036427866795</v>
      </c>
      <c r="I4571" s="15">
        <v>1.1554786687358722</v>
      </c>
      <c r="J4571" s="15">
        <v>1.1554786687358722</v>
      </c>
      <c r="K4571" s="15" t="s">
        <v>10</v>
      </c>
      <c r="L4571" s="15" t="s">
        <v>10</v>
      </c>
      <c r="M4571" s="15" t="s">
        <v>10</v>
      </c>
      <c r="N4571" s="15" t="s">
        <v>10</v>
      </c>
      <c r="O4571" s="15" t="s">
        <v>10</v>
      </c>
      <c r="P4571" s="15" t="s">
        <v>10</v>
      </c>
      <c r="Q4571" s="8"/>
      <c r="R4571" s="9" t="s">
        <v>4116</v>
      </c>
    </row>
    <row r="4572" spans="1:18" x14ac:dyDescent="0.25">
      <c r="A4572" s="6" t="str">
        <f>HYPERLINK("proteomic_fractions_linear_files/Yang_linear_img/50980303.jpg", "50980303")</f>
        <v>50980303</v>
      </c>
      <c r="B4572" s="7"/>
      <c r="C4572" s="6" t="str">
        <f>HYPERLINK("http://www.ncbi.nlm.nih.gov/protein/50980303","Mrps27")</f>
        <v>Mrps27</v>
      </c>
      <c r="D4572" s="8"/>
      <c r="E4572" s="8">
        <v>47648</v>
      </c>
      <c r="F4572" s="8"/>
      <c r="G4572" s="15">
        <v>1.1066785339583558</v>
      </c>
      <c r="H4572" s="15">
        <v>1.1066785339583558</v>
      </c>
      <c r="I4572" s="15">
        <v>0.84390246256714052</v>
      </c>
      <c r="J4572" s="15">
        <v>0.84390246256714052</v>
      </c>
      <c r="K4572" s="15" t="s">
        <v>10</v>
      </c>
      <c r="L4572" s="15" t="s">
        <v>10</v>
      </c>
      <c r="M4572" s="15" t="s">
        <v>10</v>
      </c>
      <c r="N4572" s="15" t="s">
        <v>10</v>
      </c>
      <c r="O4572" s="15" t="s">
        <v>10</v>
      </c>
      <c r="P4572" s="15" t="s">
        <v>10</v>
      </c>
      <c r="Q4572" s="8"/>
      <c r="R4572" s="9" t="s">
        <v>4117</v>
      </c>
    </row>
    <row r="4573" spans="1:18" x14ac:dyDescent="0.25">
      <c r="A4573" s="6" t="str">
        <f>HYPERLINK("proteomic_fractions_linear_files/Yang_linear_img/254587936.jpg", "254587936")</f>
        <v>254587936</v>
      </c>
      <c r="B4573" s="7"/>
      <c r="C4573" s="6" t="str">
        <f>HYPERLINK("http://www.ncbi.nlm.nih.gov/protein/254587936","Mrps28")</f>
        <v>Mrps28</v>
      </c>
      <c r="D4573" s="8"/>
      <c r="E4573" s="8">
        <v>13097</v>
      </c>
      <c r="F4573" s="8"/>
      <c r="G4573" s="15">
        <v>1.2858826554313094</v>
      </c>
      <c r="H4573" s="15">
        <v>1.2858826554313094</v>
      </c>
      <c r="I4573" s="15">
        <v>1.3515338281045359</v>
      </c>
      <c r="J4573" s="15">
        <v>1.3515338281045359</v>
      </c>
      <c r="K4573" s="15" t="s">
        <v>10</v>
      </c>
      <c r="L4573" s="15" t="s">
        <v>10</v>
      </c>
      <c r="M4573" s="15">
        <v>1.3515338281045359</v>
      </c>
      <c r="N4573" s="15">
        <v>1.3515338281045359</v>
      </c>
      <c r="O4573" s="15" t="s">
        <v>10</v>
      </c>
      <c r="P4573" s="15" t="s">
        <v>10</v>
      </c>
      <c r="Q4573" s="8"/>
      <c r="R4573" s="9" t="s">
        <v>4118</v>
      </c>
    </row>
    <row r="4574" spans="1:18" x14ac:dyDescent="0.25">
      <c r="A4574" s="6" t="str">
        <f>HYPERLINK("proteomic_fractions_linear_files/Yang_linear_img/29789128.jpg", "29789128")</f>
        <v>29789128</v>
      </c>
      <c r="B4574" s="7"/>
      <c r="C4574" s="6" t="str">
        <f>HYPERLINK("http://www.ncbi.nlm.nih.gov/protein/29789128","Mrps30")</f>
        <v>Mrps30</v>
      </c>
      <c r="D4574" s="8"/>
      <c r="E4574" s="8">
        <v>49808</v>
      </c>
      <c r="F4574" s="8"/>
      <c r="G4574" s="15">
        <v>1.1754641517118771</v>
      </c>
      <c r="H4574" s="15">
        <v>1.1754641517118771</v>
      </c>
      <c r="I4574" s="15">
        <v>0.88251178493930937</v>
      </c>
      <c r="J4574" s="15">
        <v>0.88251178493930937</v>
      </c>
      <c r="K4574" s="15" t="s">
        <v>10</v>
      </c>
      <c r="L4574" s="15" t="s">
        <v>10</v>
      </c>
      <c r="M4574" s="15" t="s">
        <v>10</v>
      </c>
      <c r="N4574" s="15" t="s">
        <v>10</v>
      </c>
      <c r="O4574" s="15" t="s">
        <v>10</v>
      </c>
      <c r="P4574" s="15" t="s">
        <v>10</v>
      </c>
      <c r="Q4574" s="8"/>
      <c r="R4574" s="9" t="s">
        <v>4119</v>
      </c>
    </row>
    <row r="4575" spans="1:18" x14ac:dyDescent="0.25">
      <c r="A4575" s="6" t="str">
        <f>HYPERLINK("proteomic_fractions_linear_files/Yang_linear_img/10181116.jpg", "10181116")</f>
        <v>10181116</v>
      </c>
      <c r="B4575" s="7"/>
      <c r="C4575" s="6" t="str">
        <f>HYPERLINK("http://www.ncbi.nlm.nih.gov/protein/10181116","Mrps31")</f>
        <v>Mrps31</v>
      </c>
      <c r="D4575" s="8"/>
      <c r="E4575" s="8">
        <v>37966</v>
      </c>
      <c r="F4575" s="8"/>
      <c r="G4575" s="15">
        <v>6.1410749375749756</v>
      </c>
      <c r="H4575" s="15">
        <v>6.1410749375749756</v>
      </c>
      <c r="I4575" s="15" t="s">
        <v>10</v>
      </c>
      <c r="J4575" s="15" t="s">
        <v>10</v>
      </c>
      <c r="K4575" s="15" t="s">
        <v>10</v>
      </c>
      <c r="L4575" s="15" t="s">
        <v>10</v>
      </c>
      <c r="M4575" s="15" t="s">
        <v>10</v>
      </c>
      <c r="N4575" s="15" t="s">
        <v>10</v>
      </c>
      <c r="O4575" s="15" t="s">
        <v>10</v>
      </c>
      <c r="P4575" s="15" t="s">
        <v>10</v>
      </c>
      <c r="Q4575" s="8"/>
      <c r="R4575" s="9" t="s">
        <v>4120</v>
      </c>
    </row>
    <row r="4576" spans="1:18" x14ac:dyDescent="0.25">
      <c r="A4576" s="6" t="str">
        <f>HYPERLINK("proteomic_fractions_linear_files/Yang_linear_img/33859564.jpg", "33859564")</f>
        <v>33859564</v>
      </c>
      <c r="B4576" s="7"/>
      <c r="C4576" s="6" t="str">
        <f>HYPERLINK("http://www.ncbi.nlm.nih.gov/protein/33859564","Mrps33")</f>
        <v>Mrps33</v>
      </c>
      <c r="D4576" s="8"/>
      <c r="E4576" s="8">
        <v>12328</v>
      </c>
      <c r="F4576" s="8"/>
      <c r="G4576" s="15">
        <v>1.1571542083280542</v>
      </c>
      <c r="H4576" s="15">
        <v>1.1571542083280542</v>
      </c>
      <c r="I4576" s="15" t="s">
        <v>10</v>
      </c>
      <c r="J4576" s="15" t="s">
        <v>10</v>
      </c>
      <c r="K4576" s="15" t="s">
        <v>10</v>
      </c>
      <c r="L4576" s="15" t="s">
        <v>10</v>
      </c>
      <c r="M4576" s="15">
        <v>1.2663615244845239</v>
      </c>
      <c r="N4576" s="15">
        <v>1.2663615244845239</v>
      </c>
      <c r="O4576" s="15" t="s">
        <v>10</v>
      </c>
      <c r="P4576" s="15" t="s">
        <v>10</v>
      </c>
      <c r="Q4576" s="8"/>
      <c r="R4576" s="9" t="s">
        <v>4121</v>
      </c>
    </row>
    <row r="4577" spans="1:18" x14ac:dyDescent="0.25">
      <c r="A4577" s="6" t="str">
        <f>HYPERLINK("proteomic_fractions_linear_files/Yang_linear_img/13385670.jpg", "13385670")</f>
        <v>13385670</v>
      </c>
      <c r="B4577" s="7"/>
      <c r="C4577" s="6" t="str">
        <f>HYPERLINK("http://www.ncbi.nlm.nih.gov/protein/13385670","Mrps34")</f>
        <v>Mrps34</v>
      </c>
      <c r="D4577" s="8"/>
      <c r="E4577" s="8">
        <v>25696</v>
      </c>
      <c r="F4577" s="8"/>
      <c r="G4577" s="15">
        <v>1.3289760204028918</v>
      </c>
      <c r="H4577" s="15">
        <v>1.3289760204028918</v>
      </c>
      <c r="I4577" s="15">
        <v>0.8888297451814402</v>
      </c>
      <c r="J4577" s="15">
        <v>0.8888297451814402</v>
      </c>
      <c r="K4577" s="15" t="s">
        <v>10</v>
      </c>
      <c r="L4577" s="15" t="s">
        <v>10</v>
      </c>
      <c r="M4577" s="15">
        <v>0.8888297451814402</v>
      </c>
      <c r="N4577" s="15">
        <v>0.8888297451814402</v>
      </c>
      <c r="O4577" s="15" t="s">
        <v>10</v>
      </c>
      <c r="P4577" s="15" t="s">
        <v>10</v>
      </c>
      <c r="Q4577" s="8"/>
      <c r="R4577" s="9" t="s">
        <v>4122</v>
      </c>
    </row>
    <row r="4578" spans="1:18" x14ac:dyDescent="0.25">
      <c r="A4578" s="6" t="str">
        <f>HYPERLINK("proteomic_fractions_linear_files/Yang_linear_img/148235701.jpg", "148235701")</f>
        <v>148235701</v>
      </c>
      <c r="B4578" s="7"/>
      <c r="C4578" s="6" t="str">
        <f>HYPERLINK("http://www.ncbi.nlm.nih.gov/protein/148235701","Mrps35")</f>
        <v>Mrps35</v>
      </c>
      <c r="D4578" s="8"/>
      <c r="E4578" s="8">
        <v>35786</v>
      </c>
      <c r="F4578" s="8"/>
      <c r="G4578" s="15">
        <v>1.3413882106782014</v>
      </c>
      <c r="H4578" s="15">
        <v>1.3413882106782014</v>
      </c>
      <c r="I4578" s="15">
        <v>0.95981601473542177</v>
      </c>
      <c r="J4578" s="15">
        <v>0.95981601473542177</v>
      </c>
      <c r="K4578" s="15" t="s">
        <v>10</v>
      </c>
      <c r="L4578" s="15" t="s">
        <v>10</v>
      </c>
      <c r="M4578" s="15">
        <v>1.0372590673090165</v>
      </c>
      <c r="N4578" s="15">
        <v>1.0372590673090165</v>
      </c>
      <c r="O4578" s="15" t="s">
        <v>10</v>
      </c>
      <c r="P4578" s="15" t="s">
        <v>10</v>
      </c>
      <c r="Q4578" s="8"/>
      <c r="R4578" s="9" t="s">
        <v>4123</v>
      </c>
    </row>
    <row r="4579" spans="1:18" x14ac:dyDescent="0.25">
      <c r="A4579" s="6" t="str">
        <f>HYPERLINK("proteomic_fractions_linear_files/Yang_linear_img/13384742.jpg", "13384742")</f>
        <v>13384742</v>
      </c>
      <c r="B4579" s="7"/>
      <c r="C4579" s="6" t="str">
        <f>HYPERLINK("http://www.ncbi.nlm.nih.gov/protein/13384742","Mrps36")</f>
        <v>Mrps36</v>
      </c>
      <c r="D4579" s="8"/>
      <c r="E4579" s="8">
        <v>10970</v>
      </c>
      <c r="F4579" s="8"/>
      <c r="G4579" s="15" t="s">
        <v>10</v>
      </c>
      <c r="H4579" s="15" t="s">
        <v>10</v>
      </c>
      <c r="I4579" s="15">
        <v>1.2623500454487864</v>
      </c>
      <c r="J4579" s="15">
        <v>1.2623500454487864</v>
      </c>
      <c r="K4579" s="15" t="s">
        <v>10</v>
      </c>
      <c r="L4579" s="15" t="s">
        <v>10</v>
      </c>
      <c r="M4579" s="15" t="s">
        <v>10</v>
      </c>
      <c r="N4579" s="15" t="s">
        <v>10</v>
      </c>
      <c r="O4579" s="15" t="s">
        <v>10</v>
      </c>
      <c r="P4579" s="15" t="s">
        <v>10</v>
      </c>
      <c r="Q4579" s="8"/>
      <c r="R4579" s="9" t="s">
        <v>4124</v>
      </c>
    </row>
    <row r="4580" spans="1:18" x14ac:dyDescent="0.25">
      <c r="A4580" s="6" t="str">
        <f>HYPERLINK("proteomic_fractions_linear_files/Yang_linear_img/298286543.jpg", "298286543")</f>
        <v>298286543</v>
      </c>
      <c r="B4580" s="7"/>
      <c r="C4580" s="6" t="str">
        <f>HYPERLINK("http://www.ncbi.nlm.nih.gov/protein/298286543","Mrps36")</f>
        <v>Mrps36</v>
      </c>
      <c r="D4580" s="8"/>
      <c r="E4580" s="8">
        <v>10811</v>
      </c>
      <c r="F4580" s="8"/>
      <c r="G4580" s="15" t="s">
        <v>10</v>
      </c>
      <c r="H4580" s="15" t="s">
        <v>10</v>
      </c>
      <c r="I4580" s="15">
        <v>1.2088240020910486</v>
      </c>
      <c r="J4580" s="15">
        <v>1.2088240020910486</v>
      </c>
      <c r="K4580" s="15" t="s">
        <v>10</v>
      </c>
      <c r="L4580" s="15" t="s">
        <v>10</v>
      </c>
      <c r="M4580" s="15" t="s">
        <v>10</v>
      </c>
      <c r="N4580" s="15" t="s">
        <v>10</v>
      </c>
      <c r="O4580" s="15" t="s">
        <v>10</v>
      </c>
      <c r="P4580" s="15" t="s">
        <v>10</v>
      </c>
      <c r="Q4580" s="8"/>
      <c r="R4580" s="9" t="s">
        <v>4125</v>
      </c>
    </row>
    <row r="4581" spans="1:18" x14ac:dyDescent="0.25">
      <c r="A4581" s="6" t="str">
        <f>HYPERLINK("proteomic_fractions_linear_files/Yang_linear_img/17157985.jpg", "17157985")</f>
        <v>17157985</v>
      </c>
      <c r="B4581" s="7"/>
      <c r="C4581" s="6" t="str">
        <f>HYPERLINK("http://www.ncbi.nlm.nih.gov/protein/17157985","Mrps5")</f>
        <v>Mrps5</v>
      </c>
      <c r="D4581" s="8"/>
      <c r="E4581" s="8">
        <v>48076</v>
      </c>
      <c r="F4581" s="8"/>
      <c r="G4581" s="15">
        <v>1.1066785339583558</v>
      </c>
      <c r="H4581" s="15">
        <v>1.1066785339583558</v>
      </c>
      <c r="I4581" s="15">
        <v>0.84390246256714052</v>
      </c>
      <c r="J4581" s="15">
        <v>0.84390246256714052</v>
      </c>
      <c r="K4581" s="15" t="s">
        <v>10</v>
      </c>
      <c r="L4581" s="15" t="s">
        <v>10</v>
      </c>
      <c r="M4581" s="15">
        <v>0.84390246256714052</v>
      </c>
      <c r="N4581" s="15">
        <v>0.84390246256714052</v>
      </c>
      <c r="O4581" s="15" t="s">
        <v>10</v>
      </c>
      <c r="P4581" s="15" t="s">
        <v>10</v>
      </c>
      <c r="Q4581" s="8"/>
      <c r="R4581" s="9" t="s">
        <v>4126</v>
      </c>
    </row>
    <row r="4582" spans="1:18" x14ac:dyDescent="0.25">
      <c r="A4582" s="6" t="str">
        <f>HYPERLINK("proteomic_fractions_linear_files/Yang_linear_img/23956244.jpg", "23956244")</f>
        <v>23956244</v>
      </c>
      <c r="B4582" s="7"/>
      <c r="C4582" s="6" t="str">
        <f>HYPERLINK("http://www.ncbi.nlm.nih.gov/protein/23956244","Mrps6")</f>
        <v>Mrps6</v>
      </c>
      <c r="D4582" s="8"/>
      <c r="E4582" s="8">
        <v>14177</v>
      </c>
      <c r="F4582" s="8"/>
      <c r="G4582" s="15">
        <v>0.99184646428118928</v>
      </c>
      <c r="H4582" s="15">
        <v>0.99184646428118928</v>
      </c>
      <c r="I4582" s="15">
        <v>0.99184646428118928</v>
      </c>
      <c r="J4582" s="15">
        <v>0.99184646428118928</v>
      </c>
      <c r="K4582" s="15" t="s">
        <v>10</v>
      </c>
      <c r="L4582" s="15" t="s">
        <v>10</v>
      </c>
      <c r="M4582" s="15" t="s">
        <v>10</v>
      </c>
      <c r="N4582" s="15" t="s">
        <v>10</v>
      </c>
      <c r="O4582" s="15" t="s">
        <v>10</v>
      </c>
      <c r="P4582" s="15" t="s">
        <v>10</v>
      </c>
      <c r="Q4582" s="8"/>
      <c r="R4582" s="9" t="s">
        <v>4127</v>
      </c>
    </row>
    <row r="4583" spans="1:18" x14ac:dyDescent="0.25">
      <c r="A4583" s="6" t="str">
        <f>HYPERLINK("proteomic_fractions_linear_files/Yang_linear_img/30794474.jpg", "30794474")</f>
        <v>30794474</v>
      </c>
      <c r="B4583" s="7"/>
      <c r="C4583" s="6" t="str">
        <f>HYPERLINK("http://www.ncbi.nlm.nih.gov/protein/30794474","Mrps7")</f>
        <v>Mrps7</v>
      </c>
      <c r="D4583" s="8"/>
      <c r="E4583" s="8">
        <v>24072</v>
      </c>
      <c r="F4583" s="8"/>
      <c r="G4583" s="15">
        <v>1.4397240221031327</v>
      </c>
      <c r="H4583" s="15">
        <v>1.4397240221031327</v>
      </c>
      <c r="I4583" s="15">
        <v>1.0231175255532048</v>
      </c>
      <c r="J4583" s="15">
        <v>1.0231175255532048</v>
      </c>
      <c r="K4583" s="15">
        <v>1.0231175255532048</v>
      </c>
      <c r="L4583" s="15">
        <v>1.0231175255532048</v>
      </c>
      <c r="M4583" s="15">
        <v>1.0231175255532048</v>
      </c>
      <c r="N4583" s="15">
        <v>1.0231175255532048</v>
      </c>
      <c r="O4583" s="15" t="s">
        <v>10</v>
      </c>
      <c r="P4583" s="15" t="s">
        <v>10</v>
      </c>
      <c r="Q4583" s="8"/>
      <c r="R4583" s="9" t="s">
        <v>4128</v>
      </c>
    </row>
    <row r="4584" spans="1:18" x14ac:dyDescent="0.25">
      <c r="A4584" s="6" t="str">
        <f>HYPERLINK("proteomic_fractions_linear_files/Yang_linear_img/169790909.jpg", "169790909")</f>
        <v>169790909</v>
      </c>
      <c r="B4584" s="7"/>
      <c r="C4584" s="6" t="str">
        <f>HYPERLINK("http://www.ncbi.nlm.nih.gov/protein/169790909","Mrps9")</f>
        <v>Mrps9</v>
      </c>
      <c r="D4584" s="8"/>
      <c r="E4584" s="8">
        <v>42612</v>
      </c>
      <c r="F4584" s="8"/>
      <c r="G4584" s="15">
        <v>1.123022688009657</v>
      </c>
      <c r="H4584" s="15">
        <v>1.123022688009657</v>
      </c>
      <c r="I4584" s="15">
        <v>0.80356689605756237</v>
      </c>
      <c r="J4584" s="15">
        <v>0.80356689605756237</v>
      </c>
      <c r="K4584" s="15" t="s">
        <v>10</v>
      </c>
      <c r="L4584" s="15" t="s">
        <v>10</v>
      </c>
      <c r="M4584" s="15">
        <v>0.86840294007266494</v>
      </c>
      <c r="N4584" s="15">
        <v>0.86840294007266494</v>
      </c>
      <c r="O4584" s="15" t="s">
        <v>10</v>
      </c>
      <c r="P4584" s="15" t="s">
        <v>10</v>
      </c>
      <c r="Q4584" s="8"/>
      <c r="R4584" s="9" t="s">
        <v>4129</v>
      </c>
    </row>
    <row r="4585" spans="1:18" x14ac:dyDescent="0.25">
      <c r="A4585" s="6" t="str">
        <f>HYPERLINK("proteomic_fractions_linear_files/Yang_linear_img/21312752.jpg", "21312752")</f>
        <v>21312752</v>
      </c>
      <c r="B4585" s="7"/>
      <c r="C4585" s="6" t="str">
        <f>HYPERLINK("http://www.ncbi.nlm.nih.gov/protein/21312752","Mrrf")</f>
        <v>Mrrf</v>
      </c>
      <c r="D4585" s="8"/>
      <c r="E4585" s="8">
        <v>22803</v>
      </c>
      <c r="F4585" s="8"/>
      <c r="G4585" s="15">
        <v>1.3949596893797211</v>
      </c>
      <c r="H4585" s="15">
        <v>1.3949596893797211</v>
      </c>
      <c r="I4585" s="15">
        <v>1.0047640597703238</v>
      </c>
      <c r="J4585" s="15">
        <v>1.0047640597703238</v>
      </c>
      <c r="K4585" s="15" t="s">
        <v>10</v>
      </c>
      <c r="L4585" s="15" t="s">
        <v>10</v>
      </c>
      <c r="M4585" s="15" t="s">
        <v>10</v>
      </c>
      <c r="N4585" s="15" t="s">
        <v>10</v>
      </c>
      <c r="O4585" s="15" t="s">
        <v>10</v>
      </c>
      <c r="P4585" s="15" t="s">
        <v>10</v>
      </c>
      <c r="Q4585" s="8"/>
      <c r="R4585" s="9" t="s">
        <v>4130</v>
      </c>
    </row>
    <row r="4586" spans="1:18" x14ac:dyDescent="0.25">
      <c r="A4586" s="6" t="str">
        <f>HYPERLINK("proteomic_fractions_linear_files/Yang_linear_img/37537520.jpg", "37537520")</f>
        <v>37537520</v>
      </c>
      <c r="B4586" s="7"/>
      <c r="C4586" s="6" t="str">
        <f>HYPERLINK("http://www.ncbi.nlm.nih.gov/protein/37537520","Mrto4")</f>
        <v>Mrto4</v>
      </c>
      <c r="D4586" s="8"/>
      <c r="E4586" s="8">
        <v>27286</v>
      </c>
      <c r="F4586" s="8"/>
      <c r="G4586" s="15">
        <v>1.3830120897453553</v>
      </c>
      <c r="H4586" s="15">
        <v>1.3830120897453553</v>
      </c>
      <c r="I4586" s="15">
        <v>1.0340078258400762</v>
      </c>
      <c r="J4586" s="15">
        <v>1.0340078258400762</v>
      </c>
      <c r="K4586" s="15">
        <v>1.0340078258400762</v>
      </c>
      <c r="L4586" s="15">
        <v>1.0340078258400762</v>
      </c>
      <c r="M4586" s="15">
        <v>1.0340078258400762</v>
      </c>
      <c r="N4586" s="15">
        <v>1.0340078258400762</v>
      </c>
      <c r="O4586" s="15" t="s">
        <v>10</v>
      </c>
      <c r="P4586" s="15" t="s">
        <v>10</v>
      </c>
      <c r="Q4586" s="8"/>
      <c r="R4586" s="9" t="s">
        <v>4131</v>
      </c>
    </row>
    <row r="4587" spans="1:18" x14ac:dyDescent="0.25">
      <c r="A4587" s="6" t="str">
        <f>HYPERLINK("proteomic_fractions_linear_files/Yang_linear_img/6678938.jpg", "6678938")</f>
        <v>6678938</v>
      </c>
      <c r="B4587" s="7"/>
      <c r="C4587" s="6" t="str">
        <f>HYPERLINK("http://www.ncbi.nlm.nih.gov/protein/6678938","Msh2")</f>
        <v>Msh2</v>
      </c>
      <c r="D4587" s="8"/>
      <c r="E4587" s="8">
        <v>104021</v>
      </c>
      <c r="F4587" s="8"/>
      <c r="G4587" s="15">
        <v>1.237707962933817</v>
      </c>
      <c r="H4587" s="15">
        <v>1.237707962933817</v>
      </c>
      <c r="I4587" s="15">
        <v>1.0557842675108795</v>
      </c>
      <c r="J4587" s="15">
        <v>1.0557842675108795</v>
      </c>
      <c r="K4587" s="15">
        <v>1.237707962933817</v>
      </c>
      <c r="L4587" s="15">
        <v>1.237707962933817</v>
      </c>
      <c r="M4587" s="15">
        <v>1.237707962933817</v>
      </c>
      <c r="N4587" s="15">
        <v>1.237707962933817</v>
      </c>
      <c r="O4587" s="15">
        <v>1.0557842675108795</v>
      </c>
      <c r="P4587" s="15">
        <v>1.0557842675108795</v>
      </c>
      <c r="Q4587" s="8"/>
      <c r="R4587" s="9" t="s">
        <v>4132</v>
      </c>
    </row>
    <row r="4588" spans="1:18" x14ac:dyDescent="0.25">
      <c r="A4588" s="6" t="str">
        <f>HYPERLINK("proteomic_fractions_linear_files/Yang_linear_img/6754744.jpg", "6754744")</f>
        <v>6754744</v>
      </c>
      <c r="B4588" s="7"/>
      <c r="C4588" s="6" t="str">
        <f>HYPERLINK("http://www.ncbi.nlm.nih.gov/protein/6754744","Msh6")</f>
        <v>Msh6</v>
      </c>
      <c r="D4588" s="8"/>
      <c r="E4588" s="8">
        <v>150954</v>
      </c>
      <c r="F4588" s="8"/>
      <c r="G4588" s="15">
        <v>1.2368598121850354</v>
      </c>
      <c r="H4588" s="15">
        <v>1.2368598121850354</v>
      </c>
      <c r="I4588" s="15" t="s">
        <v>10</v>
      </c>
      <c r="J4588" s="15" t="s">
        <v>10</v>
      </c>
      <c r="K4588" s="15">
        <v>1.545436077005623</v>
      </c>
      <c r="L4588" s="15">
        <v>1.545436077005623</v>
      </c>
      <c r="M4588" s="15">
        <v>1.545436077005623</v>
      </c>
      <c r="N4588" s="15">
        <v>1.545436077005623</v>
      </c>
      <c r="O4588" s="15">
        <v>1.2368598121850354</v>
      </c>
      <c r="P4588" s="15">
        <v>1.2368598121850354</v>
      </c>
      <c r="Q4588" s="8"/>
      <c r="R4588" s="9" t="s">
        <v>4133</v>
      </c>
    </row>
    <row r="4589" spans="1:18" x14ac:dyDescent="0.25">
      <c r="A4589" s="6" t="str">
        <f>HYPERLINK("proteomic_fractions_linear_files/Yang_linear_img/6678940.jpg", "6678940")</f>
        <v>6678940</v>
      </c>
      <c r="B4589" s="7"/>
      <c r="C4589" s="6" t="str">
        <f>HYPERLINK("http://www.ncbi.nlm.nih.gov/protein/6678940","Msi1")</f>
        <v>Msi1</v>
      </c>
      <c r="D4589" s="8"/>
      <c r="E4589" s="8">
        <v>38989</v>
      </c>
      <c r="F4589" s="8"/>
      <c r="G4589" s="15" t="s">
        <v>10</v>
      </c>
      <c r="H4589" s="15" t="s">
        <v>10</v>
      </c>
      <c r="I4589" s="15" t="s">
        <v>10</v>
      </c>
      <c r="J4589" s="15" t="s">
        <v>10</v>
      </c>
      <c r="K4589" s="15">
        <v>0.95746990828524592</v>
      </c>
      <c r="L4589" s="15">
        <v>0.95746990828524592</v>
      </c>
      <c r="M4589" s="15">
        <v>0.95746990828524592</v>
      </c>
      <c r="N4589" s="15">
        <v>0.82266853476239965</v>
      </c>
      <c r="O4589" s="15" t="s">
        <v>10</v>
      </c>
      <c r="P4589" s="15" t="s">
        <v>10</v>
      </c>
      <c r="Q4589" s="8"/>
      <c r="R4589" s="9" t="s">
        <v>4134</v>
      </c>
    </row>
    <row r="4590" spans="1:18" x14ac:dyDescent="0.25">
      <c r="A4590" s="6" t="str">
        <f>HYPERLINK("proteomic_fractions_linear_files/Yang_linear_img/17157989.jpg", "17157989")</f>
        <v>17157989</v>
      </c>
      <c r="B4590" s="7"/>
      <c r="C4590" s="6" t="str">
        <f>HYPERLINK("http://www.ncbi.nlm.nih.gov/protein/17157989","Msi2")</f>
        <v>Msi2</v>
      </c>
      <c r="D4590" s="8"/>
      <c r="E4590" s="8">
        <v>36808</v>
      </c>
      <c r="F4590" s="8"/>
      <c r="G4590" s="15">
        <v>1.3051344752544662</v>
      </c>
      <c r="H4590" s="15">
        <v>1.3051344752544662</v>
      </c>
      <c r="I4590" s="15">
        <v>0.93387504136419419</v>
      </c>
      <c r="J4590" s="15">
        <v>0.86713710420901591</v>
      </c>
      <c r="K4590" s="15">
        <v>0.93387504136419419</v>
      </c>
      <c r="L4590" s="15">
        <v>0.93387504136419419</v>
      </c>
      <c r="M4590" s="15">
        <v>1.0092250384628267</v>
      </c>
      <c r="N4590" s="15">
        <v>0.86713710420901591</v>
      </c>
      <c r="O4590" s="15">
        <v>0.93387504136419419</v>
      </c>
      <c r="P4590" s="15">
        <v>0.93387504136419419</v>
      </c>
      <c r="Q4590" s="8"/>
      <c r="R4590" s="9" t="s">
        <v>4135</v>
      </c>
    </row>
    <row r="4591" spans="1:18" x14ac:dyDescent="0.25">
      <c r="A4591" s="6" t="str">
        <f>HYPERLINK("proteomic_fractions_linear_files/Yang_linear_img/318843692.jpg", "318843692")</f>
        <v>318843692</v>
      </c>
      <c r="B4591" s="7"/>
      <c r="C4591" s="6" t="str">
        <f>HYPERLINK("http://www.ncbi.nlm.nih.gov/protein/318843692","Msi2")</f>
        <v>Msi2</v>
      </c>
      <c r="D4591" s="8"/>
      <c r="E4591" s="8">
        <v>17046</v>
      </c>
      <c r="F4591" s="8"/>
      <c r="G4591" s="15">
        <v>2.8405867990832503</v>
      </c>
      <c r="H4591" s="15">
        <v>2.8405867990832503</v>
      </c>
      <c r="I4591" s="15">
        <v>2.0325515606161875</v>
      </c>
      <c r="J4591" s="15">
        <v>2.0325515606161875</v>
      </c>
      <c r="K4591" s="15">
        <v>2.1965486131249761</v>
      </c>
      <c r="L4591" s="15">
        <v>2.1965486131249761</v>
      </c>
      <c r="M4591" s="15">
        <v>1.8872984032784463</v>
      </c>
      <c r="N4591" s="15">
        <v>1.8872984032784463</v>
      </c>
      <c r="O4591" s="15">
        <v>2.0325515606161875</v>
      </c>
      <c r="P4591" s="15">
        <v>2.0325515606161875</v>
      </c>
      <c r="Q4591" s="8"/>
      <c r="R4591" s="9" t="s">
        <v>4136</v>
      </c>
    </row>
    <row r="4592" spans="1:18" x14ac:dyDescent="0.25">
      <c r="A4592" s="6" t="str">
        <f>HYPERLINK("proteomic_fractions_linear_files/Yang_linear_img/70778915.jpg", "70778915")</f>
        <v>70778915</v>
      </c>
      <c r="B4592" s="7"/>
      <c r="C4592" s="6" t="str">
        <f>HYPERLINK("http://www.ncbi.nlm.nih.gov/protein/70778915","Msn")</f>
        <v>Msn</v>
      </c>
      <c r="D4592" s="8"/>
      <c r="E4592" s="8">
        <v>67636</v>
      </c>
      <c r="F4592" s="8"/>
      <c r="G4592" s="15">
        <v>1.6147288797225217</v>
      </c>
      <c r="H4592" s="15">
        <v>1.6147288797225217</v>
      </c>
      <c r="I4592" s="15">
        <v>1.222039095193292</v>
      </c>
      <c r="J4592" s="15">
        <v>1.222039095193292</v>
      </c>
      <c r="K4592" s="15">
        <v>1.222039095193292</v>
      </c>
      <c r="L4592" s="15">
        <v>1.222039095193292</v>
      </c>
      <c r="M4592" s="15">
        <v>1.222039095193292</v>
      </c>
      <c r="N4592" s="15">
        <v>1.222039095193292</v>
      </c>
      <c r="O4592" s="15">
        <v>1.222039095193292</v>
      </c>
      <c r="P4592" s="15">
        <v>1.222039095193292</v>
      </c>
      <c r="Q4592" s="8"/>
      <c r="R4592" s="9" t="s">
        <v>4137</v>
      </c>
    </row>
    <row r="4593" spans="1:18" x14ac:dyDescent="0.25">
      <c r="A4593" s="6" t="str">
        <f>HYPERLINK("proteomic_fractions_linear_files/Yang_linear_img/31981013.jpg", "31981013")</f>
        <v>31981013</v>
      </c>
      <c r="B4593" s="7"/>
      <c r="C4593" s="6" t="str">
        <f>HYPERLINK("http://www.ncbi.nlm.nih.gov/protein/31981013","Msra")</f>
        <v>Msra</v>
      </c>
      <c r="D4593" s="8"/>
      <c r="E4593" s="8">
        <v>23780</v>
      </c>
      <c r="F4593" s="8"/>
      <c r="G4593" s="15" t="s">
        <v>10</v>
      </c>
      <c r="H4593" s="15" t="s">
        <v>10</v>
      </c>
      <c r="I4593" s="15" t="s">
        <v>10</v>
      </c>
      <c r="J4593" s="15" t="s">
        <v>10</v>
      </c>
      <c r="K4593" s="15" t="s">
        <v>10</v>
      </c>
      <c r="L4593" s="15" t="s">
        <v>10</v>
      </c>
      <c r="M4593" s="15" t="s">
        <v>10</v>
      </c>
      <c r="N4593" s="15" t="s">
        <v>10</v>
      </c>
      <c r="O4593" s="15">
        <v>0.85822671611067802</v>
      </c>
      <c r="P4593" s="15">
        <v>0.85822671611067802</v>
      </c>
      <c r="Q4593" s="8"/>
      <c r="R4593" s="9" t="s">
        <v>4138</v>
      </c>
    </row>
    <row r="4594" spans="1:18" x14ac:dyDescent="0.25">
      <c r="A4594" s="6" t="str">
        <f>HYPERLINK("proteomic_fractions_linear_files/Yang_linear_img/358679363.jpg", "358679363")</f>
        <v>358679363</v>
      </c>
      <c r="B4594" s="7"/>
      <c r="C4594" s="6" t="str">
        <f>HYPERLINK("http://www.ncbi.nlm.nih.gov/protein/358679363","Msra")</f>
        <v>Msra</v>
      </c>
      <c r="D4594" s="8"/>
      <c r="E4594" s="8">
        <v>23335</v>
      </c>
      <c r="F4594" s="8"/>
      <c r="G4594" s="15" t="s">
        <v>10</v>
      </c>
      <c r="H4594" s="15" t="s">
        <v>10</v>
      </c>
      <c r="I4594" s="15" t="s">
        <v>10</v>
      </c>
      <c r="J4594" s="15" t="s">
        <v>10</v>
      </c>
      <c r="K4594" s="15" t="s">
        <v>10</v>
      </c>
      <c r="L4594" s="15" t="s">
        <v>10</v>
      </c>
      <c r="M4594" s="15" t="s">
        <v>10</v>
      </c>
      <c r="N4594" s="15" t="s">
        <v>10</v>
      </c>
      <c r="O4594" s="15">
        <v>0.89554092115896833</v>
      </c>
      <c r="P4594" s="15">
        <v>0.89554092115896833</v>
      </c>
      <c r="Q4594" s="8"/>
      <c r="R4594" s="9" t="s">
        <v>4139</v>
      </c>
    </row>
    <row r="4595" spans="1:18" x14ac:dyDescent="0.25">
      <c r="A4595" s="6" t="str">
        <f>HYPERLINK("proteomic_fractions_linear_files/Yang_linear_img/358679365.jpg", "358679365")</f>
        <v>358679365</v>
      </c>
      <c r="B4595" s="7"/>
      <c r="C4595" s="6" t="str">
        <f>HYPERLINK("http://www.ncbi.nlm.nih.gov/protein/358679365","Msra")</f>
        <v>Msra</v>
      </c>
      <c r="D4595" s="8"/>
      <c r="E4595" s="8">
        <v>21419</v>
      </c>
      <c r="F4595" s="8"/>
      <c r="G4595" s="15" t="s">
        <v>10</v>
      </c>
      <c r="H4595" s="15" t="s">
        <v>10</v>
      </c>
      <c r="I4595" s="15" t="s">
        <v>10</v>
      </c>
      <c r="J4595" s="15" t="s">
        <v>10</v>
      </c>
      <c r="K4595" s="15" t="s">
        <v>10</v>
      </c>
      <c r="L4595" s="15" t="s">
        <v>10</v>
      </c>
      <c r="M4595" s="15" t="s">
        <v>10</v>
      </c>
      <c r="N4595" s="15" t="s">
        <v>10</v>
      </c>
      <c r="O4595" s="15">
        <v>0.98083053269791776</v>
      </c>
      <c r="P4595" s="15">
        <v>0.98083053269791776</v>
      </c>
      <c r="Q4595" s="8"/>
      <c r="R4595" s="9" t="s">
        <v>4140</v>
      </c>
    </row>
    <row r="4596" spans="1:18" x14ac:dyDescent="0.25">
      <c r="A4596" s="6" t="str">
        <f>HYPERLINK("proteomic_fractions_linear_files/Yang_linear_img/358679367.jpg", "358679367")</f>
        <v>358679367</v>
      </c>
      <c r="B4596" s="7"/>
      <c r="C4596" s="6" t="str">
        <f>HYPERLINK("http://www.ncbi.nlm.nih.gov/protein/358679367","Msra")</f>
        <v>Msra</v>
      </c>
      <c r="D4596" s="8"/>
      <c r="E4596" s="8">
        <v>21457</v>
      </c>
      <c r="F4596" s="8"/>
      <c r="G4596" s="15" t="s">
        <v>10</v>
      </c>
      <c r="H4596" s="15" t="s">
        <v>10</v>
      </c>
      <c r="I4596" s="15" t="s">
        <v>10</v>
      </c>
      <c r="J4596" s="15" t="s">
        <v>10</v>
      </c>
      <c r="K4596" s="15" t="s">
        <v>10</v>
      </c>
      <c r="L4596" s="15" t="s">
        <v>10</v>
      </c>
      <c r="M4596" s="15" t="s">
        <v>10</v>
      </c>
      <c r="N4596" s="15" t="s">
        <v>10</v>
      </c>
      <c r="O4596" s="15">
        <v>0.98083053269791776</v>
      </c>
      <c r="P4596" s="15">
        <v>0.98083053269791776</v>
      </c>
      <c r="Q4596" s="8"/>
      <c r="R4596" s="9" t="s">
        <v>4141</v>
      </c>
    </row>
    <row r="4597" spans="1:18" x14ac:dyDescent="0.25">
      <c r="A4597" s="6" t="str">
        <f>HYPERLINK("proteomic_fractions_linear_files/Yang_linear_img/254826769.jpg", "254826769")</f>
        <v>254826769</v>
      </c>
      <c r="B4597" s="7"/>
      <c r="C4597" s="6" t="str">
        <f>HYPERLINK("http://www.ncbi.nlm.nih.gov/protein/254826769","Mst1r")</f>
        <v>Mst1r</v>
      </c>
      <c r="D4597" s="8"/>
      <c r="E4597" s="8">
        <v>148074</v>
      </c>
      <c r="F4597" s="8"/>
      <c r="G4597" s="15" t="s">
        <v>10</v>
      </c>
      <c r="H4597" s="15" t="s">
        <v>10</v>
      </c>
      <c r="I4597" s="15">
        <v>0.35892276777027754</v>
      </c>
      <c r="J4597" s="15">
        <v>0.35892276777027754</v>
      </c>
      <c r="K4597" s="15">
        <v>0.39711626747022871</v>
      </c>
      <c r="L4597" s="15">
        <v>0.39711626747022871</v>
      </c>
      <c r="M4597" s="15" t="s">
        <v>10</v>
      </c>
      <c r="N4597" s="15" t="s">
        <v>10</v>
      </c>
      <c r="O4597" s="15">
        <v>0.32628361881361656</v>
      </c>
      <c r="P4597" s="15">
        <v>0.32628361881361656</v>
      </c>
      <c r="Q4597" s="8"/>
      <c r="R4597" s="9" t="s">
        <v>4142</v>
      </c>
    </row>
    <row r="4598" spans="1:18" x14ac:dyDescent="0.25">
      <c r="A4598" s="6" t="str">
        <f>HYPERLINK("proteomic_fractions_linear_files/Yang_linear_img/254692960.jpg", "254692960")</f>
        <v>254692960</v>
      </c>
      <c r="B4598" s="7"/>
      <c r="C4598" s="6" t="str">
        <f>HYPERLINK("http://www.ncbi.nlm.nih.gov/protein/254692960","Msto1")</f>
        <v>Msto1</v>
      </c>
      <c r="D4598" s="8"/>
      <c r="E4598" s="8">
        <v>61076</v>
      </c>
      <c r="F4598" s="8"/>
      <c r="G4598" s="15" t="s">
        <v>10</v>
      </c>
      <c r="H4598" s="15" t="s">
        <v>10</v>
      </c>
      <c r="I4598" s="15">
        <v>0.96349520632121066</v>
      </c>
      <c r="J4598" s="15">
        <v>0.96349520632121066</v>
      </c>
      <c r="K4598" s="15">
        <v>0.96349520632121066</v>
      </c>
      <c r="L4598" s="15">
        <v>0.96349520632121066</v>
      </c>
      <c r="M4598" s="15">
        <v>0.96349520632121066</v>
      </c>
      <c r="N4598" s="15">
        <v>0.96349520632121066</v>
      </c>
      <c r="O4598" s="15">
        <v>0.87082901032788651</v>
      </c>
      <c r="P4598" s="15">
        <v>0.87082901032788651</v>
      </c>
      <c r="Q4598" s="8"/>
      <c r="R4598" s="9" t="s">
        <v>4143</v>
      </c>
    </row>
    <row r="4599" spans="1:18" x14ac:dyDescent="0.25">
      <c r="A4599" s="6" t="str">
        <f>HYPERLINK("proteomic_fractions_linear_files/Yang_linear_img/7305285.jpg", "7305285")</f>
        <v>7305285</v>
      </c>
      <c r="B4599" s="7"/>
      <c r="C4599" s="6" t="str">
        <f>HYPERLINK("http://www.ncbi.nlm.nih.gov/protein/7305285","Mt1")</f>
        <v>Mt1</v>
      </c>
      <c r="D4599" s="8"/>
      <c r="E4599" s="8">
        <v>5887</v>
      </c>
      <c r="F4599" s="8"/>
      <c r="G4599" s="15">
        <v>3.6326237117797917</v>
      </c>
      <c r="H4599" s="15">
        <v>3.6326237117797917</v>
      </c>
      <c r="I4599" s="15">
        <v>2.5327230489690478</v>
      </c>
      <c r="J4599" s="15">
        <v>2.5327230489690478</v>
      </c>
      <c r="K4599" s="15">
        <v>2.654573630530296</v>
      </c>
      <c r="L4599" s="15">
        <v>2.654573630530296</v>
      </c>
      <c r="M4599" s="15" t="s">
        <v>10</v>
      </c>
      <c r="N4599" s="15" t="s">
        <v>10</v>
      </c>
      <c r="O4599" s="15">
        <v>2.419578953645058</v>
      </c>
      <c r="P4599" s="15">
        <v>2.419578953645058</v>
      </c>
      <c r="Q4599" s="8"/>
      <c r="R4599" s="9" t="s">
        <v>4144</v>
      </c>
    </row>
    <row r="4600" spans="1:18" x14ac:dyDescent="0.25">
      <c r="A4600" s="6" t="str">
        <f>HYPERLINK("proteomic_fractions_linear_files/Yang_linear_img/33468863.jpg", "33468863")</f>
        <v>33468863</v>
      </c>
      <c r="B4600" s="7"/>
      <c r="C4600" s="6" t="str">
        <f>HYPERLINK("http://www.ncbi.nlm.nih.gov/protein/33468863","Mt2")</f>
        <v>Mt2</v>
      </c>
      <c r="D4600" s="8"/>
      <c r="E4600" s="8">
        <v>5984</v>
      </c>
      <c r="F4600" s="8"/>
      <c r="G4600" s="15">
        <v>3.6326237117797917</v>
      </c>
      <c r="H4600" s="15">
        <v>3.6326237117797917</v>
      </c>
      <c r="I4600" s="15">
        <v>2.5327230489690478</v>
      </c>
      <c r="J4600" s="15">
        <v>2.5327230489690478</v>
      </c>
      <c r="K4600" s="15">
        <v>2.5327230489690478</v>
      </c>
      <c r="L4600" s="15">
        <v>2.5327230489690478</v>
      </c>
      <c r="M4600" s="15">
        <v>2.5327230489690478</v>
      </c>
      <c r="N4600" s="15">
        <v>2.5327230489690478</v>
      </c>
      <c r="O4600" s="15">
        <v>2.419578953645058</v>
      </c>
      <c r="P4600" s="15">
        <v>2.419578953645058</v>
      </c>
      <c r="Q4600" s="8"/>
      <c r="R4600" s="9" t="s">
        <v>4145</v>
      </c>
    </row>
    <row r="4601" spans="1:18" x14ac:dyDescent="0.25">
      <c r="A4601" s="6" t="str">
        <f>HYPERLINK("proteomic_fractions_linear_files/Yang_linear_img/51491880.jpg", "51491880")</f>
        <v>51491880</v>
      </c>
      <c r="B4601" s="7"/>
      <c r="C4601" s="6" t="str">
        <f>HYPERLINK("http://www.ncbi.nlm.nih.gov/protein/51491880","Mta2")</f>
        <v>Mta2</v>
      </c>
      <c r="D4601" s="8"/>
      <c r="E4601" s="8">
        <v>74899</v>
      </c>
      <c r="F4601" s="8"/>
      <c r="G4601" s="15">
        <v>0.58834118995953955</v>
      </c>
      <c r="H4601" s="15">
        <v>1.2662397491011268</v>
      </c>
      <c r="I4601" s="15" t="s">
        <v>10</v>
      </c>
      <c r="J4601" s="15" t="s">
        <v>10</v>
      </c>
      <c r="K4601" s="15">
        <v>1.1079821129752514</v>
      </c>
      <c r="L4601" s="15">
        <v>1.1079821129752514</v>
      </c>
      <c r="M4601" s="15">
        <v>1.1079821129752514</v>
      </c>
      <c r="N4601" s="15">
        <v>1.1079821129752514</v>
      </c>
      <c r="O4601" s="15">
        <v>0.97914880322242992</v>
      </c>
      <c r="P4601" s="15">
        <v>0.97914880322242992</v>
      </c>
      <c r="Q4601" s="8"/>
      <c r="R4601" s="9" t="s">
        <v>4146</v>
      </c>
    </row>
    <row r="4602" spans="1:18" x14ac:dyDescent="0.25">
      <c r="A4602" s="6" t="str">
        <f>HYPERLINK("proteomic_fractions_linear_files/Yang_linear_img/45544618.jpg", "45544618")</f>
        <v>45544618</v>
      </c>
      <c r="B4602" s="7"/>
      <c r="C4602" s="6" t="str">
        <f>HYPERLINK("http://www.ncbi.nlm.nih.gov/protein/45544618","Mtap")</f>
        <v>Mtap</v>
      </c>
      <c r="D4602" s="8"/>
      <c r="E4602" s="8">
        <v>30931</v>
      </c>
      <c r="F4602" s="8"/>
      <c r="G4602" s="15" t="s">
        <v>10</v>
      </c>
      <c r="H4602" s="15" t="s">
        <v>10</v>
      </c>
      <c r="I4602" s="15">
        <v>0.84355671340080651</v>
      </c>
      <c r="J4602" s="15">
        <v>0.84355671340080651</v>
      </c>
      <c r="K4602" s="15">
        <v>0.90058746121555033</v>
      </c>
      <c r="L4602" s="15">
        <v>0.90058746121555033</v>
      </c>
      <c r="M4602" s="15">
        <v>0.84355671340080651</v>
      </c>
      <c r="N4602" s="15">
        <v>0.84355671340080651</v>
      </c>
      <c r="O4602" s="15">
        <v>0.74547010886185305</v>
      </c>
      <c r="P4602" s="15">
        <v>0.7920909875250618</v>
      </c>
      <c r="Q4602" s="8"/>
      <c r="R4602" s="9" t="s">
        <v>4147</v>
      </c>
    </row>
    <row r="4603" spans="1:18" x14ac:dyDescent="0.25">
      <c r="A4603" s="6" t="str">
        <f>HYPERLINK("proteomic_fractions_linear_files/Yang_linear_img/9845273.jpg", "9845273")</f>
        <v>9845273</v>
      </c>
      <c r="B4603" s="7"/>
      <c r="C4603" s="6" t="str">
        <f>HYPERLINK("http://www.ncbi.nlm.nih.gov/protein/9845273","Mtch1")</f>
        <v>Mtch1</v>
      </c>
      <c r="D4603" s="8"/>
      <c r="E4603" s="8">
        <v>41434</v>
      </c>
      <c r="F4603" s="8"/>
      <c r="G4603" s="15" t="s">
        <v>10</v>
      </c>
      <c r="H4603" s="15" t="s">
        <v>10</v>
      </c>
      <c r="I4603" s="15">
        <v>0.78253836233496554</v>
      </c>
      <c r="J4603" s="15">
        <v>0.78253836233496554</v>
      </c>
      <c r="K4603" s="15">
        <v>0.78253836233496554</v>
      </c>
      <c r="L4603" s="15">
        <v>0.78253836233496554</v>
      </c>
      <c r="M4603" s="15" t="s">
        <v>10</v>
      </c>
      <c r="N4603" s="15" t="s">
        <v>10</v>
      </c>
      <c r="O4603" s="15" t="s">
        <v>10</v>
      </c>
      <c r="P4603" s="15" t="s">
        <v>10</v>
      </c>
      <c r="Q4603" s="8"/>
      <c r="R4603" s="9" t="s">
        <v>4148</v>
      </c>
    </row>
    <row r="4604" spans="1:18" x14ac:dyDescent="0.25">
      <c r="A4604" s="6" t="str">
        <f>HYPERLINK("proteomic_fractions_linear_files/Yang_linear_img/9790055.jpg", "9790055")</f>
        <v>9790055</v>
      </c>
      <c r="B4604" s="7"/>
      <c r="C4604" s="6" t="str">
        <f>HYPERLINK("http://www.ncbi.nlm.nih.gov/protein/9790055","Mtch2")</f>
        <v>Mtch2</v>
      </c>
      <c r="D4604" s="8"/>
      <c r="E4604" s="8">
        <v>33368</v>
      </c>
      <c r="F4604" s="8"/>
      <c r="G4604" s="15">
        <v>0.90561839065797367</v>
      </c>
      <c r="H4604" s="15">
        <v>0.90561839065797367</v>
      </c>
      <c r="I4604" s="15">
        <v>0.90561839065797367</v>
      </c>
      <c r="J4604" s="15">
        <v>0.90561839065797367</v>
      </c>
      <c r="K4604" s="15">
        <v>0.9722446319919269</v>
      </c>
      <c r="L4604" s="15">
        <v>0.9722446319919269</v>
      </c>
      <c r="M4604" s="15" t="s">
        <v>10</v>
      </c>
      <c r="N4604" s="15" t="s">
        <v>10</v>
      </c>
      <c r="O4604" s="15" t="s">
        <v>10</v>
      </c>
      <c r="P4604" s="15" t="s">
        <v>10</v>
      </c>
      <c r="Q4604" s="8"/>
      <c r="R4604" s="9" t="s">
        <v>4149</v>
      </c>
    </row>
    <row r="4605" spans="1:18" x14ac:dyDescent="0.25">
      <c r="A4605" s="6" t="str">
        <f>HYPERLINK("proteomic_fractions_linear_files/Yang_linear_img/31982233.jpg", "31982233")</f>
        <v>31982233</v>
      </c>
      <c r="B4605" s="7"/>
      <c r="C4605" s="6" t="str">
        <f>HYPERLINK("http://www.ncbi.nlm.nih.gov/protein/31982233","Mtdh")</f>
        <v>Mtdh</v>
      </c>
      <c r="D4605" s="8"/>
      <c r="E4605" s="8">
        <v>63715</v>
      </c>
      <c r="F4605" s="8"/>
      <c r="G4605" s="15">
        <v>1.483874705977883</v>
      </c>
      <c r="H4605" s="15">
        <v>1.483874705977883</v>
      </c>
      <c r="I4605" s="15">
        <v>0.23744278584084821</v>
      </c>
      <c r="J4605" s="15">
        <v>0.23744278584084821</v>
      </c>
      <c r="K4605" s="15" t="s">
        <v>10</v>
      </c>
      <c r="L4605" s="15" t="s">
        <v>10</v>
      </c>
      <c r="M4605" s="15" t="s">
        <v>10</v>
      </c>
      <c r="N4605" s="15" t="s">
        <v>10</v>
      </c>
      <c r="O4605" s="15" t="s">
        <v>10</v>
      </c>
      <c r="P4605" s="15" t="s">
        <v>10</v>
      </c>
      <c r="Q4605" s="8"/>
      <c r="R4605" s="9" t="s">
        <v>4150</v>
      </c>
    </row>
    <row r="4606" spans="1:18" x14ac:dyDescent="0.25">
      <c r="A4606" s="6" t="str">
        <f>HYPERLINK("proteomic_fractions_linear_files/Yang_linear_img/46518496.jpg", "46518496")</f>
        <v>46518496</v>
      </c>
      <c r="B4606" s="7"/>
      <c r="C4606" s="6" t="str">
        <f>HYPERLINK("http://www.ncbi.nlm.nih.gov/protein/46518496","Mterfd3")</f>
        <v>Mterfd3</v>
      </c>
      <c r="D4606" s="8"/>
      <c r="E4606" s="8">
        <v>39436</v>
      </c>
      <c r="F4606" s="8"/>
      <c r="G4606" s="15" t="s">
        <v>10</v>
      </c>
      <c r="H4606" s="15" t="s">
        <v>10</v>
      </c>
      <c r="I4606" s="15">
        <v>0.8859840136019278</v>
      </c>
      <c r="J4606" s="15">
        <v>0.8859840136019278</v>
      </c>
      <c r="K4606" s="15" t="s">
        <v>10</v>
      </c>
      <c r="L4606" s="15" t="s">
        <v>10</v>
      </c>
      <c r="M4606" s="15">
        <v>0.95746990828524592</v>
      </c>
      <c r="N4606" s="15">
        <v>0.95746990828524592</v>
      </c>
      <c r="O4606" s="15" t="s">
        <v>10</v>
      </c>
      <c r="P4606" s="15" t="s">
        <v>10</v>
      </c>
      <c r="Q4606" s="8"/>
      <c r="R4606" s="9" t="s">
        <v>4151</v>
      </c>
    </row>
    <row r="4607" spans="1:18" x14ac:dyDescent="0.25">
      <c r="A4607" s="6" t="str">
        <f>HYPERLINK("proteomic_fractions_linear_files/Yang_linear_img/70887769.jpg", "70887769")</f>
        <v>70887769</v>
      </c>
      <c r="B4607" s="7"/>
      <c r="C4607" s="6" t="str">
        <f>HYPERLINK("http://www.ncbi.nlm.nih.gov/protein/70887769","Mtf2")</f>
        <v>Mtf2</v>
      </c>
      <c r="D4607" s="8"/>
      <c r="E4607" s="8">
        <v>66794</v>
      </c>
      <c r="F4607" s="8"/>
      <c r="G4607" s="15">
        <v>0.87721205351632614</v>
      </c>
      <c r="H4607" s="15">
        <v>0.87721205351632614</v>
      </c>
      <c r="I4607" s="15">
        <v>0.72074590424500373</v>
      </c>
      <c r="J4607" s="15">
        <v>0.72074590424500373</v>
      </c>
      <c r="K4607" s="15">
        <v>0.72074590424500373</v>
      </c>
      <c r="L4607" s="15">
        <v>0.72074590424500373</v>
      </c>
      <c r="M4607" s="15" t="s">
        <v>10</v>
      </c>
      <c r="N4607" s="15" t="s">
        <v>10</v>
      </c>
      <c r="O4607" s="15" t="s">
        <v>10</v>
      </c>
      <c r="P4607" s="15" t="s">
        <v>10</v>
      </c>
      <c r="Q4607" s="8"/>
      <c r="R4607" s="9" t="s">
        <v>4152</v>
      </c>
    </row>
    <row r="4608" spans="1:18" x14ac:dyDescent="0.25">
      <c r="A4608" s="6" t="str">
        <f>HYPERLINK("proteomic_fractions_linear_files/Yang_linear_img/261878543.jpg", "261878543")</f>
        <v>261878543</v>
      </c>
      <c r="B4608" s="7"/>
      <c r="C4608" s="6" t="str">
        <f>HYPERLINK("http://www.ncbi.nlm.nih.gov/protein/261878543","Mthfd1")</f>
        <v>Mthfd1</v>
      </c>
      <c r="D4608" s="8"/>
      <c r="E4608" s="8">
        <v>101069</v>
      </c>
      <c r="F4608" s="8"/>
      <c r="G4608" s="15">
        <v>1.2744715657932373</v>
      </c>
      <c r="H4608" s="15">
        <v>1.2744715657932373</v>
      </c>
      <c r="I4608" s="15">
        <v>1.0871441962488264</v>
      </c>
      <c r="J4608" s="15">
        <v>1.0871441962488264</v>
      </c>
      <c r="K4608" s="15">
        <v>1.2744715657932373</v>
      </c>
      <c r="L4608" s="15">
        <v>1.2744715657932373</v>
      </c>
      <c r="M4608" s="15">
        <v>1.0871441962488264</v>
      </c>
      <c r="N4608" s="15">
        <v>1.0871441962488264</v>
      </c>
      <c r="O4608" s="15">
        <v>1.0871441962488264</v>
      </c>
      <c r="P4608" s="15">
        <v>1.0871441962488264</v>
      </c>
      <c r="Q4608" s="8"/>
      <c r="R4608" s="9" t="s">
        <v>4153</v>
      </c>
    </row>
    <row r="4609" spans="1:18" x14ac:dyDescent="0.25">
      <c r="A4609" s="6" t="str">
        <f>HYPERLINK("proteomic_fractions_linear_files/Yang_linear_img/283135110.jpg", "283135110")</f>
        <v>283135110</v>
      </c>
      <c r="B4609" s="7"/>
      <c r="C4609" s="6" t="str">
        <f>HYPERLINK("http://www.ncbi.nlm.nih.gov/protein/283135110","Mthfd1l")</f>
        <v>Mthfd1l</v>
      </c>
      <c r="D4609" s="8"/>
      <c r="E4609" s="8">
        <v>102199</v>
      </c>
      <c r="F4609" s="8"/>
      <c r="G4609" s="15">
        <v>1.2619767465207545</v>
      </c>
      <c r="H4609" s="15">
        <v>1.2619767465207545</v>
      </c>
      <c r="I4609" s="15">
        <v>1.0764859198150143</v>
      </c>
      <c r="J4609" s="15">
        <v>1.0764859198150143</v>
      </c>
      <c r="K4609" s="15">
        <v>1.2619767465207545</v>
      </c>
      <c r="L4609" s="15">
        <v>1.2619767465207545</v>
      </c>
      <c r="M4609" s="15" t="s">
        <v>10</v>
      </c>
      <c r="N4609" s="15" t="s">
        <v>10</v>
      </c>
      <c r="O4609" s="15">
        <v>1.0764859198150143</v>
      </c>
      <c r="P4609" s="15">
        <v>1.0764859198150143</v>
      </c>
      <c r="Q4609" s="8"/>
      <c r="R4609" s="9" t="s">
        <v>4154</v>
      </c>
    </row>
    <row r="4610" spans="1:18" x14ac:dyDescent="0.25">
      <c r="A4610" s="6" t="str">
        <f>HYPERLINK("proteomic_fractions_linear_files/Yang_linear_img/262050633.jpg", "262050633")</f>
        <v>262050633</v>
      </c>
      <c r="B4610" s="7"/>
      <c r="C4610" s="6" t="str">
        <f>HYPERLINK("http://www.ncbi.nlm.nih.gov/protein/262050633","Mthfsd")</f>
        <v>Mthfsd</v>
      </c>
      <c r="D4610" s="8"/>
      <c r="E4610" s="8">
        <v>40658</v>
      </c>
      <c r="F4610" s="8"/>
      <c r="G4610" s="15" t="s">
        <v>10</v>
      </c>
      <c r="H4610" s="15" t="s">
        <v>10</v>
      </c>
      <c r="I4610" s="15" t="s">
        <v>10</v>
      </c>
      <c r="J4610" s="15" t="s">
        <v>10</v>
      </c>
      <c r="K4610" s="15">
        <v>1.0762338840723285</v>
      </c>
      <c r="L4610" s="15">
        <v>1.0762338840723285</v>
      </c>
      <c r="M4610" s="15">
        <v>0.91076405910059977</v>
      </c>
      <c r="N4610" s="15">
        <v>0.91076405910059977</v>
      </c>
      <c r="O4610" s="15" t="s">
        <v>10</v>
      </c>
      <c r="P4610" s="15" t="s">
        <v>10</v>
      </c>
      <c r="Q4610" s="8"/>
      <c r="R4610" s="9" t="s">
        <v>4155</v>
      </c>
    </row>
    <row r="4611" spans="1:18" x14ac:dyDescent="0.25">
      <c r="A4611" s="6" t="str">
        <f>HYPERLINK("proteomic_fractions_linear_files/Yang_linear_img/27370130.jpg", "27370130")</f>
        <v>27370130</v>
      </c>
      <c r="B4611" s="7"/>
      <c r="C4611" s="6" t="str">
        <f>HYPERLINK("http://www.ncbi.nlm.nih.gov/protein/27370130","Mthfsd")</f>
        <v>Mthfsd</v>
      </c>
      <c r="D4611" s="8"/>
      <c r="E4611" s="8">
        <v>38320</v>
      </c>
      <c r="F4611" s="8"/>
      <c r="G4611" s="15" t="s">
        <v>10</v>
      </c>
      <c r="H4611" s="15" t="s">
        <v>10</v>
      </c>
      <c r="I4611" s="15" t="s">
        <v>10</v>
      </c>
      <c r="J4611" s="15" t="s">
        <v>10</v>
      </c>
      <c r="K4611" s="15">
        <v>1.1611997170254071</v>
      </c>
      <c r="L4611" s="15">
        <v>1.1611997170254071</v>
      </c>
      <c r="M4611" s="15">
        <v>0.98266648481906815</v>
      </c>
      <c r="N4611" s="15">
        <v>0.98266648481906815</v>
      </c>
      <c r="O4611" s="15" t="s">
        <v>10</v>
      </c>
      <c r="P4611" s="15" t="s">
        <v>10</v>
      </c>
      <c r="Q4611" s="8"/>
      <c r="R4611" s="9" t="s">
        <v>4156</v>
      </c>
    </row>
    <row r="4612" spans="1:18" x14ac:dyDescent="0.25">
      <c r="A4612" s="6" t="str">
        <f>HYPERLINK("proteomic_fractions_linear_files/Yang_linear_img/110625866.jpg", "110625866")</f>
        <v>110625866</v>
      </c>
      <c r="B4612" s="7"/>
      <c r="C4612" s="6" t="str">
        <f>HYPERLINK("http://www.ncbi.nlm.nih.gov/protein/110625866","Mtif2")</f>
        <v>Mtif2</v>
      </c>
      <c r="D4612" s="8"/>
      <c r="E4612" s="8">
        <v>77747</v>
      </c>
      <c r="F4612" s="8"/>
      <c r="G4612" s="15" t="s">
        <v>10</v>
      </c>
      <c r="H4612" s="15" t="s">
        <v>10</v>
      </c>
      <c r="I4612" s="15">
        <v>1.0653674163223572</v>
      </c>
      <c r="J4612" s="15">
        <v>1.0653674163223572</v>
      </c>
      <c r="K4612" s="15" t="s">
        <v>10</v>
      </c>
      <c r="L4612" s="15" t="s">
        <v>10</v>
      </c>
      <c r="M4612" s="15" t="s">
        <v>10</v>
      </c>
      <c r="N4612" s="15" t="s">
        <v>10</v>
      </c>
      <c r="O4612" s="15" t="s">
        <v>10</v>
      </c>
      <c r="P4612" s="15" t="s">
        <v>10</v>
      </c>
      <c r="Q4612" s="8"/>
      <c r="R4612" s="9" t="s">
        <v>4157</v>
      </c>
    </row>
    <row r="4613" spans="1:18" x14ac:dyDescent="0.25">
      <c r="A4613" s="6" t="str">
        <f>HYPERLINK("proteomic_fractions_linear_files/Yang_linear_img/255958296.jpg", "255958296")</f>
        <v>255958296</v>
      </c>
      <c r="B4613" s="7"/>
      <c r="C4613" s="6" t="str">
        <f>HYPERLINK("http://www.ncbi.nlm.nih.gov/protein/255958296","Mtm1")</f>
        <v>Mtm1</v>
      </c>
      <c r="D4613" s="8"/>
      <c r="E4613" s="8">
        <v>69428</v>
      </c>
      <c r="F4613" s="8"/>
      <c r="G4613" s="15" t="s">
        <v>10</v>
      </c>
      <c r="H4613" s="15" t="s">
        <v>10</v>
      </c>
      <c r="I4613" s="15" t="s">
        <v>10</v>
      </c>
      <c r="J4613" s="15" t="s">
        <v>10</v>
      </c>
      <c r="K4613" s="15">
        <v>0.94859801928325116</v>
      </c>
      <c r="L4613" s="15">
        <v>0.94859801928325116</v>
      </c>
      <c r="M4613" s="15" t="s">
        <v>10</v>
      </c>
      <c r="N4613" s="15" t="s">
        <v>10</v>
      </c>
      <c r="O4613" s="15" t="s">
        <v>10</v>
      </c>
      <c r="P4613" s="15" t="s">
        <v>10</v>
      </c>
      <c r="Q4613" s="8"/>
      <c r="R4613" s="9" t="s">
        <v>4158</v>
      </c>
    </row>
    <row r="4614" spans="1:18" x14ac:dyDescent="0.25">
      <c r="A4614" s="6" t="str">
        <f>HYPERLINK("proteomic_fractions_linear_files/Yang_linear_img/255958302.jpg", "255958302")</f>
        <v>255958302</v>
      </c>
      <c r="B4614" s="7"/>
      <c r="C4614" s="6" t="str">
        <f>HYPERLINK("http://www.ncbi.nlm.nih.gov/protein/255958302","Mtm1")</f>
        <v>Mtm1</v>
      </c>
      <c r="D4614" s="8"/>
      <c r="E4614" s="8">
        <v>65832</v>
      </c>
      <c r="F4614" s="8"/>
      <c r="G4614" s="15" t="s">
        <v>10</v>
      </c>
      <c r="H4614" s="15" t="s">
        <v>10</v>
      </c>
      <c r="I4614" s="15" t="s">
        <v>10</v>
      </c>
      <c r="J4614" s="15" t="s">
        <v>10</v>
      </c>
      <c r="K4614" s="15">
        <v>0.99171611106885349</v>
      </c>
      <c r="L4614" s="15">
        <v>0.99171611106885349</v>
      </c>
      <c r="M4614" s="15" t="s">
        <v>10</v>
      </c>
      <c r="N4614" s="15" t="s">
        <v>10</v>
      </c>
      <c r="O4614" s="15" t="s">
        <v>10</v>
      </c>
      <c r="P4614" s="15" t="s">
        <v>10</v>
      </c>
      <c r="Q4614" s="8"/>
      <c r="R4614" s="9" t="s">
        <v>4159</v>
      </c>
    </row>
    <row r="4615" spans="1:18" x14ac:dyDescent="0.25">
      <c r="A4615" s="6" t="str">
        <f>HYPERLINK("proteomic_fractions_linear_files/Yang_linear_img/124028523.jpg", "124028523")</f>
        <v>124028523</v>
      </c>
      <c r="B4615" s="7"/>
      <c r="C4615" s="6" t="str">
        <f>HYPERLINK("http://www.ncbi.nlm.nih.gov/protein/124028523","Mtmr10")</f>
        <v>Mtmr10</v>
      </c>
      <c r="D4615" s="8"/>
      <c r="E4615" s="8">
        <v>88067</v>
      </c>
      <c r="F4615" s="8"/>
      <c r="G4615" s="15" t="s">
        <v>10</v>
      </c>
      <c r="H4615" s="15" t="s">
        <v>10</v>
      </c>
      <c r="I4615" s="15" t="s">
        <v>10</v>
      </c>
      <c r="J4615" s="15" t="s">
        <v>10</v>
      </c>
      <c r="K4615" s="15">
        <v>1.0791816043475513</v>
      </c>
      <c r="L4615" s="15">
        <v>1.0791816043475513</v>
      </c>
      <c r="M4615" s="15" t="s">
        <v>10</v>
      </c>
      <c r="N4615" s="15" t="s">
        <v>10</v>
      </c>
      <c r="O4615" s="15" t="s">
        <v>10</v>
      </c>
      <c r="P4615" s="15" t="s">
        <v>10</v>
      </c>
      <c r="Q4615" s="8"/>
      <c r="R4615" s="9" t="s">
        <v>4160</v>
      </c>
    </row>
    <row r="4616" spans="1:18" x14ac:dyDescent="0.25">
      <c r="A4616" s="6" t="str">
        <f>HYPERLINK("proteomic_fractions_linear_files/Yang_linear_img/27370470.jpg", "27370470")</f>
        <v>27370470</v>
      </c>
      <c r="B4616" s="7"/>
      <c r="C4616" s="6" t="str">
        <f>HYPERLINK("http://www.ncbi.nlm.nih.gov/protein/27370470","Mtmr12")</f>
        <v>Mtmr12</v>
      </c>
      <c r="D4616" s="8"/>
      <c r="E4616" s="8">
        <v>85385</v>
      </c>
      <c r="F4616" s="8"/>
      <c r="G4616" s="15" t="s">
        <v>10</v>
      </c>
      <c r="H4616" s="15" t="s">
        <v>10</v>
      </c>
      <c r="I4616" s="15" t="s">
        <v>10</v>
      </c>
      <c r="J4616" s="15" t="s">
        <v>10</v>
      </c>
      <c r="K4616" s="15" t="s">
        <v>10</v>
      </c>
      <c r="L4616" s="15" t="s">
        <v>10</v>
      </c>
      <c r="M4616" s="15">
        <v>1.1172703668539354</v>
      </c>
      <c r="N4616" s="15">
        <v>1.1172703668539354</v>
      </c>
      <c r="O4616" s="15" t="s">
        <v>10</v>
      </c>
      <c r="P4616" s="15" t="s">
        <v>10</v>
      </c>
      <c r="Q4616" s="8"/>
      <c r="R4616" s="9" t="s">
        <v>4161</v>
      </c>
    </row>
    <row r="4617" spans="1:18" x14ac:dyDescent="0.25">
      <c r="A4617" s="6" t="str">
        <f>HYPERLINK("proteomic_fractions_linear_files/Yang_linear_img/163937863.jpg", "163937863")</f>
        <v>163937863</v>
      </c>
      <c r="B4617" s="7"/>
      <c r="C4617" s="6" t="str">
        <f>HYPERLINK("http://www.ncbi.nlm.nih.gov/protein/163937863","Mtmr14")</f>
        <v>Mtmr14</v>
      </c>
      <c r="D4617" s="8"/>
      <c r="E4617" s="8">
        <v>72312</v>
      </c>
      <c r="F4617" s="8"/>
      <c r="G4617" s="15" t="s">
        <v>10</v>
      </c>
      <c r="H4617" s="15" t="s">
        <v>10</v>
      </c>
      <c r="I4617" s="15">
        <v>1.0199466700233646</v>
      </c>
      <c r="J4617" s="15">
        <v>1.0199466700233646</v>
      </c>
      <c r="K4617" s="15">
        <v>1.0199466700233646</v>
      </c>
      <c r="L4617" s="15">
        <v>1.0199466700233646</v>
      </c>
      <c r="M4617" s="15">
        <v>1.0199466700233646</v>
      </c>
      <c r="N4617" s="15">
        <v>1.0199466700233646</v>
      </c>
      <c r="O4617" s="15" t="s">
        <v>10</v>
      </c>
      <c r="P4617" s="15" t="s">
        <v>10</v>
      </c>
      <c r="Q4617" s="8"/>
      <c r="R4617" s="9" t="s">
        <v>4162</v>
      </c>
    </row>
    <row r="4618" spans="1:18" x14ac:dyDescent="0.25">
      <c r="A4618" s="6" t="str">
        <f>HYPERLINK("proteomic_fractions_linear_files/Yang_linear_img/194394153.jpg", "194394153")</f>
        <v>194394153</v>
      </c>
      <c r="B4618" s="7"/>
      <c r="C4618" s="6" t="str">
        <f>HYPERLINK("http://www.ncbi.nlm.nih.gov/protein/194394153","Mtmr2")</f>
        <v>Mtmr2</v>
      </c>
      <c r="D4618" s="8"/>
      <c r="E4618" s="8">
        <v>73101</v>
      </c>
      <c r="F4618" s="8"/>
      <c r="G4618" s="15" t="s">
        <v>10</v>
      </c>
      <c r="H4618" s="15" t="s">
        <v>10</v>
      </c>
      <c r="I4618" s="15" t="s">
        <v>10</v>
      </c>
      <c r="J4618" s="15" t="s">
        <v>10</v>
      </c>
      <c r="K4618" s="15" t="s">
        <v>10</v>
      </c>
      <c r="L4618" s="15" t="s">
        <v>10</v>
      </c>
      <c r="M4618" s="15">
        <v>1.1383377873033405</v>
      </c>
      <c r="N4618" s="15">
        <v>1.1383377873033405</v>
      </c>
      <c r="O4618" s="15" t="s">
        <v>10</v>
      </c>
      <c r="P4618" s="15" t="s">
        <v>10</v>
      </c>
      <c r="Q4618" s="8"/>
      <c r="R4618" s="9" t="s">
        <v>4163</v>
      </c>
    </row>
    <row r="4619" spans="1:18" x14ac:dyDescent="0.25">
      <c r="A4619" s="6" t="str">
        <f>HYPERLINK("proteomic_fractions_linear_files/Yang_linear_img/21450239.jpg", "21450239")</f>
        <v>21450239</v>
      </c>
      <c r="B4619" s="7"/>
      <c r="C4619" s="6" t="str">
        <f>HYPERLINK("http://www.ncbi.nlm.nih.gov/protein/21450239","Mtmr6")</f>
        <v>Mtmr6</v>
      </c>
      <c r="D4619" s="8"/>
      <c r="E4619" s="8">
        <v>70802</v>
      </c>
      <c r="F4619" s="8"/>
      <c r="G4619" s="15" t="s">
        <v>10</v>
      </c>
      <c r="H4619" s="15" t="s">
        <v>10</v>
      </c>
      <c r="I4619" s="15" t="s">
        <v>10</v>
      </c>
      <c r="J4619" s="15" t="s">
        <v>10</v>
      </c>
      <c r="K4619" s="15">
        <v>1.0343121160800317</v>
      </c>
      <c r="L4619" s="15">
        <v>1.0343121160800317</v>
      </c>
      <c r="M4619" s="15" t="s">
        <v>10</v>
      </c>
      <c r="N4619" s="15" t="s">
        <v>10</v>
      </c>
      <c r="O4619" s="15" t="s">
        <v>10</v>
      </c>
      <c r="P4619" s="15" t="s">
        <v>10</v>
      </c>
      <c r="Q4619" s="8"/>
      <c r="R4619" s="9" t="s">
        <v>4164</v>
      </c>
    </row>
    <row r="4620" spans="1:18" x14ac:dyDescent="0.25">
      <c r="A4620" s="6" t="str">
        <f>HYPERLINK("proteomic_fractions_linear_files/Yang_linear_img/171460946.jpg", "171460946")</f>
        <v>171460946</v>
      </c>
      <c r="B4620" s="7"/>
      <c r="C4620" s="6" t="str">
        <f>HYPERLINK("http://www.ncbi.nlm.nih.gov/protein/171460946","Mto1")</f>
        <v>Mto1</v>
      </c>
      <c r="D4620" s="8"/>
      <c r="E4620" s="8">
        <v>71403</v>
      </c>
      <c r="F4620" s="8"/>
      <c r="G4620" s="15" t="s">
        <v>10</v>
      </c>
      <c r="H4620" s="15" t="s">
        <v>10</v>
      </c>
      <c r="I4620" s="15">
        <v>1.0343121160800317</v>
      </c>
      <c r="J4620" s="15">
        <v>1.0343121160800317</v>
      </c>
      <c r="K4620" s="15" t="s">
        <v>10</v>
      </c>
      <c r="L4620" s="15" t="s">
        <v>10</v>
      </c>
      <c r="M4620" s="15" t="s">
        <v>10</v>
      </c>
      <c r="N4620" s="15" t="s">
        <v>10</v>
      </c>
      <c r="O4620" s="15" t="s">
        <v>10</v>
      </c>
      <c r="P4620" s="15" t="s">
        <v>10</v>
      </c>
      <c r="Q4620" s="8"/>
      <c r="R4620" s="9" t="s">
        <v>4165</v>
      </c>
    </row>
    <row r="4621" spans="1:18" x14ac:dyDescent="0.25">
      <c r="A4621" s="6" t="str">
        <f>HYPERLINK("proteomic_fractions_linear_files/Yang_linear_img/227330586.jpg", "227330586")</f>
        <v>227330586</v>
      </c>
      <c r="B4621" s="7"/>
      <c r="C4621" s="6" t="str">
        <f>HYPERLINK("http://www.ncbi.nlm.nih.gov/protein/227330586","Mtor")</f>
        <v>Mtor</v>
      </c>
      <c r="D4621" s="8"/>
      <c r="E4621" s="8">
        <v>288660</v>
      </c>
      <c r="F4621" s="8"/>
      <c r="G4621" s="15" t="s">
        <v>10</v>
      </c>
      <c r="H4621" s="15" t="s">
        <v>10</v>
      </c>
      <c r="I4621" s="15">
        <v>0.80747698141124247</v>
      </c>
      <c r="J4621" s="15">
        <v>0.80747698141124247</v>
      </c>
      <c r="K4621" s="15">
        <v>1.0442329572197189</v>
      </c>
      <c r="L4621" s="15">
        <v>1.0442329572197189</v>
      </c>
      <c r="M4621" s="15">
        <v>1.4153756323164006</v>
      </c>
      <c r="N4621" s="15">
        <v>1.4153756323164006</v>
      </c>
      <c r="O4621" s="15" t="s">
        <v>10</v>
      </c>
      <c r="P4621" s="15" t="s">
        <v>10</v>
      </c>
      <c r="Q4621" s="8"/>
      <c r="R4621" s="9" t="s">
        <v>4166</v>
      </c>
    </row>
    <row r="4622" spans="1:18" x14ac:dyDescent="0.25">
      <c r="A4622" s="6" t="str">
        <f>HYPERLINK("proteomic_fractions_linear_files/Yang_linear_img/6679961.jpg", "6679961")</f>
        <v>6679961</v>
      </c>
      <c r="B4622" s="7"/>
      <c r="C4622" s="6" t="str">
        <f>HYPERLINK("http://www.ncbi.nlm.nih.gov/protein/6679961","Mtpn")</f>
        <v>Mtpn</v>
      </c>
      <c r="D4622" s="8"/>
      <c r="E4622" s="8">
        <v>12730</v>
      </c>
      <c r="F4622" s="8"/>
      <c r="G4622" s="15">
        <v>1.5000884483104058</v>
      </c>
      <c r="H4622" s="15">
        <v>1.5000884483104058</v>
      </c>
      <c r="I4622" s="15">
        <v>1.0228510786924256</v>
      </c>
      <c r="J4622" s="15">
        <v>0.94098933017933517</v>
      </c>
      <c r="K4622" s="15">
        <v>1.0228510786924256</v>
      </c>
      <c r="L4622" s="15">
        <v>1.0228510786924256</v>
      </c>
      <c r="M4622" s="15">
        <v>1.0228510786924256</v>
      </c>
      <c r="N4622" s="15">
        <v>1.0228510786924256</v>
      </c>
      <c r="O4622" s="15">
        <v>0.94098933017933517</v>
      </c>
      <c r="P4622" s="15">
        <v>0.94098933017933517</v>
      </c>
      <c r="Q4622" s="8"/>
      <c r="R4622" s="9" t="s">
        <v>4167</v>
      </c>
    </row>
    <row r="4623" spans="1:18" x14ac:dyDescent="0.25">
      <c r="A4623" s="6" t="str">
        <f>HYPERLINK("proteomic_fractions_linear_files/Yang_linear_img/241982740.jpg", "241982740")</f>
        <v>241982740</v>
      </c>
      <c r="B4623" s="7"/>
      <c r="C4623" s="6" t="str">
        <f>HYPERLINK("http://www.ncbi.nlm.nih.gov/protein/241982740","Mtx1")</f>
        <v>Mtx1</v>
      </c>
      <c r="D4623" s="8"/>
      <c r="E4623" s="8">
        <v>51211</v>
      </c>
      <c r="F4623" s="8"/>
      <c r="G4623" s="15">
        <v>0.79426114123966163</v>
      </c>
      <c r="H4623" s="15">
        <v>0.79426114123966163</v>
      </c>
      <c r="I4623" s="15">
        <v>0.62909946775948211</v>
      </c>
      <c r="J4623" s="15">
        <v>0.62909946775948211</v>
      </c>
      <c r="K4623" s="15">
        <v>0.62909946775948211</v>
      </c>
      <c r="L4623" s="15">
        <v>0.62909946775948211</v>
      </c>
      <c r="M4623" s="15" t="s">
        <v>10</v>
      </c>
      <c r="N4623" s="15" t="s">
        <v>10</v>
      </c>
      <c r="O4623" s="15">
        <v>0.54741590779768745</v>
      </c>
      <c r="P4623" s="15">
        <v>0.54741590779768745</v>
      </c>
      <c r="Q4623" s="8"/>
      <c r="R4623" s="9" t="s">
        <v>4168</v>
      </c>
    </row>
    <row r="4624" spans="1:18" x14ac:dyDescent="0.25">
      <c r="A4624" s="6" t="str">
        <f>HYPERLINK("proteomic_fractions_linear_files/Yang_linear_img/241982742.jpg", "241982742")</f>
        <v>241982742</v>
      </c>
      <c r="B4624" s="7"/>
      <c r="C4624" s="6" t="str">
        <f>HYPERLINK("http://www.ncbi.nlm.nih.gov/protein/241982742","Mtx1")</f>
        <v>Mtx1</v>
      </c>
      <c r="D4624" s="8"/>
      <c r="E4624" s="8">
        <v>51083</v>
      </c>
      <c r="F4624" s="8"/>
      <c r="G4624" s="15">
        <v>0.79426114123966163</v>
      </c>
      <c r="H4624" s="15">
        <v>0.79426114123966163</v>
      </c>
      <c r="I4624" s="15">
        <v>0.62909946775948211</v>
      </c>
      <c r="J4624" s="15">
        <v>0.62909946775948211</v>
      </c>
      <c r="K4624" s="15">
        <v>0.62909946775948211</v>
      </c>
      <c r="L4624" s="15">
        <v>0.62909946775948211</v>
      </c>
      <c r="M4624" s="15" t="s">
        <v>10</v>
      </c>
      <c r="N4624" s="15" t="s">
        <v>10</v>
      </c>
      <c r="O4624" s="15">
        <v>0.54741590779768745</v>
      </c>
      <c r="P4624" s="15">
        <v>0.54741590779768745</v>
      </c>
      <c r="Q4624" s="8"/>
      <c r="R4624" s="9" t="s">
        <v>4169</v>
      </c>
    </row>
    <row r="4625" spans="1:18" x14ac:dyDescent="0.25">
      <c r="A4625" s="6" t="str">
        <f>HYPERLINK("proteomic_fractions_linear_files/Yang_linear_img/228480241.jpg", "228480241")</f>
        <v>228480241</v>
      </c>
      <c r="B4625" s="7"/>
      <c r="C4625" s="6" t="str">
        <f>HYPERLINK("http://www.ncbi.nlm.nih.gov/protein/228480241","Mtx2")</f>
        <v>Mtx2</v>
      </c>
      <c r="D4625" s="8"/>
      <c r="E4625" s="8">
        <v>29627</v>
      </c>
      <c r="F4625" s="8"/>
      <c r="G4625" s="15">
        <v>1.1517792176825061</v>
      </c>
      <c r="H4625" s="15">
        <v>1.1517792176825061</v>
      </c>
      <c r="I4625" s="15">
        <v>0.81849402044256392</v>
      </c>
      <c r="J4625" s="15">
        <v>0.81849402044256392</v>
      </c>
      <c r="K4625" s="15">
        <v>0.81849402044256392</v>
      </c>
      <c r="L4625" s="15">
        <v>0.81849402044256392</v>
      </c>
      <c r="M4625" s="15" t="s">
        <v>10</v>
      </c>
      <c r="N4625" s="15" t="s">
        <v>10</v>
      </c>
      <c r="O4625" s="15" t="s">
        <v>10</v>
      </c>
      <c r="P4625" s="15" t="s">
        <v>10</v>
      </c>
      <c r="Q4625" s="8"/>
      <c r="R4625" s="9" t="s">
        <v>4170</v>
      </c>
    </row>
    <row r="4626" spans="1:18" x14ac:dyDescent="0.25">
      <c r="A4626" s="6" t="str">
        <f>HYPERLINK("proteomic_fractions_linear_files/Yang_linear_img/7305293.jpg", "7305293")</f>
        <v>7305293</v>
      </c>
      <c r="B4626" s="7"/>
      <c r="C4626" s="6" t="str">
        <f>HYPERLINK("http://www.ncbi.nlm.nih.gov/protein/7305293","Muc1")</f>
        <v>Muc1</v>
      </c>
      <c r="D4626" s="8"/>
      <c r="E4626" s="8">
        <v>62165</v>
      </c>
      <c r="F4626" s="8"/>
      <c r="G4626" s="15" t="s">
        <v>10</v>
      </c>
      <c r="H4626" s="15" t="s">
        <v>10</v>
      </c>
      <c r="I4626" s="15">
        <v>0.24510223054539171</v>
      </c>
      <c r="J4626" s="15">
        <v>0.24510223054539171</v>
      </c>
      <c r="K4626" s="15">
        <v>0.31453467464573021</v>
      </c>
      <c r="L4626" s="15">
        <v>0.31453467464573021</v>
      </c>
      <c r="M4626" s="15" t="s">
        <v>10</v>
      </c>
      <c r="N4626" s="15" t="s">
        <v>10</v>
      </c>
      <c r="O4626" s="15">
        <v>0.29831127684780784</v>
      </c>
      <c r="P4626" s="15">
        <v>0.29831127684780784</v>
      </c>
      <c r="Q4626" s="8"/>
      <c r="R4626" s="9" t="s">
        <v>4171</v>
      </c>
    </row>
    <row r="4627" spans="1:18" x14ac:dyDescent="0.25">
      <c r="A4627" s="6" t="str">
        <f>HYPERLINK("proteomic_fractions_linear_files/Yang_linear_img/167736365.jpg", "167736365")</f>
        <v>167736365</v>
      </c>
      <c r="B4627" s="7"/>
      <c r="C4627" s="6" t="str">
        <f>HYPERLINK("http://www.ncbi.nlm.nih.gov/protein/167736365","Muc4")</f>
        <v>Muc4</v>
      </c>
      <c r="D4627" s="8"/>
      <c r="E4627" s="8">
        <v>365203</v>
      </c>
      <c r="F4627" s="8"/>
      <c r="G4627" s="15" t="s">
        <v>10</v>
      </c>
      <c r="H4627" s="15" t="s">
        <v>10</v>
      </c>
      <c r="I4627" s="15">
        <v>5.1670257647479207</v>
      </c>
      <c r="J4627" s="15">
        <v>5.1670257647479207</v>
      </c>
      <c r="K4627" s="15">
        <v>0.6393447880215043</v>
      </c>
      <c r="L4627" s="15">
        <v>0.6393447880215043</v>
      </c>
      <c r="M4627" s="15">
        <v>16.419452054794522</v>
      </c>
      <c r="N4627" s="15">
        <v>16.419452054794522</v>
      </c>
      <c r="O4627" s="15">
        <v>5.1670257647479207</v>
      </c>
      <c r="P4627" s="15">
        <v>5.1670257647479207</v>
      </c>
      <c r="Q4627" s="8"/>
      <c r="R4627" s="9" t="s">
        <v>4172</v>
      </c>
    </row>
    <row r="4628" spans="1:18" x14ac:dyDescent="0.25">
      <c r="A4628" s="6" t="str">
        <f>HYPERLINK("proteomic_fractions_linear_files/Yang_linear_img/31982171.jpg", "31982171")</f>
        <v>31982171</v>
      </c>
      <c r="B4628" s="7"/>
      <c r="C4628" s="6" t="str">
        <f>HYPERLINK("http://www.ncbi.nlm.nih.gov/protein/31982171","Mug1")</f>
        <v>Mug1</v>
      </c>
      <c r="D4628" s="8"/>
      <c r="E4628" s="8">
        <v>162254</v>
      </c>
      <c r="F4628" s="8"/>
      <c r="G4628" s="15" t="s">
        <v>10</v>
      </c>
      <c r="H4628" s="15" t="s">
        <v>10</v>
      </c>
      <c r="I4628" s="15" t="s">
        <v>10</v>
      </c>
      <c r="J4628" s="15" t="s">
        <v>10</v>
      </c>
      <c r="K4628" s="15">
        <v>1.8628600286203627</v>
      </c>
      <c r="L4628" s="15">
        <v>1.8628600286203627</v>
      </c>
      <c r="M4628" s="15">
        <v>0.40403248969471811</v>
      </c>
      <c r="N4628" s="15">
        <v>0.40403248969471811</v>
      </c>
      <c r="O4628" s="15" t="s">
        <v>10</v>
      </c>
      <c r="P4628" s="15" t="s">
        <v>10</v>
      </c>
      <c r="Q4628" s="8"/>
      <c r="R4628" s="9" t="s">
        <v>4173</v>
      </c>
    </row>
    <row r="4629" spans="1:18" x14ac:dyDescent="0.25">
      <c r="A4629" s="6" t="str">
        <f>HYPERLINK("proteomic_fractions_linear_files/Yang_linear_img/153945747.jpg", "153945747")</f>
        <v>153945747</v>
      </c>
      <c r="B4629" s="7"/>
      <c r="C4629" s="6" t="str">
        <f>HYPERLINK("http://www.ncbi.nlm.nih.gov/protein/153945747","Mug2")</f>
        <v>Mug2</v>
      </c>
      <c r="D4629" s="8"/>
      <c r="E4629" s="8">
        <v>159404</v>
      </c>
      <c r="F4629" s="8"/>
      <c r="G4629" s="15" t="s">
        <v>10</v>
      </c>
      <c r="H4629" s="15" t="s">
        <v>10</v>
      </c>
      <c r="I4629" s="15" t="s">
        <v>10</v>
      </c>
      <c r="J4629" s="15" t="s">
        <v>10</v>
      </c>
      <c r="K4629" s="15">
        <v>1.898008331047162</v>
      </c>
      <c r="L4629" s="15">
        <v>1.898008331047162</v>
      </c>
      <c r="M4629" s="15">
        <v>0.41165574421725992</v>
      </c>
      <c r="N4629" s="15">
        <v>0.41165574421725992</v>
      </c>
      <c r="O4629" s="15" t="s">
        <v>10</v>
      </c>
      <c r="P4629" s="15" t="s">
        <v>10</v>
      </c>
      <c r="Q4629" s="8"/>
      <c r="R4629" s="9" t="s">
        <v>4174</v>
      </c>
    </row>
    <row r="4630" spans="1:18" x14ac:dyDescent="0.25">
      <c r="A4630" s="6" t="str">
        <f>HYPERLINK("proteomic_fractions_linear_files/Yang_linear_img/244792753.jpg", "244792753")</f>
        <v>244792753</v>
      </c>
      <c r="B4630" s="7"/>
      <c r="C4630" s="6" t="str">
        <f>HYPERLINK("http://www.ncbi.nlm.nih.gov/protein/244792753","Mup1")</f>
        <v>Mup1</v>
      </c>
      <c r="D4630" s="8"/>
      <c r="E4630" s="8">
        <v>18695</v>
      </c>
      <c r="F4630" s="8"/>
      <c r="G4630" s="15" t="s">
        <v>10</v>
      </c>
      <c r="H4630" s="15" t="s">
        <v>10</v>
      </c>
      <c r="I4630" s="15">
        <v>99.26128442805215</v>
      </c>
      <c r="J4630" s="15">
        <v>99.26128442805215</v>
      </c>
      <c r="K4630" s="15">
        <v>31.236463456279168</v>
      </c>
      <c r="L4630" s="15">
        <v>31.236463456279168</v>
      </c>
      <c r="M4630" s="15">
        <v>315.42631578947368</v>
      </c>
      <c r="N4630" s="15">
        <v>315.42631578947368</v>
      </c>
      <c r="O4630" s="15" t="s">
        <v>10</v>
      </c>
      <c r="P4630" s="15" t="s">
        <v>10</v>
      </c>
      <c r="Q4630" s="8"/>
      <c r="R4630" s="9" t="s">
        <v>4175</v>
      </c>
    </row>
    <row r="4631" spans="1:18" x14ac:dyDescent="0.25">
      <c r="A4631" s="6" t="str">
        <f>HYPERLINK("proteomic_fractions_linear_files/Yang_linear_img/244792827.jpg", "244792827")</f>
        <v>244792827</v>
      </c>
      <c r="B4631" s="7"/>
      <c r="C4631" s="6" t="str">
        <f>HYPERLINK("http://www.ncbi.nlm.nih.gov/protein/244792827","Mup1")</f>
        <v>Mup1</v>
      </c>
      <c r="D4631" s="8"/>
      <c r="E4631" s="8">
        <v>24894</v>
      </c>
      <c r="F4631" s="8"/>
      <c r="G4631" s="15" t="s">
        <v>10</v>
      </c>
      <c r="H4631" s="15" t="s">
        <v>10</v>
      </c>
      <c r="I4631" s="15">
        <v>75.438576165319631</v>
      </c>
      <c r="J4631" s="15">
        <v>75.438576165319631</v>
      </c>
      <c r="K4631" s="15">
        <v>23.739712226772166</v>
      </c>
      <c r="L4631" s="15">
        <v>23.739712226772166</v>
      </c>
      <c r="M4631" s="15">
        <v>239.72400000000002</v>
      </c>
      <c r="N4631" s="15">
        <v>239.72400000000002</v>
      </c>
      <c r="O4631" s="15" t="s">
        <v>10</v>
      </c>
      <c r="P4631" s="15" t="s">
        <v>10</v>
      </c>
      <c r="Q4631" s="8"/>
      <c r="R4631" s="9" t="s">
        <v>4176</v>
      </c>
    </row>
    <row r="4632" spans="1:18" x14ac:dyDescent="0.25">
      <c r="A4632" s="6" t="str">
        <f>HYPERLINK("proteomic_fractions_linear_files/Yang_linear_img/317008598.jpg", "317008598")</f>
        <v>317008598</v>
      </c>
      <c r="B4632" s="7"/>
      <c r="C4632" s="6" t="str">
        <f>HYPERLINK("http://www.ncbi.nlm.nih.gov/protein/317008598","Mup12")</f>
        <v>Mup12</v>
      </c>
      <c r="D4632" s="8"/>
      <c r="E4632" s="8">
        <v>18695</v>
      </c>
      <c r="F4632" s="8"/>
      <c r="G4632" s="15" t="s">
        <v>10</v>
      </c>
      <c r="H4632" s="15" t="s">
        <v>10</v>
      </c>
      <c r="I4632" s="15">
        <v>99.26128442805215</v>
      </c>
      <c r="J4632" s="15">
        <v>99.26128442805215</v>
      </c>
      <c r="K4632" s="15">
        <v>31.236463456279168</v>
      </c>
      <c r="L4632" s="15">
        <v>31.236463456279168</v>
      </c>
      <c r="M4632" s="15">
        <v>315.42631578947368</v>
      </c>
      <c r="N4632" s="15">
        <v>315.42631578947368</v>
      </c>
      <c r="O4632" s="15" t="s">
        <v>10</v>
      </c>
      <c r="P4632" s="15" t="s">
        <v>10</v>
      </c>
      <c r="Q4632" s="8"/>
      <c r="R4632" s="9" t="s">
        <v>4177</v>
      </c>
    </row>
    <row r="4633" spans="1:18" x14ac:dyDescent="0.25">
      <c r="A4633" s="6" t="str">
        <f>HYPERLINK("proteomic_fractions_linear_files/Yang_linear_img/317008616.jpg", "317008616")</f>
        <v>317008616</v>
      </c>
      <c r="B4633" s="7"/>
      <c r="C4633" s="6" t="str">
        <f>HYPERLINK("http://www.ncbi.nlm.nih.gov/protein/317008616","Mup15")</f>
        <v>Mup15</v>
      </c>
      <c r="D4633" s="8"/>
      <c r="E4633" s="8">
        <v>18694</v>
      </c>
      <c r="F4633" s="8"/>
      <c r="G4633" s="15" t="s">
        <v>10</v>
      </c>
      <c r="H4633" s="15" t="s">
        <v>10</v>
      </c>
      <c r="I4633" s="15">
        <v>99.26128442805215</v>
      </c>
      <c r="J4633" s="15">
        <v>99.26128442805215</v>
      </c>
      <c r="K4633" s="15">
        <v>31.236463456279168</v>
      </c>
      <c r="L4633" s="15">
        <v>31.236463456279168</v>
      </c>
      <c r="M4633" s="15">
        <v>315.42631578947368</v>
      </c>
      <c r="N4633" s="15">
        <v>315.42631578947368</v>
      </c>
      <c r="O4633" s="15" t="s">
        <v>10</v>
      </c>
      <c r="P4633" s="15" t="s">
        <v>10</v>
      </c>
      <c r="Q4633" s="8"/>
      <c r="R4633" s="9" t="s">
        <v>4178</v>
      </c>
    </row>
    <row r="4634" spans="1:18" x14ac:dyDescent="0.25">
      <c r="A4634" s="6" t="str">
        <f>HYPERLINK("proteomic_fractions_linear_files/Yang_linear_img/197927289.jpg", "197927289")</f>
        <v>197927289</v>
      </c>
      <c r="B4634" s="7"/>
      <c r="C4634" s="6" t="str">
        <f>HYPERLINK("http://www.ncbi.nlm.nih.gov/protein/197927289","Mup7")</f>
        <v>Mup7</v>
      </c>
      <c r="D4634" s="8"/>
      <c r="E4634" s="8">
        <v>24846</v>
      </c>
      <c r="F4634" s="8"/>
      <c r="G4634" s="15" t="s">
        <v>10</v>
      </c>
      <c r="H4634" s="15" t="s">
        <v>10</v>
      </c>
      <c r="I4634" s="15">
        <v>75.438576165319631</v>
      </c>
      <c r="J4634" s="15">
        <v>75.438576165319631</v>
      </c>
      <c r="K4634" s="15">
        <v>23.739712226772166</v>
      </c>
      <c r="L4634" s="15">
        <v>23.739712226772166</v>
      </c>
      <c r="M4634" s="15">
        <v>239.72400000000002</v>
      </c>
      <c r="N4634" s="15">
        <v>239.72400000000002</v>
      </c>
      <c r="O4634" s="15" t="s">
        <v>10</v>
      </c>
      <c r="P4634" s="15" t="s">
        <v>10</v>
      </c>
      <c r="Q4634" s="8"/>
      <c r="R4634" s="9" t="s">
        <v>4179</v>
      </c>
    </row>
    <row r="4635" spans="1:18" x14ac:dyDescent="0.25">
      <c r="A4635" s="6" t="str">
        <f>HYPERLINK("proteomic_fractions_linear_files/Yang_linear_img/148540106.jpg", "148540106")</f>
        <v>148540106</v>
      </c>
      <c r="B4635" s="7"/>
      <c r="C4635" s="6" t="str">
        <f>HYPERLINK("http://www.ncbi.nlm.nih.gov/protein/148540106","Mut")</f>
        <v>Mut</v>
      </c>
      <c r="D4635" s="8"/>
      <c r="E4635" s="8">
        <v>79239</v>
      </c>
      <c r="F4635" s="8"/>
      <c r="G4635" s="15" t="s">
        <v>10</v>
      </c>
      <c r="H4635" s="15" t="s">
        <v>10</v>
      </c>
      <c r="I4635" s="15">
        <v>1.0518817528246058</v>
      </c>
      <c r="J4635" s="15">
        <v>1.0518817528246058</v>
      </c>
      <c r="K4635" s="15" t="s">
        <v>10</v>
      </c>
      <c r="L4635" s="15" t="s">
        <v>10</v>
      </c>
      <c r="M4635" s="15" t="s">
        <v>10</v>
      </c>
      <c r="N4635" s="15" t="s">
        <v>10</v>
      </c>
      <c r="O4635" s="15" t="s">
        <v>10</v>
      </c>
      <c r="P4635" s="15" t="s">
        <v>10</v>
      </c>
      <c r="Q4635" s="8"/>
      <c r="R4635" s="9" t="s">
        <v>4180</v>
      </c>
    </row>
    <row r="4636" spans="1:18" x14ac:dyDescent="0.25">
      <c r="A4636" s="6" t="str">
        <f>HYPERLINK("proteomic_fractions_linear_files/Yang_linear_img/21312058.jpg", "21312058")</f>
        <v>21312058</v>
      </c>
      <c r="B4636" s="7"/>
      <c r="C4636" s="6" t="str">
        <f>HYPERLINK("http://www.ncbi.nlm.nih.gov/protein/21312058","Mvb12a")</f>
        <v>Mvb12a</v>
      </c>
      <c r="D4636" s="8"/>
      <c r="E4636" s="8">
        <v>28574</v>
      </c>
      <c r="F4636" s="8"/>
      <c r="G4636" s="15" t="s">
        <v>10</v>
      </c>
      <c r="H4636" s="15" t="s">
        <v>10</v>
      </c>
      <c r="I4636" s="15">
        <v>0.96269694129938133</v>
      </c>
      <c r="J4636" s="15">
        <v>0.96269694129938133</v>
      </c>
      <c r="K4636" s="15">
        <v>0.96269694129938133</v>
      </c>
      <c r="L4636" s="15">
        <v>0.96269694129938133</v>
      </c>
      <c r="M4636" s="15">
        <v>0.96269694129938133</v>
      </c>
      <c r="N4636" s="15">
        <v>0.96269694129938133</v>
      </c>
      <c r="O4636" s="15">
        <v>0.84671795218196266</v>
      </c>
      <c r="P4636" s="15">
        <v>0.84671795218196266</v>
      </c>
      <c r="Q4636" s="8"/>
      <c r="R4636" s="9" t="s">
        <v>4181</v>
      </c>
    </row>
    <row r="4637" spans="1:18" x14ac:dyDescent="0.25">
      <c r="A4637" s="6" t="str">
        <f>HYPERLINK("proteomic_fractions_linear_files/Yang_linear_img/256985114.jpg", "256985114")</f>
        <v>256985114</v>
      </c>
      <c r="B4637" s="7"/>
      <c r="C4637" s="6" t="str">
        <f>HYPERLINK("http://www.ncbi.nlm.nih.gov/protein/256985114","Mvd")</f>
        <v>Mvd</v>
      </c>
      <c r="D4637" s="8"/>
      <c r="E4637" s="8">
        <v>43941</v>
      </c>
      <c r="F4637" s="8"/>
      <c r="G4637" s="15" t="s">
        <v>10</v>
      </c>
      <c r="H4637" s="15" t="s">
        <v>10</v>
      </c>
      <c r="I4637" s="15">
        <v>0.9206208682550624</v>
      </c>
      <c r="J4637" s="15">
        <v>0.9206208682550624</v>
      </c>
      <c r="K4637" s="15">
        <v>1.0028543010673969</v>
      </c>
      <c r="L4637" s="15">
        <v>1.0028543010673969</v>
      </c>
      <c r="M4637" s="15" t="s">
        <v>10</v>
      </c>
      <c r="N4637" s="15" t="s">
        <v>10</v>
      </c>
      <c r="O4637" s="15">
        <v>0.84866650961646795</v>
      </c>
      <c r="P4637" s="15">
        <v>0.84866650961646795</v>
      </c>
      <c r="Q4637" s="8"/>
      <c r="R4637" s="9" t="s">
        <v>4182</v>
      </c>
    </row>
    <row r="4638" spans="1:18" x14ac:dyDescent="0.25">
      <c r="A4638" s="6" t="str">
        <f>HYPERLINK("proteomic_fractions_linear_files/Yang_linear_img/12963731.jpg", "12963731")</f>
        <v>12963731</v>
      </c>
      <c r="B4638" s="7"/>
      <c r="C4638" s="6" t="str">
        <f>HYPERLINK("http://www.ncbi.nlm.nih.gov/protein/12963731","Mvk")</f>
        <v>Mvk</v>
      </c>
      <c r="D4638" s="8"/>
      <c r="E4638" s="8">
        <v>41746</v>
      </c>
      <c r="F4638" s="8"/>
      <c r="G4638" s="15" t="s">
        <v>10</v>
      </c>
      <c r="H4638" s="15" t="s">
        <v>10</v>
      </c>
      <c r="I4638" s="15" t="s">
        <v>10</v>
      </c>
      <c r="J4638" s="15" t="s">
        <v>10</v>
      </c>
      <c r="K4638" s="15" t="s">
        <v>10</v>
      </c>
      <c r="L4638" s="15" t="s">
        <v>10</v>
      </c>
      <c r="M4638" s="15" t="s">
        <v>10</v>
      </c>
      <c r="N4638" s="15" t="s">
        <v>10</v>
      </c>
      <c r="O4638" s="15">
        <v>0.82269944120179006</v>
      </c>
      <c r="P4638" s="15">
        <v>0.82269944120179006</v>
      </c>
      <c r="Q4638" s="8"/>
      <c r="R4638" s="9" t="s">
        <v>4183</v>
      </c>
    </row>
    <row r="4639" spans="1:18" x14ac:dyDescent="0.25">
      <c r="A4639" s="6" t="str">
        <f>HYPERLINK("proteomic_fractions_linear_files/Yang_linear_img/239052674.jpg", "239052674")</f>
        <v>239052674</v>
      </c>
      <c r="B4639" s="7"/>
      <c r="C4639" s="6" t="str">
        <f>HYPERLINK("http://www.ncbi.nlm.nih.gov/protein/239052674","Mvp")</f>
        <v>Mvp</v>
      </c>
      <c r="D4639" s="8"/>
      <c r="E4639" s="8">
        <v>96727</v>
      </c>
      <c r="F4639" s="8"/>
      <c r="G4639" s="15">
        <v>4.2169438942210284</v>
      </c>
      <c r="H4639" s="15">
        <v>4.2169438942210284</v>
      </c>
      <c r="I4639" s="15">
        <v>1.1319748847539326</v>
      </c>
      <c r="J4639" s="15">
        <v>1.1319748847539326</v>
      </c>
      <c r="K4639" s="15">
        <v>1.3270270942795563</v>
      </c>
      <c r="L4639" s="15">
        <v>1.3270270942795563</v>
      </c>
      <c r="M4639" s="15">
        <v>1.1319748847539326</v>
      </c>
      <c r="N4639" s="15">
        <v>1.1319748847539326</v>
      </c>
      <c r="O4639" s="15" t="s">
        <v>10</v>
      </c>
      <c r="P4639" s="15" t="s">
        <v>10</v>
      </c>
      <c r="Q4639" s="8"/>
      <c r="R4639" s="9" t="s">
        <v>4184</v>
      </c>
    </row>
    <row r="4640" spans="1:18" x14ac:dyDescent="0.25">
      <c r="A4640" s="6" t="str">
        <f>HYPERLINK("proteomic_fractions_linear_files/Yang_linear_img/148271069.jpg", "148271069")</f>
        <v>148271069</v>
      </c>
      <c r="B4640" s="7"/>
      <c r="C4640" s="6" t="str">
        <f>HYPERLINK("http://www.ncbi.nlm.nih.gov/protein/148271069","Myadm")</f>
        <v>Myadm</v>
      </c>
      <c r="D4640" s="8"/>
      <c r="E4640" s="8">
        <v>35154</v>
      </c>
      <c r="F4640" s="8"/>
      <c r="G4640" s="15" t="s">
        <v>10</v>
      </c>
      <c r="H4640" s="15" t="s">
        <v>10</v>
      </c>
      <c r="I4640" s="15">
        <v>0.66027352499192704</v>
      </c>
      <c r="J4640" s="15">
        <v>0.66027352499192704</v>
      </c>
      <c r="K4640" s="15">
        <v>0.66027352499192704</v>
      </c>
      <c r="L4640" s="15">
        <v>0.66027352499192704</v>
      </c>
      <c r="M4640" s="15">
        <v>0.66027352499192704</v>
      </c>
      <c r="N4640" s="15">
        <v>0.66027352499192704</v>
      </c>
      <c r="O4640" s="15" t="s">
        <v>10</v>
      </c>
      <c r="P4640" s="15" t="s">
        <v>10</v>
      </c>
      <c r="Q4640" s="8"/>
      <c r="R4640" s="9" t="s">
        <v>4185</v>
      </c>
    </row>
    <row r="4641" spans="1:18" x14ac:dyDescent="0.25">
      <c r="A4641" s="6" t="str">
        <f>HYPERLINK("proteomic_fractions_linear_files/Yang_linear_img/31982724.jpg", "31982724")</f>
        <v>31982724</v>
      </c>
      <c r="B4641" s="7"/>
      <c r="C4641" s="6" t="str">
        <f>HYPERLINK("http://www.ncbi.nlm.nih.gov/protein/31982724","Mybbp1a")</f>
        <v>Mybbp1a</v>
      </c>
      <c r="D4641" s="8"/>
      <c r="E4641" s="8">
        <v>151907</v>
      </c>
      <c r="F4641" s="8"/>
      <c r="G4641" s="15">
        <v>1.228722576578555</v>
      </c>
      <c r="H4641" s="15">
        <v>1.228722576578555</v>
      </c>
      <c r="I4641" s="15">
        <v>1.0095583627384332</v>
      </c>
      <c r="J4641" s="15">
        <v>1.0095583627384332</v>
      </c>
      <c r="K4641" s="15">
        <v>1.228722576578555</v>
      </c>
      <c r="L4641" s="15">
        <v>1.228722576578555</v>
      </c>
      <c r="M4641" s="15">
        <v>1.228722576578555</v>
      </c>
      <c r="N4641" s="15">
        <v>1.228722576578555</v>
      </c>
      <c r="O4641" s="15" t="s">
        <v>10</v>
      </c>
      <c r="P4641" s="15" t="s">
        <v>10</v>
      </c>
      <c r="Q4641" s="8"/>
      <c r="R4641" s="9" t="s">
        <v>4186</v>
      </c>
    </row>
    <row r="4642" spans="1:18" x14ac:dyDescent="0.25">
      <c r="A4642" s="6" t="str">
        <f>HYPERLINK("proteomic_fractions_linear_files/Yang_linear_img/84871978.jpg", "84871978")</f>
        <v>84871978</v>
      </c>
      <c r="B4642" s="7"/>
      <c r="C4642" s="6" t="str">
        <f>HYPERLINK("http://www.ncbi.nlm.nih.gov/protein/84871978","Mycbp")</f>
        <v>Mycbp</v>
      </c>
      <c r="D4642" s="8"/>
      <c r="E4642" s="8">
        <v>11839</v>
      </c>
      <c r="F4642" s="8"/>
      <c r="G4642" s="15">
        <v>1.716453432221356</v>
      </c>
      <c r="H4642" s="15">
        <v>1.716453432221356</v>
      </c>
      <c r="I4642" s="15">
        <v>1.1571542083280542</v>
      </c>
      <c r="J4642" s="15">
        <v>1.1571542083280542</v>
      </c>
      <c r="K4642" s="15">
        <v>1.209789476822529</v>
      </c>
      <c r="L4642" s="15">
        <v>1.209789476822529</v>
      </c>
      <c r="M4642" s="15">
        <v>1.209789476822529</v>
      </c>
      <c r="N4642" s="15">
        <v>1.209789476822529</v>
      </c>
      <c r="O4642" s="15">
        <v>1.1080886685834612</v>
      </c>
      <c r="P4642" s="15">
        <v>1.1080886685834612</v>
      </c>
      <c r="Q4642" s="8"/>
      <c r="R4642" s="9" t="s">
        <v>4187</v>
      </c>
    </row>
    <row r="4643" spans="1:18" x14ac:dyDescent="0.25">
      <c r="A4643" s="6" t="str">
        <f>HYPERLINK("proteomic_fractions_linear_files/Yang_linear_img/127141012.jpg", "127141012")</f>
        <v>127141012</v>
      </c>
      <c r="B4643" s="7"/>
      <c r="C4643" s="6" t="str">
        <f>HYPERLINK("http://www.ncbi.nlm.nih.gov/protein/127141012","Mycbp2")</f>
        <v>Mycbp2</v>
      </c>
      <c r="D4643" s="8"/>
      <c r="E4643" s="8">
        <v>520727</v>
      </c>
      <c r="F4643" s="8"/>
      <c r="G4643" s="15" t="s">
        <v>10</v>
      </c>
      <c r="H4643" s="15" t="s">
        <v>10</v>
      </c>
      <c r="I4643" s="15">
        <v>0.57923862694145634</v>
      </c>
      <c r="J4643" s="15">
        <v>0.57923862694145634</v>
      </c>
      <c r="K4643" s="15">
        <v>0.78511239489335849</v>
      </c>
      <c r="L4643" s="15">
        <v>0.78511239489335849</v>
      </c>
      <c r="M4643" s="15">
        <v>11.503071017274474</v>
      </c>
      <c r="N4643" s="15">
        <v>11.503071017274474</v>
      </c>
      <c r="O4643" s="15" t="s">
        <v>10</v>
      </c>
      <c r="P4643" s="15" t="s">
        <v>10</v>
      </c>
      <c r="Q4643" s="8"/>
      <c r="R4643" s="9" t="s">
        <v>4188</v>
      </c>
    </row>
    <row r="4644" spans="1:18" x14ac:dyDescent="0.25">
      <c r="A4644" s="6" t="str">
        <f>HYPERLINK("proteomic_fractions_linear_files/Yang_linear_img/168229259.jpg", "168229259")</f>
        <v>168229259</v>
      </c>
      <c r="B4644" s="7"/>
      <c r="C4644" s="6" t="str">
        <f>HYPERLINK("http://www.ncbi.nlm.nih.gov/protein/168229259","Mycbpap")</f>
        <v>Mycbpap</v>
      </c>
      <c r="D4644" s="8"/>
      <c r="E4644" s="8">
        <v>106321</v>
      </c>
      <c r="F4644" s="8"/>
      <c r="G4644" s="15" t="s">
        <v>10</v>
      </c>
      <c r="H4644" s="15" t="s">
        <v>10</v>
      </c>
      <c r="I4644" s="15" t="s">
        <v>10</v>
      </c>
      <c r="J4644" s="15" t="s">
        <v>10</v>
      </c>
      <c r="K4644" s="15" t="s">
        <v>10</v>
      </c>
      <c r="L4644" s="15" t="s">
        <v>10</v>
      </c>
      <c r="M4644" s="15" t="s">
        <v>10</v>
      </c>
      <c r="N4644" s="15" t="s">
        <v>10</v>
      </c>
      <c r="O4644" s="15">
        <v>0.78394960823720616</v>
      </c>
      <c r="P4644" s="15">
        <v>0.78394960823720616</v>
      </c>
      <c r="Q4644" s="8"/>
      <c r="R4644" s="9" t="s">
        <v>4189</v>
      </c>
    </row>
    <row r="4645" spans="1:18" x14ac:dyDescent="0.25">
      <c r="A4645" s="6" t="str">
        <f>HYPERLINK("proteomic_fractions_linear_files/Yang_linear_img/6754772.jpg", "6754772")</f>
        <v>6754772</v>
      </c>
      <c r="B4645" s="7"/>
      <c r="C4645" s="6" t="str">
        <f>HYPERLINK("http://www.ncbi.nlm.nih.gov/protein/6754772","Myd88")</f>
        <v>Myd88</v>
      </c>
      <c r="D4645" s="8"/>
      <c r="E4645" s="8">
        <v>33622</v>
      </c>
      <c r="F4645" s="8"/>
      <c r="G4645" s="15" t="s">
        <v>10</v>
      </c>
      <c r="H4645" s="15" t="s">
        <v>10</v>
      </c>
      <c r="I4645" s="15">
        <v>0.87898255563862149</v>
      </c>
      <c r="J4645" s="15">
        <v>0.87898255563862149</v>
      </c>
      <c r="K4645" s="15">
        <v>0.94364920163922317</v>
      </c>
      <c r="L4645" s="15">
        <v>0.94364920163922317</v>
      </c>
      <c r="M4645" s="15" t="s">
        <v>10</v>
      </c>
      <c r="N4645" s="15" t="s">
        <v>10</v>
      </c>
      <c r="O4645" s="15">
        <v>0.82112386169653118</v>
      </c>
      <c r="P4645" s="15">
        <v>0.82112386169653118</v>
      </c>
      <c r="Q4645" s="8"/>
      <c r="R4645" s="9" t="s">
        <v>4190</v>
      </c>
    </row>
    <row r="4646" spans="1:18" x14ac:dyDescent="0.25">
      <c r="A4646" s="6" t="str">
        <f>HYPERLINK("proteomic_fractions_linear_files/Yang_linear_img/244790087.jpg", "244790087")</f>
        <v>244790087</v>
      </c>
      <c r="B4646" s="7"/>
      <c r="C4646" s="6" t="str">
        <f>HYPERLINK("http://www.ncbi.nlm.nih.gov/protein/244790087","Myef2")</f>
        <v>Myef2</v>
      </c>
      <c r="D4646" s="8"/>
      <c r="E4646" s="8">
        <v>63164</v>
      </c>
      <c r="F4646" s="8"/>
      <c r="G4646" s="15">
        <v>1.1656533371695594</v>
      </c>
      <c r="H4646" s="15">
        <v>1.1656533371695594</v>
      </c>
      <c r="I4646" s="15">
        <v>1.038940687786418</v>
      </c>
      <c r="J4646" s="15">
        <v>1.038940687786418</v>
      </c>
      <c r="K4646" s="15">
        <v>1.038940687786418</v>
      </c>
      <c r="L4646" s="15">
        <v>1.038940687786418</v>
      </c>
      <c r="M4646" s="15">
        <v>1.038940687786418</v>
      </c>
      <c r="N4646" s="15">
        <v>1.038940687786418</v>
      </c>
      <c r="O4646" s="15" t="s">
        <v>10</v>
      </c>
      <c r="P4646" s="15" t="s">
        <v>10</v>
      </c>
      <c r="Q4646" s="8"/>
      <c r="R4646" s="9" t="s">
        <v>4191</v>
      </c>
    </row>
    <row r="4647" spans="1:18" x14ac:dyDescent="0.25">
      <c r="A4647" s="6" t="str">
        <f>HYPERLINK("proteomic_fractions_linear_files/Yang_linear_img/244790091.jpg", "244790091")</f>
        <v>244790091</v>
      </c>
      <c r="B4647" s="7"/>
      <c r="C4647" s="6" t="str">
        <f>HYPERLINK("http://www.ncbi.nlm.nih.gov/protein/244790091","Myef2")</f>
        <v>Myef2</v>
      </c>
      <c r="D4647" s="8"/>
      <c r="E4647" s="8">
        <v>61603</v>
      </c>
      <c r="F4647" s="8"/>
      <c r="G4647" s="15">
        <v>1.1844541974464877</v>
      </c>
      <c r="H4647" s="15">
        <v>1.1844541974464877</v>
      </c>
      <c r="I4647" s="15">
        <v>1.0556977956539408</v>
      </c>
      <c r="J4647" s="15">
        <v>1.0556977956539408</v>
      </c>
      <c r="K4647" s="15">
        <v>1.0556977956539408</v>
      </c>
      <c r="L4647" s="15">
        <v>1.0556977956539408</v>
      </c>
      <c r="M4647" s="15">
        <v>1.0556977956539408</v>
      </c>
      <c r="N4647" s="15">
        <v>1.0556977956539408</v>
      </c>
      <c r="O4647" s="15" t="s">
        <v>10</v>
      </c>
      <c r="P4647" s="15" t="s">
        <v>10</v>
      </c>
      <c r="Q4647" s="8"/>
      <c r="R4647" s="9" t="s">
        <v>4192</v>
      </c>
    </row>
    <row r="4648" spans="1:18" x14ac:dyDescent="0.25">
      <c r="A4648" s="6" t="str">
        <f>HYPERLINK("proteomic_fractions_linear_files/Yang_linear_img/244790095.jpg", "244790095")</f>
        <v>244790095</v>
      </c>
      <c r="B4648" s="7"/>
      <c r="C4648" s="6" t="str">
        <f>HYPERLINK("http://www.ncbi.nlm.nih.gov/protein/244790095","Myef2")</f>
        <v>Myef2</v>
      </c>
      <c r="D4648" s="8"/>
      <c r="E4648" s="8">
        <v>59412</v>
      </c>
      <c r="F4648" s="8"/>
      <c r="G4648" s="15">
        <v>1.244680682062411</v>
      </c>
      <c r="H4648" s="15">
        <v>1.244680682062411</v>
      </c>
      <c r="I4648" s="15">
        <v>1.1093773445854971</v>
      </c>
      <c r="J4648" s="15">
        <v>1.1093773445854971</v>
      </c>
      <c r="K4648" s="15">
        <v>1.1093773445854971</v>
      </c>
      <c r="L4648" s="15">
        <v>1.1093773445854971</v>
      </c>
      <c r="M4648" s="15">
        <v>1.1093773445854971</v>
      </c>
      <c r="N4648" s="15">
        <v>1.1093773445854971</v>
      </c>
      <c r="O4648" s="15" t="s">
        <v>10</v>
      </c>
      <c r="P4648" s="15" t="s">
        <v>10</v>
      </c>
      <c r="Q4648" s="8"/>
      <c r="R4648" s="9" t="s">
        <v>4193</v>
      </c>
    </row>
    <row r="4649" spans="1:18" x14ac:dyDescent="0.25">
      <c r="A4649" s="6" t="str">
        <f>HYPERLINK("proteomic_fractions_linear_files/Yang_linear_img/11096332.jpg", "11096332")</f>
        <v>11096332</v>
      </c>
      <c r="B4649" s="7"/>
      <c r="C4649" s="6" t="str">
        <f>HYPERLINK("http://www.ncbi.nlm.nih.gov/protein/11096332","Myg1")</f>
        <v>Myg1</v>
      </c>
      <c r="D4649" s="8"/>
      <c r="E4649" s="8">
        <v>37450</v>
      </c>
      <c r="F4649" s="8"/>
      <c r="G4649" s="15" t="s">
        <v>10</v>
      </c>
      <c r="H4649" s="15" t="s">
        <v>10</v>
      </c>
      <c r="I4649" s="15">
        <v>1.0947923838708851</v>
      </c>
      <c r="J4649" s="15">
        <v>1.0947923838708851</v>
      </c>
      <c r="K4649" s="15">
        <v>1.0947923838708851</v>
      </c>
      <c r="L4649" s="15">
        <v>1.0947923838708851</v>
      </c>
      <c r="M4649" s="15">
        <v>1.0947923838708851</v>
      </c>
      <c r="N4649" s="15">
        <v>1.0947923838708851</v>
      </c>
      <c r="O4649" s="15">
        <v>0.93387504136419419</v>
      </c>
      <c r="P4649" s="15">
        <v>0.93387504136419419</v>
      </c>
      <c r="Q4649" s="8"/>
      <c r="R4649" s="9" t="s">
        <v>4194</v>
      </c>
    </row>
    <row r="4650" spans="1:18" x14ac:dyDescent="0.25">
      <c r="A4650" s="6" t="str">
        <f>HYPERLINK("proteomic_fractions_linear_files/Yang_linear_img/82524274.jpg", "82524274")</f>
        <v>82524274</v>
      </c>
      <c r="B4650" s="7"/>
      <c r="C4650" s="6" t="str">
        <f>HYPERLINK("http://www.ncbi.nlm.nih.gov/protein/82524274","Myh1")</f>
        <v>Myh1</v>
      </c>
      <c r="D4650" s="8"/>
      <c r="E4650" s="8">
        <v>223212</v>
      </c>
      <c r="F4650" s="8"/>
      <c r="G4650" s="15">
        <v>8.4572394804169999</v>
      </c>
      <c r="H4650" s="15">
        <v>8.4572394804169999</v>
      </c>
      <c r="I4650" s="15">
        <v>1.0464612001248836</v>
      </c>
      <c r="J4650" s="15">
        <v>1.0464612001248836</v>
      </c>
      <c r="K4650" s="15">
        <v>1.3532884512847478</v>
      </c>
      <c r="L4650" s="15">
        <v>1.3532884512847478</v>
      </c>
      <c r="M4650" s="15">
        <v>1.3532884512847478</v>
      </c>
      <c r="N4650" s="15">
        <v>1.3532884512847478</v>
      </c>
      <c r="O4650" s="15">
        <v>1.0464612001248836</v>
      </c>
      <c r="P4650" s="15">
        <v>1.0464612001248836</v>
      </c>
      <c r="Q4650" s="8"/>
      <c r="R4650" s="9" t="s">
        <v>4195</v>
      </c>
    </row>
    <row r="4651" spans="1:18" x14ac:dyDescent="0.25">
      <c r="A4651" s="6" t="str">
        <f>HYPERLINK("proteomic_fractions_linear_files/Yang_linear_img/33598964.jpg", "33598964")</f>
        <v>33598964</v>
      </c>
      <c r="B4651" s="7"/>
      <c r="C4651" s="6" t="str">
        <f>HYPERLINK("http://www.ncbi.nlm.nih.gov/protein/33598964","Myh10")</f>
        <v>Myh10</v>
      </c>
      <c r="D4651" s="8"/>
      <c r="E4651" s="8">
        <v>228866</v>
      </c>
      <c r="F4651" s="8"/>
      <c r="G4651" s="15">
        <v>1.019043002741699</v>
      </c>
      <c r="H4651" s="15">
        <v>1.019043002741699</v>
      </c>
      <c r="I4651" s="15">
        <v>1.019043002741699</v>
      </c>
      <c r="J4651" s="15">
        <v>1.019043002741699</v>
      </c>
      <c r="K4651" s="15">
        <v>1.3178311119497763</v>
      </c>
      <c r="L4651" s="15">
        <v>1.3178311119497763</v>
      </c>
      <c r="M4651" s="15">
        <v>1.019043002741699</v>
      </c>
      <c r="N4651" s="15">
        <v>1.019043002741699</v>
      </c>
      <c r="O4651" s="15">
        <v>1.019043002741699</v>
      </c>
      <c r="P4651" s="15">
        <v>1.019043002741699</v>
      </c>
      <c r="Q4651" s="8"/>
      <c r="R4651" s="9" t="s">
        <v>4196</v>
      </c>
    </row>
    <row r="4652" spans="1:18" x14ac:dyDescent="0.25">
      <c r="A4652" s="6" t="str">
        <f>HYPERLINK("proteomic_fractions_linear_files/Yang_linear_img/241982716.jpg", "241982716")</f>
        <v>241982716</v>
      </c>
      <c r="B4652" s="7"/>
      <c r="C4652" s="6" t="str">
        <f>HYPERLINK("http://www.ncbi.nlm.nih.gov/protein/241982716","Myh11")</f>
        <v>Myh11</v>
      </c>
      <c r="D4652" s="8"/>
      <c r="E4652" s="8">
        <v>223227</v>
      </c>
      <c r="F4652" s="8"/>
      <c r="G4652" s="15">
        <v>1.0464612001248836</v>
      </c>
      <c r="H4652" s="15">
        <v>1.0464612001248836</v>
      </c>
      <c r="I4652" s="15">
        <v>1.0464612001248836</v>
      </c>
      <c r="J4652" s="15">
        <v>1.0464612001248836</v>
      </c>
      <c r="K4652" s="15">
        <v>1.0464612001248836</v>
      </c>
      <c r="L4652" s="15">
        <v>1.0464612001248836</v>
      </c>
      <c r="M4652" s="15">
        <v>1.3532884512847478</v>
      </c>
      <c r="N4652" s="15">
        <v>1.3532884512847478</v>
      </c>
      <c r="O4652" s="15">
        <v>1.0464612001248836</v>
      </c>
      <c r="P4652" s="15">
        <v>1.0464612001248836</v>
      </c>
      <c r="Q4652" s="8"/>
      <c r="R4652" s="9" t="s">
        <v>4197</v>
      </c>
    </row>
    <row r="4653" spans="1:18" x14ac:dyDescent="0.25">
      <c r="A4653" s="6" t="str">
        <f>HYPERLINK("proteomic_fractions_linear_files/Yang_linear_img/241982718.jpg", "241982718")</f>
        <v>241982718</v>
      </c>
      <c r="B4653" s="7"/>
      <c r="C4653" s="6" t="str">
        <f>HYPERLINK("http://www.ncbi.nlm.nih.gov/protein/241982718","Myh11")</f>
        <v>Myh11</v>
      </c>
      <c r="D4653" s="8"/>
      <c r="E4653" s="8">
        <v>226989</v>
      </c>
      <c r="F4653" s="8"/>
      <c r="G4653" s="15">
        <v>1.0280213551887625</v>
      </c>
      <c r="H4653" s="15">
        <v>1.0280213551887625</v>
      </c>
      <c r="I4653" s="15">
        <v>1.0280213551887625</v>
      </c>
      <c r="J4653" s="15">
        <v>1.0280213551887625</v>
      </c>
      <c r="K4653" s="15">
        <v>1.0280213551887625</v>
      </c>
      <c r="L4653" s="15">
        <v>1.0280213551887625</v>
      </c>
      <c r="M4653" s="15">
        <v>1.0280213551887625</v>
      </c>
      <c r="N4653" s="15">
        <v>1.0280213551887625</v>
      </c>
      <c r="O4653" s="15">
        <v>1.0280213551887625</v>
      </c>
      <c r="P4653" s="15">
        <v>1.0280213551887625</v>
      </c>
      <c r="Q4653" s="8"/>
      <c r="R4653" s="9" t="s">
        <v>4198</v>
      </c>
    </row>
    <row r="4654" spans="1:18" x14ac:dyDescent="0.25">
      <c r="A4654" s="6" t="str">
        <f>HYPERLINK("proteomic_fractions_linear_files/Yang_linear_img/124486959.jpg", "124486959")</f>
        <v>124486959</v>
      </c>
      <c r="B4654" s="7"/>
      <c r="C4654" s="6" t="str">
        <f>HYPERLINK("http://www.ncbi.nlm.nih.gov/protein/124486959","Myh13")</f>
        <v>Myh13</v>
      </c>
      <c r="D4654" s="8"/>
      <c r="E4654" s="8">
        <v>223431</v>
      </c>
      <c r="F4654" s="8"/>
      <c r="G4654" s="15">
        <v>8.4572394804169999</v>
      </c>
      <c r="H4654" s="15">
        <v>8.4572394804169999</v>
      </c>
      <c r="I4654" s="15">
        <v>1.0464612001248836</v>
      </c>
      <c r="J4654" s="15">
        <v>1.0464612001248836</v>
      </c>
      <c r="K4654" s="15">
        <v>1.3532884512847478</v>
      </c>
      <c r="L4654" s="15">
        <v>1.3532884512847478</v>
      </c>
      <c r="M4654" s="15">
        <v>1.3532884512847478</v>
      </c>
      <c r="N4654" s="15">
        <v>1.3532884512847478</v>
      </c>
      <c r="O4654" s="15">
        <v>1.0464612001248836</v>
      </c>
      <c r="P4654" s="15">
        <v>1.0464612001248836</v>
      </c>
      <c r="Q4654" s="8"/>
      <c r="R4654" s="9" t="s">
        <v>4199</v>
      </c>
    </row>
    <row r="4655" spans="1:18" x14ac:dyDescent="0.25">
      <c r="A4655" s="6" t="str">
        <f>HYPERLINK("proteomic_fractions_linear_files/Yang_linear_img/29336026.jpg", "29336026")</f>
        <v>29336026</v>
      </c>
      <c r="B4655" s="7"/>
      <c r="C4655" s="6" t="str">
        <f>HYPERLINK("http://www.ncbi.nlm.nih.gov/protein/29336026","Myh14")</f>
        <v>Myh14</v>
      </c>
      <c r="D4655" s="8"/>
      <c r="E4655" s="8">
        <v>227629</v>
      </c>
      <c r="F4655" s="8"/>
      <c r="G4655" s="15">
        <v>0.67303890849228876</v>
      </c>
      <c r="H4655" s="15">
        <v>0.67303890849228876</v>
      </c>
      <c r="I4655" s="15">
        <v>1.0235124895958292</v>
      </c>
      <c r="J4655" s="15">
        <v>1.0235124895958292</v>
      </c>
      <c r="K4655" s="15">
        <v>1.0235124895958292</v>
      </c>
      <c r="L4655" s="15">
        <v>1.0235124895958292</v>
      </c>
      <c r="M4655" s="15">
        <v>1.0235124895958292</v>
      </c>
      <c r="N4655" s="15">
        <v>1.0235124895958292</v>
      </c>
      <c r="O4655" s="15">
        <v>1.0235124895958292</v>
      </c>
      <c r="P4655" s="15">
        <v>1.0235124895958292</v>
      </c>
      <c r="Q4655" s="8"/>
      <c r="R4655" s="9" t="s">
        <v>4200</v>
      </c>
    </row>
    <row r="4656" spans="1:18" x14ac:dyDescent="0.25">
      <c r="A4656" s="6" t="str">
        <f>HYPERLINK("proteomic_fractions_linear_files/Yang_linear_img/408821450.jpg", "408821450")</f>
        <v>408821450</v>
      </c>
      <c r="B4656" s="7"/>
      <c r="C4656" s="6" t="str">
        <f>HYPERLINK("http://www.ncbi.nlm.nih.gov/protein/408821450","Myh14")</f>
        <v>Myh14</v>
      </c>
      <c r="D4656" s="8"/>
      <c r="E4656" s="8">
        <v>231492</v>
      </c>
      <c r="F4656" s="8"/>
      <c r="G4656" s="15">
        <v>0.66429814344693439</v>
      </c>
      <c r="H4656" s="15">
        <v>0.66429814344693439</v>
      </c>
      <c r="I4656" s="15">
        <v>1.0102201196010783</v>
      </c>
      <c r="J4656" s="15">
        <v>1.0102201196010783</v>
      </c>
      <c r="K4656" s="15">
        <v>1.0102201196010783</v>
      </c>
      <c r="L4656" s="15">
        <v>1.0102201196010783</v>
      </c>
      <c r="M4656" s="15">
        <v>1.0102201196010783</v>
      </c>
      <c r="N4656" s="15">
        <v>1.0102201196010783</v>
      </c>
      <c r="O4656" s="15">
        <v>1.0102201196010783</v>
      </c>
      <c r="P4656" s="15">
        <v>1.0102201196010783</v>
      </c>
      <c r="Q4656" s="8"/>
      <c r="R4656" s="9" t="s">
        <v>4201</v>
      </c>
    </row>
    <row r="4657" spans="1:18" x14ac:dyDescent="0.25">
      <c r="A4657" s="6" t="str">
        <f>HYPERLINK("proteomic_fractions_linear_files/Yang_linear_img/408821455.jpg", "408821455")</f>
        <v>408821455</v>
      </c>
      <c r="B4657" s="7"/>
      <c r="C4657" s="6" t="str">
        <f>HYPERLINK("http://www.ncbi.nlm.nih.gov/protein/408821455","Myh14")</f>
        <v>Myh14</v>
      </c>
      <c r="D4657" s="8"/>
      <c r="E4657" s="8">
        <v>228456</v>
      </c>
      <c r="F4657" s="8"/>
      <c r="G4657" s="15">
        <v>0.67303890849228876</v>
      </c>
      <c r="H4657" s="15">
        <v>0.67303890849228876</v>
      </c>
      <c r="I4657" s="15">
        <v>1.0235124895958292</v>
      </c>
      <c r="J4657" s="15">
        <v>1.0235124895958292</v>
      </c>
      <c r="K4657" s="15">
        <v>1.0235124895958292</v>
      </c>
      <c r="L4657" s="15">
        <v>1.0235124895958292</v>
      </c>
      <c r="M4657" s="15">
        <v>1.0235124895958292</v>
      </c>
      <c r="N4657" s="15">
        <v>1.0235124895958292</v>
      </c>
      <c r="O4657" s="15">
        <v>1.0235124895958292</v>
      </c>
      <c r="P4657" s="15">
        <v>1.0235124895958292</v>
      </c>
      <c r="Q4657" s="8"/>
      <c r="R4657" s="9" t="s">
        <v>4202</v>
      </c>
    </row>
    <row r="4658" spans="1:18" x14ac:dyDescent="0.25">
      <c r="A4658" s="6" t="str">
        <f>HYPERLINK("proteomic_fractions_linear_files/Yang_linear_img/261245016.jpg", "261245016")</f>
        <v>261245016</v>
      </c>
      <c r="B4658" s="7"/>
      <c r="C4658" s="6" t="str">
        <f>HYPERLINK("http://www.ncbi.nlm.nih.gov/protein/261245016","Myh15")</f>
        <v>Myh15</v>
      </c>
      <c r="D4658" s="8"/>
      <c r="E4658" s="8">
        <v>221716</v>
      </c>
      <c r="F4658" s="8"/>
      <c r="G4658" s="15">
        <v>8.4953351537522117</v>
      </c>
      <c r="H4658" s="15">
        <v>8.4953351537522117</v>
      </c>
      <c r="I4658" s="15">
        <v>1.0511749893146354</v>
      </c>
      <c r="J4658" s="15">
        <v>1.0511749893146354</v>
      </c>
      <c r="K4658" s="15">
        <v>1.3593843452094538</v>
      </c>
      <c r="L4658" s="15">
        <v>1.3593843452094538</v>
      </c>
      <c r="M4658" s="15">
        <v>1.3593843452094538</v>
      </c>
      <c r="N4658" s="15">
        <v>1.3593843452094538</v>
      </c>
      <c r="O4658" s="15">
        <v>1.0511749893146354</v>
      </c>
      <c r="P4658" s="15">
        <v>1.0511749893146354</v>
      </c>
      <c r="Q4658" s="8"/>
      <c r="R4658" s="9" t="s">
        <v>4203</v>
      </c>
    </row>
    <row r="4659" spans="1:18" x14ac:dyDescent="0.25">
      <c r="A4659" s="6" t="str">
        <f>HYPERLINK("proteomic_fractions_linear_files/Yang_linear_img/205830428.jpg", "205830428")</f>
        <v>205830428</v>
      </c>
      <c r="B4659" s="7"/>
      <c r="C4659" s="6" t="str">
        <f>HYPERLINK("http://www.ncbi.nlm.nih.gov/protein/205830428","Myh2")</f>
        <v>Myh2</v>
      </c>
      <c r="D4659" s="8"/>
      <c r="E4659" s="8">
        <v>223089</v>
      </c>
      <c r="F4659" s="8"/>
      <c r="G4659" s="15">
        <v>8.4572394804169999</v>
      </c>
      <c r="H4659" s="15">
        <v>8.4572394804169999</v>
      </c>
      <c r="I4659" s="15">
        <v>1.0464612001248836</v>
      </c>
      <c r="J4659" s="15">
        <v>1.0464612001248836</v>
      </c>
      <c r="K4659" s="15">
        <v>1.3532884512847478</v>
      </c>
      <c r="L4659" s="15">
        <v>1.3532884512847478</v>
      </c>
      <c r="M4659" s="15">
        <v>1.3532884512847478</v>
      </c>
      <c r="N4659" s="15">
        <v>1.3532884512847478</v>
      </c>
      <c r="O4659" s="15">
        <v>1.0464612001248836</v>
      </c>
      <c r="P4659" s="15">
        <v>1.0464612001248836</v>
      </c>
      <c r="Q4659" s="8"/>
      <c r="R4659" s="9" t="s">
        <v>4204</v>
      </c>
    </row>
    <row r="4660" spans="1:18" x14ac:dyDescent="0.25">
      <c r="A4660" s="6" t="str">
        <f>HYPERLINK("proteomic_fractions_linear_files/Yang_linear_img/153792649.jpg", "153792649")</f>
        <v>153792649</v>
      </c>
      <c r="B4660" s="7"/>
      <c r="C4660" s="6" t="str">
        <f>HYPERLINK("http://www.ncbi.nlm.nih.gov/protein/153792649","Myh3")</f>
        <v>Myh3</v>
      </c>
      <c r="D4660" s="8"/>
      <c r="E4660" s="8">
        <v>223661</v>
      </c>
      <c r="F4660" s="8"/>
      <c r="G4660" s="15">
        <v>8.4194839470222806</v>
      </c>
      <c r="H4660" s="15">
        <v>8.4194839470222806</v>
      </c>
      <c r="I4660" s="15">
        <v>1.041789498338612</v>
      </c>
      <c r="J4660" s="15">
        <v>1.041789498338612</v>
      </c>
      <c r="K4660" s="15">
        <v>1.3472469849843696</v>
      </c>
      <c r="L4660" s="15">
        <v>1.3472469849843696</v>
      </c>
      <c r="M4660" s="15">
        <v>1.3472469849843696</v>
      </c>
      <c r="N4660" s="15">
        <v>1.3472469849843696</v>
      </c>
      <c r="O4660" s="15">
        <v>1.041789498338612</v>
      </c>
      <c r="P4660" s="15">
        <v>1.041789498338612</v>
      </c>
      <c r="Q4660" s="8"/>
      <c r="R4660" s="9" t="s">
        <v>4205</v>
      </c>
    </row>
    <row r="4661" spans="1:18" x14ac:dyDescent="0.25">
      <c r="A4661" s="6" t="str">
        <f>HYPERLINK("proteomic_fractions_linear_files/Yang_linear_img/67189167.jpg", "67189167")</f>
        <v>67189167</v>
      </c>
      <c r="B4661" s="7"/>
      <c r="C4661" s="6" t="str">
        <f>HYPERLINK("http://www.ncbi.nlm.nih.gov/protein/67189167","Myh4")</f>
        <v>Myh4</v>
      </c>
      <c r="D4661" s="8"/>
      <c r="E4661" s="8">
        <v>222729</v>
      </c>
      <c r="F4661" s="8"/>
      <c r="G4661" s="15">
        <v>8.4572394804169999</v>
      </c>
      <c r="H4661" s="15">
        <v>8.4572394804169999</v>
      </c>
      <c r="I4661" s="15">
        <v>1.0464612001248836</v>
      </c>
      <c r="J4661" s="15">
        <v>1.0464612001248836</v>
      </c>
      <c r="K4661" s="15">
        <v>1.3532884512847478</v>
      </c>
      <c r="L4661" s="15">
        <v>1.3532884512847478</v>
      </c>
      <c r="M4661" s="15">
        <v>1.3532884512847478</v>
      </c>
      <c r="N4661" s="15">
        <v>1.3532884512847478</v>
      </c>
      <c r="O4661" s="15">
        <v>1.0464612001248836</v>
      </c>
      <c r="P4661" s="15">
        <v>1.0464612001248836</v>
      </c>
      <c r="Q4661" s="8"/>
      <c r="R4661" s="9" t="s">
        <v>4206</v>
      </c>
    </row>
    <row r="4662" spans="1:18" x14ac:dyDescent="0.25">
      <c r="A4662" s="6" t="str">
        <f>HYPERLINK("proteomic_fractions_linear_files/Yang_linear_img/255918225.jpg", "255918225")</f>
        <v>255918225</v>
      </c>
      <c r="B4662" s="7"/>
      <c r="C4662" s="6" t="str">
        <f>HYPERLINK("http://www.ncbi.nlm.nih.gov/protein/255918225","Myh6")</f>
        <v>Myh6</v>
      </c>
      <c r="D4662" s="8"/>
      <c r="E4662" s="8">
        <v>223435</v>
      </c>
      <c r="F4662" s="8"/>
      <c r="G4662" s="15">
        <v>8.4572394804169999</v>
      </c>
      <c r="H4662" s="15">
        <v>8.4572394804169999</v>
      </c>
      <c r="I4662" s="15">
        <v>1.0464612001248836</v>
      </c>
      <c r="J4662" s="15">
        <v>1.0464612001248836</v>
      </c>
      <c r="K4662" s="15">
        <v>1.3532884512847478</v>
      </c>
      <c r="L4662" s="15">
        <v>1.3532884512847478</v>
      </c>
      <c r="M4662" s="15">
        <v>1.3532884512847478</v>
      </c>
      <c r="N4662" s="15">
        <v>1.3532884512847478</v>
      </c>
      <c r="O4662" s="15">
        <v>1.0464612001248836</v>
      </c>
      <c r="P4662" s="15">
        <v>1.0464612001248836</v>
      </c>
      <c r="Q4662" s="8"/>
      <c r="R4662" s="9" t="s">
        <v>4207</v>
      </c>
    </row>
    <row r="4663" spans="1:18" x14ac:dyDescent="0.25">
      <c r="A4663" s="6" t="str">
        <f>HYPERLINK("proteomic_fractions_linear_files/Yang_linear_img/18859641.jpg", "18859641")</f>
        <v>18859641</v>
      </c>
      <c r="B4663" s="7"/>
      <c r="C4663" s="6" t="str">
        <f>HYPERLINK("http://www.ncbi.nlm.nih.gov/protein/18859641","Myh7")</f>
        <v>Myh7</v>
      </c>
      <c r="D4663" s="8"/>
      <c r="E4663" s="8">
        <v>222749</v>
      </c>
      <c r="F4663" s="8"/>
      <c r="G4663" s="15">
        <v>8.4572394804169999</v>
      </c>
      <c r="H4663" s="15">
        <v>8.4572394804169999</v>
      </c>
      <c r="I4663" s="15">
        <v>1.0464612001248836</v>
      </c>
      <c r="J4663" s="15">
        <v>1.0464612001248836</v>
      </c>
      <c r="K4663" s="15">
        <v>1.3532884512847478</v>
      </c>
      <c r="L4663" s="15">
        <v>1.3532884512847478</v>
      </c>
      <c r="M4663" s="15">
        <v>1.3532884512847478</v>
      </c>
      <c r="N4663" s="15">
        <v>1.3532884512847478</v>
      </c>
      <c r="O4663" s="15">
        <v>1.0464612001248836</v>
      </c>
      <c r="P4663" s="15">
        <v>1.0464612001248836</v>
      </c>
      <c r="Q4663" s="8"/>
      <c r="R4663" s="9" t="s">
        <v>4208</v>
      </c>
    </row>
    <row r="4664" spans="1:18" x14ac:dyDescent="0.25">
      <c r="A4664" s="6" t="str">
        <f>HYPERLINK("proteomic_fractions_linear_files/Yang_linear_img/145864471.jpg", "145864471")</f>
        <v>145864471</v>
      </c>
      <c r="B4664" s="7"/>
      <c r="C4664" s="6" t="str">
        <f>HYPERLINK("http://www.ncbi.nlm.nih.gov/protein/145864471","Myh7b")</f>
        <v>Myh7b</v>
      </c>
      <c r="D4664" s="8"/>
      <c r="E4664" s="8">
        <v>221367</v>
      </c>
      <c r="F4664" s="8"/>
      <c r="G4664" s="15">
        <v>0.33229031783566626</v>
      </c>
      <c r="H4664" s="15">
        <v>0.2185066768525577</v>
      </c>
      <c r="I4664" s="15">
        <v>1.0559314372300863</v>
      </c>
      <c r="J4664" s="15">
        <v>1.0559314372300863</v>
      </c>
      <c r="K4664" s="15">
        <v>1.3655354055950171</v>
      </c>
      <c r="L4664" s="15">
        <v>1.3655354055950171</v>
      </c>
      <c r="M4664" s="15">
        <v>1.3655354055950171</v>
      </c>
      <c r="N4664" s="15">
        <v>1.3655354055950171</v>
      </c>
      <c r="O4664" s="15">
        <v>1.0559314372300863</v>
      </c>
      <c r="P4664" s="15">
        <v>1.0559314372300863</v>
      </c>
      <c r="Q4664" s="8"/>
      <c r="R4664" s="9" t="s">
        <v>4209</v>
      </c>
    </row>
    <row r="4665" spans="1:18" x14ac:dyDescent="0.25">
      <c r="A4665" s="6" t="str">
        <f>HYPERLINK("proteomic_fractions_linear_files/Yang_linear_img/71143152.jpg", "71143152")</f>
        <v>71143152</v>
      </c>
      <c r="B4665" s="7"/>
      <c r="C4665" s="6" t="str">
        <f>HYPERLINK("http://www.ncbi.nlm.nih.gov/protein/71143152","Myh8")</f>
        <v>Myh8</v>
      </c>
      <c r="D4665" s="8"/>
      <c r="E4665" s="8">
        <v>222577</v>
      </c>
      <c r="F4665" s="8"/>
      <c r="G4665" s="15">
        <v>8.4572394804169999</v>
      </c>
      <c r="H4665" s="15">
        <v>8.4572394804169999</v>
      </c>
      <c r="I4665" s="15">
        <v>1.0464612001248836</v>
      </c>
      <c r="J4665" s="15">
        <v>1.0464612001248836</v>
      </c>
      <c r="K4665" s="15">
        <v>1.3532884512847478</v>
      </c>
      <c r="L4665" s="15">
        <v>1.3532884512847478</v>
      </c>
      <c r="M4665" s="15">
        <v>1.3532884512847478</v>
      </c>
      <c r="N4665" s="15">
        <v>1.3532884512847478</v>
      </c>
      <c r="O4665" s="15">
        <v>1.0464612001248836</v>
      </c>
      <c r="P4665" s="15">
        <v>1.0464612001248836</v>
      </c>
      <c r="Q4665" s="8"/>
      <c r="R4665" s="9" t="s">
        <v>4210</v>
      </c>
    </row>
    <row r="4666" spans="1:18" x14ac:dyDescent="0.25">
      <c r="A4666" s="6" t="str">
        <f>HYPERLINK("proteomic_fractions_linear_files/Yang_linear_img/114326446.jpg", "114326446")</f>
        <v>114326446</v>
      </c>
      <c r="B4666" s="7"/>
      <c r="C4666" s="6" t="str">
        <f>HYPERLINK("http://www.ncbi.nlm.nih.gov/protein/114326446","Myh9")</f>
        <v>Myh9</v>
      </c>
      <c r="D4666" s="8"/>
      <c r="E4666" s="8">
        <v>226242</v>
      </c>
      <c r="F4666" s="8"/>
      <c r="G4666" s="15">
        <v>1.0325701222471197</v>
      </c>
      <c r="H4666" s="15">
        <v>1.0325701222471197</v>
      </c>
      <c r="I4666" s="15">
        <v>1.0325701222471197</v>
      </c>
      <c r="J4666" s="15">
        <v>1.0325701222471197</v>
      </c>
      <c r="K4666" s="15">
        <v>1.3353244452942423</v>
      </c>
      <c r="L4666" s="15">
        <v>1.3353244452942423</v>
      </c>
      <c r="M4666" s="15">
        <v>1.0325701222471197</v>
      </c>
      <c r="N4666" s="15">
        <v>1.0325701222471197</v>
      </c>
      <c r="O4666" s="15">
        <v>1.0325701222471197</v>
      </c>
      <c r="P4666" s="15">
        <v>1.0325701222471197</v>
      </c>
      <c r="Q4666" s="8"/>
      <c r="R4666" s="9" t="s">
        <v>4211</v>
      </c>
    </row>
    <row r="4667" spans="1:18" x14ac:dyDescent="0.25">
      <c r="A4667" s="6" t="str">
        <f>HYPERLINK("proteomic_fractions_linear_files/Yang_linear_img/164664497.jpg", "164664497")</f>
        <v>164664497</v>
      </c>
      <c r="B4667" s="7"/>
      <c r="C4667" s="6" t="str">
        <f>HYPERLINK("http://www.ncbi.nlm.nih.gov/protein/164664497","Myl1")</f>
        <v>Myl1</v>
      </c>
      <c r="D4667" s="8"/>
      <c r="E4667" s="8">
        <v>16469</v>
      </c>
      <c r="F4667" s="8"/>
      <c r="G4667" s="15">
        <v>0.90734210761689671</v>
      </c>
      <c r="H4667" s="15">
        <v>0.90734210761689671</v>
      </c>
      <c r="I4667" s="15">
        <v>0.94977114336339286</v>
      </c>
      <c r="J4667" s="15">
        <v>0.94977114336339286</v>
      </c>
      <c r="K4667" s="15">
        <v>0.94977114336339286</v>
      </c>
      <c r="L4667" s="15">
        <v>0.94977114336339286</v>
      </c>
      <c r="M4667" s="15">
        <v>0.94977114336339286</v>
      </c>
      <c r="N4667" s="15">
        <v>0.94977114336339286</v>
      </c>
      <c r="O4667" s="15">
        <v>0.90734210761689671</v>
      </c>
      <c r="P4667" s="15">
        <v>0.90734210761689671</v>
      </c>
      <c r="Q4667" s="8"/>
      <c r="R4667" s="9" t="s">
        <v>4212</v>
      </c>
    </row>
    <row r="4668" spans="1:18" x14ac:dyDescent="0.25">
      <c r="A4668" s="6" t="str">
        <f>HYPERLINK("proteomic_fractions_linear_files/Yang_linear_img/29789016.jpg", "29789016")</f>
        <v>29789016</v>
      </c>
      <c r="B4668" s="7"/>
      <c r="C4668" s="6" t="str">
        <f>HYPERLINK("http://www.ncbi.nlm.nih.gov/protein/29789016","Myl1")</f>
        <v>Myl1</v>
      </c>
      <c r="D4668" s="8"/>
      <c r="E4668" s="8">
        <v>20463</v>
      </c>
      <c r="F4668" s="8"/>
      <c r="G4668" s="15">
        <v>0.72587368609351732</v>
      </c>
      <c r="H4668" s="15">
        <v>0.72587368609351732</v>
      </c>
      <c r="I4668" s="15">
        <v>0.75981691469071433</v>
      </c>
      <c r="J4668" s="15">
        <v>0.75981691469071433</v>
      </c>
      <c r="K4668" s="15">
        <v>0.75981691469071433</v>
      </c>
      <c r="L4668" s="15">
        <v>0.75981691469071433</v>
      </c>
      <c r="M4668" s="15">
        <v>0.75981691469071433</v>
      </c>
      <c r="N4668" s="15">
        <v>0.75981691469071433</v>
      </c>
      <c r="O4668" s="15">
        <v>0.72587368609351732</v>
      </c>
      <c r="P4668" s="15">
        <v>0.72587368609351732</v>
      </c>
      <c r="Q4668" s="8"/>
      <c r="R4668" s="9" t="s">
        <v>4213</v>
      </c>
    </row>
    <row r="4669" spans="1:18" x14ac:dyDescent="0.25">
      <c r="A4669" s="6" t="str">
        <f>HYPERLINK("proteomic_fractions_linear_files/Yang_linear_img/146229342.jpg", "146229342")</f>
        <v>146229342</v>
      </c>
      <c r="B4669" s="7"/>
      <c r="C4669" s="6" t="str">
        <f>HYPERLINK("http://www.ncbi.nlm.nih.gov/protein/146229342","Myl10")</f>
        <v>Myl10</v>
      </c>
      <c r="D4669" s="8"/>
      <c r="E4669" s="8">
        <v>16791</v>
      </c>
      <c r="F4669" s="8"/>
      <c r="G4669" s="15" t="s">
        <v>10</v>
      </c>
      <c r="H4669" s="15" t="s">
        <v>10</v>
      </c>
      <c r="I4669" s="15" t="s">
        <v>10</v>
      </c>
      <c r="J4669" s="15" t="s">
        <v>10</v>
      </c>
      <c r="K4669" s="15" t="s">
        <v>10</v>
      </c>
      <c r="L4669" s="15" t="s">
        <v>10</v>
      </c>
      <c r="M4669" s="15" t="s">
        <v>10</v>
      </c>
      <c r="N4669" s="15" t="s">
        <v>10</v>
      </c>
      <c r="O4669" s="15">
        <v>1.0335258685505275</v>
      </c>
      <c r="P4669" s="15">
        <v>1.0335258685505275</v>
      </c>
      <c r="Q4669" s="8"/>
      <c r="R4669" s="9" t="s">
        <v>4214</v>
      </c>
    </row>
    <row r="4670" spans="1:18" x14ac:dyDescent="0.25">
      <c r="A4670" s="6" t="str">
        <f>HYPERLINK("proteomic_fractions_linear_files/Yang_linear_img/71037403.jpg", "71037403")</f>
        <v>71037403</v>
      </c>
      <c r="B4670" s="7"/>
      <c r="C4670" s="6" t="str">
        <f>HYPERLINK("http://www.ncbi.nlm.nih.gov/protein/71037403","Myl12a")</f>
        <v>Myl12a</v>
      </c>
      <c r="D4670" s="8"/>
      <c r="E4670" s="8">
        <v>19764</v>
      </c>
      <c r="F4670" s="8"/>
      <c r="G4670" s="15">
        <v>1.30751290577125</v>
      </c>
      <c r="H4670" s="15">
        <v>1.30751290577125</v>
      </c>
      <c r="I4670" s="15">
        <v>0.87849698826794831</v>
      </c>
      <c r="J4670" s="15">
        <v>0.97505749140176368</v>
      </c>
      <c r="K4670" s="15">
        <v>0.92476495822820426</v>
      </c>
      <c r="L4670" s="15">
        <v>0.92476495822820426</v>
      </c>
      <c r="M4670" s="15">
        <v>0.97505749140176368</v>
      </c>
      <c r="N4670" s="15">
        <v>0.97505749140176368</v>
      </c>
      <c r="O4670" s="15">
        <v>0.87849698826794831</v>
      </c>
      <c r="P4670" s="15">
        <v>0.87849698826794831</v>
      </c>
      <c r="Q4670" s="8"/>
      <c r="R4670" s="9" t="s">
        <v>4215</v>
      </c>
    </row>
    <row r="4671" spans="1:18" x14ac:dyDescent="0.25">
      <c r="A4671" s="6" t="str">
        <f>HYPERLINK("proteomic_fractions_linear_files/Yang_linear_img/21728376.jpg", "21728376")</f>
        <v>21728376</v>
      </c>
      <c r="B4671" s="7"/>
      <c r="C4671" s="6" t="str">
        <f>HYPERLINK("http://www.ncbi.nlm.nih.gov/protein/21728376","Myl12b")</f>
        <v>Myl12b</v>
      </c>
      <c r="D4671" s="8"/>
      <c r="E4671" s="8">
        <v>19648</v>
      </c>
      <c r="F4671" s="8"/>
      <c r="G4671" s="15">
        <v>1.30751290577125</v>
      </c>
      <c r="H4671" s="15">
        <v>1.30751290577125</v>
      </c>
      <c r="I4671" s="15">
        <v>0.87849698826794831</v>
      </c>
      <c r="J4671" s="15">
        <v>0.97505749140176368</v>
      </c>
      <c r="K4671" s="15">
        <v>0.92476495822820426</v>
      </c>
      <c r="L4671" s="15">
        <v>0.92476495822820426</v>
      </c>
      <c r="M4671" s="15">
        <v>0.97505749140176368</v>
      </c>
      <c r="N4671" s="15">
        <v>0.97505749140176368</v>
      </c>
      <c r="O4671" s="15">
        <v>0.87849698826794831</v>
      </c>
      <c r="P4671" s="15">
        <v>0.87849698826794831</v>
      </c>
      <c r="Q4671" s="8"/>
      <c r="R4671" s="9" t="s">
        <v>4216</v>
      </c>
    </row>
    <row r="4672" spans="1:18" x14ac:dyDescent="0.25">
      <c r="A4672" s="6" t="str">
        <f>HYPERLINK("proteomic_fractions_linear_files/Yang_linear_img/33563264.jpg", "33563264")</f>
        <v>33563264</v>
      </c>
      <c r="B4672" s="7"/>
      <c r="C4672" s="6" t="str">
        <f>HYPERLINK("http://www.ncbi.nlm.nih.gov/protein/33563264","Myl3")</f>
        <v>Myl3</v>
      </c>
      <c r="D4672" s="8"/>
      <c r="E4672" s="8">
        <v>22290</v>
      </c>
      <c r="F4672" s="8"/>
      <c r="G4672" s="15">
        <v>0.65988516917592488</v>
      </c>
      <c r="H4672" s="15">
        <v>0.65988516917592488</v>
      </c>
      <c r="I4672" s="15">
        <v>0.69074264971883115</v>
      </c>
      <c r="J4672" s="15">
        <v>0.69074264971883115</v>
      </c>
      <c r="K4672" s="15">
        <v>0.69074264971883115</v>
      </c>
      <c r="L4672" s="15">
        <v>0.69074264971883115</v>
      </c>
      <c r="M4672" s="15">
        <v>0.69074264971883115</v>
      </c>
      <c r="N4672" s="15">
        <v>0.69074264971883115</v>
      </c>
      <c r="O4672" s="15">
        <v>0.65988516917592488</v>
      </c>
      <c r="P4672" s="15">
        <v>0.65988516917592488</v>
      </c>
      <c r="Q4672" s="8"/>
      <c r="R4672" s="9" t="s">
        <v>4217</v>
      </c>
    </row>
    <row r="4673" spans="1:18" x14ac:dyDescent="0.25">
      <c r="A4673" s="6" t="str">
        <f>HYPERLINK("proteomic_fractions_linear_files/Yang_linear_img/33620739.jpg", "33620739")</f>
        <v>33620739</v>
      </c>
      <c r="B4673" s="7"/>
      <c r="C4673" s="6" t="str">
        <f>HYPERLINK("http://www.ncbi.nlm.nih.gov/protein/33620739","Myl6")</f>
        <v>Myl6</v>
      </c>
      <c r="D4673" s="8"/>
      <c r="E4673" s="8">
        <v>16830</v>
      </c>
      <c r="F4673" s="8"/>
      <c r="G4673" s="15">
        <v>0.85396904246296157</v>
      </c>
      <c r="H4673" s="15">
        <v>0.85396904246296157</v>
      </c>
      <c r="I4673" s="15">
        <v>0.89390225257731093</v>
      </c>
      <c r="J4673" s="15">
        <v>0.89390225257731093</v>
      </c>
      <c r="K4673" s="15">
        <v>0.89390225257731093</v>
      </c>
      <c r="L4673" s="15">
        <v>0.89390225257731093</v>
      </c>
      <c r="M4673" s="15">
        <v>0.93690834018716329</v>
      </c>
      <c r="N4673" s="15">
        <v>0.93690834018716329</v>
      </c>
      <c r="O4673" s="15">
        <v>0.85396904246296157</v>
      </c>
      <c r="P4673" s="15">
        <v>0.85396904246296157</v>
      </c>
      <c r="Q4673" s="8"/>
      <c r="R4673" s="9" t="s">
        <v>4218</v>
      </c>
    </row>
    <row r="4674" spans="1:18" x14ac:dyDescent="0.25">
      <c r="A4674" s="6" t="str">
        <f>HYPERLINK("proteomic_fractions_linear_files/Yang_linear_img/26986555.jpg", "26986555")</f>
        <v>26986555</v>
      </c>
      <c r="B4674" s="7"/>
      <c r="C4674" s="6" t="str">
        <f>HYPERLINK("http://www.ncbi.nlm.nih.gov/protein/26986555","Myl6b")</f>
        <v>Myl6b</v>
      </c>
      <c r="D4674" s="8"/>
      <c r="E4674" s="8">
        <v>22618</v>
      </c>
      <c r="F4674" s="8"/>
      <c r="G4674" s="15">
        <v>0.94764096829038047</v>
      </c>
      <c r="H4674" s="15">
        <v>0.94764096829038047</v>
      </c>
      <c r="I4674" s="15">
        <v>0.66071036060062116</v>
      </c>
      <c r="J4674" s="15">
        <v>0.66071036060062116</v>
      </c>
      <c r="K4674" s="15">
        <v>0.66071036060062116</v>
      </c>
      <c r="L4674" s="15">
        <v>0.66071036060062116</v>
      </c>
      <c r="M4674" s="15">
        <v>0.72680324002639229</v>
      </c>
      <c r="N4674" s="15">
        <v>0.72680324002639229</v>
      </c>
      <c r="O4674" s="15">
        <v>0.63119450964653689</v>
      </c>
      <c r="P4674" s="15">
        <v>0.63119450964653689</v>
      </c>
      <c r="Q4674" s="8"/>
      <c r="R4674" s="9" t="s">
        <v>4219</v>
      </c>
    </row>
    <row r="4675" spans="1:18" x14ac:dyDescent="0.25">
      <c r="A4675" s="6" t="str">
        <f>HYPERLINK("proteomic_fractions_linear_files/Yang_linear_img/198278553.jpg", "198278553")</f>
        <v>198278553</v>
      </c>
      <c r="B4675" s="7"/>
      <c r="C4675" s="6" t="str">
        <f>HYPERLINK("http://www.ncbi.nlm.nih.gov/protein/198278553","Myl9")</f>
        <v>Myl9</v>
      </c>
      <c r="D4675" s="8"/>
      <c r="E4675" s="8">
        <v>19723</v>
      </c>
      <c r="F4675" s="8"/>
      <c r="G4675" s="15">
        <v>0.87849698826794831</v>
      </c>
      <c r="H4675" s="15">
        <v>0.87849698826794831</v>
      </c>
      <c r="I4675" s="15">
        <v>0.87849698826794831</v>
      </c>
      <c r="J4675" s="15">
        <v>0.87849698826794831</v>
      </c>
      <c r="K4675" s="15">
        <v>0.92476495822820426</v>
      </c>
      <c r="L4675" s="15">
        <v>0.92476495822820426</v>
      </c>
      <c r="M4675" s="15">
        <v>0.92476495822820426</v>
      </c>
      <c r="N4675" s="15">
        <v>0.97505749140176368</v>
      </c>
      <c r="O4675" s="15">
        <v>0.87849698826794831</v>
      </c>
      <c r="P4675" s="15">
        <v>0.87849698826794831</v>
      </c>
      <c r="Q4675" s="8"/>
      <c r="R4675" s="9" t="s">
        <v>4220</v>
      </c>
    </row>
    <row r="4676" spans="1:18" x14ac:dyDescent="0.25">
      <c r="A4676" s="6" t="str">
        <f>HYPERLINK("proteomic_fractions_linear_files/Yang_linear_img/126157499.jpg", "126157499")</f>
        <v>126157499</v>
      </c>
      <c r="B4676" s="7"/>
      <c r="C4676" s="6" t="str">
        <f>HYPERLINK("http://www.ncbi.nlm.nih.gov/protein/126157499","Mylk")</f>
        <v>Mylk</v>
      </c>
      <c r="D4676" s="8"/>
      <c r="E4676" s="8">
        <v>213479</v>
      </c>
      <c r="F4676" s="8"/>
      <c r="G4676" s="15">
        <v>1.0955908339335636</v>
      </c>
      <c r="H4676" s="15">
        <v>1.0955908339335636</v>
      </c>
      <c r="I4676" s="15">
        <v>0.19017520283203165</v>
      </c>
      <c r="J4676" s="15">
        <v>0.19017520283203165</v>
      </c>
      <c r="K4676" s="15">
        <v>0.19017520283203165</v>
      </c>
      <c r="L4676" s="15">
        <v>0.19017520283203165</v>
      </c>
      <c r="M4676" s="15">
        <v>0.19017520283203165</v>
      </c>
      <c r="N4676" s="15">
        <v>0.19017520283203165</v>
      </c>
      <c r="O4676" s="15">
        <v>0.60432689270007967</v>
      </c>
      <c r="P4676" s="15">
        <v>0.60432689270007967</v>
      </c>
      <c r="Q4676" s="8"/>
      <c r="R4676" s="9" t="s">
        <v>4221</v>
      </c>
    </row>
    <row r="4677" spans="1:18" x14ac:dyDescent="0.25">
      <c r="A4677" s="6" t="str">
        <f>HYPERLINK("proteomic_fractions_linear_files/Yang_linear_img/163644275.jpg", "163644275")</f>
        <v>163644275</v>
      </c>
      <c r="B4677" s="7"/>
      <c r="C4677" s="6" t="str">
        <f>HYPERLINK("http://www.ncbi.nlm.nih.gov/protein/163644275","Mylk2")</f>
        <v>Mylk2</v>
      </c>
      <c r="D4677" s="8"/>
      <c r="E4677" s="8">
        <v>65859</v>
      </c>
      <c r="F4677" s="8"/>
      <c r="G4677" s="15" t="s">
        <v>10</v>
      </c>
      <c r="H4677" s="15" t="s">
        <v>10</v>
      </c>
      <c r="I4677" s="15">
        <v>0.61374724550337489</v>
      </c>
      <c r="J4677" s="15">
        <v>0.61374724550337489</v>
      </c>
      <c r="K4677" s="15">
        <v>0.61374724550337489</v>
      </c>
      <c r="L4677" s="15">
        <v>0.61374724550337489</v>
      </c>
      <c r="M4677" s="15">
        <v>0.61374724550337489</v>
      </c>
      <c r="N4677" s="15">
        <v>0.61374724550337489</v>
      </c>
      <c r="O4677" s="15">
        <v>0.52353600803750278</v>
      </c>
      <c r="P4677" s="15">
        <v>0.52353600803750278</v>
      </c>
      <c r="Q4677" s="8"/>
      <c r="R4677" s="9" t="s">
        <v>4222</v>
      </c>
    </row>
    <row r="4678" spans="1:18" x14ac:dyDescent="0.25">
      <c r="A4678" s="6" t="str">
        <f>HYPERLINK("proteomic_fractions_linear_files/Yang_linear_img/83776559.jpg", "83776559")</f>
        <v>83776559</v>
      </c>
      <c r="B4678" s="7"/>
      <c r="C4678" s="6" t="str">
        <f>HYPERLINK("http://www.ncbi.nlm.nih.gov/protein/83776559","Mylk3")</f>
        <v>Mylk3</v>
      </c>
      <c r="D4678" s="8"/>
      <c r="E4678" s="8">
        <v>86241</v>
      </c>
      <c r="F4678" s="8"/>
      <c r="G4678" s="15" t="s">
        <v>10</v>
      </c>
      <c r="H4678" s="15" t="s">
        <v>10</v>
      </c>
      <c r="I4678" s="15">
        <v>0.4710153279444505</v>
      </c>
      <c r="J4678" s="15">
        <v>0.4710153279444505</v>
      </c>
      <c r="K4678" s="15">
        <v>0.4710153279444505</v>
      </c>
      <c r="L4678" s="15">
        <v>0.4710153279444505</v>
      </c>
      <c r="M4678" s="15">
        <v>0.4710153279444505</v>
      </c>
      <c r="N4678" s="15">
        <v>0.4710153279444505</v>
      </c>
      <c r="O4678" s="15">
        <v>0.40178344802878119</v>
      </c>
      <c r="P4678" s="15">
        <v>0.40178344802878119</v>
      </c>
      <c r="Q4678" s="8"/>
      <c r="R4678" s="9" t="s">
        <v>4223</v>
      </c>
    </row>
    <row r="4679" spans="1:18" x14ac:dyDescent="0.25">
      <c r="A4679" s="6" t="str">
        <f>HYPERLINK("proteomic_fractions_linear_files/Yang_linear_img/260447058.jpg", "260447058")</f>
        <v>260447058</v>
      </c>
      <c r="B4679" s="7"/>
      <c r="C4679" s="6" t="str">
        <f>HYPERLINK("http://www.ncbi.nlm.nih.gov/protein/260447058","Mylk4")</f>
        <v>Mylk4</v>
      </c>
      <c r="D4679" s="8"/>
      <c r="E4679" s="8">
        <v>43952</v>
      </c>
      <c r="F4679" s="8"/>
      <c r="G4679" s="15" t="s">
        <v>10</v>
      </c>
      <c r="H4679" s="15" t="s">
        <v>10</v>
      </c>
      <c r="I4679" s="15">
        <v>0.9206208682550624</v>
      </c>
      <c r="J4679" s="15">
        <v>0.9206208682550624</v>
      </c>
      <c r="K4679" s="15">
        <v>0.9206208682550624</v>
      </c>
      <c r="L4679" s="15">
        <v>0.9206208682550624</v>
      </c>
      <c r="M4679" s="15">
        <v>0.9206208682550624</v>
      </c>
      <c r="N4679" s="15">
        <v>0.9206208682550624</v>
      </c>
      <c r="O4679" s="15">
        <v>0.78530401205625422</v>
      </c>
      <c r="P4679" s="15">
        <v>0.78530401205625422</v>
      </c>
      <c r="Q4679" s="8"/>
      <c r="R4679" s="9" t="s">
        <v>4224</v>
      </c>
    </row>
    <row r="4680" spans="1:18" x14ac:dyDescent="0.25">
      <c r="A4680" s="6" t="str">
        <f>HYPERLINK("proteomic_fractions_linear_files/Yang_linear_img/130507685.jpg", "130507685")</f>
        <v>130507685</v>
      </c>
      <c r="B4680" s="7"/>
      <c r="C4680" s="6" t="str">
        <f>HYPERLINK("http://www.ncbi.nlm.nih.gov/protein/130507685","Myo10")</f>
        <v>Myo10</v>
      </c>
      <c r="D4680" s="8"/>
      <c r="E4680" s="8">
        <v>237193</v>
      </c>
      <c r="F4680" s="8"/>
      <c r="G4680" s="15" t="s">
        <v>10</v>
      </c>
      <c r="H4680" s="15" t="s">
        <v>10</v>
      </c>
      <c r="I4680" s="15" t="s">
        <v>10</v>
      </c>
      <c r="J4680" s="15" t="s">
        <v>10</v>
      </c>
      <c r="K4680" s="15">
        <v>1.2733473613354378</v>
      </c>
      <c r="L4680" s="15">
        <v>1.2733473613354378</v>
      </c>
      <c r="M4680" s="15" t="s">
        <v>10</v>
      </c>
      <c r="N4680" s="15" t="s">
        <v>10</v>
      </c>
      <c r="O4680" s="15">
        <v>0.14579483768132989</v>
      </c>
      <c r="P4680" s="15">
        <v>0.14579483768132989</v>
      </c>
      <c r="Q4680" s="8"/>
      <c r="R4680" s="9" t="s">
        <v>4225</v>
      </c>
    </row>
    <row r="4681" spans="1:18" x14ac:dyDescent="0.25">
      <c r="A4681" s="6" t="str">
        <f>HYPERLINK("proteomic_fractions_linear_files/Yang_linear_img/157041244.jpg", "157041244")</f>
        <v>157041244</v>
      </c>
      <c r="B4681" s="7"/>
      <c r="C4681" s="6" t="str">
        <f>HYPERLINK("http://www.ncbi.nlm.nih.gov/protein/157041244","Myo15")</f>
        <v>Myo15</v>
      </c>
      <c r="D4681" s="8"/>
      <c r="E4681" s="8">
        <v>395493</v>
      </c>
      <c r="F4681" s="8"/>
      <c r="G4681" s="15">
        <v>6.2164102818422572E-2</v>
      </c>
      <c r="H4681" s="15">
        <v>6.2164102818422572E-2</v>
      </c>
      <c r="I4681" s="15">
        <v>4.4480860165465742E-2</v>
      </c>
      <c r="J4681" s="15">
        <v>4.4480860165465742E-2</v>
      </c>
      <c r="K4681" s="15">
        <v>4.6823542188769836E-2</v>
      </c>
      <c r="L4681" s="15">
        <v>4.6823542188769836E-2</v>
      </c>
      <c r="M4681" s="15">
        <v>4.4480860165465742E-2</v>
      </c>
      <c r="N4681" s="15">
        <v>4.4480860165465742E-2</v>
      </c>
      <c r="O4681" s="15" t="s">
        <v>10</v>
      </c>
      <c r="P4681" s="15" t="s">
        <v>10</v>
      </c>
      <c r="Q4681" s="8"/>
      <c r="R4681" s="9" t="s">
        <v>4226</v>
      </c>
    </row>
    <row r="4682" spans="1:18" x14ac:dyDescent="0.25">
      <c r="A4682" s="6" t="str">
        <f>HYPERLINK("proteomic_fractions_linear_files/Yang_linear_img/157041246.jpg", "157041246")</f>
        <v>157041246</v>
      </c>
      <c r="B4682" s="7"/>
      <c r="C4682" s="6" t="str">
        <f>HYPERLINK("http://www.ncbi.nlm.nih.gov/protein/157041246","Myo15")</f>
        <v>Myo15</v>
      </c>
      <c r="D4682" s="8"/>
      <c r="E4682" s="8">
        <v>259917</v>
      </c>
      <c r="F4682" s="8"/>
      <c r="G4682" s="15">
        <v>9.4441617743372758E-2</v>
      </c>
      <c r="H4682" s="15">
        <v>9.4441617743372758E-2</v>
      </c>
      <c r="I4682" s="15">
        <v>6.7576691405226791E-2</v>
      </c>
      <c r="J4682" s="15">
        <v>6.7576691405226791E-2</v>
      </c>
      <c r="K4682" s="15">
        <v>7.113576601755417E-2</v>
      </c>
      <c r="L4682" s="15">
        <v>7.113576601755417E-2</v>
      </c>
      <c r="M4682" s="15">
        <v>6.7576691405226791E-2</v>
      </c>
      <c r="N4682" s="15">
        <v>6.7576691405226791E-2</v>
      </c>
      <c r="O4682" s="15" t="s">
        <v>10</v>
      </c>
      <c r="P4682" s="15" t="s">
        <v>10</v>
      </c>
      <c r="Q4682" s="8"/>
      <c r="R4682" s="9" t="s">
        <v>4227</v>
      </c>
    </row>
    <row r="4683" spans="1:18" x14ac:dyDescent="0.25">
      <c r="A4683" s="6" t="str">
        <f>HYPERLINK("proteomic_fractions_linear_files/Yang_linear_img/157041248.jpg", "157041248")</f>
        <v>157041248</v>
      </c>
      <c r="B4683" s="7"/>
      <c r="C4683" s="6" t="str">
        <f>HYPERLINK("http://www.ncbi.nlm.nih.gov/protein/157041248","Myo15")</f>
        <v>Myo15</v>
      </c>
      <c r="D4683" s="8"/>
      <c r="E4683" s="8">
        <v>393185</v>
      </c>
      <c r="F4683" s="8"/>
      <c r="G4683" s="15">
        <v>6.2480459575768234E-2</v>
      </c>
      <c r="H4683" s="15">
        <v>6.2480459575768234E-2</v>
      </c>
      <c r="I4683" s="15">
        <v>4.470722586605335E-2</v>
      </c>
      <c r="J4683" s="15">
        <v>4.470722586605335E-2</v>
      </c>
      <c r="K4683" s="15">
        <v>4.706182993527757E-2</v>
      </c>
      <c r="L4683" s="15">
        <v>4.706182993527757E-2</v>
      </c>
      <c r="M4683" s="15">
        <v>4.470722586605335E-2</v>
      </c>
      <c r="N4683" s="15">
        <v>4.470722586605335E-2</v>
      </c>
      <c r="O4683" s="15" t="s">
        <v>10</v>
      </c>
      <c r="P4683" s="15" t="s">
        <v>10</v>
      </c>
      <c r="Q4683" s="8"/>
      <c r="R4683" s="9" t="s">
        <v>4228</v>
      </c>
    </row>
    <row r="4684" spans="1:18" x14ac:dyDescent="0.25">
      <c r="A4684" s="6" t="str">
        <f>HYPERLINK("proteomic_fractions_linear_files/Yang_linear_img/22094119.jpg", "22094119")</f>
        <v>22094119</v>
      </c>
      <c r="B4684" s="7"/>
      <c r="C4684" s="6" t="str">
        <f>HYPERLINK("http://www.ncbi.nlm.nih.gov/protein/22094119","Myo18a")</f>
        <v>Myo18a</v>
      </c>
      <c r="D4684" s="8"/>
      <c r="E4684" s="8">
        <v>230778</v>
      </c>
      <c r="F4684" s="8"/>
      <c r="G4684" s="15">
        <v>1.0102201196010783</v>
      </c>
      <c r="H4684" s="15">
        <v>1.0102201196010783</v>
      </c>
      <c r="I4684" s="15">
        <v>1.0102201196010783</v>
      </c>
      <c r="J4684" s="15">
        <v>1.0102201196010783</v>
      </c>
      <c r="K4684" s="15">
        <v>1.3064213187727221</v>
      </c>
      <c r="L4684" s="15">
        <v>1.3064213187727221</v>
      </c>
      <c r="M4684" s="15">
        <v>1.3064213187727221</v>
      </c>
      <c r="N4684" s="15">
        <v>1.3064213187727221</v>
      </c>
      <c r="O4684" s="15" t="s">
        <v>10</v>
      </c>
      <c r="P4684" s="15" t="s">
        <v>10</v>
      </c>
      <c r="Q4684" s="8"/>
      <c r="R4684" s="9" t="s">
        <v>4229</v>
      </c>
    </row>
    <row r="4685" spans="1:18" x14ac:dyDescent="0.25">
      <c r="A4685" s="6" t="str">
        <f>HYPERLINK("proteomic_fractions_linear_files/Yang_linear_img/254939539.jpg", "254939539")</f>
        <v>254939539</v>
      </c>
      <c r="B4685" s="7"/>
      <c r="C4685" s="6" t="str">
        <f>HYPERLINK("http://www.ncbi.nlm.nih.gov/protein/254939539","Myo19")</f>
        <v>Myo19</v>
      </c>
      <c r="D4685" s="8"/>
      <c r="E4685" s="8">
        <v>107944</v>
      </c>
      <c r="F4685" s="8"/>
      <c r="G4685" s="15" t="s">
        <v>10</v>
      </c>
      <c r="H4685" s="15" t="s">
        <v>10</v>
      </c>
      <c r="I4685" s="15">
        <v>1.0166811464919581</v>
      </c>
      <c r="J4685" s="15">
        <v>1.0166811464919581</v>
      </c>
      <c r="K4685" s="15" t="s">
        <v>10</v>
      </c>
      <c r="L4685" s="15" t="s">
        <v>10</v>
      </c>
      <c r="M4685" s="15" t="s">
        <v>10</v>
      </c>
      <c r="N4685" s="15" t="s">
        <v>10</v>
      </c>
      <c r="O4685" s="15" t="s">
        <v>10</v>
      </c>
      <c r="P4685" s="15" t="s">
        <v>10</v>
      </c>
      <c r="Q4685" s="8"/>
      <c r="R4685" s="9" t="s">
        <v>4230</v>
      </c>
    </row>
    <row r="4686" spans="1:18" x14ac:dyDescent="0.25">
      <c r="A4686" s="6" t="str">
        <f>HYPERLINK("proteomic_fractions_linear_files/Yang_linear_img/124487037.jpg", "124487037")</f>
        <v>124487037</v>
      </c>
      <c r="B4686" s="7"/>
      <c r="C4686" s="6" t="str">
        <f>HYPERLINK("http://www.ncbi.nlm.nih.gov/protein/124487037","Myo1a")</f>
        <v>Myo1a</v>
      </c>
      <c r="D4686" s="8"/>
      <c r="E4686" s="8">
        <v>118564</v>
      </c>
      <c r="F4686" s="8"/>
      <c r="G4686" s="15" t="s">
        <v>10</v>
      </c>
      <c r="H4686" s="15" t="s">
        <v>10</v>
      </c>
      <c r="I4686" s="15" t="s">
        <v>10</v>
      </c>
      <c r="J4686" s="15" t="s">
        <v>10</v>
      </c>
      <c r="K4686" s="15">
        <v>1.2895199255146372</v>
      </c>
      <c r="L4686" s="15">
        <v>1.2895199255146372</v>
      </c>
      <c r="M4686" s="15" t="s">
        <v>10</v>
      </c>
      <c r="N4686" s="15" t="s">
        <v>10</v>
      </c>
      <c r="O4686" s="15" t="s">
        <v>10</v>
      </c>
      <c r="P4686" s="15" t="s">
        <v>10</v>
      </c>
      <c r="Q4686" s="8"/>
      <c r="R4686" s="9" t="s">
        <v>4231</v>
      </c>
    </row>
    <row r="4687" spans="1:18" x14ac:dyDescent="0.25">
      <c r="A4687" s="6" t="str">
        <f>HYPERLINK("proteomic_fractions_linear_files/Yang_linear_img/240120042.jpg", "240120042")</f>
        <v>240120042</v>
      </c>
      <c r="B4687" s="7"/>
      <c r="C4687" s="6" t="str">
        <f>HYPERLINK("http://www.ncbi.nlm.nih.gov/protein/240120042","Myo1b")</f>
        <v>Myo1b</v>
      </c>
      <c r="D4687" s="8"/>
      <c r="E4687" s="8">
        <v>131923</v>
      </c>
      <c r="F4687" s="8"/>
      <c r="G4687" s="15" t="s">
        <v>10</v>
      </c>
      <c r="H4687" s="15" t="s">
        <v>10</v>
      </c>
      <c r="I4687" s="15" t="s">
        <v>10</v>
      </c>
      <c r="J4687" s="15" t="s">
        <v>10</v>
      </c>
      <c r="K4687" s="15">
        <v>1.1625217510321351</v>
      </c>
      <c r="L4687" s="15">
        <v>1.1625217510321351</v>
      </c>
      <c r="M4687" s="15" t="s">
        <v>10</v>
      </c>
      <c r="N4687" s="15" t="s">
        <v>10</v>
      </c>
      <c r="O4687" s="15" t="s">
        <v>10</v>
      </c>
      <c r="P4687" s="15" t="s">
        <v>10</v>
      </c>
      <c r="Q4687" s="8"/>
      <c r="R4687" s="9" t="s">
        <v>4232</v>
      </c>
    </row>
    <row r="4688" spans="1:18" x14ac:dyDescent="0.25">
      <c r="A4688" s="6" t="str">
        <f>HYPERLINK("proteomic_fractions_linear_files/Yang_linear_img/86990450.jpg", "86990450")</f>
        <v>86990450</v>
      </c>
      <c r="B4688" s="7"/>
      <c r="C4688" s="6" t="str">
        <f>HYPERLINK("http://www.ncbi.nlm.nih.gov/protein/86990450","Myo1b")</f>
        <v>Myo1b</v>
      </c>
      <c r="D4688" s="8"/>
      <c r="E4688" s="8">
        <v>128433</v>
      </c>
      <c r="F4688" s="8"/>
      <c r="G4688" s="15" t="s">
        <v>10</v>
      </c>
      <c r="H4688" s="15" t="s">
        <v>10</v>
      </c>
      <c r="I4688" s="15" t="s">
        <v>10</v>
      </c>
      <c r="J4688" s="15" t="s">
        <v>10</v>
      </c>
      <c r="K4688" s="15">
        <v>1.1988505557518894</v>
      </c>
      <c r="L4688" s="15">
        <v>1.1988505557518894</v>
      </c>
      <c r="M4688" s="15" t="s">
        <v>10</v>
      </c>
      <c r="N4688" s="15" t="s">
        <v>10</v>
      </c>
      <c r="O4688" s="15" t="s">
        <v>10</v>
      </c>
      <c r="P4688" s="15" t="s">
        <v>10</v>
      </c>
      <c r="Q4688" s="8"/>
      <c r="R4688" s="9" t="s">
        <v>4233</v>
      </c>
    </row>
    <row r="4689" spans="1:18" x14ac:dyDescent="0.25">
      <c r="A4689" s="6" t="str">
        <f>HYPERLINK("proteomic_fractions_linear_files/Yang_linear_img/124494244;6678986.jpg", "124494244;6678986")</f>
        <v>124494244;6678986</v>
      </c>
      <c r="B4689" s="8"/>
      <c r="C4689" s="6" t="str">
        <f>HYPERLINK("http://www.ncbi.nlm.nih.gov/protein/124494244;6678986","Myo1c")</f>
        <v>Myo1c</v>
      </c>
      <c r="D4689" s="8"/>
      <c r="E4689" s="8">
        <v>118025</v>
      </c>
      <c r="F4689" s="8"/>
      <c r="G4689" s="15">
        <v>1.3004480604766258</v>
      </c>
      <c r="H4689" s="15">
        <v>1.3004480604766258</v>
      </c>
      <c r="I4689" s="15" t="s">
        <v>10</v>
      </c>
      <c r="J4689" s="15" t="s">
        <v>10</v>
      </c>
      <c r="K4689" s="15">
        <v>1.0908612554670929</v>
      </c>
      <c r="L4689" s="15">
        <v>1.0908612554670929</v>
      </c>
      <c r="M4689" s="15" t="s">
        <v>10</v>
      </c>
      <c r="N4689" s="15" t="s">
        <v>10</v>
      </c>
      <c r="O4689" s="15" t="s">
        <v>10</v>
      </c>
      <c r="P4689" s="15" t="s">
        <v>10</v>
      </c>
      <c r="Q4689" s="8"/>
      <c r="R4689" s="9" t="s">
        <v>4234</v>
      </c>
    </row>
    <row r="4690" spans="1:18" x14ac:dyDescent="0.25">
      <c r="A4690" s="6" t="str">
        <f>HYPERLINK("proteomic_fractions_linear_files/Yang_linear_img/6678986.jpg", "6678986")</f>
        <v>6678986</v>
      </c>
      <c r="B4690" s="7"/>
      <c r="C4690" s="6" t="str">
        <f>HYPERLINK("http://www.ncbi.nlm.nih.gov/protein/6678986","Myo1c")</f>
        <v>Myo1c</v>
      </c>
      <c r="D4690" s="8"/>
      <c r="E4690" s="8">
        <v>118025</v>
      </c>
      <c r="F4690" s="8"/>
      <c r="G4690" s="15" t="s">
        <v>10</v>
      </c>
      <c r="H4690" s="15" t="s">
        <v>10</v>
      </c>
      <c r="I4690" s="15">
        <v>0.80481339985241107</v>
      </c>
      <c r="J4690" s="15">
        <v>0.93052172729772431</v>
      </c>
      <c r="K4690" s="15" t="s">
        <v>10</v>
      </c>
      <c r="L4690" s="15" t="s">
        <v>10</v>
      </c>
      <c r="M4690" s="15">
        <v>1.0908612554670929</v>
      </c>
      <c r="N4690" s="15">
        <v>1.0908612554670929</v>
      </c>
      <c r="O4690" s="15">
        <v>1.0908612554670929</v>
      </c>
      <c r="P4690" s="15">
        <v>1.0908612554670929</v>
      </c>
      <c r="Q4690" s="8"/>
      <c r="R4690" s="9" t="s">
        <v>4234</v>
      </c>
    </row>
    <row r="4691" spans="1:18" x14ac:dyDescent="0.25">
      <c r="A4691" s="6" t="str">
        <f>HYPERLINK("proteomic_fractions_linear_files/Yang_linear_img/124494242.jpg", "124494242")</f>
        <v>124494242</v>
      </c>
      <c r="B4691" s="7"/>
      <c r="C4691" s="6" t="str">
        <f>HYPERLINK("http://www.ncbi.nlm.nih.gov/protein/124494242","Myo1c")</f>
        <v>Myo1c</v>
      </c>
      <c r="D4691" s="8"/>
      <c r="E4691" s="8">
        <v>119746</v>
      </c>
      <c r="F4691" s="8"/>
      <c r="G4691" s="15">
        <v>1.2787739261353486</v>
      </c>
      <c r="H4691" s="15">
        <v>1.2787739261353486</v>
      </c>
      <c r="I4691" s="15">
        <v>0.79139984318820422</v>
      </c>
      <c r="J4691" s="15">
        <v>0.91501303184276217</v>
      </c>
      <c r="K4691" s="15">
        <v>1.0726802345426414</v>
      </c>
      <c r="L4691" s="15">
        <v>1.0726802345426414</v>
      </c>
      <c r="M4691" s="15">
        <v>1.0726802345426414</v>
      </c>
      <c r="N4691" s="15">
        <v>1.0726802345426414</v>
      </c>
      <c r="O4691" s="15">
        <v>1.0726802345426414</v>
      </c>
      <c r="P4691" s="15">
        <v>1.0726802345426414</v>
      </c>
      <c r="Q4691" s="8"/>
      <c r="R4691" s="9" t="s">
        <v>4235</v>
      </c>
    </row>
    <row r="4692" spans="1:18" x14ac:dyDescent="0.25">
      <c r="A4692" s="6" t="str">
        <f>HYPERLINK("proteomic_fractions_linear_files/Yang_linear_img/118026911.jpg", "118026911")</f>
        <v>118026911</v>
      </c>
      <c r="B4692" s="7"/>
      <c r="C4692" s="6" t="str">
        <f>HYPERLINK("http://www.ncbi.nlm.nih.gov/protein/118026911","Myo1d")</f>
        <v>Myo1d</v>
      </c>
      <c r="D4692" s="8"/>
      <c r="E4692" s="8">
        <v>115950</v>
      </c>
      <c r="F4692" s="8"/>
      <c r="G4692" s="15">
        <v>1.1096692081475601</v>
      </c>
      <c r="H4692" s="15">
        <v>1.1096692081475601</v>
      </c>
      <c r="I4692" s="15">
        <v>0.94656520535458166</v>
      </c>
      <c r="J4692" s="15">
        <v>0.94656520535458166</v>
      </c>
      <c r="K4692" s="15">
        <v>1.1096692081475601</v>
      </c>
      <c r="L4692" s="15">
        <v>1.1096692081475601</v>
      </c>
      <c r="M4692" s="15">
        <v>1.1096692081475601</v>
      </c>
      <c r="N4692" s="15">
        <v>1.1096692081475601</v>
      </c>
      <c r="O4692" s="15" t="s">
        <v>10</v>
      </c>
      <c r="P4692" s="15" t="s">
        <v>10</v>
      </c>
      <c r="Q4692" s="8"/>
      <c r="R4692" s="9" t="s">
        <v>4236</v>
      </c>
    </row>
    <row r="4693" spans="1:18" x14ac:dyDescent="0.25">
      <c r="A4693" s="6" t="str">
        <f>HYPERLINK("proteomic_fractions_linear_files/Yang_linear_img/407261730.jpg", "407261730")</f>
        <v>407261730</v>
      </c>
      <c r="B4693" s="7"/>
      <c r="C4693" s="6" t="str">
        <f>HYPERLINK("http://www.ncbi.nlm.nih.gov/protein/407261730","Myo1e")</f>
        <v>Myo1e</v>
      </c>
      <c r="D4693" s="8"/>
      <c r="E4693" s="8">
        <v>120308</v>
      </c>
      <c r="F4693" s="8"/>
      <c r="G4693" s="15" t="s">
        <v>10</v>
      </c>
      <c r="H4693" s="15" t="s">
        <v>10</v>
      </c>
      <c r="I4693" s="15">
        <v>0.91501303184276217</v>
      </c>
      <c r="J4693" s="15">
        <v>0.91501303184276217</v>
      </c>
      <c r="K4693" s="15">
        <v>1.0726802345426414</v>
      </c>
      <c r="L4693" s="15">
        <v>1.0726802345426414</v>
      </c>
      <c r="M4693" s="15">
        <v>1.0726802345426414</v>
      </c>
      <c r="N4693" s="15">
        <v>1.0726802345426414</v>
      </c>
      <c r="O4693" s="15">
        <v>1.0726802345426414</v>
      </c>
      <c r="P4693" s="15">
        <v>1.0726802345426414</v>
      </c>
      <c r="Q4693" s="8"/>
      <c r="R4693" s="9" t="s">
        <v>8316</v>
      </c>
    </row>
    <row r="4694" spans="1:18" x14ac:dyDescent="0.25">
      <c r="A4694" s="6" t="str">
        <f>HYPERLINK("proteomic_fractions_linear_files/Yang_linear_img/68299824.jpg", "68299824")</f>
        <v>68299824</v>
      </c>
      <c r="B4694" s="7"/>
      <c r="C4694" s="6" t="str">
        <f>HYPERLINK("http://www.ncbi.nlm.nih.gov/protein/68299824","Myo1e")</f>
        <v>Myo1e</v>
      </c>
      <c r="D4694" s="8"/>
      <c r="E4694" s="8">
        <v>126687</v>
      </c>
      <c r="F4694" s="8"/>
      <c r="G4694" s="15" t="s">
        <v>10</v>
      </c>
      <c r="H4694" s="15" t="s">
        <v>10</v>
      </c>
      <c r="I4694" s="15">
        <v>0.86457924268607456</v>
      </c>
      <c r="J4694" s="15">
        <v>0.86457924268607456</v>
      </c>
      <c r="K4694" s="15">
        <v>1.0135561271269053</v>
      </c>
      <c r="L4694" s="15">
        <v>1.0135561271269053</v>
      </c>
      <c r="M4694" s="15">
        <v>1.0135561271269053</v>
      </c>
      <c r="N4694" s="15">
        <v>1.0135561271269053</v>
      </c>
      <c r="O4694" s="15">
        <v>1.0135561271269053</v>
      </c>
      <c r="P4694" s="15">
        <v>1.0135561271269053</v>
      </c>
      <c r="Q4694" s="8"/>
      <c r="R4694" s="9" t="s">
        <v>4237</v>
      </c>
    </row>
    <row r="4695" spans="1:18" x14ac:dyDescent="0.25">
      <c r="A4695" s="6" t="str">
        <f>HYPERLINK("proteomic_fractions_linear_files/Yang_linear_img/255069756.jpg", "255069756")</f>
        <v>255069756</v>
      </c>
      <c r="B4695" s="7"/>
      <c r="C4695" s="6" t="str">
        <f>HYPERLINK("http://www.ncbi.nlm.nih.gov/protein/255069756","Myo1f")</f>
        <v>Myo1f</v>
      </c>
      <c r="D4695" s="8"/>
      <c r="E4695" s="8">
        <v>125083</v>
      </c>
      <c r="F4695" s="8"/>
      <c r="G4695" s="15" t="s">
        <v>10</v>
      </c>
      <c r="H4695" s="15" t="s">
        <v>10</v>
      </c>
      <c r="I4695" s="15">
        <v>0.87841251056905179</v>
      </c>
      <c r="J4695" s="15">
        <v>0.87841251056905179</v>
      </c>
      <c r="K4695" s="15">
        <v>1.2276229690899347</v>
      </c>
      <c r="L4695" s="15">
        <v>1.2276229690899347</v>
      </c>
      <c r="M4695" s="15">
        <v>1.0297730251609358</v>
      </c>
      <c r="N4695" s="15">
        <v>1.0297730251609358</v>
      </c>
      <c r="O4695" s="15">
        <v>1.0297730251609358</v>
      </c>
      <c r="P4695" s="15">
        <v>1.0297730251609358</v>
      </c>
      <c r="Q4695" s="8"/>
      <c r="R4695" s="9" t="s">
        <v>4238</v>
      </c>
    </row>
    <row r="4696" spans="1:18" x14ac:dyDescent="0.25">
      <c r="A4696" s="6" t="str">
        <f>HYPERLINK("proteomic_fractions_linear_files/Yang_linear_img/266458101.jpg", "266458101")</f>
        <v>266458101</v>
      </c>
      <c r="B4696" s="7"/>
      <c r="C4696" s="6" t="str">
        <f>HYPERLINK("http://www.ncbi.nlm.nih.gov/protein/266458101","Myo1g")</f>
        <v>Myo1g</v>
      </c>
      <c r="D4696" s="8"/>
      <c r="E4696" s="8">
        <v>117096</v>
      </c>
      <c r="F4696" s="8"/>
      <c r="G4696" s="15" t="s">
        <v>10</v>
      </c>
      <c r="H4696" s="15" t="s">
        <v>10</v>
      </c>
      <c r="I4696" s="15" t="s">
        <v>10</v>
      </c>
      <c r="J4696" s="15" t="s">
        <v>10</v>
      </c>
      <c r="K4696" s="15">
        <v>1.1001848559411707</v>
      </c>
      <c r="L4696" s="15">
        <v>1.1001848559411707</v>
      </c>
      <c r="M4696" s="15" t="s">
        <v>10</v>
      </c>
      <c r="N4696" s="15" t="s">
        <v>10</v>
      </c>
      <c r="O4696" s="15" t="s">
        <v>10</v>
      </c>
      <c r="P4696" s="15" t="s">
        <v>10</v>
      </c>
      <c r="Q4696" s="8"/>
      <c r="R4696" s="9" t="s">
        <v>4239</v>
      </c>
    </row>
    <row r="4697" spans="1:18" x14ac:dyDescent="0.25">
      <c r="A4697" s="6" t="str">
        <f>HYPERLINK("proteomic_fractions_linear_files/Yang_linear_img/111120334.jpg", "111120334")</f>
        <v>111120334</v>
      </c>
      <c r="B4697" s="7"/>
      <c r="C4697" s="6" t="str">
        <f>HYPERLINK("http://www.ncbi.nlm.nih.gov/protein/111120334","Myo3b")</f>
        <v>Myo3b</v>
      </c>
      <c r="D4697" s="8"/>
      <c r="E4697" s="8">
        <v>150969</v>
      </c>
      <c r="F4697" s="8"/>
      <c r="G4697" s="15" t="s">
        <v>10</v>
      </c>
      <c r="H4697" s="15" t="s">
        <v>10</v>
      </c>
      <c r="I4697" s="15" t="s">
        <v>10</v>
      </c>
      <c r="J4697" s="15" t="s">
        <v>10</v>
      </c>
      <c r="K4697" s="15">
        <v>1.0162441797102109</v>
      </c>
      <c r="L4697" s="15">
        <v>1.0162441797102109</v>
      </c>
      <c r="M4697" s="15" t="s">
        <v>10</v>
      </c>
      <c r="N4697" s="15" t="s">
        <v>10</v>
      </c>
      <c r="O4697" s="15" t="s">
        <v>10</v>
      </c>
      <c r="P4697" s="15" t="s">
        <v>10</v>
      </c>
      <c r="Q4697" s="8"/>
      <c r="R4697" s="9" t="s">
        <v>4240</v>
      </c>
    </row>
    <row r="4698" spans="1:18" x14ac:dyDescent="0.25">
      <c r="A4698" s="6" t="str">
        <f>HYPERLINK("proteomic_fractions_linear_files/Yang_linear_img/115511052.jpg", "115511052")</f>
        <v>115511052</v>
      </c>
      <c r="B4698" s="7"/>
      <c r="C4698" s="6" t="str">
        <f>HYPERLINK("http://www.ncbi.nlm.nih.gov/protein/115511052","Myo5a")</f>
        <v>Myo5a</v>
      </c>
      <c r="D4698" s="8"/>
      <c r="E4698" s="8">
        <v>215408</v>
      </c>
      <c r="F4698" s="8"/>
      <c r="G4698" s="15" t="s">
        <v>10</v>
      </c>
      <c r="H4698" s="15" t="s">
        <v>10</v>
      </c>
      <c r="I4698" s="15">
        <v>1.0853992912923212</v>
      </c>
      <c r="J4698" s="15">
        <v>1.0853992912923212</v>
      </c>
      <c r="K4698" s="15">
        <v>1.0853992912923212</v>
      </c>
      <c r="L4698" s="15">
        <v>1.0853992912923212</v>
      </c>
      <c r="M4698" s="15">
        <v>0.34156353600782441</v>
      </c>
      <c r="N4698" s="15">
        <v>0.34156353600782441</v>
      </c>
      <c r="O4698" s="15" t="s">
        <v>10</v>
      </c>
      <c r="P4698" s="15" t="s">
        <v>10</v>
      </c>
      <c r="Q4698" s="8"/>
      <c r="R4698" s="9" t="s">
        <v>4241</v>
      </c>
    </row>
    <row r="4699" spans="1:18" x14ac:dyDescent="0.25">
      <c r="A4699" s="6" t="str">
        <f>HYPERLINK("proteomic_fractions_linear_files/Yang_linear_img/46399202.jpg", "46399202")</f>
        <v>46399202</v>
      </c>
      <c r="B4699" s="7"/>
      <c r="C4699" s="6" t="str">
        <f>HYPERLINK("http://www.ncbi.nlm.nih.gov/protein/46399202","Myo5b")</f>
        <v>Myo5b</v>
      </c>
      <c r="D4699" s="8"/>
      <c r="E4699" s="8">
        <v>210416</v>
      </c>
      <c r="F4699" s="8"/>
      <c r="G4699" s="15" t="s">
        <v>10</v>
      </c>
      <c r="H4699" s="15" t="s">
        <v>10</v>
      </c>
      <c r="I4699" s="15">
        <v>1.111242131561186</v>
      </c>
      <c r="J4699" s="15">
        <v>1.111242131561186</v>
      </c>
      <c r="K4699" s="15">
        <v>1.111242131561186</v>
      </c>
      <c r="L4699" s="15">
        <v>1.111242131561186</v>
      </c>
      <c r="M4699" s="15">
        <v>0.34969600115086785</v>
      </c>
      <c r="N4699" s="15">
        <v>0.34969600115086785</v>
      </c>
      <c r="O4699" s="15" t="s">
        <v>10</v>
      </c>
      <c r="P4699" s="15" t="s">
        <v>10</v>
      </c>
      <c r="Q4699" s="8"/>
      <c r="R4699" s="9" t="s">
        <v>4242</v>
      </c>
    </row>
    <row r="4700" spans="1:18" x14ac:dyDescent="0.25">
      <c r="A4700" s="6" t="str">
        <f>HYPERLINK("proteomic_fractions_linear_files/Yang_linear_img/124486759.jpg", "124486759")</f>
        <v>124486759</v>
      </c>
      <c r="B4700" s="7"/>
      <c r="C4700" s="6" t="str">
        <f>HYPERLINK("http://www.ncbi.nlm.nih.gov/protein/124486759","Myo5c")</f>
        <v>Myo5c</v>
      </c>
      <c r="D4700" s="8"/>
      <c r="E4700" s="8">
        <v>202572</v>
      </c>
      <c r="F4700" s="8"/>
      <c r="G4700" s="15" t="s">
        <v>10</v>
      </c>
      <c r="H4700" s="15" t="s">
        <v>10</v>
      </c>
      <c r="I4700" s="15">
        <v>1.149560825752951</v>
      </c>
      <c r="J4700" s="15">
        <v>1.149560825752951</v>
      </c>
      <c r="K4700" s="15">
        <v>1.149560825752951</v>
      </c>
      <c r="L4700" s="15">
        <v>1.149560825752951</v>
      </c>
      <c r="M4700" s="15">
        <v>1.149560825752951</v>
      </c>
      <c r="N4700" s="15">
        <v>1.149560825752951</v>
      </c>
      <c r="O4700" s="15">
        <v>1.149560825752951</v>
      </c>
      <c r="P4700" s="15">
        <v>1.149560825752951</v>
      </c>
      <c r="Q4700" s="8"/>
      <c r="R4700" s="9" t="s">
        <v>4243</v>
      </c>
    </row>
    <row r="4701" spans="1:18" x14ac:dyDescent="0.25">
      <c r="A4701" s="6" t="str">
        <f>HYPERLINK("proteomic_fractions_linear_files/Yang_linear_img/261823961.jpg", "261823961")</f>
        <v>261823961</v>
      </c>
      <c r="B4701" s="7"/>
      <c r="C4701" s="6" t="str">
        <f>HYPERLINK("http://www.ncbi.nlm.nih.gov/protein/261823961","Myo6")</f>
        <v>Myo6</v>
      </c>
      <c r="D4701" s="8"/>
      <c r="E4701" s="8">
        <v>145675</v>
      </c>
      <c r="F4701" s="8"/>
      <c r="G4701" s="15">
        <v>1.2792180249310983</v>
      </c>
      <c r="H4701" s="15">
        <v>1.2792180249310983</v>
      </c>
      <c r="I4701" s="15">
        <v>1.051047062576999</v>
      </c>
      <c r="J4701" s="15">
        <v>1.051047062576999</v>
      </c>
      <c r="K4701" s="15">
        <v>1.2792180249310983</v>
      </c>
      <c r="L4701" s="15">
        <v>1.2792180249310983</v>
      </c>
      <c r="M4701" s="15">
        <v>1.2792180249310983</v>
      </c>
      <c r="N4701" s="15">
        <v>1.2792180249310983</v>
      </c>
      <c r="O4701" s="15">
        <v>1.2792180249310983</v>
      </c>
      <c r="P4701" s="15">
        <v>1.2792180249310983</v>
      </c>
      <c r="Q4701" s="8"/>
      <c r="R4701" s="9" t="s">
        <v>4244</v>
      </c>
    </row>
    <row r="4702" spans="1:18" x14ac:dyDescent="0.25">
      <c r="A4702" s="6" t="str">
        <f>HYPERLINK("proteomic_fractions_linear_files/Yang_linear_img/115511010.jpg", "115511010")</f>
        <v>115511010</v>
      </c>
      <c r="B4702" s="7"/>
      <c r="C4702" s="6" t="str">
        <f>HYPERLINK("http://www.ncbi.nlm.nih.gov/protein/115511010","Myo7a")</f>
        <v>Myo7a</v>
      </c>
      <c r="D4702" s="8"/>
      <c r="E4702" s="8">
        <v>250967</v>
      </c>
      <c r="F4702" s="8"/>
      <c r="G4702" s="15" t="s">
        <v>10</v>
      </c>
      <c r="H4702" s="15" t="s">
        <v>10</v>
      </c>
      <c r="I4702" s="15" t="s">
        <v>10</v>
      </c>
      <c r="J4702" s="15" t="s">
        <v>10</v>
      </c>
      <c r="K4702" s="15">
        <v>1.2023240025358517</v>
      </c>
      <c r="L4702" s="15">
        <v>1.2023240025358517</v>
      </c>
      <c r="M4702" s="15" t="s">
        <v>10</v>
      </c>
      <c r="N4702" s="15" t="s">
        <v>10</v>
      </c>
      <c r="O4702" s="15" t="s">
        <v>10</v>
      </c>
      <c r="P4702" s="15" t="s">
        <v>10</v>
      </c>
      <c r="Q4702" s="8"/>
      <c r="R4702" s="9" t="s">
        <v>4245</v>
      </c>
    </row>
    <row r="4703" spans="1:18" x14ac:dyDescent="0.25">
      <c r="A4703" s="6" t="str">
        <f>HYPERLINK("proteomic_fractions_linear_files/Yang_linear_img/367460064.jpg", "367460064")</f>
        <v>367460064</v>
      </c>
      <c r="B4703" s="7"/>
      <c r="C4703" s="6" t="str">
        <f>HYPERLINK("http://www.ncbi.nlm.nih.gov/protein/367460064","Myo7a")</f>
        <v>Myo7a</v>
      </c>
      <c r="D4703" s="8"/>
      <c r="E4703" s="8">
        <v>254809</v>
      </c>
      <c r="F4703" s="8"/>
      <c r="G4703" s="15" t="s">
        <v>10</v>
      </c>
      <c r="H4703" s="15" t="s">
        <v>10</v>
      </c>
      <c r="I4703" s="15" t="s">
        <v>10</v>
      </c>
      <c r="J4703" s="15" t="s">
        <v>10</v>
      </c>
      <c r="K4703" s="15">
        <v>1.1834640181823481</v>
      </c>
      <c r="L4703" s="15">
        <v>1.1834640181823481</v>
      </c>
      <c r="M4703" s="15" t="s">
        <v>10</v>
      </c>
      <c r="N4703" s="15" t="s">
        <v>10</v>
      </c>
      <c r="O4703" s="15" t="s">
        <v>10</v>
      </c>
      <c r="P4703" s="15" t="s">
        <v>10</v>
      </c>
      <c r="Q4703" s="8"/>
      <c r="R4703" s="9" t="s">
        <v>4246</v>
      </c>
    </row>
    <row r="4704" spans="1:18" x14ac:dyDescent="0.25">
      <c r="A4704" s="6" t="str">
        <f>HYPERLINK("proteomic_fractions_linear_files/Yang_linear_img/367460066.jpg", "367460066")</f>
        <v>367460066</v>
      </c>
      <c r="B4704" s="7"/>
      <c r="C4704" s="6" t="str">
        <f>HYPERLINK("http://www.ncbi.nlm.nih.gov/protein/367460066","Myo7a")</f>
        <v>Myo7a</v>
      </c>
      <c r="D4704" s="8"/>
      <c r="E4704" s="8">
        <v>250195</v>
      </c>
      <c r="F4704" s="8"/>
      <c r="G4704" s="15" t="s">
        <v>10</v>
      </c>
      <c r="H4704" s="15" t="s">
        <v>10</v>
      </c>
      <c r="I4704" s="15" t="s">
        <v>10</v>
      </c>
      <c r="J4704" s="15" t="s">
        <v>10</v>
      </c>
      <c r="K4704" s="15">
        <v>1.207133298545995</v>
      </c>
      <c r="L4704" s="15">
        <v>1.207133298545995</v>
      </c>
      <c r="M4704" s="15" t="s">
        <v>10</v>
      </c>
      <c r="N4704" s="15" t="s">
        <v>10</v>
      </c>
      <c r="O4704" s="15" t="s">
        <v>10</v>
      </c>
      <c r="P4704" s="15" t="s">
        <v>10</v>
      </c>
      <c r="Q4704" s="8"/>
      <c r="R4704" s="9" t="s">
        <v>4247</v>
      </c>
    </row>
    <row r="4705" spans="1:18" x14ac:dyDescent="0.25">
      <c r="A4705" s="6" t="str">
        <f>HYPERLINK("proteomic_fractions_linear_files/Yang_linear_img/367460068.jpg", "367460068")</f>
        <v>367460068</v>
      </c>
      <c r="B4705" s="7"/>
      <c r="C4705" s="6" t="str">
        <f>HYPERLINK("http://www.ncbi.nlm.nih.gov/protein/367460068","Myo7a")</f>
        <v>Myo7a</v>
      </c>
      <c r="D4705" s="8"/>
      <c r="E4705" s="8">
        <v>249634</v>
      </c>
      <c r="F4705" s="8"/>
      <c r="G4705" s="15" t="s">
        <v>10</v>
      </c>
      <c r="H4705" s="15" t="s">
        <v>10</v>
      </c>
      <c r="I4705" s="15" t="s">
        <v>10</v>
      </c>
      <c r="J4705" s="15" t="s">
        <v>10</v>
      </c>
      <c r="K4705" s="15">
        <v>1.207133298545995</v>
      </c>
      <c r="L4705" s="15">
        <v>1.207133298545995</v>
      </c>
      <c r="M4705" s="15" t="s">
        <v>10</v>
      </c>
      <c r="N4705" s="15" t="s">
        <v>10</v>
      </c>
      <c r="O4705" s="15" t="s">
        <v>10</v>
      </c>
      <c r="P4705" s="15" t="s">
        <v>10</v>
      </c>
      <c r="Q4705" s="8"/>
      <c r="R4705" s="9" t="s">
        <v>4248</v>
      </c>
    </row>
    <row r="4706" spans="1:18" x14ac:dyDescent="0.25">
      <c r="A4706" s="6" t="str">
        <f>HYPERLINK("proteomic_fractions_linear_files/Yang_linear_img/124053459.jpg", "124053459")</f>
        <v>124053459</v>
      </c>
      <c r="B4706" s="7"/>
      <c r="C4706" s="6" t="str">
        <f>HYPERLINK("http://www.ncbi.nlm.nih.gov/protein/124053459","Myo9b")</f>
        <v>Myo9b</v>
      </c>
      <c r="D4706" s="8"/>
      <c r="E4706" s="8">
        <v>222312</v>
      </c>
      <c r="F4706" s="8"/>
      <c r="G4706" s="15" t="s">
        <v>10</v>
      </c>
      <c r="H4706" s="15" t="s">
        <v>10</v>
      </c>
      <c r="I4706" s="15" t="s">
        <v>10</v>
      </c>
      <c r="J4706" s="15" t="s">
        <v>10</v>
      </c>
      <c r="K4706" s="15">
        <v>1.3593843452094538</v>
      </c>
      <c r="L4706" s="15">
        <v>1.3593843452094538</v>
      </c>
      <c r="M4706" s="15">
        <v>1.3593843452094538</v>
      </c>
      <c r="N4706" s="15">
        <v>1.3593843452094538</v>
      </c>
      <c r="O4706" s="15" t="s">
        <v>10</v>
      </c>
      <c r="P4706" s="15" t="s">
        <v>10</v>
      </c>
      <c r="Q4706" s="8"/>
      <c r="R4706" s="9" t="s">
        <v>4249</v>
      </c>
    </row>
    <row r="4707" spans="1:18" x14ac:dyDescent="0.25">
      <c r="A4707" s="6" t="str">
        <f>HYPERLINK("proteomic_fractions_linear_files/Yang_linear_img/215272382.jpg", "215272382")</f>
        <v>215272382</v>
      </c>
      <c r="B4707" s="7"/>
      <c r="C4707" s="6" t="str">
        <f>HYPERLINK("http://www.ncbi.nlm.nih.gov/protein/215272382","Myo9b")</f>
        <v>Myo9b</v>
      </c>
      <c r="D4707" s="8"/>
      <c r="E4707" s="8">
        <v>240186</v>
      </c>
      <c r="F4707" s="8"/>
      <c r="G4707" s="15" t="s">
        <v>10</v>
      </c>
      <c r="H4707" s="15" t="s">
        <v>10</v>
      </c>
      <c r="I4707" s="15" t="s">
        <v>10</v>
      </c>
      <c r="J4707" s="15" t="s">
        <v>10</v>
      </c>
      <c r="K4707" s="15">
        <v>1.2574305193187449</v>
      </c>
      <c r="L4707" s="15">
        <v>1.2574305193187449</v>
      </c>
      <c r="M4707" s="15">
        <v>1.2574305193187449</v>
      </c>
      <c r="N4707" s="15">
        <v>1.2574305193187449</v>
      </c>
      <c r="O4707" s="15" t="s">
        <v>10</v>
      </c>
      <c r="P4707" s="15" t="s">
        <v>10</v>
      </c>
      <c r="Q4707" s="8"/>
      <c r="R4707" s="9" t="s">
        <v>4250</v>
      </c>
    </row>
    <row r="4708" spans="1:18" x14ac:dyDescent="0.25">
      <c r="A4708" s="6" t="str">
        <f>HYPERLINK("proteomic_fractions_linear_files/Yang_linear_img/215272384.jpg", "215272384")</f>
        <v>215272384</v>
      </c>
      <c r="B4708" s="7"/>
      <c r="C4708" s="6" t="str">
        <f>HYPERLINK("http://www.ncbi.nlm.nih.gov/protein/215272384","Myo9b")</f>
        <v>Myo9b</v>
      </c>
      <c r="D4708" s="8"/>
      <c r="E4708" s="8">
        <v>223796</v>
      </c>
      <c r="F4708" s="8"/>
      <c r="G4708" s="15" t="s">
        <v>10</v>
      </c>
      <c r="H4708" s="15" t="s">
        <v>10</v>
      </c>
      <c r="I4708" s="15" t="s">
        <v>10</v>
      </c>
      <c r="J4708" s="15" t="s">
        <v>10</v>
      </c>
      <c r="K4708" s="15">
        <v>1.3472469849843696</v>
      </c>
      <c r="L4708" s="15">
        <v>1.3472469849843696</v>
      </c>
      <c r="M4708" s="15">
        <v>1.3472469849843696</v>
      </c>
      <c r="N4708" s="15">
        <v>1.3472469849843696</v>
      </c>
      <c r="O4708" s="15" t="s">
        <v>10</v>
      </c>
      <c r="P4708" s="15" t="s">
        <v>10</v>
      </c>
      <c r="Q4708" s="8"/>
      <c r="R4708" s="9" t="s">
        <v>4251</v>
      </c>
    </row>
    <row r="4709" spans="1:18" x14ac:dyDescent="0.25">
      <c r="A4709" s="6" t="str">
        <f>HYPERLINK("proteomic_fractions_linear_files/Yang_linear_img/153791796.jpg", "153791796")</f>
        <v>153791796</v>
      </c>
      <c r="B4709" s="7"/>
      <c r="C4709" s="6" t="str">
        <f>HYPERLINK("http://www.ncbi.nlm.nih.gov/protein/153791796","Myof")</f>
        <v>Myof</v>
      </c>
      <c r="D4709" s="8"/>
      <c r="E4709" s="8">
        <v>233194</v>
      </c>
      <c r="F4709" s="8"/>
      <c r="G4709" s="15">
        <v>1.0015487022654466</v>
      </c>
      <c r="H4709" s="15">
        <v>1.0015487022654466</v>
      </c>
      <c r="I4709" s="15">
        <v>1.0015487022654466</v>
      </c>
      <c r="J4709" s="15">
        <v>1.0015487022654466</v>
      </c>
      <c r="K4709" s="15">
        <v>1.2952074018733852</v>
      </c>
      <c r="L4709" s="15">
        <v>1.2952074018733852</v>
      </c>
      <c r="M4709" s="15">
        <v>1.2952074018733852</v>
      </c>
      <c r="N4709" s="15">
        <v>1.2952074018733852</v>
      </c>
      <c r="O4709" s="15" t="s">
        <v>10</v>
      </c>
      <c r="P4709" s="15" t="s">
        <v>10</v>
      </c>
      <c r="Q4709" s="8"/>
      <c r="R4709" s="9" t="s">
        <v>4252</v>
      </c>
    </row>
    <row r="4710" spans="1:18" x14ac:dyDescent="0.25">
      <c r="A4710" s="6" t="str">
        <f>HYPERLINK("proteomic_fractions_linear_files/Yang_linear_img/85701616.jpg", "85701616")</f>
        <v>85701616</v>
      </c>
      <c r="B4710" s="7"/>
      <c r="C4710" s="6" t="str">
        <f>HYPERLINK("http://www.ncbi.nlm.nih.gov/protein/85701616","Myzap")</f>
        <v>Myzap</v>
      </c>
      <c r="D4710" s="8"/>
      <c r="E4710" s="8">
        <v>52331</v>
      </c>
      <c r="F4710" s="8"/>
      <c r="G4710" s="15" t="s">
        <v>10</v>
      </c>
      <c r="H4710" s="15" t="s">
        <v>10</v>
      </c>
      <c r="I4710" s="15">
        <v>1.0215494159615592</v>
      </c>
      <c r="J4710" s="15">
        <v>1.0215494159615592</v>
      </c>
      <c r="K4710" s="15" t="s">
        <v>10</v>
      </c>
      <c r="L4710" s="15" t="s">
        <v>10</v>
      </c>
      <c r="M4710" s="15">
        <v>1.0215494159615592</v>
      </c>
      <c r="N4710" s="15">
        <v>1.0215494159615592</v>
      </c>
      <c r="O4710" s="15">
        <v>0.92865337662337022</v>
      </c>
      <c r="P4710" s="15">
        <v>0.92865337662337022</v>
      </c>
      <c r="Q4710" s="8"/>
      <c r="R4710" s="9" t="s">
        <v>4253</v>
      </c>
    </row>
    <row r="4711" spans="1:18" x14ac:dyDescent="0.25">
      <c r="A4711" s="6" t="str">
        <f>HYPERLINK("proteomic_fractions_linear_files/Yang_linear_img/30424884.jpg", "30424884")</f>
        <v>30424884</v>
      </c>
      <c r="B4711" s="7"/>
      <c r="C4711" s="6" t="str">
        <f>HYPERLINK("http://www.ncbi.nlm.nih.gov/protein/30424884","Mzt1")</f>
        <v>Mzt1</v>
      </c>
      <c r="D4711" s="8"/>
      <c r="E4711" s="8">
        <v>8001</v>
      </c>
      <c r="F4711" s="8"/>
      <c r="G4711" s="15">
        <v>1.4123298997006517</v>
      </c>
      <c r="H4711" s="15">
        <v>1.4123298997006517</v>
      </c>
      <c r="I4711" s="15" t="s">
        <v>10</v>
      </c>
      <c r="J4711" s="15" t="s">
        <v>10</v>
      </c>
      <c r="K4711" s="15">
        <v>1.5291076615414196</v>
      </c>
      <c r="L4711" s="15">
        <v>1.5291076615414196</v>
      </c>
      <c r="M4711" s="15" t="s">
        <v>10</v>
      </c>
      <c r="N4711" s="15" t="s">
        <v>10</v>
      </c>
      <c r="O4711" s="15" t="s">
        <v>10</v>
      </c>
      <c r="P4711" s="15" t="s">
        <v>10</v>
      </c>
      <c r="Q4711" s="8"/>
      <c r="R4711" s="9" t="s">
        <v>4254</v>
      </c>
    </row>
    <row r="4712" spans="1:18" x14ac:dyDescent="0.25">
      <c r="A4712" s="6" t="str">
        <f>HYPERLINK("proteomic_fractions_linear_files/Yang_linear_img/21312988.jpg", "21312988")</f>
        <v>21312988</v>
      </c>
      <c r="B4712" s="7"/>
      <c r="C4712" s="6" t="str">
        <f>HYPERLINK("http://www.ncbi.nlm.nih.gov/protein/21312988","Mzt2")</f>
        <v>Mzt2</v>
      </c>
      <c r="D4712" s="8"/>
      <c r="E4712" s="8">
        <v>16393</v>
      </c>
      <c r="F4712" s="8"/>
      <c r="G4712" s="15" t="s">
        <v>10</v>
      </c>
      <c r="H4712" s="15" t="s">
        <v>10</v>
      </c>
      <c r="I4712" s="15">
        <v>1.0447796575379389</v>
      </c>
      <c r="J4712" s="15">
        <v>1.0447796575379389</v>
      </c>
      <c r="K4712" s="15">
        <v>1.0447796575379389</v>
      </c>
      <c r="L4712" s="15">
        <v>1.0447796575379389</v>
      </c>
      <c r="M4712" s="15">
        <v>1.0981212353349354</v>
      </c>
      <c r="N4712" s="15">
        <v>1.0981212353349354</v>
      </c>
      <c r="O4712" s="15" t="s">
        <v>10</v>
      </c>
      <c r="P4712" s="15" t="s">
        <v>10</v>
      </c>
      <c r="Q4712" s="8"/>
      <c r="R4712" s="9" t="s">
        <v>4255</v>
      </c>
    </row>
    <row r="4713" spans="1:18" x14ac:dyDescent="0.25">
      <c r="A4713" s="6" t="str">
        <f>HYPERLINK("proteomic_fractions_linear_files/Yang_linear_img/67906816.jpg", "67906816")</f>
        <v>67906816</v>
      </c>
      <c r="B4713" s="7"/>
      <c r="C4713" s="6" t="str">
        <f>HYPERLINK("http://www.ncbi.nlm.nih.gov/protein/67906816","N4bp2")</f>
        <v>N4bp2</v>
      </c>
      <c r="D4713" s="8"/>
      <c r="E4713" s="8">
        <v>184570</v>
      </c>
      <c r="F4713" s="8"/>
      <c r="G4713" s="15" t="s">
        <v>10</v>
      </c>
      <c r="H4713" s="15" t="s">
        <v>10</v>
      </c>
      <c r="I4713" s="15" t="s">
        <v>10</v>
      </c>
      <c r="J4713" s="15" t="s">
        <v>10</v>
      </c>
      <c r="K4713" s="15">
        <v>1.2614099871775626</v>
      </c>
      <c r="L4713" s="15">
        <v>1.2614099871775626</v>
      </c>
      <c r="M4713" s="15">
        <v>1.2614099871775626</v>
      </c>
      <c r="N4713" s="15">
        <v>1.2614099871775626</v>
      </c>
      <c r="O4713" s="15" t="s">
        <v>10</v>
      </c>
      <c r="P4713" s="15" t="s">
        <v>10</v>
      </c>
      <c r="Q4713" s="8"/>
      <c r="R4713" s="9" t="s">
        <v>4256</v>
      </c>
    </row>
    <row r="4714" spans="1:18" x14ac:dyDescent="0.25">
      <c r="A4714" s="6" t="str">
        <f>HYPERLINK("proteomic_fractions_linear_files/Yang_linear_img/158186629.jpg", "158186629")</f>
        <v>158186629</v>
      </c>
      <c r="B4714" s="7"/>
      <c r="C4714" s="6" t="str">
        <f>HYPERLINK("http://www.ncbi.nlm.nih.gov/protein/158186629","N4bp2l2")</f>
        <v>N4bp2l2</v>
      </c>
      <c r="D4714" s="8"/>
      <c r="E4714" s="8">
        <v>66120</v>
      </c>
      <c r="F4714" s="8"/>
      <c r="G4714" s="15">
        <v>3.5357704186037737</v>
      </c>
      <c r="H4714" s="15">
        <v>3.5357704186037737</v>
      </c>
      <c r="I4714" s="15" t="s">
        <v>10</v>
      </c>
      <c r="J4714" s="15" t="s">
        <v>10</v>
      </c>
      <c r="K4714" s="15">
        <v>4.5724746157045271</v>
      </c>
      <c r="L4714" s="15">
        <v>4.5724746157045271</v>
      </c>
      <c r="M4714" s="15">
        <v>4.5724746157045271</v>
      </c>
      <c r="N4714" s="15">
        <v>4.5724746157045271</v>
      </c>
      <c r="O4714" s="15" t="s">
        <v>10</v>
      </c>
      <c r="P4714" s="15" t="s">
        <v>10</v>
      </c>
      <c r="Q4714" s="8"/>
      <c r="R4714" s="9" t="s">
        <v>4257</v>
      </c>
    </row>
    <row r="4715" spans="1:18" x14ac:dyDescent="0.25">
      <c r="A4715" s="6" t="str">
        <f>HYPERLINK("proteomic_fractions_linear_files/Yang_linear_img/39540506.jpg", "39540506")</f>
        <v>39540506</v>
      </c>
      <c r="B4715" s="7"/>
      <c r="C4715" s="6" t="str">
        <f>HYPERLINK("http://www.ncbi.nlm.nih.gov/protein/39540506","N6amt1")</f>
        <v>N6amt1</v>
      </c>
      <c r="D4715" s="8"/>
      <c r="E4715" s="8">
        <v>22852</v>
      </c>
      <c r="F4715" s="8"/>
      <c r="G4715" s="15" t="s">
        <v>10</v>
      </c>
      <c r="H4715" s="15" t="s">
        <v>10</v>
      </c>
      <c r="I4715" s="15">
        <v>0.94764096829038047</v>
      </c>
      <c r="J4715" s="15">
        <v>0.94764096829038047</v>
      </c>
      <c r="K4715" s="15">
        <v>1.0047640597703238</v>
      </c>
      <c r="L4715" s="15">
        <v>1.0047640597703238</v>
      </c>
      <c r="M4715" s="15" t="s">
        <v>10</v>
      </c>
      <c r="N4715" s="15" t="s">
        <v>10</v>
      </c>
      <c r="O4715" s="15">
        <v>0.94764096829038047</v>
      </c>
      <c r="P4715" s="15">
        <v>0.94764096829038047</v>
      </c>
      <c r="Q4715" s="8"/>
      <c r="R4715" s="9" t="s">
        <v>4258</v>
      </c>
    </row>
    <row r="4716" spans="1:18" x14ac:dyDescent="0.25">
      <c r="A4716" s="6" t="str">
        <f>HYPERLINK("proteomic_fractions_linear_files/Yang_linear_img/13386022.jpg", "13386022")</f>
        <v>13386022</v>
      </c>
      <c r="B4716" s="7"/>
      <c r="C4716" s="6" t="str">
        <f>HYPERLINK("http://www.ncbi.nlm.nih.gov/protein/13386022","N6amt2")</f>
        <v>N6amt2</v>
      </c>
      <c r="D4716" s="8"/>
      <c r="E4716" s="8">
        <v>25632</v>
      </c>
      <c r="F4716" s="8"/>
      <c r="G4716" s="15" t="s">
        <v>10</v>
      </c>
      <c r="H4716" s="15" t="s">
        <v>10</v>
      </c>
      <c r="I4716" s="15" t="s">
        <v>10</v>
      </c>
      <c r="J4716" s="15" t="s">
        <v>10</v>
      </c>
      <c r="K4716" s="15" t="s">
        <v>10</v>
      </c>
      <c r="L4716" s="15" t="s">
        <v>10</v>
      </c>
      <c r="M4716" s="15" t="s">
        <v>10</v>
      </c>
      <c r="N4716" s="15" t="s">
        <v>10</v>
      </c>
      <c r="O4716" s="15">
        <v>0.79220927640985661</v>
      </c>
      <c r="P4716" s="15">
        <v>0.79220927640985661</v>
      </c>
      <c r="Q4716" s="8"/>
      <c r="R4716" s="9" t="s">
        <v>4259</v>
      </c>
    </row>
    <row r="4717" spans="1:18" x14ac:dyDescent="0.25">
      <c r="A4717" s="6" t="str">
        <f>HYPERLINK("proteomic_fractions_linear_files/Yang_linear_img/9845236.jpg", "9845236")</f>
        <v>9845236</v>
      </c>
      <c r="B4717" s="7"/>
      <c r="C4717" s="6" t="str">
        <f>HYPERLINK("http://www.ncbi.nlm.nih.gov/protein/9845236","Naa10")</f>
        <v>Naa10</v>
      </c>
      <c r="D4717" s="8"/>
      <c r="E4717" s="8">
        <v>26389</v>
      </c>
      <c r="F4717" s="8"/>
      <c r="G4717" s="15" t="s">
        <v>10</v>
      </c>
      <c r="H4717" s="15" t="s">
        <v>10</v>
      </c>
      <c r="I4717" s="15" t="s">
        <v>10</v>
      </c>
      <c r="J4717" s="15" t="s">
        <v>10</v>
      </c>
      <c r="K4717" s="15">
        <v>1.0057791582855768</v>
      </c>
      <c r="L4717" s="15">
        <v>1.0057791582855768</v>
      </c>
      <c r="M4717" s="15">
        <v>1.1494387266043513</v>
      </c>
      <c r="N4717" s="15">
        <v>1.1494387266043513</v>
      </c>
      <c r="O4717" s="15">
        <v>1.0057791582855768</v>
      </c>
      <c r="P4717" s="15">
        <v>1.0057791582855768</v>
      </c>
      <c r="Q4717" s="8"/>
      <c r="R4717" s="9" t="s">
        <v>4260</v>
      </c>
    </row>
    <row r="4718" spans="1:18" x14ac:dyDescent="0.25">
      <c r="A4718" s="6" t="str">
        <f>HYPERLINK("proteomic_fractions_linear_files/Yang_linear_img/295789090.jpg", "295789090")</f>
        <v>295789090</v>
      </c>
      <c r="B4718" s="7"/>
      <c r="C4718" s="6" t="str">
        <f>HYPERLINK("http://www.ncbi.nlm.nih.gov/protein/295789090","Naa10")</f>
        <v>Naa10</v>
      </c>
      <c r="D4718" s="8"/>
      <c r="E4718" s="8">
        <v>24690</v>
      </c>
      <c r="F4718" s="8"/>
      <c r="G4718" s="15">
        <v>0.92438293498869784</v>
      </c>
      <c r="H4718" s="15">
        <v>0.92438293498869784</v>
      </c>
      <c r="I4718" s="15">
        <v>0.9821928245310767</v>
      </c>
      <c r="J4718" s="15">
        <v>0.9821928245310767</v>
      </c>
      <c r="K4718" s="15">
        <v>1.0460103246170001</v>
      </c>
      <c r="L4718" s="15">
        <v>1.0460103246170001</v>
      </c>
      <c r="M4718" s="15">
        <v>1.0460103246170001</v>
      </c>
      <c r="N4718" s="15">
        <v>1.0460103246170001</v>
      </c>
      <c r="O4718" s="15">
        <v>1.0460103246170001</v>
      </c>
      <c r="P4718" s="15">
        <v>1.0460103246170001</v>
      </c>
      <c r="Q4718" s="8"/>
      <c r="R4718" s="9" t="s">
        <v>4261</v>
      </c>
    </row>
    <row r="4719" spans="1:18" x14ac:dyDescent="0.25">
      <c r="A4719" s="6" t="str">
        <f>HYPERLINK("proteomic_fractions_linear_files/Yang_linear_img/85701706.jpg", "85701706")</f>
        <v>85701706</v>
      </c>
      <c r="B4719" s="7"/>
      <c r="C4719" s="6" t="str">
        <f>HYPERLINK("http://www.ncbi.nlm.nih.gov/protein/85701706","Naa11")</f>
        <v>Naa11</v>
      </c>
      <c r="D4719" s="8"/>
      <c r="E4719" s="8">
        <v>24540</v>
      </c>
      <c r="F4719" s="8"/>
      <c r="G4719" s="15" t="s">
        <v>10</v>
      </c>
      <c r="H4719" s="15" t="s">
        <v>10</v>
      </c>
      <c r="I4719" s="15" t="s">
        <v>10</v>
      </c>
      <c r="J4719" s="15" t="s">
        <v>10</v>
      </c>
      <c r="K4719" s="15">
        <v>1.0460103246170001</v>
      </c>
      <c r="L4719" s="15">
        <v>1.0460103246170001</v>
      </c>
      <c r="M4719" s="15">
        <v>1.0460103246170001</v>
      </c>
      <c r="N4719" s="15">
        <v>1.0460103246170001</v>
      </c>
      <c r="O4719" s="15">
        <v>1.0460103246170001</v>
      </c>
      <c r="P4719" s="15">
        <v>1.0460103246170001</v>
      </c>
      <c r="Q4719" s="8"/>
      <c r="R4719" s="9" t="s">
        <v>4262</v>
      </c>
    </row>
    <row r="4720" spans="1:18" x14ac:dyDescent="0.25">
      <c r="A4720" s="6" t="str">
        <f>HYPERLINK("proteomic_fractions_linear_files/Yang_linear_img/225543482.jpg", "225543482")</f>
        <v>225543482</v>
      </c>
      <c r="B4720" s="7"/>
      <c r="C4720" s="6" t="str">
        <f>HYPERLINK("http://www.ncbi.nlm.nih.gov/protein/225543482","Naa15")</f>
        <v>Naa15</v>
      </c>
      <c r="D4720" s="8"/>
      <c r="E4720" s="8">
        <v>100965</v>
      </c>
      <c r="F4720" s="8"/>
      <c r="G4720" s="15" t="s">
        <v>10</v>
      </c>
      <c r="H4720" s="15" t="s">
        <v>10</v>
      </c>
      <c r="I4720" s="15">
        <v>1.0871441962488264</v>
      </c>
      <c r="J4720" s="15">
        <v>1.0871441962488264</v>
      </c>
      <c r="K4720" s="15">
        <v>1.0871441962488264</v>
      </c>
      <c r="L4720" s="15">
        <v>1.0871441962488264</v>
      </c>
      <c r="M4720" s="15">
        <v>1.0871441962488264</v>
      </c>
      <c r="N4720" s="15">
        <v>1.0871441962488264</v>
      </c>
      <c r="O4720" s="15">
        <v>1.0871441962488264</v>
      </c>
      <c r="P4720" s="15">
        <v>1.0871441962488264</v>
      </c>
      <c r="Q4720" s="8"/>
      <c r="R4720" s="9" t="s">
        <v>4263</v>
      </c>
    </row>
    <row r="4721" spans="1:18" x14ac:dyDescent="0.25">
      <c r="A4721" s="6" t="str">
        <f>HYPERLINK("proteomic_fractions_linear_files/Yang_linear_img/21313242.jpg", "21313242")</f>
        <v>21313242</v>
      </c>
      <c r="B4721" s="7"/>
      <c r="C4721" s="6" t="str">
        <f>HYPERLINK("http://www.ncbi.nlm.nih.gov/protein/21313242","Naa16")</f>
        <v>Naa16</v>
      </c>
      <c r="D4721" s="8"/>
      <c r="E4721" s="8">
        <v>101153</v>
      </c>
      <c r="F4721" s="8"/>
      <c r="G4721" s="15" t="s">
        <v>10</v>
      </c>
      <c r="H4721" s="15" t="s">
        <v>10</v>
      </c>
      <c r="I4721" s="15">
        <v>1.0871441962488264</v>
      </c>
      <c r="J4721" s="15">
        <v>1.0871441962488264</v>
      </c>
      <c r="K4721" s="15">
        <v>1.0871441962488264</v>
      </c>
      <c r="L4721" s="15">
        <v>1.0871441962488264</v>
      </c>
      <c r="M4721" s="15">
        <v>1.0871441962488264</v>
      </c>
      <c r="N4721" s="15">
        <v>1.0871441962488264</v>
      </c>
      <c r="O4721" s="15">
        <v>1.0871441962488264</v>
      </c>
      <c r="P4721" s="15">
        <v>1.0871441962488264</v>
      </c>
      <c r="Q4721" s="8"/>
      <c r="R4721" s="9" t="s">
        <v>4264</v>
      </c>
    </row>
    <row r="4722" spans="1:18" x14ac:dyDescent="0.25">
      <c r="A4722" s="6" t="str">
        <f>HYPERLINK("proteomic_fractions_linear_files/Yang_linear_img/13385922.jpg", "13385922")</f>
        <v>13385922</v>
      </c>
      <c r="B4722" s="7"/>
      <c r="C4722" s="6" t="str">
        <f>HYPERLINK("http://www.ncbi.nlm.nih.gov/protein/13385922","Naa20")</f>
        <v>Naa20</v>
      </c>
      <c r="D4722" s="8"/>
      <c r="E4722" s="8">
        <v>21339</v>
      </c>
      <c r="F4722" s="8"/>
      <c r="G4722" s="15" t="s">
        <v>10</v>
      </c>
      <c r="H4722" s="15" t="s">
        <v>10</v>
      </c>
      <c r="I4722" s="15">
        <v>0.79602259621938198</v>
      </c>
      <c r="J4722" s="15">
        <v>0.79602259621938198</v>
      </c>
      <c r="K4722" s="15">
        <v>0.79602259621938198</v>
      </c>
      <c r="L4722" s="15">
        <v>0.79602259621938198</v>
      </c>
      <c r="M4722" s="15">
        <v>0.83666379835042703</v>
      </c>
      <c r="N4722" s="15">
        <v>0.83666379835042703</v>
      </c>
      <c r="O4722" s="15">
        <v>0.79602259621938198</v>
      </c>
      <c r="P4722" s="15">
        <v>0.79602259621938198</v>
      </c>
      <c r="Q4722" s="8"/>
      <c r="R4722" s="9" t="s">
        <v>4265</v>
      </c>
    </row>
    <row r="4723" spans="1:18" x14ac:dyDescent="0.25">
      <c r="A4723" s="6" t="str">
        <f>HYPERLINK("proteomic_fractions_linear_files/Yang_linear_img/213972579.jpg", "213972579")</f>
        <v>213972579</v>
      </c>
      <c r="B4723" s="7"/>
      <c r="C4723" s="6" t="str">
        <f>HYPERLINK("http://www.ncbi.nlm.nih.gov/protein/213972579","Naa20")</f>
        <v>Naa20</v>
      </c>
      <c r="D4723" s="8"/>
      <c r="E4723" s="8">
        <v>20237</v>
      </c>
      <c r="F4723" s="8"/>
      <c r="G4723" s="15" t="s">
        <v>10</v>
      </c>
      <c r="H4723" s="15" t="s">
        <v>10</v>
      </c>
      <c r="I4723" s="15">
        <v>0.83582372603035116</v>
      </c>
      <c r="J4723" s="15">
        <v>0.83582372603035116</v>
      </c>
      <c r="K4723" s="15">
        <v>0.83582372603035116</v>
      </c>
      <c r="L4723" s="15">
        <v>0.83582372603035116</v>
      </c>
      <c r="M4723" s="15">
        <v>0.87849698826794831</v>
      </c>
      <c r="N4723" s="15">
        <v>0.87849698826794831</v>
      </c>
      <c r="O4723" s="15">
        <v>0.83582372603035116</v>
      </c>
      <c r="P4723" s="15">
        <v>0.83582372603035116</v>
      </c>
      <c r="Q4723" s="8"/>
      <c r="R4723" s="9" t="s">
        <v>4266</v>
      </c>
    </row>
    <row r="4724" spans="1:18" x14ac:dyDescent="0.25">
      <c r="A4724" s="6" t="str">
        <f>HYPERLINK("proteomic_fractions_linear_files/Yang_linear_img/55742803.jpg", "55742803")</f>
        <v>55742803</v>
      </c>
      <c r="B4724" s="7"/>
      <c r="C4724" s="6" t="str">
        <f>HYPERLINK("http://www.ncbi.nlm.nih.gov/protein/55742803","Naa25")</f>
        <v>Naa25</v>
      </c>
      <c r="D4724" s="8"/>
      <c r="E4724" s="8">
        <v>111577</v>
      </c>
      <c r="F4724" s="8"/>
      <c r="G4724" s="15" t="s">
        <v>10</v>
      </c>
      <c r="H4724" s="15" t="s">
        <v>10</v>
      </c>
      <c r="I4724" s="15" t="s">
        <v>10</v>
      </c>
      <c r="J4724" s="15" t="s">
        <v>10</v>
      </c>
      <c r="K4724" s="15">
        <v>1.1493002512956871</v>
      </c>
      <c r="L4724" s="15">
        <v>1.1493002512956871</v>
      </c>
      <c r="M4724" s="15">
        <v>1.1493002512956871</v>
      </c>
      <c r="N4724" s="15">
        <v>1.1493002512956871</v>
      </c>
      <c r="O4724" s="15">
        <v>1.1493002512956871</v>
      </c>
      <c r="P4724" s="15">
        <v>1.1493002512956871</v>
      </c>
      <c r="Q4724" s="8"/>
      <c r="R4724" s="9" t="s">
        <v>4267</v>
      </c>
    </row>
    <row r="4725" spans="1:18" x14ac:dyDescent="0.25">
      <c r="A4725" s="6" t="str">
        <f>HYPERLINK("proteomic_fractions_linear_files/Yang_linear_img/124487477.jpg", "124487477")</f>
        <v>124487477</v>
      </c>
      <c r="B4725" s="7"/>
      <c r="C4725" s="6" t="str">
        <f>HYPERLINK("http://www.ncbi.nlm.nih.gov/protein/124487477","Naa30")</f>
        <v>Naa30</v>
      </c>
      <c r="D4725" s="8"/>
      <c r="E4725" s="8">
        <v>39628</v>
      </c>
      <c r="F4725" s="8"/>
      <c r="G4725" s="15" t="s">
        <v>10</v>
      </c>
      <c r="H4725" s="15" t="s">
        <v>10</v>
      </c>
      <c r="I4725" s="15" t="s">
        <v>10</v>
      </c>
      <c r="J4725" s="15" t="s">
        <v>10</v>
      </c>
      <c r="K4725" s="15">
        <v>1.1031397311741367</v>
      </c>
      <c r="L4725" s="15">
        <v>1.1031397311741367</v>
      </c>
      <c r="M4725" s="15">
        <v>0.65375645288562501</v>
      </c>
      <c r="N4725" s="15">
        <v>0.65375645288562501</v>
      </c>
      <c r="O4725" s="15">
        <v>1.0126829550805687</v>
      </c>
      <c r="P4725" s="15">
        <v>1.0126829550805687</v>
      </c>
      <c r="Q4725" s="8"/>
      <c r="R4725" s="9" t="s">
        <v>4268</v>
      </c>
    </row>
    <row r="4726" spans="1:18" x14ac:dyDescent="0.25">
      <c r="A4726" s="6" t="str">
        <f>HYPERLINK("proteomic_fractions_linear_files/Yang_linear_img/172072615.jpg", "172072615")</f>
        <v>172072615</v>
      </c>
      <c r="B4726" s="7"/>
      <c r="C4726" s="6" t="str">
        <f>HYPERLINK("http://www.ncbi.nlm.nih.gov/protein/172072615","Naa35")</f>
        <v>Naa35</v>
      </c>
      <c r="D4726" s="8"/>
      <c r="E4726" s="8">
        <v>83175</v>
      </c>
      <c r="F4726" s="8"/>
      <c r="G4726" s="15" t="s">
        <v>10</v>
      </c>
      <c r="H4726" s="15" t="s">
        <v>10</v>
      </c>
      <c r="I4726" s="15" t="s">
        <v>10</v>
      </c>
      <c r="J4726" s="15" t="s">
        <v>10</v>
      </c>
      <c r="K4726" s="15">
        <v>1.1441925443684882</v>
      </c>
      <c r="L4726" s="15">
        <v>1.1441925443684882</v>
      </c>
      <c r="M4726" s="15">
        <v>1.001188656302938</v>
      </c>
      <c r="N4726" s="15">
        <v>1.001188656302938</v>
      </c>
      <c r="O4726" s="15" t="s">
        <v>10</v>
      </c>
      <c r="P4726" s="15" t="s">
        <v>10</v>
      </c>
      <c r="Q4726" s="8"/>
      <c r="R4726" s="9" t="s">
        <v>4269</v>
      </c>
    </row>
    <row r="4727" spans="1:18" x14ac:dyDescent="0.25">
      <c r="A4727" s="6" t="str">
        <f>HYPERLINK("proteomic_fractions_linear_files/Yang_linear_img/19527156.jpg", "19527156")</f>
        <v>19527156</v>
      </c>
      <c r="B4727" s="7"/>
      <c r="C4727" s="6" t="str">
        <f>HYPERLINK("http://www.ncbi.nlm.nih.gov/protein/19527156","Naa38")</f>
        <v>Naa38</v>
      </c>
      <c r="D4727" s="8"/>
      <c r="E4727" s="8">
        <v>10271</v>
      </c>
      <c r="F4727" s="8"/>
      <c r="G4727" s="15">
        <v>1.3885850499936649</v>
      </c>
      <c r="H4727" s="15">
        <v>1.3885850499936649</v>
      </c>
      <c r="I4727" s="15">
        <v>1.3885850499936649</v>
      </c>
      <c r="J4727" s="15">
        <v>1.3885850499936649</v>
      </c>
      <c r="K4727" s="15">
        <v>1.5196338293814287</v>
      </c>
      <c r="L4727" s="15">
        <v>1.5196338293814287</v>
      </c>
      <c r="M4727" s="15">
        <v>1.4517473721870346</v>
      </c>
      <c r="N4727" s="15">
        <v>1.4517473721870346</v>
      </c>
      <c r="O4727" s="15" t="s">
        <v>10</v>
      </c>
      <c r="P4727" s="15" t="s">
        <v>10</v>
      </c>
      <c r="Q4727" s="8"/>
      <c r="R4727" s="9" t="s">
        <v>4270</v>
      </c>
    </row>
    <row r="4728" spans="1:18" x14ac:dyDescent="0.25">
      <c r="A4728" s="6" t="str">
        <f>HYPERLINK("proteomic_fractions_linear_files/Yang_linear_img/254588079.jpg", "254588079")</f>
        <v>254588079</v>
      </c>
      <c r="B4728" s="7"/>
      <c r="C4728" s="6" t="str">
        <f>HYPERLINK("http://www.ncbi.nlm.nih.gov/protein/254588079","Naa40")</f>
        <v>Naa40</v>
      </c>
      <c r="D4728" s="8"/>
      <c r="E4728" s="8">
        <v>27098</v>
      </c>
      <c r="F4728" s="8"/>
      <c r="G4728" s="15">
        <v>1.3830120897453553</v>
      </c>
      <c r="H4728" s="15">
        <v>1.3830120897453553</v>
      </c>
      <c r="I4728" s="15" t="s">
        <v>10</v>
      </c>
      <c r="J4728" s="15" t="s">
        <v>10</v>
      </c>
      <c r="K4728" s="15">
        <v>0.96852807834907406</v>
      </c>
      <c r="L4728" s="15">
        <v>0.96852807834907406</v>
      </c>
      <c r="M4728" s="15">
        <v>0.90943780049173761</v>
      </c>
      <c r="N4728" s="15">
        <v>0.90943780049173761</v>
      </c>
      <c r="O4728" s="15" t="s">
        <v>10</v>
      </c>
      <c r="P4728" s="15" t="s">
        <v>10</v>
      </c>
      <c r="Q4728" s="8"/>
      <c r="R4728" s="9" t="s">
        <v>4271</v>
      </c>
    </row>
    <row r="4729" spans="1:18" x14ac:dyDescent="0.25">
      <c r="A4729" s="6" t="str">
        <f>HYPERLINK("proteomic_fractions_linear_files/Yang_linear_img/21312422.jpg", "21312422")</f>
        <v>21312422</v>
      </c>
      <c r="B4729" s="7"/>
      <c r="C4729" s="6" t="str">
        <f>HYPERLINK("http://www.ncbi.nlm.nih.gov/protein/21312422","Naa50")</f>
        <v>Naa50</v>
      </c>
      <c r="D4729" s="8"/>
      <c r="E4729" s="8">
        <v>19196</v>
      </c>
      <c r="F4729" s="8"/>
      <c r="G4729" s="15">
        <v>0.92473367186099831</v>
      </c>
      <c r="H4729" s="15">
        <v>0.92473367186099831</v>
      </c>
      <c r="I4729" s="15">
        <v>0.97343679813495176</v>
      </c>
      <c r="J4729" s="15">
        <v>0.97343679813495176</v>
      </c>
      <c r="K4729" s="15">
        <v>0.97343679813495176</v>
      </c>
      <c r="L4729" s="15">
        <v>0.97343679813495176</v>
      </c>
      <c r="M4729" s="15">
        <v>1.0263763067386986</v>
      </c>
      <c r="N4729" s="15">
        <v>1.0263763067386986</v>
      </c>
      <c r="O4729" s="15">
        <v>0.97343679813495176</v>
      </c>
      <c r="P4729" s="15">
        <v>0.97343679813495176</v>
      </c>
      <c r="Q4729" s="8"/>
      <c r="R4729" s="9" t="s">
        <v>4272</v>
      </c>
    </row>
    <row r="4730" spans="1:18" x14ac:dyDescent="0.25">
      <c r="A4730" s="6" t="str">
        <f>HYPERLINK("proteomic_fractions_linear_files/Yang_linear_img/255683418.jpg", "255683418")</f>
        <v>255683418</v>
      </c>
      <c r="B4730" s="7"/>
      <c r="C4730" s="6" t="str">
        <f>HYPERLINK("http://www.ncbi.nlm.nih.gov/protein/255683418","Naaa")</f>
        <v>Naaa</v>
      </c>
      <c r="D4730" s="8"/>
      <c r="E4730" s="8">
        <v>36764</v>
      </c>
      <c r="F4730" s="8"/>
      <c r="G4730" s="15" t="s">
        <v>10</v>
      </c>
      <c r="H4730" s="15" t="s">
        <v>10</v>
      </c>
      <c r="I4730" s="15">
        <v>0.41071184577876446</v>
      </c>
      <c r="J4730" s="15">
        <v>0.41071184577876446</v>
      </c>
      <c r="K4730" s="15" t="s">
        <v>10</v>
      </c>
      <c r="L4730" s="15" t="s">
        <v>10</v>
      </c>
      <c r="M4730" s="15" t="s">
        <v>10</v>
      </c>
      <c r="N4730" s="15" t="s">
        <v>10</v>
      </c>
      <c r="O4730" s="15" t="s">
        <v>10</v>
      </c>
      <c r="P4730" s="15" t="s">
        <v>10</v>
      </c>
      <c r="Q4730" s="8"/>
      <c r="R4730" s="9" t="s">
        <v>4273</v>
      </c>
    </row>
    <row r="4731" spans="1:18" x14ac:dyDescent="0.25">
      <c r="A4731" s="6" t="str">
        <f>HYPERLINK("proteomic_fractions_linear_files/Yang_linear_img/255683420.jpg", "255683420")</f>
        <v>255683420</v>
      </c>
      <c r="B4731" s="7"/>
      <c r="C4731" s="6" t="str">
        <f>HYPERLINK("http://www.ncbi.nlm.nih.gov/protein/255683420","Naaa")</f>
        <v>Naaa</v>
      </c>
      <c r="D4731" s="8"/>
      <c r="E4731" s="8">
        <v>36663</v>
      </c>
      <c r="F4731" s="8"/>
      <c r="G4731" s="15" t="s">
        <v>10</v>
      </c>
      <c r="H4731" s="15" t="s">
        <v>10</v>
      </c>
      <c r="I4731" s="15">
        <v>0.41071184577876446</v>
      </c>
      <c r="J4731" s="15">
        <v>0.41071184577876446</v>
      </c>
      <c r="K4731" s="15" t="s">
        <v>10</v>
      </c>
      <c r="L4731" s="15" t="s">
        <v>10</v>
      </c>
      <c r="M4731" s="15" t="s">
        <v>10</v>
      </c>
      <c r="N4731" s="15" t="s">
        <v>10</v>
      </c>
      <c r="O4731" s="15" t="s">
        <v>10</v>
      </c>
      <c r="P4731" s="15" t="s">
        <v>10</v>
      </c>
      <c r="Q4731" s="8"/>
      <c r="R4731" s="9" t="s">
        <v>4274</v>
      </c>
    </row>
    <row r="4732" spans="1:18" x14ac:dyDescent="0.25">
      <c r="A4732" s="6" t="str">
        <f>HYPERLINK("proteomic_fractions_linear_files/Yang_linear_img/309264701.jpg", "309264701")</f>
        <v>309264701</v>
      </c>
      <c r="B4732" s="7"/>
      <c r="C4732" s="6" t="str">
        <f>HYPERLINK("http://www.ncbi.nlm.nih.gov/protein/309264701","Naaladl2")</f>
        <v>Naaladl2</v>
      </c>
      <c r="D4732" s="8"/>
      <c r="E4732" s="8">
        <v>88386</v>
      </c>
      <c r="F4732" s="8"/>
      <c r="G4732" s="15">
        <v>1.7437826265482028</v>
      </c>
      <c r="H4732" s="15">
        <v>1.4627457743763292</v>
      </c>
      <c r="I4732" s="15" t="s">
        <v>10</v>
      </c>
      <c r="J4732" s="15" t="s">
        <v>10</v>
      </c>
      <c r="K4732" s="15">
        <v>1.7437826265482028</v>
      </c>
      <c r="L4732" s="15">
        <v>1.7437826265482028</v>
      </c>
      <c r="M4732" s="15" t="s">
        <v>10</v>
      </c>
      <c r="N4732" s="15" t="s">
        <v>10</v>
      </c>
      <c r="O4732" s="15" t="s">
        <v>10</v>
      </c>
      <c r="P4732" s="15" t="s">
        <v>10</v>
      </c>
      <c r="Q4732" s="8"/>
      <c r="R4732" s="9" t="s">
        <v>8317</v>
      </c>
    </row>
    <row r="4733" spans="1:18" x14ac:dyDescent="0.25">
      <c r="A4733" s="6" t="str">
        <f>HYPERLINK("proteomic_fractions_linear_files/Yang_linear_img/28076937.jpg", "28076937")</f>
        <v>28076937</v>
      </c>
      <c r="B4733" s="7"/>
      <c r="C4733" s="6" t="str">
        <f>HYPERLINK("http://www.ncbi.nlm.nih.gov/protein/28076937","Nabp2")</f>
        <v>Nabp2</v>
      </c>
      <c r="D4733" s="8"/>
      <c r="E4733" s="8">
        <v>22497</v>
      </c>
      <c r="F4733" s="8"/>
      <c r="G4733" s="15" t="s">
        <v>10</v>
      </c>
      <c r="H4733" s="15" t="s">
        <v>10</v>
      </c>
      <c r="I4733" s="15" t="s">
        <v>10</v>
      </c>
      <c r="J4733" s="15" t="s">
        <v>10</v>
      </c>
      <c r="K4733" s="15" t="s">
        <v>10</v>
      </c>
      <c r="L4733" s="15" t="s">
        <v>10</v>
      </c>
      <c r="M4733" s="15">
        <v>1.3584275859869606</v>
      </c>
      <c r="N4733" s="15">
        <v>1.3584275859869606</v>
      </c>
      <c r="O4733" s="15" t="s">
        <v>10</v>
      </c>
      <c r="P4733" s="15" t="s">
        <v>10</v>
      </c>
      <c r="Q4733" s="8"/>
      <c r="R4733" s="9" t="s">
        <v>4275</v>
      </c>
    </row>
    <row r="4734" spans="1:18" x14ac:dyDescent="0.25">
      <c r="A4734" s="6" t="str">
        <f>HYPERLINK("proteomic_fractions_linear_files/Yang_linear_img/163965357.jpg", "163965357")</f>
        <v>163965357</v>
      </c>
      <c r="B4734" s="7"/>
      <c r="C4734" s="6" t="str">
        <f>HYPERLINK("http://www.ncbi.nlm.nih.gov/protein/163965357","Naca")</f>
        <v>Naca</v>
      </c>
      <c r="D4734" s="8"/>
      <c r="E4734" s="8">
        <v>220369</v>
      </c>
      <c r="F4734" s="8"/>
      <c r="G4734" s="15">
        <v>0.20057086021347939</v>
      </c>
      <c r="H4734" s="15">
        <v>0.20057086021347939</v>
      </c>
      <c r="I4734" s="15">
        <v>0.15706080241125084</v>
      </c>
      <c r="J4734" s="15">
        <v>0.15706080241125084</v>
      </c>
      <c r="K4734" s="15">
        <v>0.15706080241125084</v>
      </c>
      <c r="L4734" s="15">
        <v>0.15706080241125084</v>
      </c>
      <c r="M4734" s="15">
        <v>0.15706080241125084</v>
      </c>
      <c r="N4734" s="15">
        <v>0.15706080241125084</v>
      </c>
      <c r="O4734" s="15">
        <v>0.13584275859869605</v>
      </c>
      <c r="P4734" s="15">
        <v>0.13584275859869605</v>
      </c>
      <c r="Q4734" s="8"/>
      <c r="R4734" s="9" t="s">
        <v>4276</v>
      </c>
    </row>
    <row r="4735" spans="1:18" x14ac:dyDescent="0.25">
      <c r="A4735" s="6" t="str">
        <f>HYPERLINK("proteomic_fractions_linear_files/Yang_linear_img/41350312.jpg", "41350312")</f>
        <v>41350312</v>
      </c>
      <c r="B4735" s="7"/>
      <c r="C4735" s="6" t="str">
        <f>HYPERLINK("http://www.ncbi.nlm.nih.gov/protein/41350312","Naca")</f>
        <v>Naca</v>
      </c>
      <c r="D4735" s="8"/>
      <c r="E4735" s="8">
        <v>23253</v>
      </c>
      <c r="F4735" s="8"/>
      <c r="G4735" s="15">
        <v>1.9185038803028465</v>
      </c>
      <c r="H4735" s="15">
        <v>1.9185038803028465</v>
      </c>
      <c r="I4735" s="15">
        <v>1.5023207187163123</v>
      </c>
      <c r="J4735" s="15">
        <v>1.5023207187163123</v>
      </c>
      <c r="K4735" s="15">
        <v>1.5023207187163123</v>
      </c>
      <c r="L4735" s="15">
        <v>1.5023207187163123</v>
      </c>
      <c r="M4735" s="15">
        <v>1.5023207187163123</v>
      </c>
      <c r="N4735" s="15">
        <v>1.5023207187163123</v>
      </c>
      <c r="O4735" s="15">
        <v>1.2993655170310057</v>
      </c>
      <c r="P4735" s="15">
        <v>1.2993655170310057</v>
      </c>
      <c r="Q4735" s="8"/>
      <c r="R4735" s="9" t="s">
        <v>4277</v>
      </c>
    </row>
    <row r="4736" spans="1:18" x14ac:dyDescent="0.25">
      <c r="A4736" s="6" t="str">
        <f>HYPERLINK("proteomic_fractions_linear_files/Yang_linear_img/146134392.jpg", "146134392")</f>
        <v>146134392</v>
      </c>
      <c r="B4736" s="7"/>
      <c r="C4736" s="6" t="str">
        <f>HYPERLINK("http://www.ncbi.nlm.nih.gov/protein/146134392","Nadk2")</f>
        <v>Nadk2</v>
      </c>
      <c r="D4736" s="8"/>
      <c r="E4736" s="8">
        <v>45838</v>
      </c>
      <c r="F4736" s="8"/>
      <c r="G4736" s="15" t="s">
        <v>10</v>
      </c>
      <c r="H4736" s="15" t="s">
        <v>10</v>
      </c>
      <c r="I4736" s="15">
        <v>0.88059387398310318</v>
      </c>
      <c r="J4736" s="15">
        <v>0.88059387398310318</v>
      </c>
      <c r="K4736" s="15" t="s">
        <v>10</v>
      </c>
      <c r="L4736" s="15" t="s">
        <v>10</v>
      </c>
      <c r="M4736" s="15" t="s">
        <v>10</v>
      </c>
      <c r="N4736" s="15" t="s">
        <v>10</v>
      </c>
      <c r="O4736" s="15" t="s">
        <v>10</v>
      </c>
      <c r="P4736" s="15" t="s">
        <v>10</v>
      </c>
      <c r="Q4736" s="8"/>
      <c r="R4736" s="9" t="s">
        <v>4278</v>
      </c>
    </row>
    <row r="4737" spans="1:18" x14ac:dyDescent="0.25">
      <c r="A4737" s="6" t="str">
        <f>HYPERLINK("proteomic_fractions_linear_files/Yang_linear_img/146134519.jpg", "146134519")</f>
        <v>146134519</v>
      </c>
      <c r="B4737" s="7"/>
      <c r="C4737" s="6" t="str">
        <f>HYPERLINK("http://www.ncbi.nlm.nih.gov/protein/146134519","Nadk2")</f>
        <v>Nadk2</v>
      </c>
      <c r="D4737" s="8"/>
      <c r="E4737" s="8">
        <v>48201</v>
      </c>
      <c r="F4737" s="8"/>
      <c r="G4737" s="15" t="s">
        <v>10</v>
      </c>
      <c r="H4737" s="15" t="s">
        <v>10</v>
      </c>
      <c r="I4737" s="15">
        <v>0.84390246256714052</v>
      </c>
      <c r="J4737" s="15">
        <v>0.84390246256714052</v>
      </c>
      <c r="K4737" s="15" t="s">
        <v>10</v>
      </c>
      <c r="L4737" s="15" t="s">
        <v>10</v>
      </c>
      <c r="M4737" s="15" t="s">
        <v>10</v>
      </c>
      <c r="N4737" s="15" t="s">
        <v>10</v>
      </c>
      <c r="O4737" s="15" t="s">
        <v>10</v>
      </c>
      <c r="P4737" s="15" t="s">
        <v>10</v>
      </c>
      <c r="Q4737" s="8"/>
      <c r="R4737" s="9" t="s">
        <v>4279</v>
      </c>
    </row>
    <row r="4738" spans="1:18" x14ac:dyDescent="0.25">
      <c r="A4738" s="6" t="str">
        <f>HYPERLINK("proteomic_fractions_linear_files/Yang_linear_img/21313534.jpg", "21313534")</f>
        <v>21313534</v>
      </c>
      <c r="B4738" s="7"/>
      <c r="C4738" s="6" t="str">
        <f>HYPERLINK("http://www.ncbi.nlm.nih.gov/protein/21313534","Nadsyn1")</f>
        <v>Nadsyn1</v>
      </c>
      <c r="D4738" s="8"/>
      <c r="E4738" s="8">
        <v>81522</v>
      </c>
      <c r="F4738" s="8"/>
      <c r="G4738" s="15" t="s">
        <v>10</v>
      </c>
      <c r="H4738" s="15" t="s">
        <v>10</v>
      </c>
      <c r="I4738" s="15" t="s">
        <v>10</v>
      </c>
      <c r="J4738" s="15" t="s">
        <v>10</v>
      </c>
      <c r="K4738" s="15" t="s">
        <v>10</v>
      </c>
      <c r="L4738" s="15" t="s">
        <v>10</v>
      </c>
      <c r="M4738" s="15">
        <v>1.0133982740627299</v>
      </c>
      <c r="N4738" s="15">
        <v>1.0133982740627299</v>
      </c>
      <c r="O4738" s="15" t="s">
        <v>10</v>
      </c>
      <c r="P4738" s="15" t="s">
        <v>10</v>
      </c>
      <c r="Q4738" s="8"/>
      <c r="R4738" s="9" t="s">
        <v>4280</v>
      </c>
    </row>
    <row r="4739" spans="1:18" x14ac:dyDescent="0.25">
      <c r="A4739" s="6" t="str">
        <f>HYPERLINK("proteomic_fractions_linear_files/Yang_linear_img/21450341.jpg", "21450341")</f>
        <v>21450341</v>
      </c>
      <c r="B4739" s="7"/>
      <c r="C4739" s="6" t="str">
        <f>HYPERLINK("http://www.ncbi.nlm.nih.gov/protein/21450341","Nae1")</f>
        <v>Nae1</v>
      </c>
      <c r="D4739" s="8"/>
      <c r="E4739" s="8">
        <v>60143</v>
      </c>
      <c r="F4739" s="8"/>
      <c r="G4739" s="15" t="s">
        <v>10</v>
      </c>
      <c r="H4739" s="15" t="s">
        <v>10</v>
      </c>
      <c r="I4739" s="15">
        <v>0.97955345975989749</v>
      </c>
      <c r="J4739" s="15">
        <v>0.97955345975989749</v>
      </c>
      <c r="K4739" s="15">
        <v>1.0908877221757389</v>
      </c>
      <c r="L4739" s="15">
        <v>1.0908877221757389</v>
      </c>
      <c r="M4739" s="15" t="s">
        <v>10</v>
      </c>
      <c r="N4739" s="15" t="s">
        <v>10</v>
      </c>
      <c r="O4739" s="15">
        <v>0.97955345975989749</v>
      </c>
      <c r="P4739" s="15">
        <v>0.97955345975989749</v>
      </c>
      <c r="Q4739" s="8"/>
      <c r="R4739" s="9" t="s">
        <v>4281</v>
      </c>
    </row>
    <row r="4740" spans="1:18" x14ac:dyDescent="0.25">
      <c r="A4740" s="6" t="str">
        <f>HYPERLINK("proteomic_fractions_linear_files/Yang_linear_img/168693635.jpg", "168693635")</f>
        <v>168693635</v>
      </c>
      <c r="B4740" s="7"/>
      <c r="C4740" s="6" t="str">
        <f>HYPERLINK("http://www.ncbi.nlm.nih.gov/protein/168693635","Naga")</f>
        <v>Naga</v>
      </c>
      <c r="D4740" s="8"/>
      <c r="E4740" s="8">
        <v>45369</v>
      </c>
      <c r="F4740" s="8"/>
      <c r="G4740" s="15">
        <v>0.90016262673828318</v>
      </c>
      <c r="H4740" s="15">
        <v>0.90016262673828318</v>
      </c>
      <c r="I4740" s="15">
        <v>0.98056864993256598</v>
      </c>
      <c r="J4740" s="15">
        <v>0.98056864993256598</v>
      </c>
      <c r="K4740" s="15">
        <v>0.98056864993256598</v>
      </c>
      <c r="L4740" s="15">
        <v>0.98056864993256598</v>
      </c>
      <c r="M4740" s="15">
        <v>0.98056864993256598</v>
      </c>
      <c r="N4740" s="15">
        <v>0.98056864993256598</v>
      </c>
      <c r="O4740" s="15">
        <v>0.90016262673828318</v>
      </c>
      <c r="P4740" s="15">
        <v>0.90016262673828318</v>
      </c>
      <c r="Q4740" s="8"/>
      <c r="R4740" s="9" t="s">
        <v>4282</v>
      </c>
    </row>
    <row r="4741" spans="1:18" x14ac:dyDescent="0.25">
      <c r="A4741" s="6" t="str">
        <f>HYPERLINK("proteomic_fractions_linear_files/Yang_linear_img/255958271.jpg", "255958271")</f>
        <v>255958271</v>
      </c>
      <c r="B4741" s="7"/>
      <c r="C4741" s="6" t="str">
        <f>HYPERLINK("http://www.ncbi.nlm.nih.gov/protein/255958271","Nagk")</f>
        <v>Nagk</v>
      </c>
      <c r="D4741" s="8"/>
      <c r="E4741" s="8">
        <v>31766</v>
      </c>
      <c r="F4741" s="8"/>
      <c r="G4741" s="15" t="s">
        <v>10</v>
      </c>
      <c r="H4741" s="15" t="s">
        <v>10</v>
      </c>
      <c r="I4741" s="15" t="s">
        <v>10</v>
      </c>
      <c r="J4741" s="15" t="s">
        <v>10</v>
      </c>
      <c r="K4741" s="15">
        <v>1.0797930165773495</v>
      </c>
      <c r="L4741" s="15">
        <v>1.0797930165773495</v>
      </c>
      <c r="M4741" s="15">
        <v>1.0797930165773495</v>
      </c>
      <c r="N4741" s="15">
        <v>1.0797930165773495</v>
      </c>
      <c r="O4741" s="15">
        <v>0.93391896536603536</v>
      </c>
      <c r="P4741" s="15">
        <v>0.93391896536603536</v>
      </c>
      <c r="Q4741" s="8"/>
      <c r="R4741" s="9" t="s">
        <v>4283</v>
      </c>
    </row>
    <row r="4742" spans="1:18" x14ac:dyDescent="0.25">
      <c r="A4742" s="6" t="str">
        <f>HYPERLINK("proteomic_fractions_linear_files/Yang_linear_img/9506739.jpg", "9506739")</f>
        <v>9506739</v>
      </c>
      <c r="B4742" s="7"/>
      <c r="C4742" s="6" t="str">
        <f>HYPERLINK("http://www.ncbi.nlm.nih.gov/protein/9506739","Nagk")</f>
        <v>Nagk</v>
      </c>
      <c r="D4742" s="8"/>
      <c r="E4742" s="8">
        <v>37137</v>
      </c>
      <c r="F4742" s="8"/>
      <c r="G4742" s="15" t="s">
        <v>10</v>
      </c>
      <c r="H4742" s="15" t="s">
        <v>10</v>
      </c>
      <c r="I4742" s="15" t="s">
        <v>10</v>
      </c>
      <c r="J4742" s="15" t="s">
        <v>10</v>
      </c>
      <c r="K4742" s="15">
        <v>0.93387504136419419</v>
      </c>
      <c r="L4742" s="15">
        <v>0.93387504136419419</v>
      </c>
      <c r="M4742" s="15">
        <v>0.93387504136419419</v>
      </c>
      <c r="N4742" s="15">
        <v>0.93387504136419419</v>
      </c>
      <c r="O4742" s="15">
        <v>0.80771369977603058</v>
      </c>
      <c r="P4742" s="15">
        <v>0.80771369977603058</v>
      </c>
      <c r="Q4742" s="8"/>
      <c r="R4742" s="9" t="s">
        <v>4284</v>
      </c>
    </row>
    <row r="4743" spans="1:18" x14ac:dyDescent="0.25">
      <c r="A4743" s="6" t="str">
        <f>HYPERLINK("proteomic_fractions_linear_files/Yang_linear_img/254910995.jpg", "254910995")</f>
        <v>254910995</v>
      </c>
      <c r="B4743" s="7"/>
      <c r="C4743" s="6" t="str">
        <f>HYPERLINK("http://www.ncbi.nlm.nih.gov/protein/254910995","Naglu")</f>
        <v>Naglu</v>
      </c>
      <c r="D4743" s="8"/>
      <c r="E4743" s="8">
        <v>80656</v>
      </c>
      <c r="F4743" s="8"/>
      <c r="G4743" s="15">
        <v>1.3555748619892773</v>
      </c>
      <c r="H4743" s="15">
        <v>1.3555748619892773</v>
      </c>
      <c r="I4743" s="15">
        <v>1.0259093638659735</v>
      </c>
      <c r="J4743" s="15">
        <v>1.0259093638659735</v>
      </c>
      <c r="K4743" s="15">
        <v>1.1724442121306728</v>
      </c>
      <c r="L4743" s="15">
        <v>1.1724442121306728</v>
      </c>
      <c r="M4743" s="15">
        <v>1.0259093638659735</v>
      </c>
      <c r="N4743" s="15">
        <v>1.0259093638659735</v>
      </c>
      <c r="O4743" s="15">
        <v>1.0259093638659735</v>
      </c>
      <c r="P4743" s="15">
        <v>1.0259093638659735</v>
      </c>
      <c r="Q4743" s="8"/>
      <c r="R4743" s="9" t="s">
        <v>4285</v>
      </c>
    </row>
    <row r="4744" spans="1:18" x14ac:dyDescent="0.25">
      <c r="A4744" s="6" t="str">
        <f>HYPERLINK("proteomic_fractions_linear_files/Yang_linear_img/187133241.jpg", "187133241")</f>
        <v>187133241</v>
      </c>
      <c r="B4744" s="7"/>
      <c r="C4744" s="6" t="str">
        <f>HYPERLINK("http://www.ncbi.nlm.nih.gov/protein/187133241","Naip2")</f>
        <v>Naip2</v>
      </c>
      <c r="D4744" s="8"/>
      <c r="E4744" s="8">
        <v>163953</v>
      </c>
      <c r="F4744" s="8"/>
      <c r="G4744" s="15" t="s">
        <v>10</v>
      </c>
      <c r="H4744" s="15" t="s">
        <v>10</v>
      </c>
      <c r="I4744" s="15">
        <v>0.21069132030777551</v>
      </c>
      <c r="J4744" s="15">
        <v>0.21069132030777551</v>
      </c>
      <c r="K4744" s="15" t="s">
        <v>10</v>
      </c>
      <c r="L4744" s="15" t="s">
        <v>10</v>
      </c>
      <c r="M4744" s="15">
        <v>0.21069132030777551</v>
      </c>
      <c r="N4744" s="15">
        <v>0.21069132030777551</v>
      </c>
      <c r="O4744" s="15" t="s">
        <v>10</v>
      </c>
      <c r="P4744" s="15" t="s">
        <v>10</v>
      </c>
      <c r="Q4744" s="8"/>
      <c r="R4744" s="9" t="s">
        <v>4286</v>
      </c>
    </row>
    <row r="4745" spans="1:18" x14ac:dyDescent="0.25">
      <c r="A4745" s="6" t="str">
        <f>HYPERLINK("proteomic_fractions_linear_files/Yang_linear_img/257153454.jpg", "257153454")</f>
        <v>257153454</v>
      </c>
      <c r="B4745" s="7"/>
      <c r="C4745" s="6" t="str">
        <f>HYPERLINK("http://www.ncbi.nlm.nih.gov/protein/257153454","Nampt")</f>
        <v>Nampt</v>
      </c>
      <c r="D4745" s="8"/>
      <c r="E4745" s="8">
        <v>55316</v>
      </c>
      <c r="F4745" s="8"/>
      <c r="G4745" s="15">
        <v>1.1900593332826241</v>
      </c>
      <c r="H4745" s="15">
        <v>1.1900593332826241</v>
      </c>
      <c r="I4745" s="15">
        <v>0.96582853872729235</v>
      </c>
      <c r="J4745" s="15">
        <v>0.96582853872729235</v>
      </c>
      <c r="K4745" s="15">
        <v>1.0686037742835246</v>
      </c>
      <c r="L4745" s="15">
        <v>1.0686037742835246</v>
      </c>
      <c r="M4745" s="15">
        <v>0.96582853872729235</v>
      </c>
      <c r="N4745" s="15">
        <v>0.96582853872729235</v>
      </c>
      <c r="O4745" s="15">
        <v>0.87799955608027735</v>
      </c>
      <c r="P4745" s="15">
        <v>0.87799955608027735</v>
      </c>
      <c r="Q4745" s="8"/>
      <c r="R4745" s="9" t="s">
        <v>4287</v>
      </c>
    </row>
    <row r="4746" spans="1:18" x14ac:dyDescent="0.25">
      <c r="A4746" s="6" t="str">
        <f>HYPERLINK("proteomic_fractions_linear_files/Yang_linear_img/13385586.jpg", "13385586")</f>
        <v>13385586</v>
      </c>
      <c r="B4746" s="7"/>
      <c r="C4746" s="6" t="str">
        <f>HYPERLINK("http://www.ncbi.nlm.nih.gov/protein/13385586","Nanp")</f>
        <v>Nanp</v>
      </c>
      <c r="D4746" s="8"/>
      <c r="E4746" s="8">
        <v>27677</v>
      </c>
      <c r="F4746" s="8"/>
      <c r="G4746" s="15" t="s">
        <v>10</v>
      </c>
      <c r="H4746" s="15" t="s">
        <v>10</v>
      </c>
      <c r="I4746" s="15" t="s">
        <v>10</v>
      </c>
      <c r="J4746" s="15" t="s">
        <v>10</v>
      </c>
      <c r="K4746" s="15">
        <v>0.99707897491721642</v>
      </c>
      <c r="L4746" s="15">
        <v>0.99707897491721642</v>
      </c>
      <c r="M4746" s="15" t="s">
        <v>10</v>
      </c>
      <c r="N4746" s="15" t="s">
        <v>10</v>
      </c>
      <c r="O4746" s="15">
        <v>0.87695787904560418</v>
      </c>
      <c r="P4746" s="15">
        <v>0.87695787904560418</v>
      </c>
      <c r="Q4746" s="8"/>
      <c r="R4746" s="9" t="s">
        <v>4288</v>
      </c>
    </row>
    <row r="4747" spans="1:18" x14ac:dyDescent="0.25">
      <c r="A4747" s="6" t="str">
        <f>HYPERLINK("proteomic_fractions_linear_files/Yang_linear_img/16716467.jpg", "16716467")</f>
        <v>16716467</v>
      </c>
      <c r="B4747" s="7"/>
      <c r="C4747" s="6" t="str">
        <f>HYPERLINK("http://www.ncbi.nlm.nih.gov/protein/16716467","Nans")</f>
        <v>Nans</v>
      </c>
      <c r="D4747" s="8"/>
      <c r="E4747" s="8">
        <v>39893</v>
      </c>
      <c r="F4747" s="8"/>
      <c r="G4747" s="15" t="s">
        <v>10</v>
      </c>
      <c r="H4747" s="15" t="s">
        <v>10</v>
      </c>
      <c r="I4747" s="15">
        <v>0.93353316057811475</v>
      </c>
      <c r="J4747" s="15">
        <v>0.93353316057811475</v>
      </c>
      <c r="K4747" s="15">
        <v>1.0126829550805687</v>
      </c>
      <c r="L4747" s="15">
        <v>1.0126829550805687</v>
      </c>
      <c r="M4747" s="15">
        <v>0.93353316057811475</v>
      </c>
      <c r="N4747" s="15">
        <v>0.93353316057811475</v>
      </c>
      <c r="O4747" s="15">
        <v>0.8638344132618796</v>
      </c>
      <c r="P4747" s="15">
        <v>0.8638344132618796</v>
      </c>
      <c r="Q4747" s="8"/>
      <c r="R4747" s="9" t="s">
        <v>4289</v>
      </c>
    </row>
    <row r="4748" spans="1:18" x14ac:dyDescent="0.25">
      <c r="A4748" s="6" t="str">
        <f>HYPERLINK("proteomic_fractions_linear_files/Yang_linear_img/226443026.jpg", "226443026")</f>
        <v>226443026</v>
      </c>
      <c r="B4748" s="7"/>
      <c r="C4748" s="6" t="str">
        <f>HYPERLINK("http://www.ncbi.nlm.nih.gov/protein/226443026","Nap1l1")</f>
        <v>Nap1l1</v>
      </c>
      <c r="D4748" s="8"/>
      <c r="E4748" s="8">
        <v>45724</v>
      </c>
      <c r="F4748" s="8"/>
      <c r="G4748" s="15">
        <v>1.596438266123527</v>
      </c>
      <c r="H4748" s="15">
        <v>1.596438266123527</v>
      </c>
      <c r="I4748" s="15">
        <v>1.1547949919565452</v>
      </c>
      <c r="J4748" s="15">
        <v>1.2776784257737794</v>
      </c>
      <c r="K4748" s="15">
        <v>1.2776784257737794</v>
      </c>
      <c r="L4748" s="15">
        <v>1.2776784257737794</v>
      </c>
      <c r="M4748" s="15">
        <v>1.2776784257737794</v>
      </c>
      <c r="N4748" s="15">
        <v>1.2776784257737794</v>
      </c>
      <c r="O4748" s="15">
        <v>1.1547949919565452</v>
      </c>
      <c r="P4748" s="15">
        <v>1.1547949919565452</v>
      </c>
      <c r="Q4748" s="8"/>
      <c r="R4748" s="9" t="s">
        <v>4290</v>
      </c>
    </row>
    <row r="4749" spans="1:18" x14ac:dyDescent="0.25">
      <c r="A4749" s="6" t="str">
        <f>HYPERLINK("proteomic_fractions_linear_files/Yang_linear_img/7657357.jpg", "7657357")</f>
        <v>7657357</v>
      </c>
      <c r="B4749" s="7"/>
      <c r="C4749" s="6" t="str">
        <f>HYPERLINK("http://www.ncbi.nlm.nih.gov/protein/7657357","Nap1l1")</f>
        <v>Nap1l1</v>
      </c>
      <c r="D4749" s="8"/>
      <c r="E4749" s="8">
        <v>45214</v>
      </c>
      <c r="F4749" s="8"/>
      <c r="G4749" s="15">
        <v>1.6319146720373832</v>
      </c>
      <c r="H4749" s="15">
        <v>1.6319146720373832</v>
      </c>
      <c r="I4749" s="15">
        <v>1.1804571028889128</v>
      </c>
      <c r="J4749" s="15">
        <v>1.3060712796798635</v>
      </c>
      <c r="K4749" s="15">
        <v>1.3060712796798635</v>
      </c>
      <c r="L4749" s="15">
        <v>1.3060712796798635</v>
      </c>
      <c r="M4749" s="15">
        <v>1.3060712796798635</v>
      </c>
      <c r="N4749" s="15">
        <v>1.3060712796798635</v>
      </c>
      <c r="O4749" s="15">
        <v>1.1804571028889128</v>
      </c>
      <c r="P4749" s="15">
        <v>1.1804571028889128</v>
      </c>
      <c r="Q4749" s="8"/>
      <c r="R4749" s="9" t="s">
        <v>4291</v>
      </c>
    </row>
    <row r="4750" spans="1:18" x14ac:dyDescent="0.25">
      <c r="A4750" s="6" t="str">
        <f>HYPERLINK("proteomic_fractions_linear_files/Yang_linear_img/6679012.jpg", "6679012")</f>
        <v>6679012</v>
      </c>
      <c r="B4750" s="7"/>
      <c r="C4750" s="6" t="str">
        <f>HYPERLINK("http://www.ncbi.nlm.nih.gov/protein/6679012","Nap1l4")</f>
        <v>Nap1l4</v>
      </c>
      <c r="D4750" s="8"/>
      <c r="E4750" s="8">
        <v>42548</v>
      </c>
      <c r="F4750" s="8"/>
      <c r="G4750" s="15" t="s">
        <v>10</v>
      </c>
      <c r="H4750" s="15" t="s">
        <v>10</v>
      </c>
      <c r="I4750" s="15">
        <v>1.3668187810603221</v>
      </c>
      <c r="J4750" s="15">
        <v>1.3668187810603221</v>
      </c>
      <c r="K4750" s="15">
        <v>1.3668187810603221</v>
      </c>
      <c r="L4750" s="15">
        <v>1.3668187810603221</v>
      </c>
      <c r="M4750" s="15">
        <v>1.3668187810603221</v>
      </c>
      <c r="N4750" s="15">
        <v>1.3668187810603221</v>
      </c>
      <c r="O4750" s="15">
        <v>1.2353620844186297</v>
      </c>
      <c r="P4750" s="15">
        <v>1.2353620844186297</v>
      </c>
      <c r="Q4750" s="8"/>
      <c r="R4750" s="9" t="s">
        <v>4292</v>
      </c>
    </row>
    <row r="4751" spans="1:18" x14ac:dyDescent="0.25">
      <c r="A4751" s="6" t="str">
        <f>HYPERLINK("proteomic_fractions_linear_files/Yang_linear_img/13385392.jpg", "13385392")</f>
        <v>13385392</v>
      </c>
      <c r="B4751" s="7"/>
      <c r="C4751" s="6" t="str">
        <f>HYPERLINK("http://www.ncbi.nlm.nih.gov/protein/13385392","Napa")</f>
        <v>Napa</v>
      </c>
      <c r="D4751" s="8"/>
      <c r="E4751" s="8">
        <v>33059</v>
      </c>
      <c r="F4751" s="8"/>
      <c r="G4751" s="15">
        <v>1.2274944910067498</v>
      </c>
      <c r="H4751" s="15">
        <v>1.2274944910067498</v>
      </c>
      <c r="I4751" s="15">
        <v>0.90561839065797367</v>
      </c>
      <c r="J4751" s="15">
        <v>0.90561839065797367</v>
      </c>
      <c r="K4751" s="15">
        <v>0.90561839065797367</v>
      </c>
      <c r="L4751" s="15">
        <v>0.90561839065797367</v>
      </c>
      <c r="M4751" s="15">
        <v>0.90561839065797367</v>
      </c>
      <c r="N4751" s="15">
        <v>0.90561839065797367</v>
      </c>
      <c r="O4751" s="15" t="s">
        <v>10</v>
      </c>
      <c r="P4751" s="15" t="s">
        <v>10</v>
      </c>
      <c r="Q4751" s="8"/>
      <c r="R4751" s="9" t="s">
        <v>4293</v>
      </c>
    </row>
    <row r="4752" spans="1:18" x14ac:dyDescent="0.25">
      <c r="A4752" s="6" t="str">
        <f>HYPERLINK("proteomic_fractions_linear_files/Yang_linear_img/29789104.jpg", "29789104")</f>
        <v>29789104</v>
      </c>
      <c r="B4752" s="7"/>
      <c r="C4752" s="6" t="str">
        <f>HYPERLINK("http://www.ncbi.nlm.nih.gov/protein/29789104","Napb")</f>
        <v>Napb</v>
      </c>
      <c r="D4752" s="8"/>
      <c r="E4752" s="8">
        <v>33426</v>
      </c>
      <c r="F4752" s="8"/>
      <c r="G4752" s="15">
        <v>1.2274944910067498</v>
      </c>
      <c r="H4752" s="15">
        <v>1.2274944910067498</v>
      </c>
      <c r="I4752" s="15">
        <v>0.90561839065797367</v>
      </c>
      <c r="J4752" s="15">
        <v>0.90561839065797367</v>
      </c>
      <c r="K4752" s="15">
        <v>0.90561839065797367</v>
      </c>
      <c r="L4752" s="15">
        <v>0.90561839065797367</v>
      </c>
      <c r="M4752" s="15">
        <v>0.90561839065797367</v>
      </c>
      <c r="N4752" s="15">
        <v>0.90561839065797367</v>
      </c>
      <c r="O4752" s="15" t="s">
        <v>10</v>
      </c>
      <c r="P4752" s="15" t="s">
        <v>10</v>
      </c>
      <c r="Q4752" s="8"/>
      <c r="R4752" s="9" t="s">
        <v>4294</v>
      </c>
    </row>
    <row r="4753" spans="1:18" x14ac:dyDescent="0.25">
      <c r="A4753" s="6" t="str">
        <f>HYPERLINK("proteomic_fractions_linear_files/Yang_linear_img/110625902.jpg", "110625902")</f>
        <v>110625902</v>
      </c>
      <c r="B4753" s="7"/>
      <c r="C4753" s="6" t="str">
        <f>HYPERLINK("http://www.ncbi.nlm.nih.gov/protein/110625902","Napg")</f>
        <v>Napg</v>
      </c>
      <c r="D4753" s="8"/>
      <c r="E4753" s="8">
        <v>34601</v>
      </c>
      <c r="F4753" s="8"/>
      <c r="G4753" s="15" t="s">
        <v>10</v>
      </c>
      <c r="H4753" s="15" t="s">
        <v>10</v>
      </c>
      <c r="I4753" s="15">
        <v>1.0668950406607027</v>
      </c>
      <c r="J4753" s="15">
        <v>1.0668950406607027</v>
      </c>
      <c r="K4753" s="15">
        <v>1.0668950406607027</v>
      </c>
      <c r="L4753" s="15">
        <v>1.0668950406607027</v>
      </c>
      <c r="M4753" s="15" t="s">
        <v>10</v>
      </c>
      <c r="N4753" s="15" t="s">
        <v>10</v>
      </c>
      <c r="O4753" s="15" t="s">
        <v>10</v>
      </c>
      <c r="P4753" s="15" t="s">
        <v>10</v>
      </c>
      <c r="Q4753" s="8"/>
      <c r="R4753" s="9" t="s">
        <v>4295</v>
      </c>
    </row>
    <row r="4754" spans="1:18" x14ac:dyDescent="0.25">
      <c r="A4754" s="6" t="str">
        <f>HYPERLINK("proteomic_fractions_linear_files/Yang_linear_img/6680552.jpg", "6680552")</f>
        <v>6680552</v>
      </c>
      <c r="B4754" s="7"/>
      <c r="C4754" s="6" t="str">
        <f>HYPERLINK("http://www.ncbi.nlm.nih.gov/protein/6680552","Napsa")</f>
        <v>Napsa</v>
      </c>
      <c r="D4754" s="8"/>
      <c r="E4754" s="8">
        <v>43268</v>
      </c>
      <c r="F4754" s="8"/>
      <c r="G4754" s="15" t="s">
        <v>10</v>
      </c>
      <c r="H4754" s="15" t="s">
        <v>10</v>
      </c>
      <c r="I4754" s="15">
        <v>1.2353620844186297</v>
      </c>
      <c r="J4754" s="15">
        <v>1.2353620844186297</v>
      </c>
      <c r="K4754" s="15">
        <v>1.2353620844186297</v>
      </c>
      <c r="L4754" s="15">
        <v>1.2353620844186297</v>
      </c>
      <c r="M4754" s="15" t="s">
        <v>10</v>
      </c>
      <c r="N4754" s="15" t="s">
        <v>10</v>
      </c>
      <c r="O4754" s="15" t="s">
        <v>10</v>
      </c>
      <c r="P4754" s="15" t="s">
        <v>10</v>
      </c>
      <c r="Q4754" s="8"/>
      <c r="R4754" s="9" t="s">
        <v>4296</v>
      </c>
    </row>
    <row r="4755" spans="1:18" x14ac:dyDescent="0.25">
      <c r="A4755" s="6" t="str">
        <f>HYPERLINK("proteomic_fractions_linear_files/Yang_linear_img/163954939.jpg", "163954939")</f>
        <v>163954939</v>
      </c>
      <c r="B4755" s="7"/>
      <c r="C4755" s="6" t="str">
        <f>HYPERLINK("http://www.ncbi.nlm.nih.gov/protein/163954939","Narf")</f>
        <v>Narf</v>
      </c>
      <c r="D4755" s="8"/>
      <c r="E4755" s="8">
        <v>51685</v>
      </c>
      <c r="F4755" s="8"/>
      <c r="G4755" s="15" t="s">
        <v>10</v>
      </c>
      <c r="H4755" s="15" t="s">
        <v>10</v>
      </c>
      <c r="I4755" s="15" t="s">
        <v>10</v>
      </c>
      <c r="J4755" s="15" t="s">
        <v>10</v>
      </c>
      <c r="K4755" s="15" t="s">
        <v>10</v>
      </c>
      <c r="L4755" s="15" t="s">
        <v>10</v>
      </c>
      <c r="M4755" s="15" t="s">
        <v>10</v>
      </c>
      <c r="N4755" s="15" t="s">
        <v>10</v>
      </c>
      <c r="O4755" s="15">
        <v>0.92865337662337022</v>
      </c>
      <c r="P4755" s="15">
        <v>0.92865337662337022</v>
      </c>
      <c r="Q4755" s="8"/>
      <c r="R4755" s="9" t="s">
        <v>4297</v>
      </c>
    </row>
    <row r="4756" spans="1:18" x14ac:dyDescent="0.25">
      <c r="A4756" s="6" t="str">
        <f>HYPERLINK("proteomic_fractions_linear_files/Yang_linear_img/254911120.jpg", "254911120")</f>
        <v>254911120</v>
      </c>
      <c r="B4756" s="7"/>
      <c r="C4756" s="6" t="str">
        <f>HYPERLINK("http://www.ncbi.nlm.nih.gov/protein/254911120","Narfl")</f>
        <v>Narfl</v>
      </c>
      <c r="D4756" s="8"/>
      <c r="E4756" s="8">
        <v>52977</v>
      </c>
      <c r="F4756" s="8"/>
      <c r="G4756" s="15" t="s">
        <v>10</v>
      </c>
      <c r="H4756" s="15" t="s">
        <v>10</v>
      </c>
      <c r="I4756" s="15" t="s">
        <v>10</v>
      </c>
      <c r="J4756" s="15" t="s">
        <v>10</v>
      </c>
      <c r="K4756" s="15" t="s">
        <v>10</v>
      </c>
      <c r="L4756" s="15" t="s">
        <v>10</v>
      </c>
      <c r="M4756" s="15" t="s">
        <v>10</v>
      </c>
      <c r="N4756" s="15" t="s">
        <v>10</v>
      </c>
      <c r="O4756" s="15">
        <v>0.91113161480028781</v>
      </c>
      <c r="P4756" s="15">
        <v>0.91113161480028781</v>
      </c>
      <c r="Q4756" s="8"/>
      <c r="R4756" s="9" t="s">
        <v>4298</v>
      </c>
    </row>
    <row r="4757" spans="1:18" x14ac:dyDescent="0.25">
      <c r="A4757" s="6" t="str">
        <f>HYPERLINK("proteomic_fractions_linear_files/Yang_linear_img/219275596.jpg", "219275596")</f>
        <v>219275596</v>
      </c>
      <c r="B4757" s="7"/>
      <c r="C4757" s="6" t="str">
        <f>HYPERLINK("http://www.ncbi.nlm.nih.gov/protein/219275596","Nars")</f>
        <v>Nars</v>
      </c>
      <c r="D4757" s="8"/>
      <c r="E4757" s="8">
        <v>64077</v>
      </c>
      <c r="F4757" s="8"/>
      <c r="G4757" s="15" t="s">
        <v>10</v>
      </c>
      <c r="H4757" s="15" t="s">
        <v>10</v>
      </c>
      <c r="I4757" s="15">
        <v>1.0227072395397552</v>
      </c>
      <c r="J4757" s="15">
        <v>1.0227072395397552</v>
      </c>
      <c r="K4757" s="15">
        <v>1.1474400037762851</v>
      </c>
      <c r="L4757" s="15">
        <v>1.1474400037762851</v>
      </c>
      <c r="M4757" s="15">
        <v>1.0227072395397552</v>
      </c>
      <c r="N4757" s="15">
        <v>1.0227072395397552</v>
      </c>
      <c r="O4757" s="15">
        <v>1.0227072395397552</v>
      </c>
      <c r="P4757" s="15">
        <v>1.0227072395397552</v>
      </c>
      <c r="Q4757" s="8"/>
      <c r="R4757" s="9" t="s">
        <v>4299</v>
      </c>
    </row>
    <row r="4758" spans="1:18" x14ac:dyDescent="0.25">
      <c r="A4758" s="6" t="str">
        <f>HYPERLINK("proteomic_fractions_linear_files/Yang_linear_img/219276601.jpg", "219276601")</f>
        <v>219276601</v>
      </c>
      <c r="B4758" s="7"/>
      <c r="C4758" s="6" t="str">
        <f>HYPERLINK("http://www.ncbi.nlm.nih.gov/protein/219276601","Nars")</f>
        <v>Nars</v>
      </c>
      <c r="D4758" s="8"/>
      <c r="E4758" s="8">
        <v>64148</v>
      </c>
      <c r="F4758" s="8"/>
      <c r="G4758" s="15" t="s">
        <v>10</v>
      </c>
      <c r="H4758" s="15" t="s">
        <v>10</v>
      </c>
      <c r="I4758" s="15">
        <v>1.0227072395397552</v>
      </c>
      <c r="J4758" s="15">
        <v>1.0227072395397552</v>
      </c>
      <c r="K4758" s="15">
        <v>1.1474400037762851</v>
      </c>
      <c r="L4758" s="15">
        <v>1.1474400037762851</v>
      </c>
      <c r="M4758" s="15">
        <v>1.0227072395397552</v>
      </c>
      <c r="N4758" s="15">
        <v>1.0227072395397552</v>
      </c>
      <c r="O4758" s="15">
        <v>1.0227072395397552</v>
      </c>
      <c r="P4758" s="15">
        <v>1.0227072395397552</v>
      </c>
      <c r="Q4758" s="8"/>
      <c r="R4758" s="9" t="s">
        <v>4300</v>
      </c>
    </row>
    <row r="4759" spans="1:18" x14ac:dyDescent="0.25">
      <c r="A4759" s="6" t="str">
        <f>HYPERLINK("proteomic_fractions_linear_files/Yang_linear_img/125490378.jpg", "125490378")</f>
        <v>125490378</v>
      </c>
      <c r="B4759" s="7"/>
      <c r="C4759" s="6" t="str">
        <f>HYPERLINK("http://www.ncbi.nlm.nih.gov/protein/125490378","Nasp")</f>
        <v>Nasp</v>
      </c>
      <c r="D4759" s="8"/>
      <c r="E4759" s="8">
        <v>83882</v>
      </c>
      <c r="F4759" s="8"/>
      <c r="G4759" s="15" t="s">
        <v>10</v>
      </c>
      <c r="H4759" s="15" t="s">
        <v>10</v>
      </c>
      <c r="I4759" s="15">
        <v>1.8268198944790695</v>
      </c>
      <c r="J4759" s="15">
        <v>1.8268198944790695</v>
      </c>
      <c r="K4759" s="15">
        <v>2.2234027576183375</v>
      </c>
      <c r="L4759" s="15">
        <v>2.2234027576183375</v>
      </c>
      <c r="M4759" s="15" t="s">
        <v>10</v>
      </c>
      <c r="N4759" s="15" t="s">
        <v>10</v>
      </c>
      <c r="O4759" s="15">
        <v>1.8268198944790695</v>
      </c>
      <c r="P4759" s="15">
        <v>1.8268198944790695</v>
      </c>
      <c r="Q4759" s="8"/>
      <c r="R4759" s="9" t="s">
        <v>4301</v>
      </c>
    </row>
    <row r="4760" spans="1:18" x14ac:dyDescent="0.25">
      <c r="A4760" s="6" t="str">
        <f>HYPERLINK("proteomic_fractions_linear_files/Yang_linear_img/126090505.jpg", "126090505")</f>
        <v>126090505</v>
      </c>
      <c r="B4760" s="7"/>
      <c r="C4760" s="6" t="str">
        <f>HYPERLINK("http://www.ncbi.nlm.nih.gov/protein/126090505","Nasp")</f>
        <v>Nasp</v>
      </c>
      <c r="D4760" s="8"/>
      <c r="E4760" s="8">
        <v>48635</v>
      </c>
      <c r="F4760" s="8"/>
      <c r="G4760" s="15" t="s">
        <v>10</v>
      </c>
      <c r="H4760" s="15" t="s">
        <v>10</v>
      </c>
      <c r="I4760" s="15">
        <v>3.1316912476784049</v>
      </c>
      <c r="J4760" s="15">
        <v>3.1316912476784049</v>
      </c>
      <c r="K4760" s="15">
        <v>3.8115475844885789</v>
      </c>
      <c r="L4760" s="15">
        <v>3.8115475844885789</v>
      </c>
      <c r="M4760" s="15" t="s">
        <v>10</v>
      </c>
      <c r="N4760" s="15" t="s">
        <v>10</v>
      </c>
      <c r="O4760" s="15">
        <v>3.1316912476784049</v>
      </c>
      <c r="P4760" s="15">
        <v>3.1316912476784049</v>
      </c>
      <c r="Q4760" s="8"/>
      <c r="R4760" s="9" t="s">
        <v>4302</v>
      </c>
    </row>
    <row r="4761" spans="1:18" x14ac:dyDescent="0.25">
      <c r="A4761" s="6" t="str">
        <f>HYPERLINK("proteomic_fractions_linear_files/Yang_linear_img/23346561.jpg", "23346561")</f>
        <v>23346561</v>
      </c>
      <c r="B4761" s="7"/>
      <c r="C4761" s="6" t="str">
        <f>HYPERLINK("http://www.ncbi.nlm.nih.gov/protein/23346561","Nat10")</f>
        <v>Nat10</v>
      </c>
      <c r="D4761" s="8"/>
      <c r="E4761" s="8">
        <v>115288</v>
      </c>
      <c r="F4761" s="8"/>
      <c r="G4761" s="15">
        <v>1.3343727924890594</v>
      </c>
      <c r="H4761" s="15">
        <v>1.3343727924890594</v>
      </c>
      <c r="I4761" s="15" t="s">
        <v>10</v>
      </c>
      <c r="J4761" s="15" t="s">
        <v>10</v>
      </c>
      <c r="K4761" s="15">
        <v>1.1193185056097128</v>
      </c>
      <c r="L4761" s="15">
        <v>1.1193185056097128</v>
      </c>
      <c r="M4761" s="15">
        <v>1.1193185056097128</v>
      </c>
      <c r="N4761" s="15">
        <v>1.1193185056097128</v>
      </c>
      <c r="O4761" s="15" t="s">
        <v>10</v>
      </c>
      <c r="P4761" s="15" t="s">
        <v>10</v>
      </c>
      <c r="Q4761" s="8"/>
      <c r="R4761" s="9" t="s">
        <v>4303</v>
      </c>
    </row>
    <row r="4762" spans="1:18" x14ac:dyDescent="0.25">
      <c r="A4762" s="6" t="str">
        <f>HYPERLINK("proteomic_fractions_linear_files/Yang_linear_img/6754794.jpg", "6754794")</f>
        <v>6754794</v>
      </c>
      <c r="B4762" s="7"/>
      <c r="C4762" s="6" t="str">
        <f>HYPERLINK("http://www.ncbi.nlm.nih.gov/protein/6754794","Nat2")</f>
        <v>Nat2</v>
      </c>
      <c r="D4762" s="8"/>
      <c r="E4762" s="8">
        <v>33570</v>
      </c>
      <c r="F4762" s="8"/>
      <c r="G4762" s="15" t="s">
        <v>10</v>
      </c>
      <c r="H4762" s="15" t="s">
        <v>10</v>
      </c>
      <c r="I4762" s="15" t="s">
        <v>10</v>
      </c>
      <c r="J4762" s="15" t="s">
        <v>10</v>
      </c>
      <c r="K4762" s="15" t="s">
        <v>10</v>
      </c>
      <c r="L4762" s="15" t="s">
        <v>10</v>
      </c>
      <c r="M4762" s="15" t="s">
        <v>10</v>
      </c>
      <c r="N4762" s="15" t="s">
        <v>10</v>
      </c>
      <c r="O4762" s="15">
        <v>0.72220060627285054</v>
      </c>
      <c r="P4762" s="15">
        <v>0.72220060627285054</v>
      </c>
      <c r="Q4762" s="8"/>
      <c r="R4762" s="9" t="s">
        <v>4304</v>
      </c>
    </row>
    <row r="4763" spans="1:18" x14ac:dyDescent="0.25">
      <c r="A4763" s="6" t="str">
        <f>HYPERLINK("proteomic_fractions_linear_files/Yang_linear_img/13384782.jpg", "13384782")</f>
        <v>13384782</v>
      </c>
      <c r="B4763" s="7"/>
      <c r="C4763" s="6" t="str">
        <f>HYPERLINK("http://www.ncbi.nlm.nih.gov/protein/13384782","Nat9")</f>
        <v>Nat9</v>
      </c>
      <c r="D4763" s="8"/>
      <c r="E4763" s="8">
        <v>27532</v>
      </c>
      <c r="F4763" s="8"/>
      <c r="G4763" s="15" t="s">
        <v>10</v>
      </c>
      <c r="H4763" s="15" t="s">
        <v>10</v>
      </c>
      <c r="I4763" s="15" t="s">
        <v>10</v>
      </c>
      <c r="J4763" s="15" t="s">
        <v>10</v>
      </c>
      <c r="K4763" s="15" t="s">
        <v>10</v>
      </c>
      <c r="L4763" s="15" t="s">
        <v>10</v>
      </c>
      <c r="M4763" s="15" t="s">
        <v>10</v>
      </c>
      <c r="N4763" s="15" t="s">
        <v>10</v>
      </c>
      <c r="O4763" s="15">
        <v>0.99707897491721642</v>
      </c>
      <c r="P4763" s="15">
        <v>0.99707897491721642</v>
      </c>
      <c r="Q4763" s="8"/>
      <c r="R4763" s="9" t="s">
        <v>4305</v>
      </c>
    </row>
    <row r="4764" spans="1:18" x14ac:dyDescent="0.25">
      <c r="A4764" s="6" t="str">
        <f>HYPERLINK("proteomic_fractions_linear_files/Yang_linear_img/167466222.jpg", "167466222")</f>
        <v>167466222</v>
      </c>
      <c r="B4764" s="7"/>
      <c r="C4764" s="6" t="str">
        <f>HYPERLINK("http://www.ncbi.nlm.nih.gov/protein/167466222","Nav2")</f>
        <v>Nav2</v>
      </c>
      <c r="D4764" s="8"/>
      <c r="E4764" s="8">
        <v>261532</v>
      </c>
      <c r="F4764" s="8"/>
      <c r="G4764" s="15" t="s">
        <v>10</v>
      </c>
      <c r="H4764" s="15" t="s">
        <v>10</v>
      </c>
      <c r="I4764" s="15" t="s">
        <v>10</v>
      </c>
      <c r="J4764" s="15" t="s">
        <v>10</v>
      </c>
      <c r="K4764" s="15" t="s">
        <v>10</v>
      </c>
      <c r="L4764" s="15" t="s">
        <v>10</v>
      </c>
      <c r="M4764" s="15" t="s">
        <v>10</v>
      </c>
      <c r="N4764" s="15" t="s">
        <v>10</v>
      </c>
      <c r="O4764" s="15">
        <v>7.8616187735329288E-2</v>
      </c>
      <c r="P4764" s="15">
        <v>7.8616187735329288E-2</v>
      </c>
      <c r="Q4764" s="8"/>
      <c r="R4764" s="9" t="s">
        <v>4306</v>
      </c>
    </row>
    <row r="4765" spans="1:18" x14ac:dyDescent="0.25">
      <c r="A4765" s="6" t="str">
        <f>HYPERLINK("proteomic_fractions_linear_files/Yang_linear_img/167466226.jpg", "167466226")</f>
        <v>167466226</v>
      </c>
      <c r="B4765" s="7"/>
      <c r="C4765" s="6" t="str">
        <f>HYPERLINK("http://www.ncbi.nlm.nih.gov/protein/167466226","Nav2")</f>
        <v>Nav2</v>
      </c>
      <c r="D4765" s="8"/>
      <c r="E4765" s="8">
        <v>255438</v>
      </c>
      <c r="F4765" s="8"/>
      <c r="G4765" s="15" t="s">
        <v>10</v>
      </c>
      <c r="H4765" s="15" t="s">
        <v>10</v>
      </c>
      <c r="I4765" s="15" t="s">
        <v>10</v>
      </c>
      <c r="J4765" s="15" t="s">
        <v>10</v>
      </c>
      <c r="K4765" s="15" t="s">
        <v>10</v>
      </c>
      <c r="L4765" s="15" t="s">
        <v>10</v>
      </c>
      <c r="M4765" s="15" t="s">
        <v>10</v>
      </c>
      <c r="N4765" s="15" t="s">
        <v>10</v>
      </c>
      <c r="O4765" s="15">
        <v>8.0774279163357929E-2</v>
      </c>
      <c r="P4765" s="15">
        <v>8.0774279163357929E-2</v>
      </c>
      <c r="Q4765" s="8"/>
      <c r="R4765" s="9" t="s">
        <v>4307</v>
      </c>
    </row>
    <row r="4766" spans="1:18" x14ac:dyDescent="0.25">
      <c r="A4766" s="6" t="str">
        <f>HYPERLINK("proteomic_fractions_linear_files/Yang_linear_img/255003837.jpg", "255003837")</f>
        <v>255003837</v>
      </c>
      <c r="B4766" s="7"/>
      <c r="C4766" s="6" t="str">
        <f>HYPERLINK("http://www.ncbi.nlm.nih.gov/protein/255003837","Nbas")</f>
        <v>Nbas</v>
      </c>
      <c r="D4766" s="8"/>
      <c r="E4766" s="8">
        <v>265645</v>
      </c>
      <c r="F4766" s="8"/>
      <c r="G4766" s="15" t="s">
        <v>10</v>
      </c>
      <c r="H4766" s="15" t="s">
        <v>10</v>
      </c>
      <c r="I4766" s="15">
        <v>0.87729641965356797</v>
      </c>
      <c r="J4766" s="15">
        <v>0.87729641965356797</v>
      </c>
      <c r="K4766" s="15">
        <v>1.1345237768289427</v>
      </c>
      <c r="L4766" s="15">
        <v>1.1345237768289427</v>
      </c>
      <c r="M4766" s="15" t="s">
        <v>10</v>
      </c>
      <c r="N4766" s="15" t="s">
        <v>10</v>
      </c>
      <c r="O4766" s="15" t="s">
        <v>10</v>
      </c>
      <c r="P4766" s="15" t="s">
        <v>10</v>
      </c>
      <c r="Q4766" s="8"/>
      <c r="R4766" s="9" t="s">
        <v>4308</v>
      </c>
    </row>
    <row r="4767" spans="1:18" x14ac:dyDescent="0.25">
      <c r="A4767" s="6" t="str">
        <f>HYPERLINK("proteomic_fractions_linear_files/Yang_linear_img/158854037.jpg", "158854037")</f>
        <v>158854037</v>
      </c>
      <c r="B4767" s="7"/>
      <c r="C4767" s="6" t="str">
        <f>HYPERLINK("http://www.ncbi.nlm.nih.gov/protein/158854037","Nbea")</f>
        <v>Nbea</v>
      </c>
      <c r="D4767" s="8"/>
      <c r="E4767" s="8">
        <v>326613</v>
      </c>
      <c r="F4767" s="8"/>
      <c r="G4767" s="15">
        <v>0.92288478482109715</v>
      </c>
      <c r="H4767" s="15">
        <v>0.92288478482109715</v>
      </c>
      <c r="I4767" s="15">
        <v>0.33578459884138062</v>
      </c>
      <c r="J4767" s="15">
        <v>0.92288478482109715</v>
      </c>
      <c r="K4767" s="15">
        <v>1.2508977300900299</v>
      </c>
      <c r="L4767" s="15">
        <v>1.2508977300900299</v>
      </c>
      <c r="M4767" s="15">
        <v>1.2508977300900299</v>
      </c>
      <c r="N4767" s="15">
        <v>1.2508977300900299</v>
      </c>
      <c r="O4767" s="15">
        <v>0.92288478482109715</v>
      </c>
      <c r="P4767" s="15">
        <v>0.92288478482109715</v>
      </c>
      <c r="Q4767" s="8"/>
      <c r="R4767" s="9" t="s">
        <v>4309</v>
      </c>
    </row>
    <row r="4768" spans="1:18" x14ac:dyDescent="0.25">
      <c r="A4768" s="6" t="str">
        <f>HYPERLINK("proteomic_fractions_linear_files/Yang_linear_img/153791557.jpg", "153791557")</f>
        <v>153791557</v>
      </c>
      <c r="B4768" s="7"/>
      <c r="C4768" s="6" t="str">
        <f>HYPERLINK("http://www.ncbi.nlm.nih.gov/protein/153791557","Nbeal1")</f>
        <v>Nbeal1</v>
      </c>
      <c r="D4768" s="8"/>
      <c r="E4768" s="8">
        <v>306049</v>
      </c>
      <c r="F4768" s="8"/>
      <c r="G4768" s="15" t="s">
        <v>10</v>
      </c>
      <c r="H4768" s="15" t="s">
        <v>10</v>
      </c>
      <c r="I4768" s="15" t="s">
        <v>10</v>
      </c>
      <c r="J4768" s="15" t="s">
        <v>10</v>
      </c>
      <c r="K4768" s="15">
        <v>0.98622001515195679</v>
      </c>
      <c r="L4768" s="15">
        <v>0.98622001515195679</v>
      </c>
      <c r="M4768" s="15">
        <v>1.9395189727755038</v>
      </c>
      <c r="N4768" s="15">
        <v>1.3367436527432672</v>
      </c>
      <c r="O4768" s="15">
        <v>0.98622001515195679</v>
      </c>
      <c r="P4768" s="15">
        <v>0.98622001515195679</v>
      </c>
      <c r="Q4768" s="8"/>
      <c r="R4768" s="9" t="s">
        <v>4310</v>
      </c>
    </row>
    <row r="4769" spans="1:18" x14ac:dyDescent="0.25">
      <c r="A4769" s="6" t="str">
        <f>HYPERLINK("proteomic_fractions_linear_files/Yang_linear_img/254911027.jpg", "254911027")</f>
        <v>254911027</v>
      </c>
      <c r="B4769" s="7"/>
      <c r="C4769" s="6" t="str">
        <f>HYPERLINK("http://www.ncbi.nlm.nih.gov/protein/254911027","Nbeal2")</f>
        <v>Nbeal2</v>
      </c>
      <c r="D4769" s="8"/>
      <c r="E4769" s="8">
        <v>302631</v>
      </c>
      <c r="F4769" s="8"/>
      <c r="G4769" s="15" t="s">
        <v>10</v>
      </c>
      <c r="H4769" s="15" t="s">
        <v>10</v>
      </c>
      <c r="I4769" s="15">
        <v>0.99598456975742167</v>
      </c>
      <c r="J4769" s="15">
        <v>0.99598456975742167</v>
      </c>
      <c r="K4769" s="15">
        <v>0.99598456975742167</v>
      </c>
      <c r="L4769" s="15">
        <v>0.99598456975742167</v>
      </c>
      <c r="M4769" s="15">
        <v>1.3499787384139927</v>
      </c>
      <c r="N4769" s="15">
        <v>1.3499787384139927</v>
      </c>
      <c r="O4769" s="15">
        <v>0.99598456975742167</v>
      </c>
      <c r="P4769" s="15">
        <v>0.99598456975742167</v>
      </c>
      <c r="Q4769" s="8"/>
      <c r="R4769" s="9" t="s">
        <v>4311</v>
      </c>
    </row>
    <row r="4770" spans="1:18" x14ac:dyDescent="0.25">
      <c r="A4770" s="6" t="str">
        <f>HYPERLINK("proteomic_fractions_linear_files/Yang_linear_img/31324569.jpg", "31324569")</f>
        <v>31324569</v>
      </c>
      <c r="B4770" s="7"/>
      <c r="C4770" s="6" t="str">
        <f>HYPERLINK("http://www.ncbi.nlm.nih.gov/protein/31324569","Ncald")</f>
        <v>Ncald</v>
      </c>
      <c r="D4770" s="8"/>
      <c r="E4770" s="8">
        <v>22114</v>
      </c>
      <c r="F4770" s="8"/>
      <c r="G4770" s="15" t="s">
        <v>10</v>
      </c>
      <c r="H4770" s="15" t="s">
        <v>10</v>
      </c>
      <c r="I4770" s="15">
        <v>0.8406954165710947</v>
      </c>
      <c r="J4770" s="15">
        <v>0.8406954165710947</v>
      </c>
      <c r="K4770" s="15">
        <v>0.8406954165710947</v>
      </c>
      <c r="L4770" s="15">
        <v>0.8406954165710947</v>
      </c>
      <c r="M4770" s="15">
        <v>0.88641590127433068</v>
      </c>
      <c r="N4770" s="15">
        <v>0.88641590127433068</v>
      </c>
      <c r="O4770" s="15" t="s">
        <v>10</v>
      </c>
      <c r="P4770" s="15" t="s">
        <v>10</v>
      </c>
      <c r="Q4770" s="8"/>
      <c r="R4770" s="9" t="s">
        <v>4312</v>
      </c>
    </row>
    <row r="4771" spans="1:18" x14ac:dyDescent="0.25">
      <c r="A4771" s="6" t="str">
        <f>HYPERLINK("proteomic_fractions_linear_files/Yang_linear_img/22165392.jpg", "22165392")</f>
        <v>22165392</v>
      </c>
      <c r="B4771" s="7"/>
      <c r="C4771" s="6" t="str">
        <f>HYPERLINK("http://www.ncbi.nlm.nih.gov/protein/22165392","Ncapd2")</f>
        <v>Ncapd2</v>
      </c>
      <c r="D4771" s="8"/>
      <c r="E4771" s="8">
        <v>155463</v>
      </c>
      <c r="F4771" s="8"/>
      <c r="G4771" s="15" t="s">
        <v>10</v>
      </c>
      <c r="H4771" s="15" t="s">
        <v>10</v>
      </c>
      <c r="I4771" s="15" t="s">
        <v>10</v>
      </c>
      <c r="J4771" s="15" t="s">
        <v>10</v>
      </c>
      <c r="K4771" s="15">
        <v>1.2049408492899378</v>
      </c>
      <c r="L4771" s="15">
        <v>1.2049408492899378</v>
      </c>
      <c r="M4771" s="15">
        <v>1.2049408492899378</v>
      </c>
      <c r="N4771" s="15">
        <v>1.2049408492899378</v>
      </c>
      <c r="O4771" s="15">
        <v>1.2049408492899378</v>
      </c>
      <c r="P4771" s="15">
        <v>1.2049408492899378</v>
      </c>
      <c r="Q4771" s="8"/>
      <c r="R4771" s="9" t="s">
        <v>4313</v>
      </c>
    </row>
    <row r="4772" spans="1:18" x14ac:dyDescent="0.25">
      <c r="A4772" s="6" t="str">
        <f>HYPERLINK("proteomic_fractions_linear_files/Yang_linear_img/161016797.jpg", "161016797")</f>
        <v>161016797</v>
      </c>
      <c r="B4772" s="7"/>
      <c r="C4772" s="6" t="str">
        <f>HYPERLINK("http://www.ncbi.nlm.nih.gov/protein/161016797","Ncapd3")</f>
        <v>Ncapd3</v>
      </c>
      <c r="D4772" s="8"/>
      <c r="E4772" s="8">
        <v>169276</v>
      </c>
      <c r="F4772" s="8"/>
      <c r="G4772" s="15">
        <v>3.5117917495225099</v>
      </c>
      <c r="H4772" s="15">
        <v>3.5117917495225099</v>
      </c>
      <c r="I4772" s="15" t="s">
        <v>10</v>
      </c>
      <c r="J4772" s="15" t="s">
        <v>10</v>
      </c>
      <c r="K4772" s="15">
        <v>1.3808334179162667</v>
      </c>
      <c r="L4772" s="15">
        <v>1.3808334179162667</v>
      </c>
      <c r="M4772" s="15">
        <v>1.3808334179162667</v>
      </c>
      <c r="N4772" s="15">
        <v>1.3808334179162667</v>
      </c>
      <c r="O4772" s="15" t="s">
        <v>10</v>
      </c>
      <c r="P4772" s="15" t="s">
        <v>10</v>
      </c>
      <c r="Q4772" s="8"/>
      <c r="R4772" s="9" t="s">
        <v>4314</v>
      </c>
    </row>
    <row r="4773" spans="1:18" x14ac:dyDescent="0.25">
      <c r="A4773" s="6" t="str">
        <f>HYPERLINK("proteomic_fractions_linear_files/Yang_linear_img/169234780.jpg", "169234780")</f>
        <v>169234780</v>
      </c>
      <c r="B4773" s="7"/>
      <c r="C4773" s="6" t="str">
        <f>HYPERLINK("http://www.ncbi.nlm.nih.gov/protein/169234780","Ncapg")</f>
        <v>Ncapg</v>
      </c>
      <c r="D4773" s="8"/>
      <c r="E4773" s="8">
        <v>112738</v>
      </c>
      <c r="F4773" s="8"/>
      <c r="G4773" s="15">
        <v>0.52011688128844114</v>
      </c>
      <c r="H4773" s="15">
        <v>0.52011688128844114</v>
      </c>
      <c r="I4773" s="15">
        <v>0.42734491667624119</v>
      </c>
      <c r="J4773" s="15">
        <v>0.42734491667624119</v>
      </c>
      <c r="K4773" s="15">
        <v>0.47009353654868213</v>
      </c>
      <c r="L4773" s="15">
        <v>0.47009353654868213</v>
      </c>
      <c r="M4773" s="15">
        <v>1.3579900100552376</v>
      </c>
      <c r="N4773" s="15">
        <v>1.3579900100552376</v>
      </c>
      <c r="O4773" s="15">
        <v>1.3579900100552376</v>
      </c>
      <c r="P4773" s="15">
        <v>1.3579900100552376</v>
      </c>
      <c r="Q4773" s="8"/>
      <c r="R4773" s="9" t="s">
        <v>4315</v>
      </c>
    </row>
    <row r="4774" spans="1:18" x14ac:dyDescent="0.25">
      <c r="A4774" s="6" t="str">
        <f>HYPERLINK("proteomic_fractions_linear_files/Yang_linear_img/91208439.jpg", "91208439")</f>
        <v>91208439</v>
      </c>
      <c r="B4774" s="7"/>
      <c r="C4774" s="6" t="str">
        <f>HYPERLINK("http://www.ncbi.nlm.nih.gov/protein/91208439","Ncapg2")</f>
        <v>Ncapg2</v>
      </c>
      <c r="D4774" s="8"/>
      <c r="E4774" s="8">
        <v>130763</v>
      </c>
      <c r="F4774" s="8"/>
      <c r="G4774" s="15" t="s">
        <v>10</v>
      </c>
      <c r="H4774" s="15" t="s">
        <v>10</v>
      </c>
      <c r="I4774" s="15">
        <v>1.1713959628720751</v>
      </c>
      <c r="J4774" s="15">
        <v>1.1713959628720751</v>
      </c>
      <c r="K4774" s="15">
        <v>1.1713959628720751</v>
      </c>
      <c r="L4774" s="15">
        <v>1.1713959628720751</v>
      </c>
      <c r="M4774" s="15">
        <v>1.1713959628720751</v>
      </c>
      <c r="N4774" s="15">
        <v>1.1713959628720751</v>
      </c>
      <c r="O4774" s="15" t="s">
        <v>10</v>
      </c>
      <c r="P4774" s="15" t="s">
        <v>10</v>
      </c>
      <c r="Q4774" s="8"/>
      <c r="R4774" s="9" t="s">
        <v>4316</v>
      </c>
    </row>
    <row r="4775" spans="1:18" x14ac:dyDescent="0.25">
      <c r="A4775" s="6" t="str">
        <f>HYPERLINK("proteomic_fractions_linear_files/Yang_linear_img/295389521.jpg", "295389521")</f>
        <v>295389521</v>
      </c>
      <c r="B4775" s="7"/>
      <c r="C4775" s="6" t="str">
        <f>HYPERLINK("http://www.ncbi.nlm.nih.gov/protein/295389521","Ncaph")</f>
        <v>Ncaph</v>
      </c>
      <c r="D4775" s="8"/>
      <c r="E4775" s="8">
        <v>82172</v>
      </c>
      <c r="F4775" s="8"/>
      <c r="G4775" s="15" t="s">
        <v>10</v>
      </c>
      <c r="H4775" s="15" t="s">
        <v>10</v>
      </c>
      <c r="I4775" s="15">
        <v>1.3390434612333106</v>
      </c>
      <c r="J4775" s="15">
        <v>1.3390434612333106</v>
      </c>
      <c r="K4775" s="15">
        <v>1.5697759529892312</v>
      </c>
      <c r="L4775" s="15">
        <v>1.5697759529892312</v>
      </c>
      <c r="M4775" s="15">
        <v>1.3390434612333106</v>
      </c>
      <c r="N4775" s="15">
        <v>1.3390434612333106</v>
      </c>
      <c r="O4775" s="15">
        <v>1.3390434612333106</v>
      </c>
      <c r="P4775" s="15">
        <v>1.3390434612333106</v>
      </c>
      <c r="Q4775" s="8"/>
      <c r="R4775" s="9" t="s">
        <v>4317</v>
      </c>
    </row>
    <row r="4776" spans="1:18" x14ac:dyDescent="0.25">
      <c r="A4776" s="6" t="str">
        <f>HYPERLINK("proteomic_fractions_linear_files/Yang_linear_img/169646203.jpg", "169646203")</f>
        <v>169646203</v>
      </c>
      <c r="B4776" s="7"/>
      <c r="C4776" s="6" t="str">
        <f>HYPERLINK("http://www.ncbi.nlm.nih.gov/protein/169646203","Ncaph2")</f>
        <v>Ncaph2</v>
      </c>
      <c r="D4776" s="8"/>
      <c r="E4776" s="8">
        <v>68815</v>
      </c>
      <c r="F4776" s="8"/>
      <c r="G4776" s="15" t="s">
        <v>10</v>
      </c>
      <c r="H4776" s="15" t="s">
        <v>10</v>
      </c>
      <c r="I4776" s="15" t="s">
        <v>10</v>
      </c>
      <c r="J4776" s="15" t="s">
        <v>10</v>
      </c>
      <c r="K4776" s="15">
        <v>1.3763475533707901</v>
      </c>
      <c r="L4776" s="15">
        <v>1.3763475533707901</v>
      </c>
      <c r="M4776" s="15">
        <v>1.3763475533707901</v>
      </c>
      <c r="N4776" s="15">
        <v>1.3763475533707901</v>
      </c>
      <c r="O4776" s="15">
        <v>1.2043283836687515</v>
      </c>
      <c r="P4776" s="15">
        <v>1.2043283836687515</v>
      </c>
      <c r="Q4776" s="8"/>
      <c r="R4776" s="9" t="s">
        <v>4318</v>
      </c>
    </row>
    <row r="4777" spans="1:18" x14ac:dyDescent="0.25">
      <c r="A4777" s="6" t="str">
        <f>HYPERLINK("proteomic_fractions_linear_files/Yang_linear_img/409971409.jpg", "409971409")</f>
        <v>409971409</v>
      </c>
      <c r="B4777" s="7"/>
      <c r="C4777" s="6" t="str">
        <f>HYPERLINK("http://www.ncbi.nlm.nih.gov/protein/409971409","Ncaph2")</f>
        <v>Ncaph2</v>
      </c>
      <c r="D4777" s="8"/>
      <c r="E4777" s="8">
        <v>65179</v>
      </c>
      <c r="F4777" s="8"/>
      <c r="G4777" s="15" t="s">
        <v>10</v>
      </c>
      <c r="H4777" s="15" t="s">
        <v>10</v>
      </c>
      <c r="I4777" s="15" t="s">
        <v>10</v>
      </c>
      <c r="J4777" s="15" t="s">
        <v>10</v>
      </c>
      <c r="K4777" s="15">
        <v>1.461045864347454</v>
      </c>
      <c r="L4777" s="15">
        <v>1.461045864347454</v>
      </c>
      <c r="M4777" s="15">
        <v>1.461045864347454</v>
      </c>
      <c r="N4777" s="15">
        <v>1.461045864347454</v>
      </c>
      <c r="O4777" s="15">
        <v>1.2784408995868286</v>
      </c>
      <c r="P4777" s="15">
        <v>1.2784408995868286</v>
      </c>
      <c r="Q4777" s="8"/>
      <c r="R4777" s="9" t="s">
        <v>4319</v>
      </c>
    </row>
    <row r="4778" spans="1:18" x14ac:dyDescent="0.25">
      <c r="A4778" s="6" t="str">
        <f>HYPERLINK("proteomic_fractions_linear_files/Yang_linear_img/409971411.jpg", "409971411")</f>
        <v>409971411</v>
      </c>
      <c r="B4778" s="7"/>
      <c r="C4778" s="6" t="str">
        <f>HYPERLINK("http://www.ncbi.nlm.nih.gov/protein/409971411","Ncaph2")</f>
        <v>Ncaph2</v>
      </c>
      <c r="D4778" s="8"/>
      <c r="E4778" s="8">
        <v>68886</v>
      </c>
      <c r="F4778" s="8"/>
      <c r="G4778" s="15" t="s">
        <v>10</v>
      </c>
      <c r="H4778" s="15" t="s">
        <v>10</v>
      </c>
      <c r="I4778" s="15" t="s">
        <v>10</v>
      </c>
      <c r="J4778" s="15" t="s">
        <v>10</v>
      </c>
      <c r="K4778" s="15">
        <v>1.3763475533707901</v>
      </c>
      <c r="L4778" s="15">
        <v>1.3763475533707901</v>
      </c>
      <c r="M4778" s="15">
        <v>1.3763475533707901</v>
      </c>
      <c r="N4778" s="15">
        <v>1.3763475533707901</v>
      </c>
      <c r="O4778" s="15">
        <v>1.2043283836687515</v>
      </c>
      <c r="P4778" s="15">
        <v>1.2043283836687515</v>
      </c>
      <c r="Q4778" s="8"/>
      <c r="R4778" s="9" t="s">
        <v>4320</v>
      </c>
    </row>
    <row r="4779" spans="1:18" x14ac:dyDescent="0.25">
      <c r="A4779" s="6" t="str">
        <f>HYPERLINK("proteomic_fractions_linear_files/Yang_linear_img/144922627.jpg", "144922627")</f>
        <v>144922627</v>
      </c>
      <c r="B4779" s="7"/>
      <c r="C4779" s="6" t="str">
        <f>HYPERLINK("http://www.ncbi.nlm.nih.gov/protein/144922627","Ncbp1")</f>
        <v>Ncbp1</v>
      </c>
      <c r="D4779" s="8"/>
      <c r="E4779" s="8">
        <v>91796</v>
      </c>
      <c r="F4779" s="8"/>
      <c r="G4779" s="15">
        <v>1.193495258925342</v>
      </c>
      <c r="H4779" s="15">
        <v>1.193495258925342</v>
      </c>
      <c r="I4779" s="15" t="s">
        <v>10</v>
      </c>
      <c r="J4779" s="15" t="s">
        <v>10</v>
      </c>
      <c r="K4779" s="15">
        <v>1.0322606650280925</v>
      </c>
      <c r="L4779" s="15">
        <v>1.0322606650280925</v>
      </c>
      <c r="M4779" s="15">
        <v>1.0322606650280925</v>
      </c>
      <c r="N4779" s="15">
        <v>1.0322606650280925</v>
      </c>
      <c r="O4779" s="15">
        <v>0.90324628775156368</v>
      </c>
      <c r="P4779" s="15">
        <v>0.90324628775156368</v>
      </c>
      <c r="Q4779" s="8"/>
      <c r="R4779" s="9" t="s">
        <v>4321</v>
      </c>
    </row>
    <row r="4780" spans="1:18" x14ac:dyDescent="0.25">
      <c r="A4780" s="6" t="str">
        <f>HYPERLINK("proteomic_fractions_linear_files/Yang_linear_img/13386056.jpg", "13386056")</f>
        <v>13386056</v>
      </c>
      <c r="B4780" s="7"/>
      <c r="C4780" s="6" t="str">
        <f>HYPERLINK("http://www.ncbi.nlm.nih.gov/protein/13386056","Ncbp2")</f>
        <v>Ncbp2</v>
      </c>
      <c r="D4780" s="8"/>
      <c r="E4780" s="8">
        <v>17886</v>
      </c>
      <c r="F4780" s="8"/>
      <c r="G4780" s="15" t="s">
        <v>10</v>
      </c>
      <c r="H4780" s="15" t="s">
        <v>10</v>
      </c>
      <c r="I4780" s="15">
        <v>0.84424101632301585</v>
      </c>
      <c r="J4780" s="15">
        <v>0.84424101632301585</v>
      </c>
      <c r="K4780" s="15">
        <v>0.88485787684343198</v>
      </c>
      <c r="L4780" s="15">
        <v>0.88485787684343198</v>
      </c>
      <c r="M4780" s="15">
        <v>0.88485787684343198</v>
      </c>
      <c r="N4780" s="15">
        <v>0.88485787684343198</v>
      </c>
      <c r="O4780" s="15">
        <v>0.84424101632301585</v>
      </c>
      <c r="P4780" s="15">
        <v>0.84424101632301585</v>
      </c>
      <c r="Q4780" s="8"/>
      <c r="R4780" s="9" t="s">
        <v>4322</v>
      </c>
    </row>
    <row r="4781" spans="1:18" x14ac:dyDescent="0.25">
      <c r="A4781" s="6" t="str">
        <f>HYPERLINK("proteomic_fractions_linear_files/Yang_linear_img/172072590.jpg", "172072590")</f>
        <v>172072590</v>
      </c>
      <c r="B4781" s="7"/>
      <c r="C4781" s="6" t="str">
        <f>HYPERLINK("http://www.ncbi.nlm.nih.gov/protein/172072590","Ncdn")</f>
        <v>Ncdn</v>
      </c>
      <c r="D4781" s="8"/>
      <c r="E4781" s="8">
        <v>78765</v>
      </c>
      <c r="F4781" s="8"/>
      <c r="G4781" s="15" t="s">
        <v>10</v>
      </c>
      <c r="H4781" s="15" t="s">
        <v>10</v>
      </c>
      <c r="I4781" s="15" t="s">
        <v>10</v>
      </c>
      <c r="J4781" s="15" t="s">
        <v>10</v>
      </c>
      <c r="K4781" s="15">
        <v>1.0518817528246058</v>
      </c>
      <c r="L4781" s="15">
        <v>1.0518817528246058</v>
      </c>
      <c r="M4781" s="15">
        <v>1.0518817528246058</v>
      </c>
      <c r="N4781" s="15">
        <v>1.0518817528246058</v>
      </c>
      <c r="O4781" s="15">
        <v>1.0518817528246058</v>
      </c>
      <c r="P4781" s="15">
        <v>1.0518817528246058</v>
      </c>
      <c r="Q4781" s="8"/>
      <c r="R4781" s="9" t="s">
        <v>4323</v>
      </c>
    </row>
    <row r="4782" spans="1:18" x14ac:dyDescent="0.25">
      <c r="A4782" s="6" t="str">
        <f>HYPERLINK("proteomic_fractions_linear_files/Yang_linear_img/30520239.jpg", "30520239")</f>
        <v>30520239</v>
      </c>
      <c r="B4782" s="7"/>
      <c r="C4782" s="6" t="str">
        <f>HYPERLINK("http://www.ncbi.nlm.nih.gov/protein/30520239","Nceh1")</f>
        <v>Nceh1</v>
      </c>
      <c r="D4782" s="8"/>
      <c r="E4782" s="8">
        <v>45609</v>
      </c>
      <c r="F4782" s="8"/>
      <c r="G4782" s="15">
        <v>1.4228970289248768</v>
      </c>
      <c r="H4782" s="15">
        <v>1.4228970289248768</v>
      </c>
      <c r="I4782" s="15">
        <v>1.0497820779220708</v>
      </c>
      <c r="J4782" s="15">
        <v>1.0497820779220708</v>
      </c>
      <c r="K4782" s="15">
        <v>1.1547949919565452</v>
      </c>
      <c r="L4782" s="15">
        <v>1.1547949919565452</v>
      </c>
      <c r="M4782" s="15">
        <v>1.0497820779220708</v>
      </c>
      <c r="N4782" s="15">
        <v>1.0497820779220708</v>
      </c>
      <c r="O4782" s="15" t="s">
        <v>10</v>
      </c>
      <c r="P4782" s="15" t="s">
        <v>10</v>
      </c>
      <c r="Q4782" s="8"/>
      <c r="R4782" s="9" t="s">
        <v>4324</v>
      </c>
    </row>
    <row r="4783" spans="1:18" x14ac:dyDescent="0.25">
      <c r="A4783" s="6" t="str">
        <f>HYPERLINK("proteomic_fractions_linear_files/Yang_linear_img/34328187.jpg", "34328187")</f>
        <v>34328187</v>
      </c>
      <c r="B4783" s="7"/>
      <c r="C4783" s="6" t="str">
        <f>HYPERLINK("http://www.ncbi.nlm.nih.gov/protein/34328187","Nck1")</f>
        <v>Nck1</v>
      </c>
      <c r="D4783" s="8"/>
      <c r="E4783" s="8">
        <v>42760</v>
      </c>
      <c r="F4783" s="8"/>
      <c r="G4783" s="15" t="s">
        <v>10</v>
      </c>
      <c r="H4783" s="15" t="s">
        <v>10</v>
      </c>
      <c r="I4783" s="15">
        <v>1.0261764941154761</v>
      </c>
      <c r="J4783" s="15">
        <v>1.0261764941154761</v>
      </c>
      <c r="K4783" s="15">
        <v>1.123022688009657</v>
      </c>
      <c r="L4783" s="15">
        <v>1.123022688009657</v>
      </c>
      <c r="M4783" s="15" t="s">
        <v>10</v>
      </c>
      <c r="N4783" s="15" t="s">
        <v>10</v>
      </c>
      <c r="O4783" s="15">
        <v>0.942030655888901</v>
      </c>
      <c r="P4783" s="15">
        <v>0.942030655888901</v>
      </c>
      <c r="Q4783" s="8"/>
      <c r="R4783" s="9" t="s">
        <v>4325</v>
      </c>
    </row>
    <row r="4784" spans="1:18" x14ac:dyDescent="0.25">
      <c r="A4784" s="6" t="str">
        <f>HYPERLINK("proteomic_fractions_linear_files/Yang_linear_img/190610036.jpg", "190610036")</f>
        <v>190610036</v>
      </c>
      <c r="B4784" s="7"/>
      <c r="C4784" s="6" t="str">
        <f>HYPERLINK("http://www.ncbi.nlm.nih.gov/protein/190610036","Nck2")</f>
        <v>Nck2</v>
      </c>
      <c r="D4784" s="8"/>
      <c r="E4784" s="8">
        <v>42748</v>
      </c>
      <c r="F4784" s="8"/>
      <c r="G4784" s="15" t="s">
        <v>10</v>
      </c>
      <c r="H4784" s="15" t="s">
        <v>10</v>
      </c>
      <c r="I4784" s="15">
        <v>1.0261764941154761</v>
      </c>
      <c r="J4784" s="15">
        <v>1.0261764941154761</v>
      </c>
      <c r="K4784" s="15">
        <v>1.123022688009657</v>
      </c>
      <c r="L4784" s="15">
        <v>1.123022688009657</v>
      </c>
      <c r="M4784" s="15" t="s">
        <v>10</v>
      </c>
      <c r="N4784" s="15" t="s">
        <v>10</v>
      </c>
      <c r="O4784" s="15" t="s">
        <v>10</v>
      </c>
      <c r="P4784" s="15" t="s">
        <v>10</v>
      </c>
      <c r="Q4784" s="8"/>
      <c r="R4784" s="9" t="s">
        <v>4326</v>
      </c>
    </row>
    <row r="4785" spans="1:18" x14ac:dyDescent="0.25">
      <c r="A4785" s="6" t="str">
        <f>HYPERLINK("proteomic_fractions_linear_files/Yang_linear_img/28395023.jpg", "28395023")</f>
        <v>28395023</v>
      </c>
      <c r="B4785" s="7"/>
      <c r="C4785" s="6" t="str">
        <f>HYPERLINK("http://www.ncbi.nlm.nih.gov/protein/28395023","Nckap1")</f>
        <v>Nckap1</v>
      </c>
      <c r="D4785" s="8"/>
      <c r="E4785" s="8">
        <v>128653</v>
      </c>
      <c r="F4785" s="8"/>
      <c r="G4785" s="15" t="s">
        <v>10</v>
      </c>
      <c r="H4785" s="15" t="s">
        <v>10</v>
      </c>
      <c r="I4785" s="15">
        <v>1.1895571405910219</v>
      </c>
      <c r="J4785" s="15">
        <v>1.1895571405910219</v>
      </c>
      <c r="K4785" s="15">
        <v>1.1895571405910219</v>
      </c>
      <c r="L4785" s="15">
        <v>1.1895571405910219</v>
      </c>
      <c r="M4785" s="15">
        <v>0.99784207864431762</v>
      </c>
      <c r="N4785" s="15">
        <v>1.1895571405910219</v>
      </c>
      <c r="O4785" s="15">
        <v>0.99784207864431762</v>
      </c>
      <c r="P4785" s="15">
        <v>0.99784207864431762</v>
      </c>
      <c r="Q4785" s="8"/>
      <c r="R4785" s="9" t="s">
        <v>4327</v>
      </c>
    </row>
    <row r="4786" spans="1:18" x14ac:dyDescent="0.25">
      <c r="A4786" s="6" t="str">
        <f>HYPERLINK("proteomic_fractions_linear_files/Yang_linear_img/23943795.jpg", "23943795")</f>
        <v>23943795</v>
      </c>
      <c r="B4786" s="7"/>
      <c r="C4786" s="6" t="str">
        <f>HYPERLINK("http://www.ncbi.nlm.nih.gov/protein/23943795","Nckap1l")</f>
        <v>Nckap1l</v>
      </c>
      <c r="D4786" s="8"/>
      <c r="E4786" s="8">
        <v>128775</v>
      </c>
      <c r="F4786" s="8"/>
      <c r="G4786" s="15" t="s">
        <v>10</v>
      </c>
      <c r="H4786" s="15" t="s">
        <v>10</v>
      </c>
      <c r="I4786" s="15" t="s">
        <v>10</v>
      </c>
      <c r="J4786" s="15" t="s">
        <v>10</v>
      </c>
      <c r="K4786" s="15">
        <v>1.1895571405910219</v>
      </c>
      <c r="L4786" s="15">
        <v>1.1895571405910219</v>
      </c>
      <c r="M4786" s="15" t="s">
        <v>10</v>
      </c>
      <c r="N4786" s="15" t="s">
        <v>10</v>
      </c>
      <c r="O4786" s="15" t="s">
        <v>10</v>
      </c>
      <c r="P4786" s="15" t="s">
        <v>10</v>
      </c>
      <c r="Q4786" s="8"/>
      <c r="R4786" s="9" t="s">
        <v>4328</v>
      </c>
    </row>
    <row r="4787" spans="1:18" x14ac:dyDescent="0.25">
      <c r="A4787" s="6" t="str">
        <f>HYPERLINK("proteomic_fractions_linear_files/Yang_linear_img/49258190.jpg", "49258190")</f>
        <v>49258190</v>
      </c>
      <c r="B4787" s="7"/>
      <c r="C4787" s="6" t="str">
        <f>HYPERLINK("http://www.ncbi.nlm.nih.gov/protein/49258190","Nckipsd")</f>
        <v>Nckipsd</v>
      </c>
      <c r="D4787" s="8"/>
      <c r="E4787" s="8">
        <v>78442</v>
      </c>
      <c r="F4787" s="8"/>
      <c r="G4787" s="15" t="s">
        <v>10</v>
      </c>
      <c r="H4787" s="15" t="s">
        <v>10</v>
      </c>
      <c r="I4787" s="15" t="s">
        <v>10</v>
      </c>
      <c r="J4787" s="15" t="s">
        <v>10</v>
      </c>
      <c r="K4787" s="15">
        <v>1.2175382202895451</v>
      </c>
      <c r="L4787" s="15">
        <v>1.2175382202895451</v>
      </c>
      <c r="M4787" s="15" t="s">
        <v>10</v>
      </c>
      <c r="N4787" s="15" t="s">
        <v>10</v>
      </c>
      <c r="O4787" s="15" t="s">
        <v>10</v>
      </c>
      <c r="P4787" s="15" t="s">
        <v>10</v>
      </c>
      <c r="Q4787" s="8"/>
      <c r="R4787" s="9" t="s">
        <v>4329</v>
      </c>
    </row>
    <row r="4788" spans="1:18" x14ac:dyDescent="0.25">
      <c r="A4788" s="6" t="str">
        <f>HYPERLINK("proteomic_fractions_linear_files/Yang_linear_img/84875537.jpg", "84875537")</f>
        <v>84875537</v>
      </c>
      <c r="B4788" s="7"/>
      <c r="C4788" s="6" t="str">
        <f>HYPERLINK("http://www.ncbi.nlm.nih.gov/protein/84875537","Ncl")</f>
        <v>Ncl</v>
      </c>
      <c r="D4788" s="8"/>
      <c r="E4788" s="8">
        <v>76592</v>
      </c>
      <c r="F4788" s="8"/>
      <c r="G4788" s="15">
        <v>1.6717094564300905</v>
      </c>
      <c r="H4788" s="15">
        <v>1.6717094564300905</v>
      </c>
      <c r="I4788" s="15">
        <v>77.832467532467533</v>
      </c>
      <c r="J4788" s="15">
        <v>77.832467532467533</v>
      </c>
      <c r="K4788" s="15">
        <v>1.6717094564300905</v>
      </c>
      <c r="L4788" s="15">
        <v>1.6717094564300905</v>
      </c>
      <c r="M4788" s="15">
        <v>1.079203356794076</v>
      </c>
      <c r="N4788" s="15">
        <v>1.079203356794076</v>
      </c>
      <c r="O4788" s="15">
        <v>1.079203356794076</v>
      </c>
      <c r="P4788" s="15">
        <v>1.6717094564300905</v>
      </c>
      <c r="Q4788" s="8"/>
      <c r="R4788" s="9" t="s">
        <v>4330</v>
      </c>
    </row>
    <row r="4789" spans="1:18" x14ac:dyDescent="0.25">
      <c r="A4789" s="6" t="str">
        <f>HYPERLINK("proteomic_fractions_linear_files/Yang_linear_img/33469043.jpg", "33469043")</f>
        <v>33469043</v>
      </c>
      <c r="B4789" s="7"/>
      <c r="C4789" s="6" t="str">
        <f>HYPERLINK("http://www.ncbi.nlm.nih.gov/protein/33469043","Ncln")</f>
        <v>Ncln</v>
      </c>
      <c r="D4789" s="8"/>
      <c r="E4789" s="8">
        <v>58581</v>
      </c>
      <c r="F4789" s="8"/>
      <c r="G4789" s="15">
        <v>1.244680682062411</v>
      </c>
      <c r="H4789" s="15">
        <v>1.244680682062411</v>
      </c>
      <c r="I4789" s="15">
        <v>0.99615606077277719</v>
      </c>
      <c r="J4789" s="15">
        <v>0.99615606077277719</v>
      </c>
      <c r="K4789" s="15">
        <v>1.1093773445854971</v>
      </c>
      <c r="L4789" s="15">
        <v>1.1093773445854971</v>
      </c>
      <c r="M4789" s="15" t="s">
        <v>10</v>
      </c>
      <c r="N4789" s="15" t="s">
        <v>10</v>
      </c>
      <c r="O4789" s="15" t="s">
        <v>10</v>
      </c>
      <c r="P4789" s="15" t="s">
        <v>10</v>
      </c>
      <c r="Q4789" s="8"/>
      <c r="R4789" s="9" t="s">
        <v>4331</v>
      </c>
    </row>
    <row r="4790" spans="1:18" x14ac:dyDescent="0.25">
      <c r="A4790" s="6" t="str">
        <f>HYPERLINK("proteomic_fractions_linear_files/Yang_linear_img/118026940.jpg", "118026940")</f>
        <v>118026940</v>
      </c>
      <c r="B4790" s="7"/>
      <c r="C4790" s="6" t="str">
        <f>HYPERLINK("http://www.ncbi.nlm.nih.gov/protein/118026940","Ncoa2")</f>
        <v>Ncoa2</v>
      </c>
      <c r="D4790" s="8"/>
      <c r="E4790" s="8">
        <v>158336</v>
      </c>
      <c r="F4790" s="8"/>
      <c r="G4790" s="15" t="s">
        <v>10</v>
      </c>
      <c r="H4790" s="15" t="s">
        <v>10</v>
      </c>
      <c r="I4790" s="15" t="s">
        <v>10</v>
      </c>
      <c r="J4790" s="15" t="s">
        <v>10</v>
      </c>
      <c r="K4790" s="15" t="s">
        <v>10</v>
      </c>
      <c r="L4790" s="15" t="s">
        <v>10</v>
      </c>
      <c r="M4790" s="15" t="s">
        <v>10</v>
      </c>
      <c r="N4790" s="15" t="s">
        <v>10</v>
      </c>
      <c r="O4790" s="15">
        <v>0.81469384901972763</v>
      </c>
      <c r="P4790" s="15">
        <v>0.81469384901972763</v>
      </c>
      <c r="Q4790" s="8"/>
      <c r="R4790" s="9" t="s">
        <v>4332</v>
      </c>
    </row>
    <row r="4791" spans="1:18" x14ac:dyDescent="0.25">
      <c r="A4791" s="6" t="str">
        <f>HYPERLINK("proteomic_fractions_linear_files/Yang_linear_img/118026944.jpg", "118026944")</f>
        <v>118026944</v>
      </c>
      <c r="B4791" s="7"/>
      <c r="C4791" s="6" t="str">
        <f>HYPERLINK("http://www.ncbi.nlm.nih.gov/protein/118026944","Ncoa2")</f>
        <v>Ncoa2</v>
      </c>
      <c r="D4791" s="8"/>
      <c r="E4791" s="8">
        <v>151224</v>
      </c>
      <c r="F4791" s="8"/>
      <c r="G4791" s="15" t="s">
        <v>10</v>
      </c>
      <c r="H4791" s="15" t="s">
        <v>10</v>
      </c>
      <c r="I4791" s="15" t="s">
        <v>10</v>
      </c>
      <c r="J4791" s="15" t="s">
        <v>10</v>
      </c>
      <c r="K4791" s="15" t="s">
        <v>10</v>
      </c>
      <c r="L4791" s="15" t="s">
        <v>10</v>
      </c>
      <c r="M4791" s="15" t="s">
        <v>10</v>
      </c>
      <c r="N4791" s="15" t="s">
        <v>10</v>
      </c>
      <c r="O4791" s="15">
        <v>0.85246111354382093</v>
      </c>
      <c r="P4791" s="15">
        <v>0.85246111354382093</v>
      </c>
      <c r="Q4791" s="8"/>
      <c r="R4791" s="9" t="s">
        <v>4333</v>
      </c>
    </row>
    <row r="4792" spans="1:18" x14ac:dyDescent="0.25">
      <c r="A4792" s="6" t="str">
        <f>HYPERLINK("proteomic_fractions_linear_files/Yang_linear_img/118026946.jpg", "118026946")</f>
        <v>118026946</v>
      </c>
      <c r="B4792" s="7"/>
      <c r="C4792" s="6" t="str">
        <f>HYPERLINK("http://www.ncbi.nlm.nih.gov/protein/118026946","Ncoa3")</f>
        <v>Ncoa3</v>
      </c>
      <c r="D4792" s="8"/>
      <c r="E4792" s="8">
        <v>151822</v>
      </c>
      <c r="F4792" s="8"/>
      <c r="G4792" s="15" t="s">
        <v>10</v>
      </c>
      <c r="H4792" s="15" t="s">
        <v>10</v>
      </c>
      <c r="I4792" s="15" t="s">
        <v>10</v>
      </c>
      <c r="J4792" s="15" t="s">
        <v>10</v>
      </c>
      <c r="K4792" s="15" t="s">
        <v>10</v>
      </c>
      <c r="L4792" s="15" t="s">
        <v>10</v>
      </c>
      <c r="M4792" s="15" t="s">
        <v>10</v>
      </c>
      <c r="N4792" s="15" t="s">
        <v>10</v>
      </c>
      <c r="O4792" s="15">
        <v>0.29029992925635179</v>
      </c>
      <c r="P4792" s="15">
        <v>0.29029992925635179</v>
      </c>
      <c r="Q4792" s="8"/>
      <c r="R4792" s="9" t="s">
        <v>4334</v>
      </c>
    </row>
    <row r="4793" spans="1:18" x14ac:dyDescent="0.25">
      <c r="A4793" s="6" t="str">
        <f>HYPERLINK("proteomic_fractions_linear_files/Yang_linear_img/21450271.jpg", "21450271")</f>
        <v>21450271</v>
      </c>
      <c r="B4793" s="7"/>
      <c r="C4793" s="6" t="str">
        <f>HYPERLINK("http://www.ncbi.nlm.nih.gov/protein/21450271","Ncoa5")</f>
        <v>Ncoa5</v>
      </c>
      <c r="D4793" s="8"/>
      <c r="E4793" s="8">
        <v>65188</v>
      </c>
      <c r="F4793" s="8"/>
      <c r="G4793" s="15">
        <v>0.90420319362452084</v>
      </c>
      <c r="H4793" s="15">
        <v>0.90420319362452084</v>
      </c>
      <c r="I4793" s="15">
        <v>1.0069732820083743</v>
      </c>
      <c r="J4793" s="15">
        <v>1.0069732820083743</v>
      </c>
      <c r="K4793" s="15" t="s">
        <v>10</v>
      </c>
      <c r="L4793" s="15" t="s">
        <v>10</v>
      </c>
      <c r="M4793" s="15" t="s">
        <v>10</v>
      </c>
      <c r="N4793" s="15" t="s">
        <v>10</v>
      </c>
      <c r="O4793" s="15" t="s">
        <v>10</v>
      </c>
      <c r="P4793" s="15" t="s">
        <v>10</v>
      </c>
      <c r="Q4793" s="8"/>
      <c r="R4793" s="9" t="s">
        <v>4335</v>
      </c>
    </row>
    <row r="4794" spans="1:18" x14ac:dyDescent="0.25">
      <c r="A4794" s="6" t="str">
        <f>HYPERLINK("proteomic_fractions_linear_files/Yang_linear_img/224809376.jpg", "224809376")</f>
        <v>224809376</v>
      </c>
      <c r="B4794" s="7"/>
      <c r="C4794" s="6" t="str">
        <f>HYPERLINK("http://www.ncbi.nlm.nih.gov/protein/224809376","Ncstn")</f>
        <v>Ncstn</v>
      </c>
      <c r="D4794" s="8"/>
      <c r="E4794" s="8">
        <v>75850</v>
      </c>
      <c r="F4794" s="8"/>
      <c r="G4794" s="15">
        <v>2.45744515315711</v>
      </c>
      <c r="H4794" s="15">
        <v>2.45744515315711</v>
      </c>
      <c r="I4794" s="15">
        <v>2.0191167254768665</v>
      </c>
      <c r="J4794" s="15">
        <v>2.0191167254768665</v>
      </c>
      <c r="K4794" s="15">
        <v>2.45744515315711</v>
      </c>
      <c r="L4794" s="15">
        <v>2.45744515315711</v>
      </c>
      <c r="M4794" s="15">
        <v>2.0191167254768665</v>
      </c>
      <c r="N4794" s="15">
        <v>2.0191167254768665</v>
      </c>
      <c r="O4794" s="15" t="s">
        <v>10</v>
      </c>
      <c r="P4794" s="15" t="s">
        <v>10</v>
      </c>
      <c r="Q4794" s="8"/>
      <c r="R4794" s="9" t="s">
        <v>4336</v>
      </c>
    </row>
    <row r="4795" spans="1:18" x14ac:dyDescent="0.25">
      <c r="A4795" s="6" t="str">
        <f>HYPERLINK("proteomic_fractions_linear_files/Yang_linear_img/226453475.jpg", "226453475")</f>
        <v>226453475</v>
      </c>
      <c r="B4795" s="7"/>
      <c r="C4795" s="6" t="str">
        <f>HYPERLINK("http://www.ncbi.nlm.nih.gov/protein/226453475","ND1")</f>
        <v>ND1</v>
      </c>
      <c r="D4795" s="8"/>
      <c r="E4795" s="8">
        <v>35917</v>
      </c>
      <c r="F4795" s="8"/>
      <c r="G4795" s="15" t="s">
        <v>10</v>
      </c>
      <c r="H4795" s="15" t="s">
        <v>10</v>
      </c>
      <c r="I4795" s="15">
        <v>0.68207835036880327</v>
      </c>
      <c r="J4795" s="15">
        <v>0.68207835036880327</v>
      </c>
      <c r="K4795" s="15">
        <v>0.68207835036880327</v>
      </c>
      <c r="L4795" s="15">
        <v>0.68207835036880327</v>
      </c>
      <c r="M4795" s="15" t="s">
        <v>10</v>
      </c>
      <c r="N4795" s="15" t="s">
        <v>10</v>
      </c>
      <c r="O4795" s="15" t="s">
        <v>10</v>
      </c>
      <c r="P4795" s="15" t="s">
        <v>10</v>
      </c>
      <c r="Q4795" s="8"/>
      <c r="R4795" s="9" t="s">
        <v>4337</v>
      </c>
    </row>
    <row r="4796" spans="1:18" x14ac:dyDescent="0.25">
      <c r="A4796" s="6" t="str">
        <f>HYPERLINK("proteomic_fractions_linear_files/Yang_linear_img/167716837.jpg", "167716837")</f>
        <v>167716837</v>
      </c>
      <c r="B4796" s="7"/>
      <c r="C4796" s="6" t="str">
        <f>HYPERLINK("http://www.ncbi.nlm.nih.gov/protein/167716837","ND1")</f>
        <v>ND1</v>
      </c>
      <c r="D4796" s="8"/>
      <c r="E4796" s="8">
        <v>35933</v>
      </c>
      <c r="F4796" s="8"/>
      <c r="G4796" s="15">
        <v>6.4822457674402516</v>
      </c>
      <c r="H4796" s="15">
        <v>6.4822457674402516</v>
      </c>
      <c r="I4796" s="15">
        <v>0.68207835036880327</v>
      </c>
      <c r="J4796" s="15">
        <v>0.68207835036880327</v>
      </c>
      <c r="K4796" s="15">
        <v>0.68207835036880327</v>
      </c>
      <c r="L4796" s="15">
        <v>0.68207835036880327</v>
      </c>
      <c r="M4796" s="15" t="s">
        <v>10</v>
      </c>
      <c r="N4796" s="15" t="s">
        <v>10</v>
      </c>
      <c r="O4796" s="15" t="s">
        <v>10</v>
      </c>
      <c r="P4796" s="15" t="s">
        <v>10</v>
      </c>
      <c r="Q4796" s="8"/>
      <c r="R4796" s="9" t="s">
        <v>4338</v>
      </c>
    </row>
    <row r="4797" spans="1:18" x14ac:dyDescent="0.25">
      <c r="A4797" s="6" t="str">
        <f>HYPERLINK("proteomic_fractions_linear_files/Yang_linear_img/34538598.jpg", "34538598")</f>
        <v>34538598</v>
      </c>
      <c r="B4797" s="7"/>
      <c r="C4797" s="6" t="str">
        <f>HYPERLINK("http://www.ncbi.nlm.nih.gov/protein/34538598","ND1")</f>
        <v>ND1</v>
      </c>
      <c r="D4797" s="8"/>
      <c r="E4797" s="8">
        <v>35928</v>
      </c>
      <c r="F4797" s="8"/>
      <c r="G4797" s="15">
        <v>6.4822457674402516</v>
      </c>
      <c r="H4797" s="15">
        <v>6.4822457674402516</v>
      </c>
      <c r="I4797" s="15">
        <v>0.68207835036880327</v>
      </c>
      <c r="J4797" s="15">
        <v>0.68207835036880327</v>
      </c>
      <c r="K4797" s="15">
        <v>0.68207835036880327</v>
      </c>
      <c r="L4797" s="15">
        <v>0.68207835036880327</v>
      </c>
      <c r="M4797" s="15" t="s">
        <v>10</v>
      </c>
      <c r="N4797" s="15" t="s">
        <v>10</v>
      </c>
      <c r="O4797" s="15" t="s">
        <v>10</v>
      </c>
      <c r="P4797" s="15" t="s">
        <v>10</v>
      </c>
      <c r="Q4797" s="8"/>
      <c r="R4797" s="9" t="s">
        <v>4339</v>
      </c>
    </row>
    <row r="4798" spans="1:18" x14ac:dyDescent="0.25">
      <c r="A4798" s="6" t="str">
        <f>HYPERLINK("proteomic_fractions_linear_files/Yang_linear_img/62184369.jpg", "62184369")</f>
        <v>62184369</v>
      </c>
      <c r="B4798" s="7"/>
      <c r="C4798" s="6" t="str">
        <f>HYPERLINK("http://www.ncbi.nlm.nih.gov/protein/62184369","ND1")</f>
        <v>ND1</v>
      </c>
      <c r="D4798" s="8"/>
      <c r="E4798" s="8">
        <v>35901</v>
      </c>
      <c r="F4798" s="8"/>
      <c r="G4798" s="15">
        <v>6.4822457674402516</v>
      </c>
      <c r="H4798" s="15">
        <v>6.4822457674402516</v>
      </c>
      <c r="I4798" s="15">
        <v>0.68207835036880327</v>
      </c>
      <c r="J4798" s="15">
        <v>0.68207835036880327</v>
      </c>
      <c r="K4798" s="15">
        <v>0.68207835036880327</v>
      </c>
      <c r="L4798" s="15">
        <v>0.68207835036880327</v>
      </c>
      <c r="M4798" s="15" t="s">
        <v>10</v>
      </c>
      <c r="N4798" s="15" t="s">
        <v>10</v>
      </c>
      <c r="O4798" s="15" t="s">
        <v>10</v>
      </c>
      <c r="P4798" s="15" t="s">
        <v>10</v>
      </c>
      <c r="Q4798" s="8"/>
      <c r="R4798" s="9" t="s">
        <v>4340</v>
      </c>
    </row>
    <row r="4799" spans="1:18" x14ac:dyDescent="0.25">
      <c r="A4799" s="6" t="str">
        <f>HYPERLINK("proteomic_fractions_linear_files/Yang_linear_img/167716838.jpg", "167716838")</f>
        <v>167716838</v>
      </c>
      <c r="B4799" s="7"/>
      <c r="C4799" s="6" t="str">
        <f>HYPERLINK("http://www.ncbi.nlm.nih.gov/protein/167716838","ND2")</f>
        <v>ND2</v>
      </c>
      <c r="D4799" s="8"/>
      <c r="E4799" s="8">
        <v>38681</v>
      </c>
      <c r="F4799" s="8"/>
      <c r="G4799" s="15" t="s">
        <v>10</v>
      </c>
      <c r="H4799" s="15" t="s">
        <v>10</v>
      </c>
      <c r="I4799" s="15">
        <v>0.62961078495581835</v>
      </c>
      <c r="J4799" s="15">
        <v>0.62961078495581835</v>
      </c>
      <c r="K4799" s="15">
        <v>0.62961078495581835</v>
      </c>
      <c r="L4799" s="15">
        <v>0.62961078495581835</v>
      </c>
      <c r="M4799" s="15" t="s">
        <v>10</v>
      </c>
      <c r="N4799" s="15" t="s">
        <v>10</v>
      </c>
      <c r="O4799" s="15" t="s">
        <v>10</v>
      </c>
      <c r="P4799" s="15" t="s">
        <v>10</v>
      </c>
      <c r="Q4799" s="8"/>
      <c r="R4799" s="9" t="s">
        <v>4341</v>
      </c>
    </row>
    <row r="4800" spans="1:18" x14ac:dyDescent="0.25">
      <c r="A4800" s="6" t="str">
        <f>HYPERLINK("proteomic_fractions_linear_files/Yang_linear_img/226453476.jpg", "226453476")</f>
        <v>226453476</v>
      </c>
      <c r="B4800" s="7"/>
      <c r="C4800" s="6" t="str">
        <f>HYPERLINK("http://www.ncbi.nlm.nih.gov/protein/226453476","ND2")</f>
        <v>ND2</v>
      </c>
      <c r="D4800" s="8"/>
      <c r="E4800" s="8">
        <v>38635</v>
      </c>
      <c r="F4800" s="8"/>
      <c r="G4800" s="15" t="s">
        <v>10</v>
      </c>
      <c r="H4800" s="15" t="s">
        <v>10</v>
      </c>
      <c r="I4800" s="15">
        <v>0.62961078495581835</v>
      </c>
      <c r="J4800" s="15">
        <v>0.62961078495581835</v>
      </c>
      <c r="K4800" s="15">
        <v>0.62961078495581835</v>
      </c>
      <c r="L4800" s="15">
        <v>0.62961078495581835</v>
      </c>
      <c r="M4800" s="15" t="s">
        <v>10</v>
      </c>
      <c r="N4800" s="15" t="s">
        <v>10</v>
      </c>
      <c r="O4800" s="15" t="s">
        <v>10</v>
      </c>
      <c r="P4800" s="15" t="s">
        <v>10</v>
      </c>
      <c r="Q4800" s="8"/>
      <c r="R4800" s="9" t="s">
        <v>4342</v>
      </c>
    </row>
    <row r="4801" spans="1:18" x14ac:dyDescent="0.25">
      <c r="A4801" s="6" t="str">
        <f>HYPERLINK("proteomic_fractions_linear_files/Yang_linear_img/34538599.jpg", "34538599")</f>
        <v>34538599</v>
      </c>
      <c r="B4801" s="7"/>
      <c r="C4801" s="6" t="str">
        <f>HYPERLINK("http://www.ncbi.nlm.nih.gov/protein/34538599","ND2")</f>
        <v>ND2</v>
      </c>
      <c r="D4801" s="8"/>
      <c r="E4801" s="8">
        <v>38622</v>
      </c>
      <c r="F4801" s="8"/>
      <c r="G4801" s="15" t="s">
        <v>10</v>
      </c>
      <c r="H4801" s="15" t="s">
        <v>10</v>
      </c>
      <c r="I4801" s="15">
        <v>0.62961078495581835</v>
      </c>
      <c r="J4801" s="15">
        <v>0.62961078495581835</v>
      </c>
      <c r="K4801" s="15">
        <v>0.62961078495581835</v>
      </c>
      <c r="L4801" s="15">
        <v>0.62961078495581835</v>
      </c>
      <c r="M4801" s="15" t="s">
        <v>10</v>
      </c>
      <c r="N4801" s="15" t="s">
        <v>10</v>
      </c>
      <c r="O4801" s="15" t="s">
        <v>10</v>
      </c>
      <c r="P4801" s="15" t="s">
        <v>10</v>
      </c>
      <c r="Q4801" s="8"/>
      <c r="R4801" s="9" t="s">
        <v>4343</v>
      </c>
    </row>
    <row r="4802" spans="1:18" x14ac:dyDescent="0.25">
      <c r="A4802" s="6" t="str">
        <f>HYPERLINK("proteomic_fractions_linear_files/Yang_linear_img/62184370.jpg", "62184370")</f>
        <v>62184370</v>
      </c>
      <c r="B4802" s="7"/>
      <c r="C4802" s="6" t="str">
        <f>HYPERLINK("http://www.ncbi.nlm.nih.gov/protein/62184370","ND2")</f>
        <v>ND2</v>
      </c>
      <c r="D4802" s="8"/>
      <c r="E4802" s="8">
        <v>38649</v>
      </c>
      <c r="F4802" s="8"/>
      <c r="G4802" s="15" t="s">
        <v>10</v>
      </c>
      <c r="H4802" s="15" t="s">
        <v>10</v>
      </c>
      <c r="I4802" s="15">
        <v>0.62961078495581835</v>
      </c>
      <c r="J4802" s="15">
        <v>0.62961078495581835</v>
      </c>
      <c r="K4802" s="15">
        <v>0.62961078495581835</v>
      </c>
      <c r="L4802" s="15">
        <v>0.62961078495581835</v>
      </c>
      <c r="M4802" s="15" t="s">
        <v>10</v>
      </c>
      <c r="N4802" s="15" t="s">
        <v>10</v>
      </c>
      <c r="O4802" s="15" t="s">
        <v>10</v>
      </c>
      <c r="P4802" s="15" t="s">
        <v>10</v>
      </c>
      <c r="Q4802" s="8"/>
      <c r="R4802" s="9" t="s">
        <v>4344</v>
      </c>
    </row>
    <row r="4803" spans="1:18" x14ac:dyDescent="0.25">
      <c r="A4803" s="6" t="str">
        <f>HYPERLINK("proteomic_fractions_linear_files/Yang_linear_img/226453482.jpg", "226453482")</f>
        <v>226453482</v>
      </c>
      <c r="B4803" s="7"/>
      <c r="C4803" s="6" t="str">
        <f>HYPERLINK("http://www.ncbi.nlm.nih.gov/protein/226453482","ND3")</f>
        <v>ND3</v>
      </c>
      <c r="D4803" s="8"/>
      <c r="E4803" s="8">
        <v>13058</v>
      </c>
      <c r="F4803" s="8"/>
      <c r="G4803" s="15">
        <v>1.6765955592829809</v>
      </c>
      <c r="H4803" s="15">
        <v>1.6765955592829809</v>
      </c>
      <c r="I4803" s="15">
        <v>1.1689490995241758</v>
      </c>
      <c r="J4803" s="15">
        <v>1.1689490995241758</v>
      </c>
      <c r="K4803" s="15">
        <v>1.1689490995241758</v>
      </c>
      <c r="L4803" s="15">
        <v>1.1689490995241758</v>
      </c>
      <c r="M4803" s="15" t="s">
        <v>10</v>
      </c>
      <c r="N4803" s="15" t="s">
        <v>10</v>
      </c>
      <c r="O4803" s="15" t="s">
        <v>10</v>
      </c>
      <c r="P4803" s="15" t="s">
        <v>10</v>
      </c>
      <c r="Q4803" s="8"/>
      <c r="R4803" s="9" t="s">
        <v>4345</v>
      </c>
    </row>
    <row r="4804" spans="1:18" x14ac:dyDescent="0.25">
      <c r="A4804" s="6" t="str">
        <f>HYPERLINK("proteomic_fractions_linear_files/Yang_linear_img/34538605.jpg", "34538605")</f>
        <v>34538605</v>
      </c>
      <c r="B4804" s="7"/>
      <c r="C4804" s="6" t="str">
        <f>HYPERLINK("http://www.ncbi.nlm.nih.gov/protein/34538605","ND3")</f>
        <v>ND3</v>
      </c>
      <c r="D4804" s="8"/>
      <c r="E4804" s="8">
        <v>13088</v>
      </c>
      <c r="F4804" s="8"/>
      <c r="G4804" s="15">
        <v>1.6765955592829809</v>
      </c>
      <c r="H4804" s="15">
        <v>1.6765955592829809</v>
      </c>
      <c r="I4804" s="15">
        <v>1.1689490995241758</v>
      </c>
      <c r="J4804" s="15">
        <v>1.1689490995241758</v>
      </c>
      <c r="K4804" s="15">
        <v>1.1689490995241758</v>
      </c>
      <c r="L4804" s="15">
        <v>1.1689490995241758</v>
      </c>
      <c r="M4804" s="15" t="s">
        <v>10</v>
      </c>
      <c r="N4804" s="15" t="s">
        <v>10</v>
      </c>
      <c r="O4804" s="15" t="s">
        <v>10</v>
      </c>
      <c r="P4804" s="15" t="s">
        <v>10</v>
      </c>
      <c r="Q4804" s="8"/>
      <c r="R4804" s="9" t="s">
        <v>4346</v>
      </c>
    </row>
    <row r="4805" spans="1:18" x14ac:dyDescent="0.25">
      <c r="A4805" s="6" t="str">
        <f>HYPERLINK("proteomic_fractions_linear_files/Yang_linear_img/167716846.jpg", "167716846")</f>
        <v>167716846</v>
      </c>
      <c r="B4805" s="7"/>
      <c r="C4805" s="6" t="str">
        <f>HYPERLINK("http://www.ncbi.nlm.nih.gov/protein/167716846","ND4")</f>
        <v>ND4</v>
      </c>
      <c r="D4805" s="8"/>
      <c r="E4805" s="8">
        <v>51723</v>
      </c>
      <c r="F4805" s="8"/>
      <c r="G4805" s="15">
        <v>2.111568535021759</v>
      </c>
      <c r="H4805" s="15">
        <v>2.111568535021759</v>
      </c>
      <c r="I4805" s="15" t="s">
        <v>10</v>
      </c>
      <c r="J4805" s="15" t="s">
        <v>10</v>
      </c>
      <c r="K4805" s="15" t="s">
        <v>10</v>
      </c>
      <c r="L4805" s="15" t="s">
        <v>10</v>
      </c>
      <c r="M4805" s="15" t="s">
        <v>10</v>
      </c>
      <c r="N4805" s="15" t="s">
        <v>10</v>
      </c>
      <c r="O4805" s="15" t="s">
        <v>10</v>
      </c>
      <c r="P4805" s="15" t="s">
        <v>10</v>
      </c>
      <c r="Q4805" s="8"/>
      <c r="R4805" s="9" t="s">
        <v>4347</v>
      </c>
    </row>
    <row r="4806" spans="1:18" x14ac:dyDescent="0.25">
      <c r="A4806" s="6" t="str">
        <f>HYPERLINK("proteomic_fractions_linear_files/Yang_linear_img/226453484.jpg", "226453484")</f>
        <v>226453484</v>
      </c>
      <c r="B4806" s="7"/>
      <c r="C4806" s="6" t="str">
        <f>HYPERLINK("http://www.ncbi.nlm.nih.gov/protein/226453484","ND4")</f>
        <v>ND4</v>
      </c>
      <c r="D4806" s="8"/>
      <c r="E4806" s="8">
        <v>51765</v>
      </c>
      <c r="F4806" s="8"/>
      <c r="G4806" s="15">
        <v>2.111568535021759</v>
      </c>
      <c r="H4806" s="15">
        <v>2.111568535021759</v>
      </c>
      <c r="I4806" s="15" t="s">
        <v>10</v>
      </c>
      <c r="J4806" s="15" t="s">
        <v>10</v>
      </c>
      <c r="K4806" s="15" t="s">
        <v>10</v>
      </c>
      <c r="L4806" s="15" t="s">
        <v>10</v>
      </c>
      <c r="M4806" s="15" t="s">
        <v>10</v>
      </c>
      <c r="N4806" s="15" t="s">
        <v>10</v>
      </c>
      <c r="O4806" s="15" t="s">
        <v>10</v>
      </c>
      <c r="P4806" s="15" t="s">
        <v>10</v>
      </c>
      <c r="Q4806" s="8"/>
      <c r="R4806" s="9" t="s">
        <v>4348</v>
      </c>
    </row>
    <row r="4807" spans="1:18" x14ac:dyDescent="0.25">
      <c r="A4807" s="6" t="str">
        <f>HYPERLINK("proteomic_fractions_linear_files/Yang_linear_img/34538607.jpg", "34538607")</f>
        <v>34538607</v>
      </c>
      <c r="B4807" s="7"/>
      <c r="C4807" s="6" t="str">
        <f>HYPERLINK("http://www.ncbi.nlm.nih.gov/protein/34538607","ND4")</f>
        <v>ND4</v>
      </c>
      <c r="D4807" s="8"/>
      <c r="E4807" s="8">
        <v>51751</v>
      </c>
      <c r="F4807" s="8"/>
      <c r="G4807" s="15">
        <v>2.111568535021759</v>
      </c>
      <c r="H4807" s="15">
        <v>2.111568535021759</v>
      </c>
      <c r="I4807" s="15" t="s">
        <v>10</v>
      </c>
      <c r="J4807" s="15" t="s">
        <v>10</v>
      </c>
      <c r="K4807" s="15" t="s">
        <v>10</v>
      </c>
      <c r="L4807" s="15" t="s">
        <v>10</v>
      </c>
      <c r="M4807" s="15" t="s">
        <v>10</v>
      </c>
      <c r="N4807" s="15" t="s">
        <v>10</v>
      </c>
      <c r="O4807" s="15" t="s">
        <v>10</v>
      </c>
      <c r="P4807" s="15" t="s">
        <v>10</v>
      </c>
      <c r="Q4807" s="8"/>
      <c r="R4807" s="9" t="s">
        <v>4349</v>
      </c>
    </row>
    <row r="4808" spans="1:18" x14ac:dyDescent="0.25">
      <c r="A4808" s="6" t="str">
        <f>HYPERLINK("proteomic_fractions_linear_files/Yang_linear_img/62184378.jpg", "62184378")</f>
        <v>62184378</v>
      </c>
      <c r="B4808" s="7"/>
      <c r="C4808" s="6" t="str">
        <f>HYPERLINK("http://www.ncbi.nlm.nih.gov/protein/62184378","ND4")</f>
        <v>ND4</v>
      </c>
      <c r="D4808" s="8"/>
      <c r="E4808" s="8">
        <v>51707</v>
      </c>
      <c r="F4808" s="8"/>
      <c r="G4808" s="15">
        <v>2.111568535021759</v>
      </c>
      <c r="H4808" s="15">
        <v>2.111568535021759</v>
      </c>
      <c r="I4808" s="15" t="s">
        <v>10</v>
      </c>
      <c r="J4808" s="15" t="s">
        <v>10</v>
      </c>
      <c r="K4808" s="15" t="s">
        <v>10</v>
      </c>
      <c r="L4808" s="15" t="s">
        <v>10</v>
      </c>
      <c r="M4808" s="15" t="s">
        <v>10</v>
      </c>
      <c r="N4808" s="15" t="s">
        <v>10</v>
      </c>
      <c r="O4808" s="15" t="s">
        <v>10</v>
      </c>
      <c r="P4808" s="15" t="s">
        <v>10</v>
      </c>
      <c r="Q4808" s="8"/>
      <c r="R4808" s="9" t="s">
        <v>4350</v>
      </c>
    </row>
    <row r="4809" spans="1:18" x14ac:dyDescent="0.25">
      <c r="A4809" s="6" t="str">
        <f>HYPERLINK("proteomic_fractions_linear_files/Yang_linear_img/167716847.jpg", "167716847")</f>
        <v>167716847</v>
      </c>
      <c r="B4809" s="7"/>
      <c r="C4809" s="6" t="str">
        <f>HYPERLINK("http://www.ncbi.nlm.nih.gov/protein/167716847","ND5")</f>
        <v>ND5</v>
      </c>
      <c r="D4809" s="8"/>
      <c r="E4809" s="8">
        <v>68346</v>
      </c>
      <c r="F4809" s="8"/>
      <c r="G4809" s="15" t="s">
        <v>10</v>
      </c>
      <c r="H4809" s="15" t="s">
        <v>10</v>
      </c>
      <c r="I4809" s="15">
        <v>0.54913715328124402</v>
      </c>
      <c r="J4809" s="15">
        <v>0.54913715328124402</v>
      </c>
      <c r="K4809" s="15" t="s">
        <v>10</v>
      </c>
      <c r="L4809" s="15" t="s">
        <v>10</v>
      </c>
      <c r="M4809" s="15" t="s">
        <v>10</v>
      </c>
      <c r="N4809" s="15" t="s">
        <v>10</v>
      </c>
      <c r="O4809" s="15" t="s">
        <v>10</v>
      </c>
      <c r="P4809" s="15" t="s">
        <v>10</v>
      </c>
      <c r="Q4809" s="8"/>
      <c r="R4809" s="9" t="s">
        <v>4351</v>
      </c>
    </row>
    <row r="4810" spans="1:18" x14ac:dyDescent="0.25">
      <c r="A4810" s="6" t="str">
        <f>HYPERLINK("proteomic_fractions_linear_files/Yang_linear_img/226453485.jpg", "226453485")</f>
        <v>226453485</v>
      </c>
      <c r="B4810" s="7"/>
      <c r="C4810" s="6" t="str">
        <f>HYPERLINK("http://www.ncbi.nlm.nih.gov/protein/226453485","ND5")</f>
        <v>ND5</v>
      </c>
      <c r="D4810" s="8"/>
      <c r="E4810" s="8">
        <v>68349</v>
      </c>
      <c r="F4810" s="8"/>
      <c r="G4810" s="15" t="s">
        <v>10</v>
      </c>
      <c r="H4810" s="15" t="s">
        <v>10</v>
      </c>
      <c r="I4810" s="15">
        <v>0.54913715328124402</v>
      </c>
      <c r="J4810" s="15">
        <v>0.54913715328124402</v>
      </c>
      <c r="K4810" s="15" t="s">
        <v>10</v>
      </c>
      <c r="L4810" s="15" t="s">
        <v>10</v>
      </c>
      <c r="M4810" s="15" t="s">
        <v>10</v>
      </c>
      <c r="N4810" s="15" t="s">
        <v>10</v>
      </c>
      <c r="O4810" s="15" t="s">
        <v>10</v>
      </c>
      <c r="P4810" s="15" t="s">
        <v>10</v>
      </c>
      <c r="Q4810" s="8"/>
      <c r="R4810" s="9" t="s">
        <v>4352</v>
      </c>
    </row>
    <row r="4811" spans="1:18" x14ac:dyDescent="0.25">
      <c r="A4811" s="6" t="str">
        <f>HYPERLINK("proteomic_fractions_linear_files/Yang_linear_img/34538608.jpg", "34538608")</f>
        <v>34538608</v>
      </c>
      <c r="B4811" s="7"/>
      <c r="C4811" s="6" t="str">
        <f>HYPERLINK("http://www.ncbi.nlm.nih.gov/protein/34538608","ND5")</f>
        <v>ND5</v>
      </c>
      <c r="D4811" s="8"/>
      <c r="E4811" s="8">
        <v>68344</v>
      </c>
      <c r="F4811" s="8"/>
      <c r="G4811" s="15" t="s">
        <v>10</v>
      </c>
      <c r="H4811" s="15" t="s">
        <v>10</v>
      </c>
      <c r="I4811" s="15">
        <v>0.54913715328124402</v>
      </c>
      <c r="J4811" s="15">
        <v>0.54913715328124402</v>
      </c>
      <c r="K4811" s="15" t="s">
        <v>10</v>
      </c>
      <c r="L4811" s="15" t="s">
        <v>10</v>
      </c>
      <c r="M4811" s="15" t="s">
        <v>10</v>
      </c>
      <c r="N4811" s="15" t="s">
        <v>10</v>
      </c>
      <c r="O4811" s="15" t="s">
        <v>10</v>
      </c>
      <c r="P4811" s="15" t="s">
        <v>10</v>
      </c>
      <c r="Q4811" s="8"/>
      <c r="R4811" s="9" t="s">
        <v>4353</v>
      </c>
    </row>
    <row r="4812" spans="1:18" x14ac:dyDescent="0.25">
      <c r="A4812" s="6" t="str">
        <f>HYPERLINK("proteomic_fractions_linear_files/Yang_linear_img/62184379.jpg", "62184379")</f>
        <v>62184379</v>
      </c>
      <c r="B4812" s="7"/>
      <c r="C4812" s="6" t="str">
        <f>HYPERLINK("http://www.ncbi.nlm.nih.gov/protein/62184379","ND5")</f>
        <v>ND5</v>
      </c>
      <c r="D4812" s="8"/>
      <c r="E4812" s="8">
        <v>68394</v>
      </c>
      <c r="F4812" s="8"/>
      <c r="G4812" s="15" t="s">
        <v>10</v>
      </c>
      <c r="H4812" s="15" t="s">
        <v>10</v>
      </c>
      <c r="I4812" s="15">
        <v>0.54913715328124402</v>
      </c>
      <c r="J4812" s="15">
        <v>0.54913715328124402</v>
      </c>
      <c r="K4812" s="15" t="s">
        <v>10</v>
      </c>
      <c r="L4812" s="15" t="s">
        <v>10</v>
      </c>
      <c r="M4812" s="15" t="s">
        <v>10</v>
      </c>
      <c r="N4812" s="15" t="s">
        <v>10</v>
      </c>
      <c r="O4812" s="15" t="s">
        <v>10</v>
      </c>
      <c r="P4812" s="15" t="s">
        <v>10</v>
      </c>
      <c r="Q4812" s="8"/>
      <c r="R4812" s="9" t="s">
        <v>4354</v>
      </c>
    </row>
    <row r="4813" spans="1:18" x14ac:dyDescent="0.25">
      <c r="A4813" s="6" t="str">
        <f>HYPERLINK("proteomic_fractions_linear_files/Yang_linear_img/166197652.jpg", "166197652")</f>
        <v>166197652</v>
      </c>
      <c r="B4813" s="7"/>
      <c r="C4813" s="6" t="str">
        <f>HYPERLINK("http://www.ncbi.nlm.nih.gov/protein/166197652","Nde1")</f>
        <v>Nde1</v>
      </c>
      <c r="D4813" s="8"/>
      <c r="E4813" s="8">
        <v>38392</v>
      </c>
      <c r="F4813" s="8"/>
      <c r="G4813" s="15" t="s">
        <v>10</v>
      </c>
      <c r="H4813" s="15" t="s">
        <v>10</v>
      </c>
      <c r="I4813" s="15" t="s">
        <v>10</v>
      </c>
      <c r="J4813" s="15" t="s">
        <v>10</v>
      </c>
      <c r="K4813" s="15">
        <v>1.0659820579795458</v>
      </c>
      <c r="L4813" s="15">
        <v>1.0659820579795458</v>
      </c>
      <c r="M4813" s="15">
        <v>1.0659820579795458</v>
      </c>
      <c r="N4813" s="15">
        <v>1.0659820579795458</v>
      </c>
      <c r="O4813" s="15" t="s">
        <v>10</v>
      </c>
      <c r="P4813" s="15" t="s">
        <v>10</v>
      </c>
      <c r="Q4813" s="8"/>
      <c r="R4813" s="9" t="s">
        <v>4355</v>
      </c>
    </row>
    <row r="4814" spans="1:18" x14ac:dyDescent="0.25">
      <c r="A4814" s="6" t="str">
        <f>HYPERLINK("proteomic_fractions_linear_files/Yang_linear_img/166197654.jpg", "166197654")</f>
        <v>166197654</v>
      </c>
      <c r="B4814" s="7"/>
      <c r="C4814" s="6" t="str">
        <f>HYPERLINK("http://www.ncbi.nlm.nih.gov/protein/166197654","Nde1")</f>
        <v>Nde1</v>
      </c>
      <c r="D4814" s="8"/>
      <c r="E4814" s="8">
        <v>35659</v>
      </c>
      <c r="F4814" s="8"/>
      <c r="G4814" s="15" t="s">
        <v>10</v>
      </c>
      <c r="H4814" s="15" t="s">
        <v>10</v>
      </c>
      <c r="I4814" s="15" t="s">
        <v>10</v>
      </c>
      <c r="J4814" s="15" t="s">
        <v>10</v>
      </c>
      <c r="K4814" s="15">
        <v>1.125203283422854</v>
      </c>
      <c r="L4814" s="15">
        <v>1.125203283422854</v>
      </c>
      <c r="M4814" s="15">
        <v>1.125203283422854</v>
      </c>
      <c r="N4814" s="15">
        <v>1.125203283422854</v>
      </c>
      <c r="O4814" s="15" t="s">
        <v>10</v>
      </c>
      <c r="P4814" s="15" t="s">
        <v>10</v>
      </c>
      <c r="Q4814" s="8"/>
      <c r="R4814" s="9" t="s">
        <v>4356</v>
      </c>
    </row>
    <row r="4815" spans="1:18" x14ac:dyDescent="0.25">
      <c r="A4815" s="6" t="str">
        <f>HYPERLINK("proteomic_fractions_linear_files/Yang_linear_img/238550188.jpg", "238550188")</f>
        <v>238550188</v>
      </c>
      <c r="B4815" s="7"/>
      <c r="C4815" s="6" t="str">
        <f>HYPERLINK("http://www.ncbi.nlm.nih.gov/protein/238550188","Ndel1")</f>
        <v>Ndel1</v>
      </c>
      <c r="D4815" s="8"/>
      <c r="E4815" s="8">
        <v>38235</v>
      </c>
      <c r="F4815" s="8"/>
      <c r="G4815" s="15" t="s">
        <v>10</v>
      </c>
      <c r="H4815" s="15" t="s">
        <v>10</v>
      </c>
      <c r="I4815" s="15" t="s">
        <v>10</v>
      </c>
      <c r="J4815" s="15" t="s">
        <v>10</v>
      </c>
      <c r="K4815" s="15">
        <v>1.0659820579795458</v>
      </c>
      <c r="L4815" s="15">
        <v>1.0659820579795458</v>
      </c>
      <c r="M4815" s="15">
        <v>1.0659820579795458</v>
      </c>
      <c r="N4815" s="15">
        <v>1.0659820579795458</v>
      </c>
      <c r="O4815" s="15" t="s">
        <v>10</v>
      </c>
      <c r="P4815" s="15" t="s">
        <v>10</v>
      </c>
      <c r="Q4815" s="8"/>
      <c r="R4815" s="9" t="s">
        <v>4357</v>
      </c>
    </row>
    <row r="4816" spans="1:18" x14ac:dyDescent="0.25">
      <c r="A4816" s="6" t="str">
        <f>HYPERLINK("proteomic_fractions_linear_files/Yang_linear_img/12963595.jpg", "12963595")</f>
        <v>12963595</v>
      </c>
      <c r="B4816" s="7"/>
      <c r="C4816" s="6" t="str">
        <f>HYPERLINK("http://www.ncbi.nlm.nih.gov/protein/12963595","Ndnl2")</f>
        <v>Ndnl2</v>
      </c>
      <c r="D4816" s="8"/>
      <c r="E4816" s="8">
        <v>31329</v>
      </c>
      <c r="F4816" s="8"/>
      <c r="G4816" s="15">
        <v>1.3066876839749273</v>
      </c>
      <c r="H4816" s="15">
        <v>1.3066876839749273</v>
      </c>
      <c r="I4816" s="15">
        <v>0.96404538360364944</v>
      </c>
      <c r="J4816" s="15">
        <v>0.96404538360364944</v>
      </c>
      <c r="K4816" s="15" t="s">
        <v>10</v>
      </c>
      <c r="L4816" s="15" t="s">
        <v>10</v>
      </c>
      <c r="M4816" s="15" t="s">
        <v>10</v>
      </c>
      <c r="N4816" s="15" t="s">
        <v>10</v>
      </c>
      <c r="O4816" s="15" t="s">
        <v>10</v>
      </c>
      <c r="P4816" s="15" t="s">
        <v>10</v>
      </c>
      <c r="Q4816" s="8"/>
      <c r="R4816" s="9" t="s">
        <v>4358</v>
      </c>
    </row>
    <row r="4817" spans="1:18" x14ac:dyDescent="0.25">
      <c r="A4817" s="6" t="str">
        <f>HYPERLINK("proteomic_fractions_linear_files/Yang_linear_img/118150658.jpg", "118150658")</f>
        <v>118150658</v>
      </c>
      <c r="B4817" s="7"/>
      <c r="C4817" s="6" t="str">
        <f>HYPERLINK("http://www.ncbi.nlm.nih.gov/protein/118150658","Ndrg1")</f>
        <v>Ndrg1</v>
      </c>
      <c r="D4817" s="8"/>
      <c r="E4817" s="8">
        <v>42878</v>
      </c>
      <c r="F4817" s="8"/>
      <c r="G4817" s="15">
        <v>0.942030655888901</v>
      </c>
      <c r="H4817" s="15">
        <v>0.942030655888901</v>
      </c>
      <c r="I4817" s="15">
        <v>1.0261764941154761</v>
      </c>
      <c r="J4817" s="15">
        <v>1.0261764941154761</v>
      </c>
      <c r="K4817" s="15">
        <v>1.0261764941154761</v>
      </c>
      <c r="L4817" s="15">
        <v>1.0261764941154761</v>
      </c>
      <c r="M4817" s="15">
        <v>0.942030655888901</v>
      </c>
      <c r="N4817" s="15">
        <v>0.942030655888901</v>
      </c>
      <c r="O4817" s="15">
        <v>0.942030655888901</v>
      </c>
      <c r="P4817" s="15">
        <v>0.942030655888901</v>
      </c>
      <c r="Q4817" s="8"/>
      <c r="R4817" s="9" t="s">
        <v>4359</v>
      </c>
    </row>
    <row r="4818" spans="1:18" x14ac:dyDescent="0.25">
      <c r="A4818" s="6" t="str">
        <f>HYPERLINK("proteomic_fractions_linear_files/Yang_linear_img/255918147.jpg", "255918147")</f>
        <v>255918147</v>
      </c>
      <c r="B4818" s="7"/>
      <c r="C4818" s="6" t="str">
        <f>HYPERLINK("http://www.ncbi.nlm.nih.gov/protein/255918147","Ndrg3")</f>
        <v>Ndrg3</v>
      </c>
      <c r="D4818" s="8"/>
      <c r="E4818" s="8">
        <v>42852</v>
      </c>
      <c r="F4818" s="8"/>
      <c r="G4818" s="15" t="s">
        <v>10</v>
      </c>
      <c r="H4818" s="15" t="s">
        <v>10</v>
      </c>
      <c r="I4818" s="15">
        <v>1.0261764941154761</v>
      </c>
      <c r="J4818" s="15">
        <v>1.0261764941154761</v>
      </c>
      <c r="K4818" s="15">
        <v>1.0261764941154761</v>
      </c>
      <c r="L4818" s="15">
        <v>1.0261764941154761</v>
      </c>
      <c r="M4818" s="15" t="s">
        <v>10</v>
      </c>
      <c r="N4818" s="15" t="s">
        <v>10</v>
      </c>
      <c r="O4818" s="15">
        <v>0.942030655888901</v>
      </c>
      <c r="P4818" s="15">
        <v>0.942030655888901</v>
      </c>
      <c r="Q4818" s="8"/>
      <c r="R4818" s="9" t="s">
        <v>4360</v>
      </c>
    </row>
    <row r="4819" spans="1:18" x14ac:dyDescent="0.25">
      <c r="A4819" s="6" t="str">
        <f>HYPERLINK("proteomic_fractions_linear_files/Yang_linear_img/7305307.jpg", "7305307")</f>
        <v>7305307</v>
      </c>
      <c r="B4819" s="7"/>
      <c r="C4819" s="6" t="str">
        <f>HYPERLINK("http://www.ncbi.nlm.nih.gov/protein/7305307","Ndrg3")</f>
        <v>Ndrg3</v>
      </c>
      <c r="D4819" s="8"/>
      <c r="E4819" s="8">
        <v>41424</v>
      </c>
      <c r="F4819" s="8"/>
      <c r="G4819" s="15" t="s">
        <v>10</v>
      </c>
      <c r="H4819" s="15" t="s">
        <v>10</v>
      </c>
      <c r="I4819" s="15">
        <v>1.0762338840723285</v>
      </c>
      <c r="J4819" s="15">
        <v>1.0762338840723285</v>
      </c>
      <c r="K4819" s="15">
        <v>1.0762338840723285</v>
      </c>
      <c r="L4819" s="15">
        <v>1.0762338840723285</v>
      </c>
      <c r="M4819" s="15" t="s">
        <v>10</v>
      </c>
      <c r="N4819" s="15" t="s">
        <v>10</v>
      </c>
      <c r="O4819" s="15">
        <v>0.98798337081031085</v>
      </c>
      <c r="P4819" s="15">
        <v>0.98798337081031085</v>
      </c>
      <c r="Q4819" s="8"/>
      <c r="R4819" s="9" t="s">
        <v>4361</v>
      </c>
    </row>
    <row r="4820" spans="1:18" x14ac:dyDescent="0.25">
      <c r="A4820" s="6" t="str">
        <f>HYPERLINK("proteomic_fractions_linear_files/Yang_linear_img/9506911.jpg", "9506911")</f>
        <v>9506911</v>
      </c>
      <c r="B4820" s="7"/>
      <c r="C4820" s="6" t="str">
        <f>HYPERLINK("http://www.ncbi.nlm.nih.gov/protein/9506911","Ndufa1")</f>
        <v>Ndufa1</v>
      </c>
      <c r="D4820" s="8"/>
      <c r="E4820" s="8">
        <v>8007</v>
      </c>
      <c r="F4820" s="8"/>
      <c r="G4820" s="15" t="s">
        <v>10</v>
      </c>
      <c r="H4820" s="15" t="s">
        <v>10</v>
      </c>
      <c r="I4820" s="15">
        <v>1.5934024177422033</v>
      </c>
      <c r="J4820" s="15">
        <v>1.5934024177422033</v>
      </c>
      <c r="K4820" s="15">
        <v>1.5291076615414196</v>
      </c>
      <c r="L4820" s="15">
        <v>1.5291076615414196</v>
      </c>
      <c r="M4820" s="15" t="s">
        <v>10</v>
      </c>
      <c r="N4820" s="15" t="s">
        <v>10</v>
      </c>
      <c r="O4820" s="15" t="s">
        <v>10</v>
      </c>
      <c r="P4820" s="15" t="s">
        <v>10</v>
      </c>
      <c r="Q4820" s="8"/>
      <c r="R4820" s="9" t="s">
        <v>4362</v>
      </c>
    </row>
    <row r="4821" spans="1:18" x14ac:dyDescent="0.25">
      <c r="A4821" s="6" t="str">
        <f>HYPERLINK("proteomic_fractions_linear_files/Yang_linear_img/13195624.jpg", "13195624")</f>
        <v>13195624</v>
      </c>
      <c r="B4821" s="7"/>
      <c r="C4821" s="6" t="str">
        <f>HYPERLINK("http://www.ncbi.nlm.nih.gov/protein/13195624","Ndufa10")</f>
        <v>Ndufa10</v>
      </c>
      <c r="D4821" s="8"/>
      <c r="E4821" s="8">
        <v>36943</v>
      </c>
      <c r="F4821" s="8"/>
      <c r="G4821" s="15">
        <v>1.3051344752544662</v>
      </c>
      <c r="H4821" s="15">
        <v>1.3051344752544662</v>
      </c>
      <c r="I4821" s="15">
        <v>1.0947923838708851</v>
      </c>
      <c r="J4821" s="15">
        <v>1.0947923838708851</v>
      </c>
      <c r="K4821" s="15">
        <v>1.0947923838708851</v>
      </c>
      <c r="L4821" s="15">
        <v>1.0947923838708851</v>
      </c>
      <c r="M4821" s="15">
        <v>1.0092250384628267</v>
      </c>
      <c r="N4821" s="15">
        <v>1.0092250384628267</v>
      </c>
      <c r="O4821" s="15" t="s">
        <v>10</v>
      </c>
      <c r="P4821" s="15" t="s">
        <v>10</v>
      </c>
      <c r="Q4821" s="8"/>
      <c r="R4821" s="9" t="s">
        <v>4363</v>
      </c>
    </row>
    <row r="4822" spans="1:18" x14ac:dyDescent="0.25">
      <c r="A4822" s="6" t="str">
        <f>HYPERLINK("proteomic_fractions_linear_files/Yang_linear_img/226437665.jpg", "226437665")</f>
        <v>226437665</v>
      </c>
      <c r="B4822" s="7"/>
      <c r="C4822" s="6" t="str">
        <f>HYPERLINK("http://www.ncbi.nlm.nih.gov/protein/226437665","Ndufa11")</f>
        <v>Ndufa11</v>
      </c>
      <c r="D4822" s="8"/>
      <c r="E4822" s="8">
        <v>14984</v>
      </c>
      <c r="F4822" s="8"/>
      <c r="G4822" s="15">
        <v>1.540638224981163</v>
      </c>
      <c r="H4822" s="15">
        <v>1.4530494847119166</v>
      </c>
      <c r="I4822" s="15">
        <v>0.92572336666244337</v>
      </c>
      <c r="J4822" s="15">
        <v>0.92572336666244337</v>
      </c>
      <c r="K4822" s="15">
        <v>1.0130892195876191</v>
      </c>
      <c r="L4822" s="15">
        <v>1.0130892195876191</v>
      </c>
      <c r="M4822" s="15" t="s">
        <v>10</v>
      </c>
      <c r="N4822" s="15" t="s">
        <v>10</v>
      </c>
      <c r="O4822" s="15" t="s">
        <v>10</v>
      </c>
      <c r="P4822" s="15" t="s">
        <v>10</v>
      </c>
      <c r="Q4822" s="8"/>
      <c r="R4822" s="9" t="s">
        <v>4364</v>
      </c>
    </row>
    <row r="4823" spans="1:18" x14ac:dyDescent="0.25">
      <c r="A4823" s="6" t="str">
        <f>HYPERLINK("proteomic_fractions_linear_files/Yang_linear_img/27228985.jpg", "27228985")</f>
        <v>27228985</v>
      </c>
      <c r="B4823" s="7"/>
      <c r="C4823" s="6" t="str">
        <f>HYPERLINK("http://www.ncbi.nlm.nih.gov/protein/27228985","Ndufa12")</f>
        <v>Ndufa12</v>
      </c>
      <c r="D4823" s="8"/>
      <c r="E4823" s="8">
        <v>17502</v>
      </c>
      <c r="F4823" s="8"/>
      <c r="G4823" s="15">
        <v>1.2838651874843026</v>
      </c>
      <c r="H4823" s="15">
        <v>1.2838651874843026</v>
      </c>
      <c r="I4823" s="15">
        <v>0.88485787684343198</v>
      </c>
      <c r="J4823" s="15">
        <v>0.88485787684343198</v>
      </c>
      <c r="K4823" s="15">
        <v>0.9286930289226123</v>
      </c>
      <c r="L4823" s="15">
        <v>0.9286930289226123</v>
      </c>
      <c r="M4823" s="15" t="s">
        <v>10</v>
      </c>
      <c r="N4823" s="15" t="s">
        <v>10</v>
      </c>
      <c r="O4823" s="15" t="s">
        <v>10</v>
      </c>
      <c r="P4823" s="15" t="s">
        <v>10</v>
      </c>
      <c r="Q4823" s="8"/>
      <c r="R4823" s="9" t="s">
        <v>4365</v>
      </c>
    </row>
    <row r="4824" spans="1:18" x14ac:dyDescent="0.25">
      <c r="A4824" s="6" t="str">
        <f>HYPERLINK("proteomic_fractions_linear_files/Yang_linear_img/12963633.jpg", "12963633")</f>
        <v>12963633</v>
      </c>
      <c r="B4824" s="7"/>
      <c r="C4824" s="6" t="str">
        <f>HYPERLINK("http://www.ncbi.nlm.nih.gov/protein/12963633","Ndufa13")</f>
        <v>Ndufa13</v>
      </c>
      <c r="D4824" s="8"/>
      <c r="E4824" s="8">
        <v>16729</v>
      </c>
      <c r="F4824" s="8"/>
      <c r="G4824" s="15">
        <v>1.3593866691010261</v>
      </c>
      <c r="H4824" s="15">
        <v>1.3593866691010261</v>
      </c>
      <c r="I4824" s="15">
        <v>0.89390225257731093</v>
      </c>
      <c r="J4824" s="15">
        <v>0.89390225257731093</v>
      </c>
      <c r="K4824" s="15">
        <v>0.93690834018716329</v>
      </c>
      <c r="L4824" s="15">
        <v>0.93690834018716329</v>
      </c>
      <c r="M4824" s="15" t="s">
        <v>10</v>
      </c>
      <c r="N4824" s="15" t="s">
        <v>10</v>
      </c>
      <c r="O4824" s="15" t="s">
        <v>10</v>
      </c>
      <c r="P4824" s="15" t="s">
        <v>10</v>
      </c>
      <c r="Q4824" s="8"/>
      <c r="R4824" s="9" t="s">
        <v>4366</v>
      </c>
    </row>
    <row r="4825" spans="1:18" x14ac:dyDescent="0.25">
      <c r="A4825" s="6" t="str">
        <f>HYPERLINK("proteomic_fractions_linear_files/Yang_linear_img/31981600.jpg", "31981600")</f>
        <v>31981600</v>
      </c>
      <c r="B4825" s="7"/>
      <c r="C4825" s="6" t="str">
        <f>HYPERLINK("http://www.ncbi.nlm.nih.gov/protein/31981600","Ndufa2")</f>
        <v>Ndufa2</v>
      </c>
      <c r="D4825" s="8"/>
      <c r="E4825" s="8">
        <v>10785</v>
      </c>
      <c r="F4825" s="8"/>
      <c r="G4825" s="15">
        <v>1.5972672513962698</v>
      </c>
      <c r="H4825" s="15">
        <v>1.5972672513962698</v>
      </c>
      <c r="I4825" s="15">
        <v>1.1588381219943296</v>
      </c>
      <c r="J4825" s="15">
        <v>1.1588381219943296</v>
      </c>
      <c r="K4825" s="15">
        <v>1.1588381219943296</v>
      </c>
      <c r="L4825" s="15">
        <v>1.1588381219943296</v>
      </c>
      <c r="M4825" s="15">
        <v>1.1588381219943296</v>
      </c>
      <c r="N4825" s="15">
        <v>1.1588381219943296</v>
      </c>
      <c r="O4825" s="15" t="s">
        <v>10</v>
      </c>
      <c r="P4825" s="15" t="s">
        <v>10</v>
      </c>
      <c r="Q4825" s="8"/>
      <c r="R4825" s="9" t="s">
        <v>4367</v>
      </c>
    </row>
    <row r="4826" spans="1:18" x14ac:dyDescent="0.25">
      <c r="A4826" s="6" t="str">
        <f>HYPERLINK("proteomic_fractions_linear_files/Yang_linear_img/21539587.jpg", "21539587")</f>
        <v>21539587</v>
      </c>
      <c r="B4826" s="7"/>
      <c r="C4826" s="6" t="str">
        <f>HYPERLINK("http://www.ncbi.nlm.nih.gov/protein/21539587","Ndufa3")</f>
        <v>Ndufa3</v>
      </c>
      <c r="D4826" s="8"/>
      <c r="E4826" s="8">
        <v>9200</v>
      </c>
      <c r="F4826" s="8"/>
      <c r="G4826" s="15">
        <v>1.3056572917581817</v>
      </c>
      <c r="H4826" s="15">
        <v>1.3056572917581817</v>
      </c>
      <c r="I4826" s="15">
        <v>1.3056572917581817</v>
      </c>
      <c r="J4826" s="15">
        <v>1.3056572917581817</v>
      </c>
      <c r="K4826" s="15">
        <v>1.4163577046597362</v>
      </c>
      <c r="L4826" s="15">
        <v>1.4163577046597362</v>
      </c>
      <c r="M4826" s="15" t="s">
        <v>10</v>
      </c>
      <c r="N4826" s="15" t="s">
        <v>10</v>
      </c>
      <c r="O4826" s="15" t="s">
        <v>10</v>
      </c>
      <c r="P4826" s="15" t="s">
        <v>10</v>
      </c>
      <c r="Q4826" s="8"/>
      <c r="R4826" s="9" t="s">
        <v>4368</v>
      </c>
    </row>
    <row r="4827" spans="1:18" x14ac:dyDescent="0.25">
      <c r="A4827" s="6" t="str">
        <f>HYPERLINK("proteomic_fractions_linear_files/Yang_linear_img/33563266.jpg", "33563266")</f>
        <v>33563266</v>
      </c>
      <c r="B4827" s="7"/>
      <c r="C4827" s="6" t="str">
        <f>HYPERLINK("http://www.ncbi.nlm.nih.gov/protein/33563266","Ndufa4")</f>
        <v>Ndufa4</v>
      </c>
      <c r="D4827" s="8"/>
      <c r="E4827" s="8">
        <v>9196</v>
      </c>
      <c r="F4827" s="8"/>
      <c r="G4827" s="15">
        <v>2.0550332405071203</v>
      </c>
      <c r="H4827" s="15">
        <v>1.4163577046597362</v>
      </c>
      <c r="I4827" s="15">
        <v>1.4163577046597362</v>
      </c>
      <c r="J4827" s="15">
        <v>1.4163577046597362</v>
      </c>
      <c r="K4827" s="15">
        <v>1.4774515581112815</v>
      </c>
      <c r="L4827" s="15">
        <v>1.4774515581112815</v>
      </c>
      <c r="M4827" s="15" t="s">
        <v>10</v>
      </c>
      <c r="N4827" s="15" t="s">
        <v>10</v>
      </c>
      <c r="O4827" s="15" t="s">
        <v>10</v>
      </c>
      <c r="P4827" s="15" t="s">
        <v>10</v>
      </c>
      <c r="Q4827" s="8"/>
      <c r="R4827" s="9" t="s">
        <v>4369</v>
      </c>
    </row>
    <row r="4828" spans="1:18" x14ac:dyDescent="0.25">
      <c r="A4828" s="6" t="str">
        <f>HYPERLINK("proteomic_fractions_linear_files/Yang_linear_img/13386100.jpg", "13386100")</f>
        <v>13386100</v>
      </c>
      <c r="B4828" s="7"/>
      <c r="C4828" s="6" t="str">
        <f>HYPERLINK("http://www.ncbi.nlm.nih.gov/protein/13386100","Ndufa5")</f>
        <v>Ndufa5</v>
      </c>
      <c r="D4828" s="8"/>
      <c r="E4828" s="8">
        <v>13229</v>
      </c>
      <c r="F4828" s="8"/>
      <c r="G4828" s="15">
        <v>1.5000884483104058</v>
      </c>
      <c r="H4828" s="15">
        <v>1.5000884483104058</v>
      </c>
      <c r="I4828" s="15">
        <v>1.068142346148973</v>
      </c>
      <c r="J4828" s="15">
        <v>1.068142346148973</v>
      </c>
      <c r="K4828" s="15">
        <v>1.068142346148973</v>
      </c>
      <c r="L4828" s="15">
        <v>1.068142346148973</v>
      </c>
      <c r="M4828" s="15">
        <v>1.068142346148973</v>
      </c>
      <c r="N4828" s="15">
        <v>1.068142346148973</v>
      </c>
      <c r="O4828" s="15" t="s">
        <v>10</v>
      </c>
      <c r="P4828" s="15" t="s">
        <v>10</v>
      </c>
      <c r="Q4828" s="8"/>
      <c r="R4828" s="9" t="s">
        <v>4370</v>
      </c>
    </row>
    <row r="4829" spans="1:18" x14ac:dyDescent="0.25">
      <c r="A4829" s="6" t="str">
        <f>HYPERLINK("proteomic_fractions_linear_files/Yang_linear_img/13385492.jpg", "13385492")</f>
        <v>13385492</v>
      </c>
      <c r="B4829" s="7"/>
      <c r="C4829" s="6" t="str">
        <f>HYPERLINK("http://www.ncbi.nlm.nih.gov/protein/13385492","Ndufa6")</f>
        <v>Ndufa6</v>
      </c>
      <c r="D4829" s="8"/>
      <c r="E4829" s="8">
        <v>15152</v>
      </c>
      <c r="F4829" s="8"/>
      <c r="G4829" s="15">
        <v>0.96783158145802317</v>
      </c>
      <c r="H4829" s="15">
        <v>0.96783158145802317</v>
      </c>
      <c r="I4829" s="15">
        <v>1.0130892195876191</v>
      </c>
      <c r="J4829" s="15">
        <v>1.0130892195876191</v>
      </c>
      <c r="K4829" s="15">
        <v>1.0130892195876191</v>
      </c>
      <c r="L4829" s="15">
        <v>1.0130892195876191</v>
      </c>
      <c r="M4829" s="15">
        <v>1.0130892195876191</v>
      </c>
      <c r="N4829" s="15">
        <v>1.0130892195876191</v>
      </c>
      <c r="O4829" s="15" t="s">
        <v>10</v>
      </c>
      <c r="P4829" s="15" t="s">
        <v>10</v>
      </c>
      <c r="Q4829" s="8"/>
      <c r="R4829" s="9" t="s">
        <v>4371</v>
      </c>
    </row>
    <row r="4830" spans="1:18" x14ac:dyDescent="0.25">
      <c r="A4830" s="6" t="str">
        <f>HYPERLINK("proteomic_fractions_linear_files/Yang_linear_img/12963571.jpg", "12963571")</f>
        <v>12963571</v>
      </c>
      <c r="B4830" s="7"/>
      <c r="C4830" s="6" t="str">
        <f>HYPERLINK("http://www.ncbi.nlm.nih.gov/protein/12963571","Ndufa7")</f>
        <v>Ndufa7</v>
      </c>
      <c r="D4830" s="8"/>
      <c r="E4830" s="8">
        <v>12444</v>
      </c>
      <c r="F4830" s="8"/>
      <c r="G4830" s="15">
        <v>1.1571542083280542</v>
      </c>
      <c r="H4830" s="15">
        <v>1.1571542083280542</v>
      </c>
      <c r="I4830" s="15">
        <v>1.209789476822529</v>
      </c>
      <c r="J4830" s="15">
        <v>1.209789476822529</v>
      </c>
      <c r="K4830" s="15">
        <v>1.2663615244845239</v>
      </c>
      <c r="L4830" s="15">
        <v>1.2663615244845239</v>
      </c>
      <c r="M4830" s="15" t="s">
        <v>10</v>
      </c>
      <c r="N4830" s="15" t="s">
        <v>10</v>
      </c>
      <c r="O4830" s="15" t="s">
        <v>10</v>
      </c>
      <c r="P4830" s="15" t="s">
        <v>10</v>
      </c>
      <c r="Q4830" s="8"/>
      <c r="R4830" s="9" t="s">
        <v>4372</v>
      </c>
    </row>
    <row r="4831" spans="1:18" x14ac:dyDescent="0.25">
      <c r="A4831" s="6" t="str">
        <f>HYPERLINK("proteomic_fractions_linear_files/Yang_linear_img/21312012.jpg", "21312012")</f>
        <v>21312012</v>
      </c>
      <c r="B4831" s="7"/>
      <c r="C4831" s="6" t="str">
        <f>HYPERLINK("http://www.ncbi.nlm.nih.gov/protein/21312012","Ndufa8")</f>
        <v>Ndufa8</v>
      </c>
      <c r="D4831" s="8"/>
      <c r="E4831" s="8">
        <v>19861</v>
      </c>
      <c r="F4831" s="8"/>
      <c r="G4831" s="15">
        <v>1.30751290577125</v>
      </c>
      <c r="H4831" s="15">
        <v>1.30751290577125</v>
      </c>
      <c r="I4831" s="15">
        <v>0.92476495822820426</v>
      </c>
      <c r="J4831" s="15">
        <v>0.92476495822820426</v>
      </c>
      <c r="K4831" s="15">
        <v>0.92476495822820426</v>
      </c>
      <c r="L4831" s="15">
        <v>0.92476495822820426</v>
      </c>
      <c r="M4831" s="15">
        <v>0.92476495822820426</v>
      </c>
      <c r="N4831" s="15">
        <v>0.92476495822820426</v>
      </c>
      <c r="O4831" s="15" t="s">
        <v>10</v>
      </c>
      <c r="P4831" s="15" t="s">
        <v>10</v>
      </c>
      <c r="Q4831" s="8"/>
      <c r="R4831" s="9" t="s">
        <v>4373</v>
      </c>
    </row>
    <row r="4832" spans="1:18" x14ac:dyDescent="0.25">
      <c r="A4832" s="6" t="str">
        <f>HYPERLINK("proteomic_fractions_linear_files/Yang_linear_img/254692859.jpg", "254692859")</f>
        <v>254692859</v>
      </c>
      <c r="B4832" s="7"/>
      <c r="C4832" s="6" t="str">
        <f>HYPERLINK("http://www.ncbi.nlm.nih.gov/protein/254692859","Ndufa9")</f>
        <v>Ndufa9</v>
      </c>
      <c r="D4832" s="8"/>
      <c r="E4832" s="8">
        <v>38826</v>
      </c>
      <c r="F4832" s="8"/>
      <c r="G4832" s="15">
        <v>1.1314253653068069</v>
      </c>
      <c r="H4832" s="15">
        <v>1.1314253653068069</v>
      </c>
      <c r="I4832" s="15">
        <v>0.82266853476239965</v>
      </c>
      <c r="J4832" s="15">
        <v>0.82266853476239965</v>
      </c>
      <c r="K4832" s="15">
        <v>0.82266853476239965</v>
      </c>
      <c r="L4832" s="15">
        <v>0.82266853476239965</v>
      </c>
      <c r="M4832" s="15" t="s">
        <v>10</v>
      </c>
      <c r="N4832" s="15" t="s">
        <v>10</v>
      </c>
      <c r="O4832" s="15" t="s">
        <v>10</v>
      </c>
      <c r="P4832" s="15" t="s">
        <v>10</v>
      </c>
      <c r="Q4832" s="8"/>
      <c r="R4832" s="9" t="s">
        <v>4374</v>
      </c>
    </row>
    <row r="4833" spans="1:18" x14ac:dyDescent="0.25">
      <c r="A4833" s="6" t="str">
        <f>HYPERLINK("proteomic_fractions_linear_files/Yang_linear_img/27754007.jpg", "27754007")</f>
        <v>27754007</v>
      </c>
      <c r="B4833" s="7"/>
      <c r="C4833" s="6" t="str">
        <f>HYPERLINK("http://www.ncbi.nlm.nih.gov/protein/27754007","Ndufab1")</f>
        <v>Ndufab1</v>
      </c>
      <c r="D4833" s="8"/>
      <c r="E4833" s="8">
        <v>10096</v>
      </c>
      <c r="F4833" s="8"/>
      <c r="G4833" s="15">
        <v>1.3297064023001535</v>
      </c>
      <c r="H4833" s="15">
        <v>1.3297064023001535</v>
      </c>
      <c r="I4833" s="15">
        <v>1.1298639197605214</v>
      </c>
      <c r="J4833" s="15">
        <v>1.1298639197605214</v>
      </c>
      <c r="K4833" s="15" t="s">
        <v>10</v>
      </c>
      <c r="L4833" s="15" t="s">
        <v>10</v>
      </c>
      <c r="M4833" s="15" t="s">
        <v>10</v>
      </c>
      <c r="N4833" s="15" t="s">
        <v>10</v>
      </c>
      <c r="O4833" s="15" t="s">
        <v>10</v>
      </c>
      <c r="P4833" s="15" t="s">
        <v>10</v>
      </c>
      <c r="Q4833" s="8"/>
      <c r="R4833" s="9" t="s">
        <v>4375</v>
      </c>
    </row>
    <row r="4834" spans="1:18" x14ac:dyDescent="0.25">
      <c r="A4834" s="6" t="str">
        <f>HYPERLINK("proteomic_fractions_linear_files/Yang_linear_img/188035926.jpg", "188035926")</f>
        <v>188035926</v>
      </c>
      <c r="B4834" s="7"/>
      <c r="C4834" s="6" t="str">
        <f>HYPERLINK("http://www.ncbi.nlm.nih.gov/protein/188035926","Ndufaf2")</f>
        <v>Ndufaf2</v>
      </c>
      <c r="D4834" s="8"/>
      <c r="E4834" s="8">
        <v>19497</v>
      </c>
      <c r="F4834" s="8"/>
      <c r="G4834" s="15" t="s">
        <v>10</v>
      </c>
      <c r="H4834" s="15" t="s">
        <v>10</v>
      </c>
      <c r="I4834" s="15">
        <v>0.97343679813495176</v>
      </c>
      <c r="J4834" s="15">
        <v>0.97343679813495176</v>
      </c>
      <c r="K4834" s="15" t="s">
        <v>10</v>
      </c>
      <c r="L4834" s="15" t="s">
        <v>10</v>
      </c>
      <c r="M4834" s="15" t="s">
        <v>10</v>
      </c>
      <c r="N4834" s="15" t="s">
        <v>10</v>
      </c>
      <c r="O4834" s="15" t="s">
        <v>10</v>
      </c>
      <c r="P4834" s="15" t="s">
        <v>10</v>
      </c>
      <c r="Q4834" s="8"/>
      <c r="R4834" s="9" t="s">
        <v>4376</v>
      </c>
    </row>
    <row r="4835" spans="1:18" x14ac:dyDescent="0.25">
      <c r="A4835" s="6" t="str">
        <f>HYPERLINK("proteomic_fractions_linear_files/Yang_linear_img/12963603.jpg", "12963603")</f>
        <v>12963603</v>
      </c>
      <c r="B4835" s="7"/>
      <c r="C4835" s="6" t="str">
        <f>HYPERLINK("http://www.ncbi.nlm.nih.gov/protein/12963603","Ndufaf3")</f>
        <v>Ndufaf3</v>
      </c>
      <c r="D4835" s="8"/>
      <c r="E4835" s="8">
        <v>20603</v>
      </c>
      <c r="F4835" s="8"/>
      <c r="G4835" s="15" t="s">
        <v>10</v>
      </c>
      <c r="H4835" s="15" t="s">
        <v>10</v>
      </c>
      <c r="I4835" s="15">
        <v>0.72363515684829927</v>
      </c>
      <c r="J4835" s="15">
        <v>0.72363515684829927</v>
      </c>
      <c r="K4835" s="15" t="s">
        <v>10</v>
      </c>
      <c r="L4835" s="15" t="s">
        <v>10</v>
      </c>
      <c r="M4835" s="15" t="s">
        <v>10</v>
      </c>
      <c r="N4835" s="15" t="s">
        <v>10</v>
      </c>
      <c r="O4835" s="15" t="s">
        <v>10</v>
      </c>
      <c r="P4835" s="15" t="s">
        <v>10</v>
      </c>
      <c r="Q4835" s="8"/>
      <c r="R4835" s="9" t="s">
        <v>4377</v>
      </c>
    </row>
    <row r="4836" spans="1:18" x14ac:dyDescent="0.25">
      <c r="A4836" s="6" t="str">
        <f>HYPERLINK("proteomic_fractions_linear_files/Yang_linear_img/21624617.jpg", "21624617")</f>
        <v>21624617</v>
      </c>
      <c r="B4836" s="7"/>
      <c r="C4836" s="6" t="str">
        <f>HYPERLINK("http://www.ncbi.nlm.nih.gov/protein/21624617","Ndufaf4")</f>
        <v>Ndufaf4</v>
      </c>
      <c r="D4836" s="8"/>
      <c r="E4836" s="8">
        <v>19951</v>
      </c>
      <c r="F4836" s="8"/>
      <c r="G4836" s="15" t="s">
        <v>10</v>
      </c>
      <c r="H4836" s="15" t="s">
        <v>10</v>
      </c>
      <c r="I4836" s="15">
        <v>1.0298720593328137</v>
      </c>
      <c r="J4836" s="15">
        <v>1.0298720593328137</v>
      </c>
      <c r="K4836" s="15" t="s">
        <v>10</v>
      </c>
      <c r="L4836" s="15" t="s">
        <v>10</v>
      </c>
      <c r="M4836" s="15" t="s">
        <v>10</v>
      </c>
      <c r="N4836" s="15" t="s">
        <v>10</v>
      </c>
      <c r="O4836" s="15" t="s">
        <v>10</v>
      </c>
      <c r="P4836" s="15" t="s">
        <v>10</v>
      </c>
      <c r="Q4836" s="8"/>
      <c r="R4836" s="9" t="s">
        <v>4378</v>
      </c>
    </row>
    <row r="4837" spans="1:18" x14ac:dyDescent="0.25">
      <c r="A4837" s="6" t="str">
        <f>HYPERLINK("proteomic_fractions_linear_files/Yang_linear_img/166295190.jpg", "166295190")</f>
        <v>166295190</v>
      </c>
      <c r="B4837" s="7"/>
      <c r="C4837" s="6" t="str">
        <f>HYPERLINK("http://www.ncbi.nlm.nih.gov/protein/166295190","Ndufaf5")</f>
        <v>Ndufaf5</v>
      </c>
      <c r="D4837" s="8"/>
      <c r="E4837" s="8">
        <v>35258</v>
      </c>
      <c r="F4837" s="8"/>
      <c r="G4837" s="15" t="s">
        <v>10</v>
      </c>
      <c r="H4837" s="15" t="s">
        <v>10</v>
      </c>
      <c r="I4837" s="15">
        <v>0.98723932944214809</v>
      </c>
      <c r="J4837" s="15">
        <v>0.98723932944214809</v>
      </c>
      <c r="K4837" s="15" t="s">
        <v>10</v>
      </c>
      <c r="L4837" s="15" t="s">
        <v>10</v>
      </c>
      <c r="M4837" s="15" t="s">
        <v>10</v>
      </c>
      <c r="N4837" s="15" t="s">
        <v>10</v>
      </c>
      <c r="O4837" s="15" t="s">
        <v>10</v>
      </c>
      <c r="P4837" s="15" t="s">
        <v>10</v>
      </c>
      <c r="Q4837" s="8"/>
      <c r="R4837" s="9" t="s">
        <v>4379</v>
      </c>
    </row>
    <row r="4838" spans="1:18" x14ac:dyDescent="0.25">
      <c r="A4838" s="6" t="str">
        <f>HYPERLINK("proteomic_fractions_linear_files/Yang_linear_img/158937256.jpg", "158937256")</f>
        <v>158937256</v>
      </c>
      <c r="B4838" s="7"/>
      <c r="C4838" s="6" t="str">
        <f>HYPERLINK("http://www.ncbi.nlm.nih.gov/protein/158937256","Ndufaf7")</f>
        <v>Ndufaf7</v>
      </c>
      <c r="D4838" s="8"/>
      <c r="E4838" s="8">
        <v>43829</v>
      </c>
      <c r="F4838" s="8"/>
      <c r="G4838" s="15" t="s">
        <v>10</v>
      </c>
      <c r="H4838" s="15" t="s">
        <v>10</v>
      </c>
      <c r="I4838" s="15">
        <v>0.9206208682550624</v>
      </c>
      <c r="J4838" s="15">
        <v>0.9206208682550624</v>
      </c>
      <c r="K4838" s="15" t="s">
        <v>10</v>
      </c>
      <c r="L4838" s="15" t="s">
        <v>10</v>
      </c>
      <c r="M4838" s="15" t="s">
        <v>10</v>
      </c>
      <c r="N4838" s="15" t="s">
        <v>10</v>
      </c>
      <c r="O4838" s="15" t="s">
        <v>10</v>
      </c>
      <c r="P4838" s="15" t="s">
        <v>10</v>
      </c>
      <c r="Q4838" s="8"/>
      <c r="R4838" s="9" t="s">
        <v>4380</v>
      </c>
    </row>
    <row r="4839" spans="1:18" x14ac:dyDescent="0.25">
      <c r="A4839" s="6" t="str">
        <f>HYPERLINK("proteomic_fractions_linear_files/Yang_linear_img/58037109.jpg", "58037109")</f>
        <v>58037109</v>
      </c>
      <c r="B4839" s="7"/>
      <c r="C4839" s="6" t="str">
        <f>HYPERLINK("http://www.ncbi.nlm.nih.gov/protein/58037109","Ndufb10")</f>
        <v>Ndufb10</v>
      </c>
      <c r="D4839" s="8"/>
      <c r="E4839" s="8">
        <v>20893</v>
      </c>
      <c r="F4839" s="8"/>
      <c r="G4839" s="15">
        <v>0.98083053269791776</v>
      </c>
      <c r="H4839" s="15">
        <v>0.98083053269791776</v>
      </c>
      <c r="I4839" s="15">
        <v>1.100455874986545</v>
      </c>
      <c r="J4839" s="15">
        <v>1.100455874986545</v>
      </c>
      <c r="K4839" s="15">
        <v>1.0378924890799406</v>
      </c>
      <c r="L4839" s="15">
        <v>1.0378924890799406</v>
      </c>
      <c r="M4839" s="15" t="s">
        <v>10</v>
      </c>
      <c r="N4839" s="15" t="s">
        <v>10</v>
      </c>
      <c r="O4839" s="15" t="s">
        <v>10</v>
      </c>
      <c r="P4839" s="15" t="s">
        <v>10</v>
      </c>
      <c r="Q4839" s="8"/>
      <c r="R4839" s="9" t="s">
        <v>4381</v>
      </c>
    </row>
    <row r="4840" spans="1:18" x14ac:dyDescent="0.25">
      <c r="A4840" s="6" t="str">
        <f>HYPERLINK("proteomic_fractions_linear_files/Yang_linear_img/158631246.jpg", "158631246")</f>
        <v>158631246</v>
      </c>
      <c r="B4840" s="7"/>
      <c r="C4840" s="6" t="str">
        <f>HYPERLINK("http://www.ncbi.nlm.nih.gov/protein/158631246","Ndufb11")</f>
        <v>Ndufb11</v>
      </c>
      <c r="D4840" s="8"/>
      <c r="E4840" s="8">
        <v>14343</v>
      </c>
      <c r="F4840" s="8"/>
      <c r="G4840" s="15">
        <v>1.6506838124798175</v>
      </c>
      <c r="H4840" s="15">
        <v>1.6506838124798175</v>
      </c>
      <c r="I4840" s="15">
        <v>1.1376744130844125</v>
      </c>
      <c r="J4840" s="15">
        <v>1.1376744130844125</v>
      </c>
      <c r="K4840" s="15">
        <v>1.1940338943290729</v>
      </c>
      <c r="L4840" s="15">
        <v>1.1940338943290729</v>
      </c>
      <c r="M4840" s="15" t="s">
        <v>10</v>
      </c>
      <c r="N4840" s="15" t="s">
        <v>10</v>
      </c>
      <c r="O4840" s="15" t="s">
        <v>10</v>
      </c>
      <c r="P4840" s="15" t="s">
        <v>10</v>
      </c>
      <c r="Q4840" s="8"/>
      <c r="R4840" s="9" t="s">
        <v>4382</v>
      </c>
    </row>
    <row r="4841" spans="1:18" x14ac:dyDescent="0.25">
      <c r="A4841" s="6" t="str">
        <f>HYPERLINK("proteomic_fractions_linear_files/Yang_linear_img/13385054.jpg", "13385054")</f>
        <v>13385054</v>
      </c>
      <c r="B4841" s="7"/>
      <c r="C4841" s="6" t="str">
        <f>HYPERLINK("http://www.ncbi.nlm.nih.gov/protein/13385054","Ndufb3")</f>
        <v>Ndufb3</v>
      </c>
      <c r="D4841" s="8"/>
      <c r="E4841" s="8">
        <v>11561</v>
      </c>
      <c r="F4841" s="8"/>
      <c r="G4841" s="15">
        <v>1.716453432221356</v>
      </c>
      <c r="H4841" s="15">
        <v>1.716453432221356</v>
      </c>
      <c r="I4841" s="15">
        <v>1.1571542083280542</v>
      </c>
      <c r="J4841" s="15">
        <v>1.1571542083280542</v>
      </c>
      <c r="K4841" s="15">
        <v>1.209789476822529</v>
      </c>
      <c r="L4841" s="15">
        <v>1.209789476822529</v>
      </c>
      <c r="M4841" s="15" t="s">
        <v>10</v>
      </c>
      <c r="N4841" s="15" t="s">
        <v>10</v>
      </c>
      <c r="O4841" s="15" t="s">
        <v>10</v>
      </c>
      <c r="P4841" s="15" t="s">
        <v>10</v>
      </c>
      <c r="Q4841" s="8"/>
      <c r="R4841" s="9" t="s">
        <v>4383</v>
      </c>
    </row>
    <row r="4842" spans="1:18" x14ac:dyDescent="0.25">
      <c r="A4842" s="6" t="str">
        <f>HYPERLINK("proteomic_fractions_linear_files/Yang_linear_img/27754144.jpg", "27754144")</f>
        <v>27754144</v>
      </c>
      <c r="B4842" s="7"/>
      <c r="C4842" s="6" t="str">
        <f>HYPERLINK("http://www.ncbi.nlm.nih.gov/protein/27754144","Ndufb5")</f>
        <v>Ndufb5</v>
      </c>
      <c r="D4842" s="8"/>
      <c r="E4842" s="8">
        <v>16858</v>
      </c>
      <c r="F4842" s="8"/>
      <c r="G4842" s="15">
        <v>1.3593866691010261</v>
      </c>
      <c r="H4842" s="15">
        <v>1.3593866691010261</v>
      </c>
      <c r="I4842" s="15">
        <v>0.98332203062394252</v>
      </c>
      <c r="J4842" s="15">
        <v>0.98332203062394252</v>
      </c>
      <c r="K4842" s="15">
        <v>0.93690834018716329</v>
      </c>
      <c r="L4842" s="15">
        <v>0.93690834018716329</v>
      </c>
      <c r="M4842" s="15" t="s">
        <v>10</v>
      </c>
      <c r="N4842" s="15" t="s">
        <v>10</v>
      </c>
      <c r="O4842" s="15" t="s">
        <v>10</v>
      </c>
      <c r="P4842" s="15" t="s">
        <v>10</v>
      </c>
      <c r="Q4842" s="8"/>
      <c r="R4842" s="9" t="s">
        <v>4384</v>
      </c>
    </row>
    <row r="4843" spans="1:18" x14ac:dyDescent="0.25">
      <c r="A4843" s="6" t="str">
        <f>HYPERLINK("proteomic_fractions_linear_files/Yang_linear_img/84781779.jpg", "84781779")</f>
        <v>84781779</v>
      </c>
      <c r="B4843" s="7"/>
      <c r="C4843" s="6" t="str">
        <f>HYPERLINK("http://www.ncbi.nlm.nih.gov/protein/84781779","Ndufb6")</f>
        <v>Ndufb6</v>
      </c>
      <c r="D4843" s="8"/>
      <c r="E4843" s="8">
        <v>15384</v>
      </c>
      <c r="F4843" s="8"/>
      <c r="G4843" s="15">
        <v>1.540638224981163</v>
      </c>
      <c r="H4843" s="15">
        <v>1.540638224981163</v>
      </c>
      <c r="I4843" s="15">
        <v>1.0618294522121183</v>
      </c>
      <c r="J4843" s="15">
        <v>1.0618294522121183</v>
      </c>
      <c r="K4843" s="15" t="s">
        <v>10</v>
      </c>
      <c r="L4843" s="15" t="s">
        <v>10</v>
      </c>
      <c r="M4843" s="15" t="s">
        <v>10</v>
      </c>
      <c r="N4843" s="15" t="s">
        <v>10</v>
      </c>
      <c r="O4843" s="15" t="s">
        <v>10</v>
      </c>
      <c r="P4843" s="15" t="s">
        <v>10</v>
      </c>
      <c r="Q4843" s="8"/>
      <c r="R4843" s="9" t="s">
        <v>4385</v>
      </c>
    </row>
    <row r="4844" spans="1:18" x14ac:dyDescent="0.25">
      <c r="A4844" s="6" t="str">
        <f>HYPERLINK("proteomic_fractions_linear_files/Yang_linear_img/13385322.jpg", "13385322")</f>
        <v>13385322</v>
      </c>
      <c r="B4844" s="7"/>
      <c r="C4844" s="6" t="str">
        <f>HYPERLINK("http://www.ncbi.nlm.nih.gov/protein/13385322","Ndufb7")</f>
        <v>Ndufb7</v>
      </c>
      <c r="D4844" s="8"/>
      <c r="E4844" s="8">
        <v>16200</v>
      </c>
      <c r="F4844" s="8"/>
      <c r="G4844" s="15">
        <v>1.5346762883298073</v>
      </c>
      <c r="H4844" s="15">
        <v>1.5346762883298073</v>
      </c>
      <c r="I4844" s="15">
        <v>1.0447796575379389</v>
      </c>
      <c r="J4844" s="15">
        <v>1.0447796575379389</v>
      </c>
      <c r="K4844" s="15">
        <v>1.0447796575379389</v>
      </c>
      <c r="L4844" s="15">
        <v>1.0447796575379389</v>
      </c>
      <c r="M4844" s="15" t="s">
        <v>10</v>
      </c>
      <c r="N4844" s="15" t="s">
        <v>10</v>
      </c>
      <c r="O4844" s="15" t="s">
        <v>10</v>
      </c>
      <c r="P4844" s="15" t="s">
        <v>10</v>
      </c>
      <c r="Q4844" s="8"/>
      <c r="R4844" s="9" t="s">
        <v>4386</v>
      </c>
    </row>
    <row r="4845" spans="1:18" x14ac:dyDescent="0.25">
      <c r="A4845" s="6" t="str">
        <f>HYPERLINK("proteomic_fractions_linear_files/Yang_linear_img/13385558.jpg", "13385558")</f>
        <v>13385558</v>
      </c>
      <c r="B4845" s="7"/>
      <c r="C4845" s="6" t="str">
        <f>HYPERLINK("http://www.ncbi.nlm.nih.gov/protein/13385558","Ndufb8")</f>
        <v>Ndufb8</v>
      </c>
      <c r="D4845" s="8"/>
      <c r="E4845" s="8">
        <v>18816</v>
      </c>
      <c r="F4845" s="8"/>
      <c r="G4845" s="15">
        <v>1.3763293744960527</v>
      </c>
      <c r="H4845" s="15">
        <v>1.3763293744960527</v>
      </c>
      <c r="I4845" s="15">
        <v>0.92473367186099831</v>
      </c>
      <c r="J4845" s="15">
        <v>0.92473367186099831</v>
      </c>
      <c r="K4845" s="15">
        <v>0.97343679813495176</v>
      </c>
      <c r="L4845" s="15">
        <v>0.97343679813495176</v>
      </c>
      <c r="M4845" s="15" t="s">
        <v>10</v>
      </c>
      <c r="N4845" s="15" t="s">
        <v>10</v>
      </c>
      <c r="O4845" s="15" t="s">
        <v>10</v>
      </c>
      <c r="P4845" s="15" t="s">
        <v>10</v>
      </c>
      <c r="Q4845" s="8"/>
      <c r="R4845" s="9" t="s">
        <v>4387</v>
      </c>
    </row>
    <row r="4846" spans="1:18" x14ac:dyDescent="0.25">
      <c r="A4846" s="6" t="str">
        <f>HYPERLINK("proteomic_fractions_linear_files/Yang_linear_img/29789148.jpg", "29789148")</f>
        <v>29789148</v>
      </c>
      <c r="B4846" s="7"/>
      <c r="C4846" s="6" t="str">
        <f>HYPERLINK("http://www.ncbi.nlm.nih.gov/protein/29789148","Ndufb9")</f>
        <v>Ndufb9</v>
      </c>
      <c r="D4846" s="8"/>
      <c r="E4846" s="8">
        <v>21853</v>
      </c>
      <c r="F4846" s="8"/>
      <c r="G4846" s="15">
        <v>1.3584275859869606</v>
      </c>
      <c r="H4846" s="15">
        <v>1.3584275859869606</v>
      </c>
      <c r="I4846" s="15">
        <v>0.93624732666619426</v>
      </c>
      <c r="J4846" s="15">
        <v>0.93624732666619426</v>
      </c>
      <c r="K4846" s="15" t="s">
        <v>10</v>
      </c>
      <c r="L4846" s="15" t="s">
        <v>10</v>
      </c>
      <c r="M4846" s="15" t="s">
        <v>10</v>
      </c>
      <c r="N4846" s="15" t="s">
        <v>10</v>
      </c>
      <c r="O4846" s="15" t="s">
        <v>10</v>
      </c>
      <c r="P4846" s="15" t="s">
        <v>10</v>
      </c>
      <c r="Q4846" s="8"/>
      <c r="R4846" s="9" t="s">
        <v>4388</v>
      </c>
    </row>
    <row r="4847" spans="1:18" x14ac:dyDescent="0.25">
      <c r="A4847" s="6" t="str">
        <f>HYPERLINK("proteomic_fractions_linear_files/Yang_linear_img/18859597.jpg", "18859597")</f>
        <v>18859597</v>
      </c>
      <c r="B4847" s="7"/>
      <c r="C4847" s="6" t="str">
        <f>HYPERLINK("http://www.ncbi.nlm.nih.gov/protein/18859597","Ndufc2")</f>
        <v>Ndufc2</v>
      </c>
      <c r="D4847" s="8"/>
      <c r="E4847" s="8">
        <v>14033</v>
      </c>
      <c r="F4847" s="8"/>
      <c r="G4847" s="15">
        <v>1.4712457990468766</v>
      </c>
      <c r="H4847" s="15">
        <v>1.5568387336199108</v>
      </c>
      <c r="I4847" s="15">
        <v>0.99184646428118928</v>
      </c>
      <c r="J4847" s="15">
        <v>0.99184646428118928</v>
      </c>
      <c r="K4847" s="15">
        <v>1.0369624087050249</v>
      </c>
      <c r="L4847" s="15">
        <v>1.0369624087050249</v>
      </c>
      <c r="M4847" s="15" t="s">
        <v>10</v>
      </c>
      <c r="N4847" s="15" t="s">
        <v>10</v>
      </c>
      <c r="O4847" s="15" t="s">
        <v>10</v>
      </c>
      <c r="P4847" s="15" t="s">
        <v>10</v>
      </c>
      <c r="Q4847" s="8"/>
      <c r="R4847" s="9" t="s">
        <v>4389</v>
      </c>
    </row>
    <row r="4848" spans="1:18" x14ac:dyDescent="0.25">
      <c r="A4848" s="6" t="str">
        <f>HYPERLINK("proteomic_fractions_linear_files/Yang_linear_img/229892316.jpg", "229892316")</f>
        <v>229892316</v>
      </c>
      <c r="B4848" s="7"/>
      <c r="C4848" s="6" t="str">
        <f>HYPERLINK("http://www.ncbi.nlm.nih.gov/protein/229892316","Ndufs1")</f>
        <v>Ndufs1</v>
      </c>
      <c r="D4848" s="8"/>
      <c r="E4848" s="8">
        <v>77211</v>
      </c>
      <c r="F4848" s="8"/>
      <c r="G4848" s="15">
        <v>1.4259943353393696</v>
      </c>
      <c r="H4848" s="15">
        <v>1.4259943353393696</v>
      </c>
      <c r="I4848" s="15">
        <v>1.079203356794076</v>
      </c>
      <c r="J4848" s="15">
        <v>1.079203356794076</v>
      </c>
      <c r="K4848" s="15">
        <v>1.079203356794076</v>
      </c>
      <c r="L4848" s="15">
        <v>1.079203356794076</v>
      </c>
      <c r="M4848" s="15" t="s">
        <v>10</v>
      </c>
      <c r="N4848" s="15" t="s">
        <v>10</v>
      </c>
      <c r="O4848" s="15" t="s">
        <v>10</v>
      </c>
      <c r="P4848" s="15" t="s">
        <v>10</v>
      </c>
      <c r="Q4848" s="8"/>
      <c r="R4848" s="9" t="s">
        <v>4390</v>
      </c>
    </row>
    <row r="4849" spans="1:18" x14ac:dyDescent="0.25">
      <c r="A4849" s="6" t="str">
        <f>HYPERLINK("proteomic_fractions_linear_files/Yang_linear_img/23346461.jpg", "23346461")</f>
        <v>23346461</v>
      </c>
      <c r="B4849" s="7"/>
      <c r="C4849" s="6" t="str">
        <f>HYPERLINK("http://www.ncbi.nlm.nih.gov/protein/23346461","Ndufs2")</f>
        <v>Ndufs2</v>
      </c>
      <c r="D4849" s="8"/>
      <c r="E4849" s="8">
        <v>49230</v>
      </c>
      <c r="F4849" s="8"/>
      <c r="G4849" s="15">
        <v>1.1994532160325275</v>
      </c>
      <c r="H4849" s="15">
        <v>1.1994532160325275</v>
      </c>
      <c r="I4849" s="15">
        <v>0.90052222952990757</v>
      </c>
      <c r="J4849" s="15">
        <v>0.90052222952990757</v>
      </c>
      <c r="K4849" s="15">
        <v>0.90052222952990757</v>
      </c>
      <c r="L4849" s="15">
        <v>0.90052222952990757</v>
      </c>
      <c r="M4849" s="15" t="s">
        <v>10</v>
      </c>
      <c r="N4849" s="15" t="s">
        <v>10</v>
      </c>
      <c r="O4849" s="15" t="s">
        <v>10</v>
      </c>
      <c r="P4849" s="15" t="s">
        <v>10</v>
      </c>
      <c r="Q4849" s="8"/>
      <c r="R4849" s="9" t="s">
        <v>4391</v>
      </c>
    </row>
    <row r="4850" spans="1:18" x14ac:dyDescent="0.25">
      <c r="A4850" s="6" t="str">
        <f>HYPERLINK("proteomic_fractions_linear_files/Yang_linear_img/58037117.jpg", "58037117")</f>
        <v>58037117</v>
      </c>
      <c r="B4850" s="7"/>
      <c r="C4850" s="6" t="str">
        <f>HYPERLINK("http://www.ncbi.nlm.nih.gov/protein/58037117","Ndufs3")</f>
        <v>Ndufs3</v>
      </c>
      <c r="D4850" s="8"/>
      <c r="E4850" s="8">
        <v>26479</v>
      </c>
      <c r="F4850" s="8"/>
      <c r="G4850" s="15">
        <v>1.3289760204028918</v>
      </c>
      <c r="H4850" s="15">
        <v>1.3289760204028918</v>
      </c>
      <c r="I4850" s="15">
        <v>0.94441617743372752</v>
      </c>
      <c r="J4850" s="15">
        <v>0.94441617743372752</v>
      </c>
      <c r="K4850" s="15">
        <v>1.0057791582855768</v>
      </c>
      <c r="L4850" s="15">
        <v>1.0057791582855768</v>
      </c>
      <c r="M4850" s="15">
        <v>0.94441617743372752</v>
      </c>
      <c r="N4850" s="15">
        <v>0.94441617743372752</v>
      </c>
      <c r="O4850" s="15" t="s">
        <v>10</v>
      </c>
      <c r="P4850" s="15" t="s">
        <v>10</v>
      </c>
      <c r="Q4850" s="8"/>
      <c r="R4850" s="9" t="s">
        <v>4392</v>
      </c>
    </row>
    <row r="4851" spans="1:18" x14ac:dyDescent="0.25">
      <c r="A4851" s="6" t="str">
        <f>HYPERLINK("proteomic_fractions_linear_files/Yang_linear_img/281485615.jpg", "281485615")</f>
        <v>281485615</v>
      </c>
      <c r="B4851" s="7"/>
      <c r="C4851" s="6" t="str">
        <f>HYPERLINK("http://www.ncbi.nlm.nih.gov/protein/281485615","Ndufs4")</f>
        <v>Ndufs4</v>
      </c>
      <c r="D4851" s="8"/>
      <c r="E4851" s="8">
        <v>15325</v>
      </c>
      <c r="F4851" s="8"/>
      <c r="G4851" s="15">
        <v>1.4530494847119166</v>
      </c>
      <c r="H4851" s="15">
        <v>1.4530494847119166</v>
      </c>
      <c r="I4851" s="15">
        <v>1.1144316347071348</v>
      </c>
      <c r="J4851" s="15">
        <v>1.1144316347071348</v>
      </c>
      <c r="K4851" s="15">
        <v>1.1713293176905979</v>
      </c>
      <c r="L4851" s="15">
        <v>1.1713293176905979</v>
      </c>
      <c r="M4851" s="15" t="s">
        <v>10</v>
      </c>
      <c r="N4851" s="15" t="s">
        <v>10</v>
      </c>
      <c r="O4851" s="15" t="s">
        <v>10</v>
      </c>
      <c r="P4851" s="15" t="s">
        <v>10</v>
      </c>
      <c r="Q4851" s="8"/>
      <c r="R4851" s="9" t="s">
        <v>4393</v>
      </c>
    </row>
    <row r="4852" spans="1:18" x14ac:dyDescent="0.25">
      <c r="A4852" s="6" t="str">
        <f>HYPERLINK("proteomic_fractions_linear_files/Yang_linear_img/56711244.jpg", "56711244")</f>
        <v>56711244</v>
      </c>
      <c r="B4852" s="7"/>
      <c r="C4852" s="6" t="str">
        <f>HYPERLINK("http://www.ncbi.nlm.nih.gov/protein/56711244","Ndufs6")</f>
        <v>Ndufs6</v>
      </c>
      <c r="D4852" s="8"/>
      <c r="E4852" s="8">
        <v>10777</v>
      </c>
      <c r="F4852" s="8"/>
      <c r="G4852" s="15">
        <v>1.7728318025486614</v>
      </c>
      <c r="H4852" s="15">
        <v>1.7728318025486614</v>
      </c>
      <c r="I4852" s="15">
        <v>1.2088240020910486</v>
      </c>
      <c r="J4852" s="15">
        <v>1.2088240020910486</v>
      </c>
      <c r="K4852" s="15">
        <v>1.2088240020910486</v>
      </c>
      <c r="L4852" s="15">
        <v>1.2088240020910486</v>
      </c>
      <c r="M4852" s="15" t="s">
        <v>10</v>
      </c>
      <c r="N4852" s="15" t="s">
        <v>10</v>
      </c>
      <c r="O4852" s="15" t="s">
        <v>10</v>
      </c>
      <c r="P4852" s="15" t="s">
        <v>10</v>
      </c>
      <c r="Q4852" s="8"/>
      <c r="R4852" s="9" t="s">
        <v>4394</v>
      </c>
    </row>
    <row r="4853" spans="1:18" x14ac:dyDescent="0.25">
      <c r="A4853" s="6" t="str">
        <f>HYPERLINK("proteomic_fractions_linear_files/Yang_linear_img/21312950.jpg", "21312950")</f>
        <v>21312950</v>
      </c>
      <c r="B4853" s="7"/>
      <c r="C4853" s="6" t="str">
        <f>HYPERLINK("http://www.ncbi.nlm.nih.gov/protein/21312950","Ndufs7")</f>
        <v>Ndufs7</v>
      </c>
      <c r="D4853" s="8"/>
      <c r="E4853" s="8">
        <v>21017</v>
      </c>
      <c r="F4853" s="8"/>
      <c r="G4853" s="15">
        <v>1.4231146138911015</v>
      </c>
      <c r="H4853" s="15">
        <v>1.4231146138911015</v>
      </c>
      <c r="I4853" s="15">
        <v>0.98083053269791776</v>
      </c>
      <c r="J4853" s="15">
        <v>0.98083053269791776</v>
      </c>
      <c r="K4853" s="15">
        <v>0.98083053269791776</v>
      </c>
      <c r="L4853" s="15">
        <v>0.98083053269791776</v>
      </c>
      <c r="M4853" s="15" t="s">
        <v>10</v>
      </c>
      <c r="N4853" s="15" t="s">
        <v>10</v>
      </c>
      <c r="O4853" s="15" t="s">
        <v>10</v>
      </c>
      <c r="P4853" s="15" t="s">
        <v>10</v>
      </c>
      <c r="Q4853" s="8"/>
      <c r="R4853" s="9" t="s">
        <v>4395</v>
      </c>
    </row>
    <row r="4854" spans="1:18" x14ac:dyDescent="0.25">
      <c r="A4854" s="6" t="str">
        <f>HYPERLINK("proteomic_fractions_linear_files/Yang_linear_img/46195430.jpg", "46195430")</f>
        <v>46195430</v>
      </c>
      <c r="B4854" s="7"/>
      <c r="C4854" s="6" t="str">
        <f>HYPERLINK("http://www.ncbi.nlm.nih.gov/protein/46195430","Ndufs8")</f>
        <v>Ndufs8</v>
      </c>
      <c r="D4854" s="8"/>
      <c r="E4854" s="8">
        <v>20442</v>
      </c>
      <c r="F4854" s="8"/>
      <c r="G4854" s="15">
        <v>1.6042036427866795</v>
      </c>
      <c r="H4854" s="15">
        <v>1.6042036427866795</v>
      </c>
      <c r="I4854" s="15">
        <v>1.0897871135339376</v>
      </c>
      <c r="J4854" s="15">
        <v>1.0897871135339376</v>
      </c>
      <c r="K4854" s="15">
        <v>1.0897871135339376</v>
      </c>
      <c r="L4854" s="15">
        <v>1.0897871135339376</v>
      </c>
      <c r="M4854" s="15" t="s">
        <v>10</v>
      </c>
      <c r="N4854" s="15" t="s">
        <v>10</v>
      </c>
      <c r="O4854" s="15" t="s">
        <v>10</v>
      </c>
      <c r="P4854" s="15" t="s">
        <v>10</v>
      </c>
      <c r="Q4854" s="8"/>
      <c r="R4854" s="9" t="s">
        <v>4396</v>
      </c>
    </row>
    <row r="4855" spans="1:18" x14ac:dyDescent="0.25">
      <c r="A4855" s="6" t="str">
        <f>HYPERLINK("proteomic_fractions_linear_files/Yang_linear_img/19526814.jpg", "19526814")</f>
        <v>19526814</v>
      </c>
      <c r="B4855" s="7"/>
      <c r="C4855" s="6" t="str">
        <f>HYPERLINK("http://www.ncbi.nlm.nih.gov/protein/19526814","Ndufv1")</f>
        <v>Ndufv1</v>
      </c>
      <c r="D4855" s="8"/>
      <c r="E4855" s="8">
        <v>48627</v>
      </c>
      <c r="F4855" s="8"/>
      <c r="G4855" s="15">
        <v>1.3357808842968231</v>
      </c>
      <c r="H4855" s="15">
        <v>1.3357808842968231</v>
      </c>
      <c r="I4855" s="15">
        <v>0.9855097058043929</v>
      </c>
      <c r="J4855" s="15">
        <v>0.9855097058043929</v>
      </c>
      <c r="K4855" s="15">
        <v>1.0840932577551241</v>
      </c>
      <c r="L4855" s="15">
        <v>1.0840932577551241</v>
      </c>
      <c r="M4855" s="15" t="s">
        <v>10</v>
      </c>
      <c r="N4855" s="15" t="s">
        <v>10</v>
      </c>
      <c r="O4855" s="15" t="s">
        <v>10</v>
      </c>
      <c r="P4855" s="15" t="s">
        <v>10</v>
      </c>
      <c r="Q4855" s="8"/>
      <c r="R4855" s="9" t="s">
        <v>4397</v>
      </c>
    </row>
    <row r="4856" spans="1:18" x14ac:dyDescent="0.25">
      <c r="A4856" s="6" t="str">
        <f>HYPERLINK("proteomic_fractions_linear_files/Yang_linear_img/510025446.jpg", "510025446")</f>
        <v>510025446</v>
      </c>
      <c r="B4856" s="7"/>
      <c r="C4856" s="6" t="str">
        <f>HYPERLINK("http://www.ncbi.nlm.nih.gov/protein/510025446","Ndufv2")</f>
        <v>Ndufv2</v>
      </c>
      <c r="D4856" s="8"/>
      <c r="E4856" s="8">
        <v>16605</v>
      </c>
      <c r="F4856" s="8"/>
      <c r="G4856" s="15">
        <v>1.8872984032784463</v>
      </c>
      <c r="H4856" s="15">
        <v>1.8872984032784463</v>
      </c>
      <c r="I4856" s="15" t="s">
        <v>10</v>
      </c>
      <c r="J4856" s="15" t="s">
        <v>10</v>
      </c>
      <c r="K4856" s="15" t="s">
        <v>10</v>
      </c>
      <c r="L4856" s="15" t="s">
        <v>10</v>
      </c>
      <c r="M4856" s="15" t="s">
        <v>10</v>
      </c>
      <c r="N4856" s="15" t="s">
        <v>10</v>
      </c>
      <c r="O4856" s="15" t="s">
        <v>10</v>
      </c>
      <c r="P4856" s="15" t="s">
        <v>10</v>
      </c>
      <c r="Q4856" s="8"/>
      <c r="R4856" s="9" t="s">
        <v>4398</v>
      </c>
    </row>
    <row r="4857" spans="1:18" x14ac:dyDescent="0.25">
      <c r="A4857" s="6" t="str">
        <f>HYPERLINK("proteomic_fractions_linear_files/Yang_linear_img/110625954.jpg", "110625954")</f>
        <v>110625954</v>
      </c>
      <c r="B4857" s="7"/>
      <c r="C4857" s="6" t="str">
        <f>HYPERLINK("http://www.ncbi.nlm.nih.gov/protein/110625954","Ndufv2")</f>
        <v>Ndufv2</v>
      </c>
      <c r="D4857" s="8"/>
      <c r="E4857" s="8">
        <v>23847</v>
      </c>
      <c r="F4857" s="8"/>
      <c r="G4857" s="15">
        <v>1.3368363689888996</v>
      </c>
      <c r="H4857" s="15">
        <v>1.3368363689888996</v>
      </c>
      <c r="I4857" s="15">
        <v>0.96289889061322687</v>
      </c>
      <c r="J4857" s="15">
        <v>0.96289889061322687</v>
      </c>
      <c r="K4857" s="15">
        <v>0.96289889061322687</v>
      </c>
      <c r="L4857" s="15">
        <v>0.96289889061322687</v>
      </c>
      <c r="M4857" s="15" t="s">
        <v>10</v>
      </c>
      <c r="N4857" s="15" t="s">
        <v>10</v>
      </c>
      <c r="O4857" s="15" t="s">
        <v>10</v>
      </c>
      <c r="P4857" s="15" t="s">
        <v>10</v>
      </c>
      <c r="Q4857" s="8"/>
      <c r="R4857" s="9" t="s">
        <v>4399</v>
      </c>
    </row>
    <row r="4858" spans="1:18" x14ac:dyDescent="0.25">
      <c r="A4858" s="6" t="str">
        <f>HYPERLINK("proteomic_fractions_linear_files/Yang_linear_img/140969946.jpg", "140969946")</f>
        <v>140969946</v>
      </c>
      <c r="B4858" s="7"/>
      <c r="C4858" s="6" t="str">
        <f>HYPERLINK("http://www.ncbi.nlm.nih.gov/protein/140969946","Ndufv3")</f>
        <v>Ndufv3</v>
      </c>
      <c r="D4858" s="8"/>
      <c r="E4858" s="8">
        <v>8028</v>
      </c>
      <c r="F4858" s="8"/>
      <c r="G4858" s="15">
        <v>1.5291076615414196</v>
      </c>
      <c r="H4858" s="15">
        <v>1.5291076615414196</v>
      </c>
      <c r="I4858" s="15" t="s">
        <v>10</v>
      </c>
      <c r="J4858" s="15" t="s">
        <v>10</v>
      </c>
      <c r="K4858" s="15" t="s">
        <v>10</v>
      </c>
      <c r="L4858" s="15" t="s">
        <v>10</v>
      </c>
      <c r="M4858" s="15" t="s">
        <v>10</v>
      </c>
      <c r="N4858" s="15" t="s">
        <v>10</v>
      </c>
      <c r="O4858" s="15" t="s">
        <v>10</v>
      </c>
      <c r="P4858" s="15" t="s">
        <v>10</v>
      </c>
      <c r="Q4858" s="8"/>
      <c r="R4858" s="9" t="s">
        <v>4400</v>
      </c>
    </row>
    <row r="4859" spans="1:18" x14ac:dyDescent="0.25">
      <c r="A4859" s="6" t="str">
        <f>HYPERLINK("proteomic_fractions_linear_files/Yang_linear_img/140972309.jpg", "140972309")</f>
        <v>140972309</v>
      </c>
      <c r="B4859" s="7"/>
      <c r="C4859" s="6" t="str">
        <f>HYPERLINK("http://www.ncbi.nlm.nih.gov/protein/140972309","Ndufv3")</f>
        <v>Ndufv3</v>
      </c>
      <c r="D4859" s="8"/>
      <c r="E4859" s="8">
        <v>46713</v>
      </c>
      <c r="F4859" s="8"/>
      <c r="G4859" s="15">
        <v>1.2504937784168904</v>
      </c>
      <c r="H4859" s="15">
        <v>1.2504937784168904</v>
      </c>
      <c r="I4859" s="15">
        <v>1.3926226240541346</v>
      </c>
      <c r="J4859" s="15">
        <v>1.3926226240541346</v>
      </c>
      <c r="K4859" s="15" t="s">
        <v>10</v>
      </c>
      <c r="L4859" s="15" t="s">
        <v>10</v>
      </c>
      <c r="M4859" s="15" t="s">
        <v>10</v>
      </c>
      <c r="N4859" s="15" t="s">
        <v>10</v>
      </c>
      <c r="O4859" s="15" t="s">
        <v>10</v>
      </c>
      <c r="P4859" s="15" t="s">
        <v>10</v>
      </c>
      <c r="Q4859" s="8"/>
      <c r="R4859" s="9" t="s">
        <v>4401</v>
      </c>
    </row>
    <row r="4860" spans="1:18" x14ac:dyDescent="0.25">
      <c r="A4860" s="6" t="str">
        <f>HYPERLINK("proteomic_fractions_linear_files/Yang_linear_img/21311871.jpg", "21311871")</f>
        <v>21311871</v>
      </c>
      <c r="B4860" s="7"/>
      <c r="C4860" s="6" t="str">
        <f>HYPERLINK("http://www.ncbi.nlm.nih.gov/protein/21311871","Nebl")</f>
        <v>Nebl</v>
      </c>
      <c r="D4860" s="8"/>
      <c r="E4860" s="8">
        <v>30982</v>
      </c>
      <c r="F4860" s="8"/>
      <c r="G4860" s="15">
        <v>1.557741147884363</v>
      </c>
      <c r="H4860" s="15">
        <v>1.557741147884363</v>
      </c>
      <c r="I4860" s="15" t="s">
        <v>10</v>
      </c>
      <c r="J4860" s="15" t="s">
        <v>10</v>
      </c>
      <c r="K4860" s="15" t="s">
        <v>10</v>
      </c>
      <c r="L4860" s="15" t="s">
        <v>10</v>
      </c>
      <c r="M4860" s="15" t="s">
        <v>10</v>
      </c>
      <c r="N4860" s="15" t="s">
        <v>10</v>
      </c>
      <c r="O4860" s="15" t="s">
        <v>10</v>
      </c>
      <c r="P4860" s="15" t="s">
        <v>10</v>
      </c>
      <c r="Q4860" s="8"/>
      <c r="R4860" s="9" t="s">
        <v>4402</v>
      </c>
    </row>
    <row r="4861" spans="1:18" x14ac:dyDescent="0.25">
      <c r="A4861" s="6" t="str">
        <f>HYPERLINK("proteomic_fractions_linear_files/Yang_linear_img/27229051.jpg", "27229051")</f>
        <v>27229051</v>
      </c>
      <c r="B4861" s="7"/>
      <c r="C4861" s="6" t="str">
        <f>HYPERLINK("http://www.ncbi.nlm.nih.gov/protein/27229051","Necap1")</f>
        <v>Necap1</v>
      </c>
      <c r="D4861" s="8"/>
      <c r="E4861" s="8">
        <v>29508</v>
      </c>
      <c r="F4861" s="8"/>
      <c r="G4861" s="15" t="s">
        <v>10</v>
      </c>
      <c r="H4861" s="15" t="s">
        <v>10</v>
      </c>
      <c r="I4861" s="15" t="s">
        <v>10</v>
      </c>
      <c r="J4861" s="15" t="s">
        <v>10</v>
      </c>
      <c r="K4861" s="15" t="s">
        <v>10</v>
      </c>
      <c r="L4861" s="15" t="s">
        <v>10</v>
      </c>
      <c r="M4861" s="15" t="s">
        <v>10</v>
      </c>
      <c r="N4861" s="15" t="s">
        <v>10</v>
      </c>
      <c r="O4861" s="15">
        <v>1.0694690951911197</v>
      </c>
      <c r="P4861" s="15">
        <v>1.0694690951911197</v>
      </c>
      <c r="Q4861" s="8"/>
      <c r="R4861" s="9" t="s">
        <v>4403</v>
      </c>
    </row>
    <row r="4862" spans="1:18" x14ac:dyDescent="0.25">
      <c r="A4862" s="6" t="str">
        <f>HYPERLINK("proteomic_fractions_linear_files/Yang_linear_img/13384758.jpg", "13384758")</f>
        <v>13384758</v>
      </c>
      <c r="B4862" s="7"/>
      <c r="C4862" s="6" t="str">
        <f>HYPERLINK("http://www.ncbi.nlm.nih.gov/protein/13384758","Necap2")</f>
        <v>Necap2</v>
      </c>
      <c r="D4862" s="8"/>
      <c r="E4862" s="8">
        <v>28467</v>
      </c>
      <c r="F4862" s="8"/>
      <c r="G4862" s="15" t="s">
        <v>10</v>
      </c>
      <c r="H4862" s="15" t="s">
        <v>10</v>
      </c>
      <c r="I4862" s="15">
        <v>0.99707897491721642</v>
      </c>
      <c r="J4862" s="15">
        <v>0.99707897491721642</v>
      </c>
      <c r="K4862" s="15" t="s">
        <v>10</v>
      </c>
      <c r="L4862" s="15" t="s">
        <v>10</v>
      </c>
      <c r="M4862" s="15">
        <v>0.99707897491721642</v>
      </c>
      <c r="N4862" s="15">
        <v>0.99707897491721642</v>
      </c>
      <c r="O4862" s="15">
        <v>0.87695787904560418</v>
      </c>
      <c r="P4862" s="15">
        <v>0.87695787904560418</v>
      </c>
      <c r="Q4862" s="8"/>
      <c r="R4862" s="9" t="s">
        <v>4404</v>
      </c>
    </row>
    <row r="4863" spans="1:18" x14ac:dyDescent="0.25">
      <c r="A4863" s="6" t="str">
        <f>HYPERLINK("proteomic_fractions_linear_files/Yang_linear_img/171543875.jpg", "171543875")</f>
        <v>171543875</v>
      </c>
      <c r="B4863" s="7"/>
      <c r="C4863" s="6" t="str">
        <f>HYPERLINK("http://www.ncbi.nlm.nih.gov/protein/171543875","Nedd1")</f>
        <v>Nedd1</v>
      </c>
      <c r="D4863" s="8"/>
      <c r="E4863" s="8">
        <v>71161</v>
      </c>
      <c r="F4863" s="8"/>
      <c r="G4863" s="15" t="s">
        <v>10</v>
      </c>
      <c r="H4863" s="15" t="s">
        <v>10</v>
      </c>
      <c r="I4863" s="15">
        <v>0.45188835008075479</v>
      </c>
      <c r="J4863" s="15">
        <v>0.45188835008075479</v>
      </c>
      <c r="K4863" s="15">
        <v>1.1704036404668148</v>
      </c>
      <c r="L4863" s="15">
        <v>1.1704036404668148</v>
      </c>
      <c r="M4863" s="15">
        <v>0.19557535915403731</v>
      </c>
      <c r="N4863" s="15">
        <v>0.19557535915403731</v>
      </c>
      <c r="O4863" s="15" t="s">
        <v>10</v>
      </c>
      <c r="P4863" s="15" t="s">
        <v>10</v>
      </c>
      <c r="Q4863" s="8"/>
      <c r="R4863" s="9" t="s">
        <v>4405</v>
      </c>
    </row>
    <row r="4864" spans="1:18" x14ac:dyDescent="0.25">
      <c r="A4864" s="6" t="str">
        <f>HYPERLINK("proteomic_fractions_linear_files/Yang_linear_img/56699423.jpg", "56699423")</f>
        <v>56699423</v>
      </c>
      <c r="B4864" s="7"/>
      <c r="C4864" s="6" t="str">
        <f>HYPERLINK("http://www.ncbi.nlm.nih.gov/protein/56699423","Nedd4")</f>
        <v>Nedd4</v>
      </c>
      <c r="D4864" s="8"/>
      <c r="E4864" s="8">
        <v>102576</v>
      </c>
      <c r="F4864" s="8"/>
      <c r="G4864" s="15">
        <v>1.0660346002051599</v>
      </c>
      <c r="H4864" s="15">
        <v>1.0660346002051599</v>
      </c>
      <c r="I4864" s="15">
        <v>0.5157336857281658</v>
      </c>
      <c r="J4864" s="15">
        <v>0.5157336857281658</v>
      </c>
      <c r="K4864" s="15">
        <v>1.2497245450982231</v>
      </c>
      <c r="L4864" s="15">
        <v>1.2497245450982231</v>
      </c>
      <c r="M4864" s="15">
        <v>1.2497245450982231</v>
      </c>
      <c r="N4864" s="15">
        <v>1.2497245450982231</v>
      </c>
      <c r="O4864" s="15">
        <v>1.2497245450982231</v>
      </c>
      <c r="P4864" s="15">
        <v>1.2497245450982231</v>
      </c>
      <c r="Q4864" s="8"/>
      <c r="R4864" s="9" t="s">
        <v>4406</v>
      </c>
    </row>
    <row r="4865" spans="1:18" x14ac:dyDescent="0.25">
      <c r="A4865" s="6" t="str">
        <f>HYPERLINK("proteomic_fractions_linear_files/Yang_linear_img/167466243.jpg", "167466243")</f>
        <v>167466243</v>
      </c>
      <c r="B4865" s="7"/>
      <c r="C4865" s="6" t="str">
        <f>HYPERLINK("http://www.ncbi.nlm.nih.gov/protein/167466243","Nedd4l")</f>
        <v>Nedd4l</v>
      </c>
      <c r="D4865" s="8"/>
      <c r="E4865" s="8">
        <v>98325</v>
      </c>
      <c r="F4865" s="8"/>
      <c r="G4865" s="15" t="s">
        <v>10</v>
      </c>
      <c r="H4865" s="15" t="s">
        <v>10</v>
      </c>
      <c r="I4865" s="15">
        <v>0.11529223671025728</v>
      </c>
      <c r="J4865" s="15">
        <v>0.11529223671025728</v>
      </c>
      <c r="K4865" s="15">
        <v>1.3134860014807854</v>
      </c>
      <c r="L4865" s="15">
        <v>1.3134860014807854</v>
      </c>
      <c r="M4865" s="15">
        <v>1.3134860014807854</v>
      </c>
      <c r="N4865" s="15">
        <v>1.3134860014807854</v>
      </c>
      <c r="O4865" s="15">
        <v>1.3134860014807854</v>
      </c>
      <c r="P4865" s="15">
        <v>1.5658456238392024</v>
      </c>
      <c r="Q4865" s="8"/>
      <c r="R4865" s="9" t="s">
        <v>4407</v>
      </c>
    </row>
    <row r="4866" spans="1:18" x14ac:dyDescent="0.25">
      <c r="A4866" s="6" t="str">
        <f>HYPERLINK("proteomic_fractions_linear_files/Yang_linear_img/167466245.jpg", "167466245")</f>
        <v>167466245</v>
      </c>
      <c r="B4866" s="7"/>
      <c r="C4866" s="6" t="str">
        <f>HYPERLINK("http://www.ncbi.nlm.nih.gov/protein/167466245","Nedd4l")</f>
        <v>Nedd4l</v>
      </c>
      <c r="D4866" s="8"/>
      <c r="E4866" s="8">
        <v>112089</v>
      </c>
      <c r="F4866" s="8"/>
      <c r="G4866" s="15" t="s">
        <v>10</v>
      </c>
      <c r="H4866" s="15" t="s">
        <v>10</v>
      </c>
      <c r="I4866" s="15">
        <v>0.10088070712147512</v>
      </c>
      <c r="J4866" s="15">
        <v>0.10088070712147512</v>
      </c>
      <c r="K4866" s="15">
        <v>1.1493002512956871</v>
      </c>
      <c r="L4866" s="15">
        <v>1.1493002512956871</v>
      </c>
      <c r="M4866" s="15">
        <v>1.1493002512956871</v>
      </c>
      <c r="N4866" s="15">
        <v>1.1493002512956871</v>
      </c>
      <c r="O4866" s="15">
        <v>1.1493002512956871</v>
      </c>
      <c r="P4866" s="15">
        <v>1.3701149208593022</v>
      </c>
      <c r="Q4866" s="8"/>
      <c r="R4866" s="9" t="s">
        <v>4408</v>
      </c>
    </row>
    <row r="4867" spans="1:18" x14ac:dyDescent="0.25">
      <c r="A4867" s="6" t="str">
        <f>HYPERLINK("proteomic_fractions_linear_files/Yang_linear_img/6679034.jpg", "6679034")</f>
        <v>6679034</v>
      </c>
      <c r="B4867" s="7"/>
      <c r="C4867" s="6" t="str">
        <f>HYPERLINK("http://www.ncbi.nlm.nih.gov/protein/6679034","Nedd8")</f>
        <v>Nedd8</v>
      </c>
      <c r="D4867" s="8"/>
      <c r="E4867" s="8">
        <v>8841</v>
      </c>
      <c r="F4867" s="8"/>
      <c r="G4867" s="15">
        <v>1.3056572917581817</v>
      </c>
      <c r="H4867" s="15">
        <v>1.3056572917581817</v>
      </c>
      <c r="I4867" s="15">
        <v>1.3592068102590398</v>
      </c>
      <c r="J4867" s="15">
        <v>1.3592068102590398</v>
      </c>
      <c r="K4867" s="15">
        <v>1.3592068102590398</v>
      </c>
      <c r="L4867" s="15">
        <v>1.3592068102590398</v>
      </c>
      <c r="M4867" s="15" t="s">
        <v>10</v>
      </c>
      <c r="N4867" s="15" t="s">
        <v>10</v>
      </c>
      <c r="O4867" s="15" t="s">
        <v>10</v>
      </c>
      <c r="P4867" s="15" t="s">
        <v>10</v>
      </c>
      <c r="Q4867" s="8"/>
      <c r="R4867" s="9" t="s">
        <v>4409</v>
      </c>
    </row>
    <row r="4868" spans="1:18" x14ac:dyDescent="0.25">
      <c r="A4868" s="6" t="str">
        <f>HYPERLINK("proteomic_fractions_linear_files/Yang_linear_img/22094129.jpg", "22094129")</f>
        <v>22094129</v>
      </c>
      <c r="B4868" s="7"/>
      <c r="C4868" s="6" t="str">
        <f>HYPERLINK("http://www.ncbi.nlm.nih.gov/protein/22094129","Neil1")</f>
        <v>Neil1</v>
      </c>
      <c r="D4868" s="8"/>
      <c r="E4868" s="8">
        <v>43455</v>
      </c>
      <c r="F4868" s="8"/>
      <c r="G4868" s="15" t="s">
        <v>10</v>
      </c>
      <c r="H4868" s="15" t="s">
        <v>10</v>
      </c>
      <c r="I4868" s="15" t="s">
        <v>10</v>
      </c>
      <c r="J4868" s="15" t="s">
        <v>10</v>
      </c>
      <c r="K4868" s="15">
        <v>1.0261764941154761</v>
      </c>
      <c r="L4868" s="15">
        <v>1.0261764941154761</v>
      </c>
      <c r="M4868" s="15" t="s">
        <v>10</v>
      </c>
      <c r="N4868" s="15" t="s">
        <v>10</v>
      </c>
      <c r="O4868" s="15" t="s">
        <v>10</v>
      </c>
      <c r="P4868" s="15" t="s">
        <v>10</v>
      </c>
      <c r="Q4868" s="8"/>
      <c r="R4868" s="9" t="s">
        <v>4410</v>
      </c>
    </row>
    <row r="4869" spans="1:18" x14ac:dyDescent="0.25">
      <c r="A4869" s="6" t="str">
        <f>HYPERLINK("proteomic_fractions_linear_files/Yang_linear_img/124107627.jpg", "124107627")</f>
        <v>124107627</v>
      </c>
      <c r="B4869" s="7"/>
      <c r="C4869" s="6" t="str">
        <f>HYPERLINK("http://www.ncbi.nlm.nih.gov/protein/124107627","Nek1")</f>
        <v>Nek1</v>
      </c>
      <c r="D4869" s="8"/>
      <c r="E4869" s="8">
        <v>136560</v>
      </c>
      <c r="F4869" s="8"/>
      <c r="G4869" s="15">
        <v>0.93957392806654716</v>
      </c>
      <c r="H4869" s="15">
        <v>0.93957392806654716</v>
      </c>
      <c r="I4869" s="15" t="s">
        <v>10</v>
      </c>
      <c r="J4869" s="15" t="s">
        <v>10</v>
      </c>
      <c r="K4869" s="15">
        <v>0.13500218368294953</v>
      </c>
      <c r="L4869" s="15">
        <v>0.13500218368294953</v>
      </c>
      <c r="M4869" s="15">
        <v>1.7033638512981684</v>
      </c>
      <c r="N4869" s="15">
        <v>1.7033638512981684</v>
      </c>
      <c r="O4869" s="15" t="s">
        <v>10</v>
      </c>
      <c r="P4869" s="15" t="s">
        <v>10</v>
      </c>
      <c r="Q4869" s="8"/>
      <c r="R4869" s="9" t="s">
        <v>4411</v>
      </c>
    </row>
    <row r="4870" spans="1:18" x14ac:dyDescent="0.25">
      <c r="A4870" s="6" t="str">
        <f>HYPERLINK("proteomic_fractions_linear_files/Yang_linear_img/11037794.jpg", "11037794")</f>
        <v>11037794</v>
      </c>
      <c r="B4870" s="7"/>
      <c r="C4870" s="6" t="str">
        <f>HYPERLINK("http://www.ncbi.nlm.nih.gov/protein/11037794","Nek6")</f>
        <v>Nek6</v>
      </c>
      <c r="D4870" s="8"/>
      <c r="E4870" s="8">
        <v>35611</v>
      </c>
      <c r="F4870" s="8"/>
      <c r="G4870" s="15" t="s">
        <v>10</v>
      </c>
      <c r="H4870" s="15" t="s">
        <v>10</v>
      </c>
      <c r="I4870" s="15" t="s">
        <v>10</v>
      </c>
      <c r="J4870" s="15" t="s">
        <v>10</v>
      </c>
      <c r="K4870" s="15">
        <v>0.83015019143647584</v>
      </c>
      <c r="L4870" s="15">
        <v>0.83015019143647584</v>
      </c>
      <c r="M4870" s="15">
        <v>0.89122424599259964</v>
      </c>
      <c r="N4870" s="15">
        <v>0.89122424599259964</v>
      </c>
      <c r="O4870" s="15">
        <v>0.77550586938005717</v>
      </c>
      <c r="P4870" s="15">
        <v>0.77550586938005717</v>
      </c>
      <c r="Q4870" s="8"/>
      <c r="R4870" s="9" t="s">
        <v>4412</v>
      </c>
    </row>
    <row r="4871" spans="1:18" x14ac:dyDescent="0.25">
      <c r="A4871" s="6" t="str">
        <f>HYPERLINK("proteomic_fractions_linear_files/Yang_linear_img/11037792.jpg", "11037792")</f>
        <v>11037792</v>
      </c>
      <c r="B4871" s="7"/>
      <c r="C4871" s="6" t="str">
        <f>HYPERLINK("http://www.ncbi.nlm.nih.gov/protein/11037792","Nek7")</f>
        <v>Nek7</v>
      </c>
      <c r="D4871" s="8"/>
      <c r="E4871" s="8">
        <v>34406</v>
      </c>
      <c r="F4871" s="8"/>
      <c r="G4871" s="15" t="s">
        <v>10</v>
      </c>
      <c r="H4871" s="15" t="s">
        <v>10</v>
      </c>
      <c r="I4871" s="15">
        <v>0.87898255563862149</v>
      </c>
      <c r="J4871" s="15">
        <v>0.87898255563862149</v>
      </c>
      <c r="K4871" s="15">
        <v>0.87898255563862149</v>
      </c>
      <c r="L4871" s="15">
        <v>0.87898255563862149</v>
      </c>
      <c r="M4871" s="15">
        <v>0.94364920163922317</v>
      </c>
      <c r="N4871" s="15">
        <v>0.94364920163922317</v>
      </c>
      <c r="O4871" s="15">
        <v>0.82112386169653118</v>
      </c>
      <c r="P4871" s="15">
        <v>0.82112386169653118</v>
      </c>
      <c r="Q4871" s="8"/>
      <c r="R4871" s="9" t="s">
        <v>4413</v>
      </c>
    </row>
    <row r="4872" spans="1:18" x14ac:dyDescent="0.25">
      <c r="A4872" s="6" t="str">
        <f>HYPERLINK("proteomic_fractions_linear_files/Yang_linear_img/158631240.jpg", "158631240")</f>
        <v>158631240</v>
      </c>
      <c r="B4872" s="7"/>
      <c r="C4872" s="6" t="str">
        <f>HYPERLINK("http://www.ncbi.nlm.nih.gov/protein/158631240","Nek9")</f>
        <v>Nek9</v>
      </c>
      <c r="D4872" s="8"/>
      <c r="E4872" s="8">
        <v>107013</v>
      </c>
      <c r="F4872" s="8"/>
      <c r="G4872" s="15" t="s">
        <v>10</v>
      </c>
      <c r="H4872" s="15" t="s">
        <v>10</v>
      </c>
      <c r="I4872" s="15" t="s">
        <v>10</v>
      </c>
      <c r="J4872" s="15" t="s">
        <v>10</v>
      </c>
      <c r="K4872" s="15">
        <v>1.2030058705151119</v>
      </c>
      <c r="L4872" s="15">
        <v>1.2030058705151119</v>
      </c>
      <c r="M4872" s="15">
        <v>1.2030058705151119</v>
      </c>
      <c r="N4872" s="15">
        <v>1.2030058705151119</v>
      </c>
      <c r="O4872" s="15">
        <v>1.2030058705151119</v>
      </c>
      <c r="P4872" s="15">
        <v>1.2030058705151119</v>
      </c>
      <c r="Q4872" s="8"/>
      <c r="R4872" s="9" t="s">
        <v>4414</v>
      </c>
    </row>
    <row r="4873" spans="1:18" x14ac:dyDescent="0.25">
      <c r="A4873" s="6" t="str">
        <f>HYPERLINK("proteomic_fractions_linear_files/Yang_linear_img/33859652.jpg", "33859652")</f>
        <v>33859652</v>
      </c>
      <c r="B4873" s="7"/>
      <c r="C4873" s="6" t="str">
        <f>HYPERLINK("http://www.ncbi.nlm.nih.gov/protein/33859652","Nelfa")</f>
        <v>Nelfa</v>
      </c>
      <c r="D4873" s="8"/>
      <c r="E4873" s="8">
        <v>57454</v>
      </c>
      <c r="F4873" s="8"/>
      <c r="G4873" s="15" t="s">
        <v>10</v>
      </c>
      <c r="H4873" s="15" t="s">
        <v>10</v>
      </c>
      <c r="I4873" s="15" t="s">
        <v>10</v>
      </c>
      <c r="J4873" s="15" t="s">
        <v>10</v>
      </c>
      <c r="K4873" s="15">
        <v>1.2883536884505657</v>
      </c>
      <c r="L4873" s="15">
        <v>1.2883536884505657</v>
      </c>
      <c r="M4873" s="15">
        <v>1.2883536884505657</v>
      </c>
      <c r="N4873" s="15">
        <v>1.2883536884505657</v>
      </c>
      <c r="O4873" s="15" t="s">
        <v>10</v>
      </c>
      <c r="P4873" s="15" t="s">
        <v>10</v>
      </c>
      <c r="Q4873" s="8"/>
      <c r="R4873" s="9" t="s">
        <v>4415</v>
      </c>
    </row>
    <row r="4874" spans="1:18" x14ac:dyDescent="0.25">
      <c r="A4874" s="6" t="str">
        <f>HYPERLINK("proteomic_fractions_linear_files/Yang_linear_img/165377251.jpg", "165377251")</f>
        <v>165377251</v>
      </c>
      <c r="B4874" s="7"/>
      <c r="C4874" s="6" t="str">
        <f>HYPERLINK("http://www.ncbi.nlm.nih.gov/protein/165377251","Nelfb")</f>
        <v>Nelfb</v>
      </c>
      <c r="D4874" s="8"/>
      <c r="E4874" s="8">
        <v>65505</v>
      </c>
      <c r="F4874" s="8"/>
      <c r="G4874" s="15">
        <v>1.2590705829264222</v>
      </c>
      <c r="H4874" s="15">
        <v>1.2590705829264222</v>
      </c>
      <c r="I4874" s="15">
        <v>0.99171611106885349</v>
      </c>
      <c r="J4874" s="15">
        <v>0.99171611106885349</v>
      </c>
      <c r="K4874" s="15">
        <v>1.1126690945709432</v>
      </c>
      <c r="L4874" s="15">
        <v>1.1126690945709432</v>
      </c>
      <c r="M4874" s="15">
        <v>1.1126690945709432</v>
      </c>
      <c r="N4874" s="15">
        <v>1.1126690945709432</v>
      </c>
      <c r="O4874" s="15">
        <v>0.99171611106885349</v>
      </c>
      <c r="P4874" s="15">
        <v>0.99171611106885349</v>
      </c>
      <c r="Q4874" s="8"/>
      <c r="R4874" s="9" t="s">
        <v>4416</v>
      </c>
    </row>
    <row r="4875" spans="1:18" x14ac:dyDescent="0.25">
      <c r="A4875" s="6" t="str">
        <f>HYPERLINK("proteomic_fractions_linear_files/Yang_linear_img/91982765.jpg", "91982765")</f>
        <v>91982765</v>
      </c>
      <c r="B4875" s="7"/>
      <c r="C4875" s="6" t="str">
        <f>HYPERLINK("http://www.ncbi.nlm.nih.gov/protein/91982765","Nelfcd")</f>
        <v>Nelfcd</v>
      </c>
      <c r="D4875" s="8"/>
      <c r="E4875" s="8">
        <v>66145</v>
      </c>
      <c r="F4875" s="8"/>
      <c r="G4875" s="15" t="s">
        <v>10</v>
      </c>
      <c r="H4875" s="15" t="s">
        <v>10</v>
      </c>
      <c r="I4875" s="15">
        <v>0.99171611106885349</v>
      </c>
      <c r="J4875" s="15">
        <v>0.99171611106885349</v>
      </c>
      <c r="K4875" s="15">
        <v>0.99171611106885349</v>
      </c>
      <c r="L4875" s="15">
        <v>0.99171611106885349</v>
      </c>
      <c r="M4875" s="15">
        <v>0.99171611106885349</v>
      </c>
      <c r="N4875" s="15">
        <v>0.99171611106885349</v>
      </c>
      <c r="O4875" s="15" t="s">
        <v>10</v>
      </c>
      <c r="P4875" s="15" t="s">
        <v>10</v>
      </c>
      <c r="Q4875" s="8"/>
      <c r="R4875" s="9" t="s">
        <v>4417</v>
      </c>
    </row>
    <row r="4876" spans="1:18" x14ac:dyDescent="0.25">
      <c r="A4876" s="6" t="str">
        <f>HYPERLINK("proteomic_fractions_linear_files/Yang_linear_img/114052226.jpg", "114052226")</f>
        <v>114052226</v>
      </c>
      <c r="B4876" s="7"/>
      <c r="C4876" s="6" t="str">
        <f>HYPERLINK("http://www.ncbi.nlm.nih.gov/protein/114052226","Nelfe")</f>
        <v>Nelfe</v>
      </c>
      <c r="D4876" s="8"/>
      <c r="E4876" s="8">
        <v>41352</v>
      </c>
      <c r="F4876" s="8"/>
      <c r="G4876" s="15" t="s">
        <v>10</v>
      </c>
      <c r="H4876" s="15" t="s">
        <v>10</v>
      </c>
      <c r="I4876" s="15" t="s">
        <v>10</v>
      </c>
      <c r="J4876" s="15" t="s">
        <v>10</v>
      </c>
      <c r="K4876" s="15">
        <v>1.0762338840723285</v>
      </c>
      <c r="L4876" s="15">
        <v>1.0762338840723285</v>
      </c>
      <c r="M4876" s="15">
        <v>0.98798337081031085</v>
      </c>
      <c r="N4876" s="15">
        <v>0.98798337081031085</v>
      </c>
      <c r="O4876" s="15">
        <v>0.98798337081031085</v>
      </c>
      <c r="P4876" s="15">
        <v>0.98798337081031085</v>
      </c>
      <c r="Q4876" s="8"/>
      <c r="R4876" s="9" t="s">
        <v>4418</v>
      </c>
    </row>
    <row r="4877" spans="1:18" x14ac:dyDescent="0.25">
      <c r="A4877" s="6" t="str">
        <f>HYPERLINK("proteomic_fractions_linear_files/Yang_linear_img/32130521.jpg", "32130521")</f>
        <v>32130521</v>
      </c>
      <c r="B4877" s="7"/>
      <c r="C4877" s="6" t="str">
        <f>HYPERLINK("http://www.ncbi.nlm.nih.gov/protein/32130521","Nemf")</f>
        <v>Nemf</v>
      </c>
      <c r="D4877" s="8"/>
      <c r="E4877" s="8">
        <v>121057</v>
      </c>
      <c r="F4877" s="8"/>
      <c r="G4877" s="15" t="s">
        <v>10</v>
      </c>
      <c r="H4877" s="15" t="s">
        <v>10</v>
      </c>
      <c r="I4877" s="15">
        <v>1.2682055465805111</v>
      </c>
      <c r="J4877" s="15">
        <v>1.2682055465805111</v>
      </c>
      <c r="K4877" s="15">
        <v>1.5435192697515732</v>
      </c>
      <c r="L4877" s="15">
        <v>1.5435192697515732</v>
      </c>
      <c r="M4877" s="15">
        <v>1.5435192697515732</v>
      </c>
      <c r="N4877" s="15">
        <v>1.5435192697515732</v>
      </c>
      <c r="O4877" s="15" t="s">
        <v>10</v>
      </c>
      <c r="P4877" s="15" t="s">
        <v>10</v>
      </c>
      <c r="Q4877" s="8"/>
      <c r="R4877" s="9" t="s">
        <v>4419</v>
      </c>
    </row>
    <row r="4878" spans="1:18" x14ac:dyDescent="0.25">
      <c r="A4878" s="6" t="str">
        <f>HYPERLINK("proteomic_fractions_linear_files/Yang_linear_img/13384818.jpg", "13384818")</f>
        <v>13384818</v>
      </c>
      <c r="B4878" s="7"/>
      <c r="C4878" s="6" t="str">
        <f>HYPERLINK("http://www.ncbi.nlm.nih.gov/protein/13384818","Nenf")</f>
        <v>Nenf</v>
      </c>
      <c r="D4878" s="8"/>
      <c r="E4878" s="8">
        <v>15612</v>
      </c>
      <c r="F4878" s="8"/>
      <c r="G4878" s="15" t="s">
        <v>10</v>
      </c>
      <c r="H4878" s="15" t="s">
        <v>10</v>
      </c>
      <c r="I4878" s="15" t="s">
        <v>10</v>
      </c>
      <c r="J4878" s="15" t="s">
        <v>10</v>
      </c>
      <c r="K4878" s="15">
        <v>1.0447796575379389</v>
      </c>
      <c r="L4878" s="15">
        <v>1.0447796575379389</v>
      </c>
      <c r="M4878" s="15" t="s">
        <v>10</v>
      </c>
      <c r="N4878" s="15" t="s">
        <v>10</v>
      </c>
      <c r="O4878" s="15" t="s">
        <v>10</v>
      </c>
      <c r="P4878" s="15" t="s">
        <v>10</v>
      </c>
      <c r="Q4878" s="8"/>
      <c r="R4878" s="9" t="s">
        <v>4420</v>
      </c>
    </row>
    <row r="4879" spans="1:18" x14ac:dyDescent="0.25">
      <c r="A4879" s="6" t="str">
        <f>HYPERLINK("proteomic_fractions_linear_files/Yang_linear_img/112363082.jpg", "112363082")</f>
        <v>112363082</v>
      </c>
      <c r="B4879" s="7"/>
      <c r="C4879" s="6" t="str">
        <f>HYPERLINK("http://www.ncbi.nlm.nih.gov/protein/112363082","Neo1")</f>
        <v>Neo1</v>
      </c>
      <c r="D4879" s="8"/>
      <c r="E4879" s="8">
        <v>158596</v>
      </c>
      <c r="F4879" s="8"/>
      <c r="G4879" s="15" t="s">
        <v>10</v>
      </c>
      <c r="H4879" s="15" t="s">
        <v>10</v>
      </c>
      <c r="I4879" s="15" t="s">
        <v>10</v>
      </c>
      <c r="J4879" s="15" t="s">
        <v>10</v>
      </c>
      <c r="K4879" s="15" t="s">
        <v>10</v>
      </c>
      <c r="L4879" s="15" t="s">
        <v>10</v>
      </c>
      <c r="M4879" s="15" t="s">
        <v>10</v>
      </c>
      <c r="N4879" s="15" t="s">
        <v>10</v>
      </c>
      <c r="O4879" s="15">
        <v>1.4676782869676042</v>
      </c>
      <c r="P4879" s="15">
        <v>1.4676782869676042</v>
      </c>
      <c r="Q4879" s="8"/>
      <c r="R4879" s="9" t="s">
        <v>4421</v>
      </c>
    </row>
    <row r="4880" spans="1:18" x14ac:dyDescent="0.25">
      <c r="A4880" s="6" t="str">
        <f>HYPERLINK("proteomic_fractions_linear_files/Yang_linear_img/112363084.jpg", "112363084")</f>
        <v>112363084</v>
      </c>
      <c r="B4880" s="7"/>
      <c r="C4880" s="6" t="str">
        <f>HYPERLINK("http://www.ncbi.nlm.nih.gov/protein/112363084","Neo1")</f>
        <v>Neo1</v>
      </c>
      <c r="D4880" s="8"/>
      <c r="E4880" s="8">
        <v>155643</v>
      </c>
      <c r="F4880" s="8"/>
      <c r="G4880" s="15" t="s">
        <v>10</v>
      </c>
      <c r="H4880" s="15" t="s">
        <v>10</v>
      </c>
      <c r="I4880" s="15" t="s">
        <v>10</v>
      </c>
      <c r="J4880" s="15" t="s">
        <v>10</v>
      </c>
      <c r="K4880" s="15" t="s">
        <v>10</v>
      </c>
      <c r="L4880" s="15" t="s">
        <v>10</v>
      </c>
      <c r="M4880" s="15" t="s">
        <v>10</v>
      </c>
      <c r="N4880" s="15" t="s">
        <v>10</v>
      </c>
      <c r="O4880" s="15">
        <v>1.4959028694092888</v>
      </c>
      <c r="P4880" s="15">
        <v>1.4959028694092888</v>
      </c>
      <c r="Q4880" s="8"/>
      <c r="R4880" s="9" t="s">
        <v>4422</v>
      </c>
    </row>
    <row r="4881" spans="1:18" x14ac:dyDescent="0.25">
      <c r="A4881" s="6" t="str">
        <f>HYPERLINK("proteomic_fractions_linear_files/Yang_linear_img/50363232.jpg", "50363232")</f>
        <v>50363232</v>
      </c>
      <c r="B4881" s="7"/>
      <c r="C4881" s="6" t="str">
        <f>HYPERLINK("http://www.ncbi.nlm.nih.gov/protein/50363232","Nes")</f>
        <v>Nes</v>
      </c>
      <c r="D4881" s="8"/>
      <c r="E4881" s="8">
        <v>206994</v>
      </c>
      <c r="F4881" s="8"/>
      <c r="G4881" s="15" t="s">
        <v>10</v>
      </c>
      <c r="H4881" s="15" t="s">
        <v>10</v>
      </c>
      <c r="I4881" s="15" t="s">
        <v>10</v>
      </c>
      <c r="J4881" s="15" t="s">
        <v>10</v>
      </c>
      <c r="K4881" s="15" t="s">
        <v>10</v>
      </c>
      <c r="L4881" s="15" t="s">
        <v>10</v>
      </c>
      <c r="M4881" s="15" t="s">
        <v>10</v>
      </c>
      <c r="N4881" s="15" t="s">
        <v>10</v>
      </c>
      <c r="O4881" s="15">
        <v>1.4578904571811535</v>
      </c>
      <c r="P4881" s="15">
        <v>1.4578904571811535</v>
      </c>
      <c r="Q4881" s="8"/>
      <c r="R4881" s="9" t="s">
        <v>4423</v>
      </c>
    </row>
    <row r="4882" spans="1:18" x14ac:dyDescent="0.25">
      <c r="A4882" s="6" t="str">
        <f>HYPERLINK("proteomic_fractions_linear_files/Yang_linear_img/254939721.jpg", "254939721")</f>
        <v>254939721</v>
      </c>
      <c r="B4882" s="7"/>
      <c r="C4882" s="6" t="str">
        <f>HYPERLINK("http://www.ncbi.nlm.nih.gov/protein/254939721","Neu1")</f>
        <v>Neu1</v>
      </c>
      <c r="D4882" s="8"/>
      <c r="E4882" s="8">
        <v>40297</v>
      </c>
      <c r="F4882" s="8"/>
      <c r="G4882" s="15">
        <v>0.30582153230828391</v>
      </c>
      <c r="H4882" s="15">
        <v>0.30582153230828391</v>
      </c>
      <c r="I4882" s="15">
        <v>1.2072493896103813</v>
      </c>
      <c r="J4882" s="15">
        <v>1.2072493896103813</v>
      </c>
      <c r="K4882" s="15">
        <v>1.3280142407500271</v>
      </c>
      <c r="L4882" s="15">
        <v>1.3280142407500271</v>
      </c>
      <c r="M4882" s="15" t="s">
        <v>10</v>
      </c>
      <c r="N4882" s="15" t="s">
        <v>10</v>
      </c>
      <c r="O4882" s="15" t="s">
        <v>10</v>
      </c>
      <c r="P4882" s="15" t="s">
        <v>10</v>
      </c>
      <c r="Q4882" s="8"/>
      <c r="R4882" s="9" t="s">
        <v>4424</v>
      </c>
    </row>
    <row r="4883" spans="1:18" x14ac:dyDescent="0.25">
      <c r="A4883" s="6" t="str">
        <f>HYPERLINK("proteomic_fractions_linear_files/Yang_linear_img/240849436.jpg", "240849436")</f>
        <v>240849436</v>
      </c>
      <c r="B4883" s="7"/>
      <c r="C4883" s="6" t="str">
        <f>HYPERLINK("http://www.ncbi.nlm.nih.gov/protein/240849436","Nexn")</f>
        <v>Nexn</v>
      </c>
      <c r="D4883" s="8"/>
      <c r="E4883" s="8">
        <v>71977</v>
      </c>
      <c r="F4883" s="8"/>
      <c r="G4883" s="15">
        <v>0.47990800736771089</v>
      </c>
      <c r="H4883" s="15">
        <v>0.47990800736771089</v>
      </c>
      <c r="I4883" s="15">
        <v>0.47990800736771089</v>
      </c>
      <c r="J4883" s="15">
        <v>0.47990800736771089</v>
      </c>
      <c r="K4883" s="15">
        <v>0.47990800736771089</v>
      </c>
      <c r="L4883" s="15">
        <v>0.47990800736771089</v>
      </c>
      <c r="M4883" s="15">
        <v>0.41507509571823792</v>
      </c>
      <c r="N4883" s="15">
        <v>0.41507509571823792</v>
      </c>
      <c r="O4883" s="15">
        <v>0.44561212299629982</v>
      </c>
      <c r="P4883" s="15">
        <v>0.44561212299629982</v>
      </c>
      <c r="Q4883" s="8"/>
      <c r="R4883" s="9" t="s">
        <v>4425</v>
      </c>
    </row>
    <row r="4884" spans="1:18" x14ac:dyDescent="0.25">
      <c r="A4884" s="6" t="str">
        <f>HYPERLINK("proteomic_fractions_linear_files/Yang_linear_img/34878892.jpg", "34878892")</f>
        <v>34878892</v>
      </c>
      <c r="B4884" s="7"/>
      <c r="C4884" s="6" t="str">
        <f>HYPERLINK("http://www.ncbi.nlm.nih.gov/protein/34878892","Nf1")</f>
        <v>Nf1</v>
      </c>
      <c r="D4884" s="8"/>
      <c r="E4884" s="8">
        <v>319466</v>
      </c>
      <c r="F4884" s="8"/>
      <c r="G4884" s="15" t="s">
        <v>10</v>
      </c>
      <c r="H4884" s="15" t="s">
        <v>10</v>
      </c>
      <c r="I4884" s="15" t="s">
        <v>10</v>
      </c>
      <c r="J4884" s="15" t="s">
        <v>10</v>
      </c>
      <c r="K4884" s="15">
        <v>0.94602923083541934</v>
      </c>
      <c r="L4884" s="15">
        <v>0.94602923083541934</v>
      </c>
      <c r="M4884" s="15">
        <v>0.94602923083541934</v>
      </c>
      <c r="N4884" s="15">
        <v>1.2822682060797486</v>
      </c>
      <c r="O4884" s="15" t="s">
        <v>10</v>
      </c>
      <c r="P4884" s="15" t="s">
        <v>10</v>
      </c>
      <c r="Q4884" s="8"/>
      <c r="R4884" s="9" t="s">
        <v>4426</v>
      </c>
    </row>
    <row r="4885" spans="1:18" x14ac:dyDescent="0.25">
      <c r="A4885" s="6" t="str">
        <f>HYPERLINK("proteomic_fractions_linear_files/Yang_linear_img/117606364.jpg", "117606364")</f>
        <v>117606364</v>
      </c>
      <c r="B4885" s="7"/>
      <c r="C4885" s="6" t="str">
        <f>HYPERLINK("http://www.ncbi.nlm.nih.gov/protein/117606364","Nfkb1")</f>
        <v>Nfkb1</v>
      </c>
      <c r="D4885" s="8"/>
      <c r="E4885" s="8">
        <v>105485</v>
      </c>
      <c r="F4885" s="8"/>
      <c r="G4885" s="15" t="s">
        <v>10</v>
      </c>
      <c r="H4885" s="15" t="s">
        <v>10</v>
      </c>
      <c r="I4885" s="15">
        <v>0.42024370711395687</v>
      </c>
      <c r="J4885" s="15">
        <v>0.42024370711395687</v>
      </c>
      <c r="K4885" s="15">
        <v>1.2259202680487331</v>
      </c>
      <c r="L4885" s="15">
        <v>1.2259202680487331</v>
      </c>
      <c r="M4885" s="15">
        <v>0.45990452937538334</v>
      </c>
      <c r="N4885" s="15">
        <v>0.45990452937538334</v>
      </c>
      <c r="O4885" s="15">
        <v>0.42024370711395687</v>
      </c>
      <c r="P4885" s="15">
        <v>0.42024370711395687</v>
      </c>
      <c r="Q4885" s="8"/>
      <c r="R4885" s="9" t="s">
        <v>4427</v>
      </c>
    </row>
    <row r="4886" spans="1:18" x14ac:dyDescent="0.25">
      <c r="A4886" s="6" t="str">
        <f>HYPERLINK("proteomic_fractions_linear_files/Yang_linear_img/293651548.jpg", "293651548")</f>
        <v>293651548</v>
      </c>
      <c r="B4886" s="7"/>
      <c r="C4886" s="6" t="str">
        <f>HYPERLINK("http://www.ncbi.nlm.nih.gov/protein/293651548","Nfkb2")</f>
        <v>Nfkb2</v>
      </c>
      <c r="D4886" s="8"/>
      <c r="E4886" s="8">
        <v>96773</v>
      </c>
      <c r="F4886" s="8"/>
      <c r="G4886" s="15" t="s">
        <v>10</v>
      </c>
      <c r="H4886" s="15" t="s">
        <v>10</v>
      </c>
      <c r="I4886" s="15" t="s">
        <v>10</v>
      </c>
      <c r="J4886" s="15" t="s">
        <v>10</v>
      </c>
      <c r="K4886" s="15">
        <v>1.3270270942795563</v>
      </c>
      <c r="L4886" s="15">
        <v>1.3270270942795563</v>
      </c>
      <c r="M4886" s="15">
        <v>1.3270270942795563</v>
      </c>
      <c r="N4886" s="15">
        <v>1.3270270942795563</v>
      </c>
      <c r="O4886" s="15">
        <v>1.3270270942795563</v>
      </c>
      <c r="P4886" s="15">
        <v>1.3270270942795563</v>
      </c>
      <c r="Q4886" s="8"/>
      <c r="R4886" s="9" t="s">
        <v>4428</v>
      </c>
    </row>
    <row r="4887" spans="1:18" x14ac:dyDescent="0.25">
      <c r="A4887" s="6" t="str">
        <f>HYPERLINK("proteomic_fractions_linear_files/Yang_linear_img/9506921.jpg", "9506921")</f>
        <v>9506921</v>
      </c>
      <c r="B4887" s="7"/>
      <c r="C4887" s="6" t="str">
        <f>HYPERLINK("http://www.ncbi.nlm.nih.gov/protein/9506921","Nfkb2")</f>
        <v>Nfkb2</v>
      </c>
      <c r="D4887" s="8"/>
      <c r="E4887" s="8">
        <v>96702</v>
      </c>
      <c r="F4887" s="8"/>
      <c r="G4887" s="15" t="s">
        <v>10</v>
      </c>
      <c r="H4887" s="15" t="s">
        <v>10</v>
      </c>
      <c r="I4887" s="15" t="s">
        <v>10</v>
      </c>
      <c r="J4887" s="15" t="s">
        <v>10</v>
      </c>
      <c r="K4887" s="15">
        <v>1.3270270942795563</v>
      </c>
      <c r="L4887" s="15">
        <v>1.3270270942795563</v>
      </c>
      <c r="M4887" s="15">
        <v>1.3270270942795563</v>
      </c>
      <c r="N4887" s="15">
        <v>1.3270270942795563</v>
      </c>
      <c r="O4887" s="15">
        <v>1.3270270942795563</v>
      </c>
      <c r="P4887" s="15">
        <v>1.3270270942795563</v>
      </c>
      <c r="Q4887" s="8"/>
      <c r="R4887" s="9" t="s">
        <v>4429</v>
      </c>
    </row>
    <row r="4888" spans="1:18" x14ac:dyDescent="0.25">
      <c r="A4888" s="6" t="str">
        <f>HYPERLINK("proteomic_fractions_linear_files/Yang_linear_img/226052096.jpg", "226052096")</f>
        <v>226052096</v>
      </c>
      <c r="B4888" s="7"/>
      <c r="C4888" s="6" t="str">
        <f>HYPERLINK("http://www.ncbi.nlm.nih.gov/protein/226052096","Nfkbia")</f>
        <v>Nfkbia</v>
      </c>
      <c r="D4888" s="8"/>
      <c r="E4888" s="8">
        <v>34940</v>
      </c>
      <c r="F4888" s="8"/>
      <c r="G4888" s="15" t="s">
        <v>10</v>
      </c>
      <c r="H4888" s="15" t="s">
        <v>10</v>
      </c>
      <c r="I4888" s="15" t="s">
        <v>10</v>
      </c>
      <c r="J4888" s="15" t="s">
        <v>10</v>
      </c>
      <c r="K4888" s="15" t="s">
        <v>10</v>
      </c>
      <c r="L4888" s="15" t="s">
        <v>10</v>
      </c>
      <c r="M4888" s="15" t="s">
        <v>10</v>
      </c>
      <c r="N4888" s="15" t="s">
        <v>10</v>
      </c>
      <c r="O4888" s="15">
        <v>0.85386876833466085</v>
      </c>
      <c r="P4888" s="15">
        <v>0.85386876833466085</v>
      </c>
      <c r="Q4888" s="8"/>
      <c r="R4888" s="9" t="s">
        <v>4430</v>
      </c>
    </row>
    <row r="4889" spans="1:18" x14ac:dyDescent="0.25">
      <c r="A4889" s="6" t="str">
        <f>HYPERLINK("proteomic_fractions_linear_files/Yang_linear_img/24111253.jpg", "24111253")</f>
        <v>24111253</v>
      </c>
      <c r="B4889" s="7"/>
      <c r="C4889" s="6" t="str">
        <f>HYPERLINK("http://www.ncbi.nlm.nih.gov/protein/24111253","Nfkbib")</f>
        <v>Nfkbib</v>
      </c>
      <c r="D4889" s="8"/>
      <c r="E4889" s="8">
        <v>37834</v>
      </c>
      <c r="F4889" s="8"/>
      <c r="G4889" s="15" t="s">
        <v>10</v>
      </c>
      <c r="H4889" s="15" t="s">
        <v>10</v>
      </c>
      <c r="I4889" s="15" t="s">
        <v>10</v>
      </c>
      <c r="J4889" s="15" t="s">
        <v>10</v>
      </c>
      <c r="K4889" s="15">
        <v>1.2707888311688225</v>
      </c>
      <c r="L4889" s="15">
        <v>1.2707888311688225</v>
      </c>
      <c r="M4889" s="15" t="s">
        <v>10</v>
      </c>
      <c r="N4889" s="15" t="s">
        <v>10</v>
      </c>
      <c r="O4889" s="15" t="s">
        <v>10</v>
      </c>
      <c r="P4889" s="15" t="s">
        <v>10</v>
      </c>
      <c r="Q4889" s="8"/>
      <c r="R4889" s="9" t="s">
        <v>4431</v>
      </c>
    </row>
    <row r="4890" spans="1:18" x14ac:dyDescent="0.25">
      <c r="A4890" s="6" t="str">
        <f>HYPERLINK("proteomic_fractions_linear_files/Yang_linear_img/161016824.jpg", "161016824")</f>
        <v>161016824</v>
      </c>
      <c r="B4890" s="7"/>
      <c r="C4890" s="6" t="str">
        <f>HYPERLINK("http://www.ncbi.nlm.nih.gov/protein/161016824","Nfs1")</f>
        <v>Nfs1</v>
      </c>
      <c r="D4890" s="8"/>
      <c r="E4890" s="8">
        <v>48700</v>
      </c>
      <c r="F4890" s="8"/>
      <c r="G4890" s="15">
        <v>0.82667996333107641</v>
      </c>
      <c r="H4890" s="15">
        <v>1.1994532160325275</v>
      </c>
      <c r="I4890" s="15">
        <v>0.82667996333107641</v>
      </c>
      <c r="J4890" s="15">
        <v>0.82667996333107641</v>
      </c>
      <c r="K4890" s="15" t="s">
        <v>10</v>
      </c>
      <c r="L4890" s="15" t="s">
        <v>10</v>
      </c>
      <c r="M4890" s="15" t="s">
        <v>10</v>
      </c>
      <c r="N4890" s="15" t="s">
        <v>10</v>
      </c>
      <c r="O4890" s="15" t="s">
        <v>10</v>
      </c>
      <c r="P4890" s="15" t="s">
        <v>10</v>
      </c>
      <c r="Q4890" s="8"/>
      <c r="R4890" s="9" t="s">
        <v>4432</v>
      </c>
    </row>
    <row r="4891" spans="1:18" x14ac:dyDescent="0.25">
      <c r="A4891" s="6" t="str">
        <f>HYPERLINK("proteomic_fractions_linear_files/Yang_linear_img/282154801.jpg", "282154801")</f>
        <v>282154801</v>
      </c>
      <c r="B4891" s="7"/>
      <c r="C4891" s="6" t="str">
        <f>HYPERLINK("http://www.ncbi.nlm.nih.gov/protein/282154801","Nfu1")</f>
        <v>Nfu1</v>
      </c>
      <c r="D4891" s="8"/>
      <c r="E4891" s="8">
        <v>25448</v>
      </c>
      <c r="F4891" s="8"/>
      <c r="G4891" s="15">
        <v>0.92438293498869784</v>
      </c>
      <c r="H4891" s="15">
        <v>0.92438293498869784</v>
      </c>
      <c r="I4891" s="15">
        <v>0.9821928245310767</v>
      </c>
      <c r="J4891" s="15">
        <v>0.9821928245310767</v>
      </c>
      <c r="K4891" s="15">
        <v>0.9821928245310767</v>
      </c>
      <c r="L4891" s="15">
        <v>0.9821928245310767</v>
      </c>
      <c r="M4891" s="15" t="s">
        <v>10</v>
      </c>
      <c r="N4891" s="15" t="s">
        <v>10</v>
      </c>
      <c r="O4891" s="15">
        <v>0.87182969082715001</v>
      </c>
      <c r="P4891" s="15">
        <v>0.87182969082715001</v>
      </c>
      <c r="Q4891" s="8"/>
      <c r="R4891" s="9" t="s">
        <v>4433</v>
      </c>
    </row>
    <row r="4892" spans="1:18" x14ac:dyDescent="0.25">
      <c r="A4892" s="6" t="str">
        <f>HYPERLINK("proteomic_fractions_linear_files/Yang_linear_img/282154803.jpg", "282154803")</f>
        <v>282154803</v>
      </c>
      <c r="B4892" s="7"/>
      <c r="C4892" s="6" t="str">
        <f>HYPERLINK("http://www.ncbi.nlm.nih.gov/protein/282154803","Nfu1")</f>
        <v>Nfu1</v>
      </c>
      <c r="D4892" s="8"/>
      <c r="E4892" s="8">
        <v>25535</v>
      </c>
      <c r="F4892" s="8"/>
      <c r="G4892" s="15">
        <v>0.8888297451814402</v>
      </c>
      <c r="H4892" s="15">
        <v>0.8888297451814402</v>
      </c>
      <c r="I4892" s="15">
        <v>0.94441617743372752</v>
      </c>
      <c r="J4892" s="15">
        <v>0.94441617743372752</v>
      </c>
      <c r="K4892" s="15">
        <v>0.94441617743372752</v>
      </c>
      <c r="L4892" s="15">
        <v>0.94441617743372752</v>
      </c>
      <c r="M4892" s="15" t="s">
        <v>10</v>
      </c>
      <c r="N4892" s="15" t="s">
        <v>10</v>
      </c>
      <c r="O4892" s="15">
        <v>0.83829777964149044</v>
      </c>
      <c r="P4892" s="15">
        <v>0.83829777964149044</v>
      </c>
      <c r="Q4892" s="8"/>
      <c r="R4892" s="9" t="s">
        <v>4434</v>
      </c>
    </row>
    <row r="4893" spans="1:18" x14ac:dyDescent="0.25">
      <c r="A4893" s="6" t="str">
        <f>HYPERLINK("proteomic_fractions_linear_files/Yang_linear_img/124301201.jpg", "124301201")</f>
        <v>124301201</v>
      </c>
      <c r="B4893" s="7"/>
      <c r="C4893" s="6" t="str">
        <f>HYPERLINK("http://www.ncbi.nlm.nih.gov/protein/124301201","Nfxl1")</f>
        <v>Nfxl1</v>
      </c>
      <c r="D4893" s="8"/>
      <c r="E4893" s="8">
        <v>101377</v>
      </c>
      <c r="F4893" s="8"/>
      <c r="G4893" s="15">
        <v>1.5193353577845727</v>
      </c>
      <c r="H4893" s="15">
        <v>1.5193353577845727</v>
      </c>
      <c r="I4893" s="15">
        <v>2.310503441859892</v>
      </c>
      <c r="J4893" s="15">
        <v>2.310503441859892</v>
      </c>
      <c r="K4893" s="15">
        <v>1.2744715657932373</v>
      </c>
      <c r="L4893" s="15">
        <v>1.2744715657932373</v>
      </c>
      <c r="M4893" s="15" t="s">
        <v>10</v>
      </c>
      <c r="N4893" s="15" t="s">
        <v>10</v>
      </c>
      <c r="O4893" s="15" t="s">
        <v>10</v>
      </c>
      <c r="P4893" s="15" t="s">
        <v>10</v>
      </c>
      <c r="Q4893" s="8"/>
      <c r="R4893" s="9" t="s">
        <v>4435</v>
      </c>
    </row>
    <row r="4894" spans="1:18" x14ac:dyDescent="0.25">
      <c r="A4894" s="6" t="str">
        <f>HYPERLINK("proteomic_fractions_linear_files/Yang_linear_img/161016831.jpg", "161016831")</f>
        <v>161016831</v>
      </c>
      <c r="B4894" s="7"/>
      <c r="C4894" s="6" t="str">
        <f>HYPERLINK("http://www.ncbi.nlm.nih.gov/protein/161016831","Nfya")</f>
        <v>Nfya</v>
      </c>
      <c r="D4894" s="8"/>
      <c r="E4894" s="8">
        <v>36776</v>
      </c>
      <c r="F4894" s="8"/>
      <c r="G4894" s="15" t="s">
        <v>10</v>
      </c>
      <c r="H4894" s="15" t="s">
        <v>10</v>
      </c>
      <c r="I4894" s="15" t="s">
        <v>10</v>
      </c>
      <c r="J4894" s="15" t="s">
        <v>10</v>
      </c>
      <c r="K4894" s="15" t="s">
        <v>10</v>
      </c>
      <c r="L4894" s="15" t="s">
        <v>10</v>
      </c>
      <c r="M4894" s="15">
        <v>1.0092250384628267</v>
      </c>
      <c r="N4894" s="15">
        <v>1.0092250384628267</v>
      </c>
      <c r="O4894" s="15" t="s">
        <v>10</v>
      </c>
      <c r="P4894" s="15" t="s">
        <v>10</v>
      </c>
      <c r="Q4894" s="8"/>
      <c r="R4894" s="9" t="s">
        <v>4436</v>
      </c>
    </row>
    <row r="4895" spans="1:18" x14ac:dyDescent="0.25">
      <c r="A4895" s="6" t="str">
        <f>HYPERLINK("proteomic_fractions_linear_files/Yang_linear_img/6754848.jpg", "6754848")</f>
        <v>6754848</v>
      </c>
      <c r="B4895" s="7"/>
      <c r="C4895" s="6" t="str">
        <f>HYPERLINK("http://www.ncbi.nlm.nih.gov/protein/6754848","Nfya")</f>
        <v>Nfya</v>
      </c>
      <c r="D4895" s="8"/>
      <c r="E4895" s="8">
        <v>33838</v>
      </c>
      <c r="F4895" s="8"/>
      <c r="G4895" s="15" t="s">
        <v>10</v>
      </c>
      <c r="H4895" s="15" t="s">
        <v>10</v>
      </c>
      <c r="I4895" s="15" t="s">
        <v>10</v>
      </c>
      <c r="J4895" s="15" t="s">
        <v>10</v>
      </c>
      <c r="K4895" s="15" t="s">
        <v>10</v>
      </c>
      <c r="L4895" s="15" t="s">
        <v>10</v>
      </c>
      <c r="M4895" s="15">
        <v>1.098274306562488</v>
      </c>
      <c r="N4895" s="15">
        <v>1.098274306562488</v>
      </c>
      <c r="O4895" s="15" t="s">
        <v>10</v>
      </c>
      <c r="P4895" s="15" t="s">
        <v>10</v>
      </c>
      <c r="Q4895" s="8"/>
      <c r="R4895" s="9" t="s">
        <v>4437</v>
      </c>
    </row>
    <row r="4896" spans="1:18" x14ac:dyDescent="0.25">
      <c r="A4896" s="6" t="str">
        <f>HYPERLINK("proteomic_fractions_linear_files/Yang_linear_img/31560663.jpg", "31560663")</f>
        <v>31560663</v>
      </c>
      <c r="B4896" s="7"/>
      <c r="C4896" s="6" t="str">
        <f>HYPERLINK("http://www.ncbi.nlm.nih.gov/protein/31560663","Nfyc")</f>
        <v>Nfyc</v>
      </c>
      <c r="D4896" s="8"/>
      <c r="E4896" s="8">
        <v>37123</v>
      </c>
      <c r="F4896" s="8"/>
      <c r="G4896" s="15" t="s">
        <v>10</v>
      </c>
      <c r="H4896" s="15" t="s">
        <v>10</v>
      </c>
      <c r="I4896" s="15" t="s">
        <v>10</v>
      </c>
      <c r="J4896" s="15" t="s">
        <v>10</v>
      </c>
      <c r="K4896" s="15">
        <v>1.0092250384628267</v>
      </c>
      <c r="L4896" s="15">
        <v>1.0092250384628267</v>
      </c>
      <c r="M4896" s="15" t="s">
        <v>10</v>
      </c>
      <c r="N4896" s="15" t="s">
        <v>10</v>
      </c>
      <c r="O4896" s="15" t="s">
        <v>10</v>
      </c>
      <c r="P4896" s="15" t="s">
        <v>10</v>
      </c>
      <c r="Q4896" s="8"/>
      <c r="R4896" s="9" t="s">
        <v>4438</v>
      </c>
    </row>
    <row r="4897" spans="1:18" x14ac:dyDescent="0.25">
      <c r="A4897" s="6" t="str">
        <f>HYPERLINK("proteomic_fractions_linear_files/Yang_linear_img/162417957.jpg", "162417957")</f>
        <v>162417957</v>
      </c>
      <c r="B4897" s="7"/>
      <c r="C4897" s="6" t="str">
        <f>HYPERLINK("http://www.ncbi.nlm.nih.gov/protein/162417957","Ngef")</f>
        <v>Ngef</v>
      </c>
      <c r="D4897" s="8"/>
      <c r="E4897" s="8">
        <v>82078</v>
      </c>
      <c r="F4897" s="8"/>
      <c r="G4897" s="15" t="s">
        <v>10</v>
      </c>
      <c r="H4897" s="15" t="s">
        <v>10</v>
      </c>
      <c r="I4897" s="15" t="s">
        <v>10</v>
      </c>
      <c r="J4897" s="15" t="s">
        <v>10</v>
      </c>
      <c r="K4897" s="15">
        <v>1.1581461119827379</v>
      </c>
      <c r="L4897" s="15">
        <v>1.1581461119827379</v>
      </c>
      <c r="M4897" s="15" t="s">
        <v>10</v>
      </c>
      <c r="N4897" s="15" t="s">
        <v>10</v>
      </c>
      <c r="O4897" s="15" t="s">
        <v>10</v>
      </c>
      <c r="P4897" s="15" t="s">
        <v>10</v>
      </c>
      <c r="Q4897" s="8"/>
      <c r="R4897" s="9" t="s">
        <v>4439</v>
      </c>
    </row>
    <row r="4898" spans="1:18" x14ac:dyDescent="0.25">
      <c r="A4898" s="6" t="str">
        <f>HYPERLINK("proteomic_fractions_linear_files/Yang_linear_img/162417959.jpg", "162417959")</f>
        <v>162417959</v>
      </c>
      <c r="B4898" s="7"/>
      <c r="C4898" s="6" t="str">
        <f>HYPERLINK("http://www.ncbi.nlm.nih.gov/protein/162417959","Ngef")</f>
        <v>Ngef</v>
      </c>
      <c r="D4898" s="8"/>
      <c r="E4898" s="8">
        <v>71285</v>
      </c>
      <c r="F4898" s="8"/>
      <c r="G4898" s="15" t="s">
        <v>10</v>
      </c>
      <c r="H4898" s="15" t="s">
        <v>10</v>
      </c>
      <c r="I4898" s="15" t="s">
        <v>10</v>
      </c>
      <c r="J4898" s="15" t="s">
        <v>10</v>
      </c>
      <c r="K4898" s="15">
        <v>1.3375771997547115</v>
      </c>
      <c r="L4898" s="15">
        <v>1.3375771997547115</v>
      </c>
      <c r="M4898" s="15" t="s">
        <v>10</v>
      </c>
      <c r="N4898" s="15" t="s">
        <v>10</v>
      </c>
      <c r="O4898" s="15" t="s">
        <v>10</v>
      </c>
      <c r="P4898" s="15" t="s">
        <v>10</v>
      </c>
      <c r="Q4898" s="8"/>
      <c r="R4898" s="9" t="s">
        <v>4440</v>
      </c>
    </row>
    <row r="4899" spans="1:18" x14ac:dyDescent="0.25">
      <c r="A4899" s="6" t="str">
        <f>HYPERLINK("proteomic_fractions_linear_files/Yang_linear_img/158517917.jpg", "158517917")</f>
        <v>158517917</v>
      </c>
      <c r="B4899" s="7"/>
      <c r="C4899" s="6" t="str">
        <f>HYPERLINK("http://www.ncbi.nlm.nih.gov/protein/158517917","Nhej1")</f>
        <v>Nhej1</v>
      </c>
      <c r="D4899" s="8"/>
      <c r="E4899" s="8">
        <v>32608</v>
      </c>
      <c r="F4899" s="8"/>
      <c r="G4899" s="15" t="s">
        <v>10</v>
      </c>
      <c r="H4899" s="15" t="s">
        <v>10</v>
      </c>
      <c r="I4899" s="15" t="s">
        <v>10</v>
      </c>
      <c r="J4899" s="15" t="s">
        <v>10</v>
      </c>
      <c r="K4899" s="15">
        <v>1.1315553461552907</v>
      </c>
      <c r="L4899" s="15">
        <v>1.1315553461552907</v>
      </c>
      <c r="M4899" s="15">
        <v>1.0470720160750056</v>
      </c>
      <c r="N4899" s="15">
        <v>1.0470720160750056</v>
      </c>
      <c r="O4899" s="15" t="s">
        <v>10</v>
      </c>
      <c r="P4899" s="15" t="s">
        <v>10</v>
      </c>
      <c r="Q4899" s="8"/>
      <c r="R4899" s="9" t="s">
        <v>4441</v>
      </c>
    </row>
    <row r="4900" spans="1:18" x14ac:dyDescent="0.25">
      <c r="A4900" s="6" t="str">
        <f>HYPERLINK("proteomic_fractions_linear_files/Yang_linear_img/29789158.jpg", "29789158")</f>
        <v>29789158</v>
      </c>
      <c r="B4900" s="7"/>
      <c r="C4900" s="6" t="str">
        <f>HYPERLINK("http://www.ncbi.nlm.nih.gov/protein/29789158","Nhlrc2")</f>
        <v>Nhlrc2</v>
      </c>
      <c r="D4900" s="8"/>
      <c r="E4900" s="8">
        <v>78299</v>
      </c>
      <c r="F4900" s="8"/>
      <c r="G4900" s="15" t="s">
        <v>10</v>
      </c>
      <c r="H4900" s="15" t="s">
        <v>10</v>
      </c>
      <c r="I4900" s="15" t="s">
        <v>10</v>
      </c>
      <c r="J4900" s="15" t="s">
        <v>10</v>
      </c>
      <c r="K4900" s="15">
        <v>1.2175382202895451</v>
      </c>
      <c r="L4900" s="15">
        <v>1.2175382202895451</v>
      </c>
      <c r="M4900" s="15" t="s">
        <v>10</v>
      </c>
      <c r="N4900" s="15" t="s">
        <v>10</v>
      </c>
      <c r="O4900" s="15">
        <v>1.0653674163223572</v>
      </c>
      <c r="P4900" s="15">
        <v>1.0653674163223572</v>
      </c>
      <c r="Q4900" s="8"/>
      <c r="R4900" s="9" t="s">
        <v>4442</v>
      </c>
    </row>
    <row r="4901" spans="1:18" x14ac:dyDescent="0.25">
      <c r="A4901" s="6" t="str">
        <f>HYPERLINK("proteomic_fractions_linear_files/Yang_linear_img/27369692.jpg", "27369692")</f>
        <v>27369692</v>
      </c>
      <c r="B4901" s="7"/>
      <c r="C4901" s="6" t="str">
        <f>HYPERLINK("http://www.ncbi.nlm.nih.gov/protein/27369692","Nhlrc3")</f>
        <v>Nhlrc3</v>
      </c>
      <c r="D4901" s="8"/>
      <c r="E4901" s="8">
        <v>35847</v>
      </c>
      <c r="F4901" s="8"/>
      <c r="G4901" s="15">
        <v>1.2257108124157075</v>
      </c>
      <c r="H4901" s="15">
        <v>1.2257108124157075</v>
      </c>
      <c r="I4901" s="15">
        <v>0.89122424599259964</v>
      </c>
      <c r="J4901" s="15">
        <v>0.89122424599259964</v>
      </c>
      <c r="K4901" s="15" t="s">
        <v>10</v>
      </c>
      <c r="L4901" s="15" t="s">
        <v>10</v>
      </c>
      <c r="M4901" s="15" t="s">
        <v>10</v>
      </c>
      <c r="N4901" s="15" t="s">
        <v>10</v>
      </c>
      <c r="O4901" s="15" t="s">
        <v>10</v>
      </c>
      <c r="P4901" s="15" t="s">
        <v>10</v>
      </c>
      <c r="Q4901" s="8"/>
      <c r="R4901" s="9" t="s">
        <v>4443</v>
      </c>
    </row>
    <row r="4902" spans="1:18" x14ac:dyDescent="0.25">
      <c r="A4902" s="6" t="str">
        <f>HYPERLINK("proteomic_fractions_linear_files/Yang_linear_img/13386120.jpg", "13386120")</f>
        <v>13386120</v>
      </c>
      <c r="B4902" s="7"/>
      <c r="C4902" s="6" t="str">
        <f>HYPERLINK("http://www.ncbi.nlm.nih.gov/protein/13386120","Nhp2")</f>
        <v>Nhp2</v>
      </c>
      <c r="D4902" s="8"/>
      <c r="E4902" s="8">
        <v>17116</v>
      </c>
      <c r="F4902" s="8"/>
      <c r="G4902" s="15">
        <v>1.6422477233930624</v>
      </c>
      <c r="H4902" s="15">
        <v>1.6422477233930624</v>
      </c>
      <c r="I4902" s="15">
        <v>1.1471264604726632</v>
      </c>
      <c r="J4902" s="15">
        <v>1.1471264604726632</v>
      </c>
      <c r="K4902" s="15">
        <v>1.211614187450369</v>
      </c>
      <c r="L4902" s="15">
        <v>1.211614187450369</v>
      </c>
      <c r="M4902" s="15">
        <v>1.211614187450369</v>
      </c>
      <c r="N4902" s="15">
        <v>1.211614187450369</v>
      </c>
      <c r="O4902" s="15">
        <v>1.1471264604726632</v>
      </c>
      <c r="P4902" s="15">
        <v>1.1471264604726632</v>
      </c>
      <c r="Q4902" s="8"/>
      <c r="R4902" s="9" t="s">
        <v>4444</v>
      </c>
    </row>
    <row r="4903" spans="1:18" x14ac:dyDescent="0.25">
      <c r="A4903" s="6" t="str">
        <f>HYPERLINK("proteomic_fractions_linear_files/Yang_linear_img/124486678.jpg", "124486678")</f>
        <v>124486678</v>
      </c>
      <c r="B4903" s="7"/>
      <c r="C4903" s="6" t="str">
        <f>HYPERLINK("http://www.ncbi.nlm.nih.gov/protein/124486678","Nhs")</f>
        <v>Nhs</v>
      </c>
      <c r="D4903" s="8"/>
      <c r="E4903" s="8">
        <v>176496</v>
      </c>
      <c r="F4903" s="8"/>
      <c r="G4903" s="15" t="s">
        <v>10</v>
      </c>
      <c r="H4903" s="15" t="s">
        <v>10</v>
      </c>
      <c r="I4903" s="15" t="s">
        <v>10</v>
      </c>
      <c r="J4903" s="15" t="s">
        <v>10</v>
      </c>
      <c r="K4903" s="15">
        <v>1.0611694979542066</v>
      </c>
      <c r="L4903" s="15">
        <v>1.0611694979542066</v>
      </c>
      <c r="M4903" s="15" t="s">
        <v>10</v>
      </c>
      <c r="N4903" s="15" t="s">
        <v>10</v>
      </c>
      <c r="O4903" s="15" t="s">
        <v>10</v>
      </c>
      <c r="P4903" s="15" t="s">
        <v>10</v>
      </c>
      <c r="Q4903" s="8"/>
      <c r="R4903" s="9" t="s">
        <v>4445</v>
      </c>
    </row>
    <row r="4904" spans="1:18" x14ac:dyDescent="0.25">
      <c r="A4904" s="6" t="str">
        <f>HYPERLINK("proteomic_fractions_linear_files/Yang_linear_img/41056093.jpg", "41056093")</f>
        <v>41056093</v>
      </c>
      <c r="B4904" s="7"/>
      <c r="C4904" s="6" t="str">
        <f>HYPERLINK("http://www.ncbi.nlm.nih.gov/protein/41056093","Nif3l1")</f>
        <v>Nif3l1</v>
      </c>
      <c r="D4904" s="8"/>
      <c r="E4904" s="8">
        <v>41615</v>
      </c>
      <c r="F4904" s="8"/>
      <c r="G4904" s="15" t="s">
        <v>10</v>
      </c>
      <c r="H4904" s="15" t="s">
        <v>10</v>
      </c>
      <c r="I4904" s="15">
        <v>0.88907920055058554</v>
      </c>
      <c r="J4904" s="15">
        <v>0.88907920055058554</v>
      </c>
      <c r="K4904" s="15">
        <v>0.88907920055058554</v>
      </c>
      <c r="L4904" s="15">
        <v>0.88907920055058554</v>
      </c>
      <c r="M4904" s="15">
        <v>0.88907920055058554</v>
      </c>
      <c r="N4904" s="15">
        <v>0.88907920055058554</v>
      </c>
      <c r="O4904" s="15">
        <v>0.82269944120179006</v>
      </c>
      <c r="P4904" s="15">
        <v>0.82269944120179006</v>
      </c>
      <c r="Q4904" s="8"/>
      <c r="R4904" s="9" t="s">
        <v>4446</v>
      </c>
    </row>
    <row r="4905" spans="1:18" x14ac:dyDescent="0.25">
      <c r="A4905" s="6" t="str">
        <f>HYPERLINK("proteomic_fractions_linear_files/Yang_linear_img/224809384.jpg", "224809384")</f>
        <v>224809384</v>
      </c>
      <c r="B4905" s="7"/>
      <c r="C4905" s="6" t="str">
        <f>HYPERLINK("http://www.ncbi.nlm.nih.gov/protein/224809384","Nifk")</f>
        <v>Nifk</v>
      </c>
      <c r="D4905" s="8"/>
      <c r="E4905" s="8">
        <v>36134</v>
      </c>
      <c r="F4905" s="8"/>
      <c r="G4905" s="15" t="s">
        <v>10</v>
      </c>
      <c r="H4905" s="15" t="s">
        <v>10</v>
      </c>
      <c r="I4905" s="15" t="s">
        <v>10</v>
      </c>
      <c r="J4905" s="15" t="s">
        <v>10</v>
      </c>
      <c r="K4905" s="15">
        <v>1.0372590673090165</v>
      </c>
      <c r="L4905" s="15">
        <v>1.0372590673090165</v>
      </c>
      <c r="M4905" s="15">
        <v>1.0372590673090165</v>
      </c>
      <c r="N4905" s="15">
        <v>1.0372590673090165</v>
      </c>
      <c r="O4905" s="15" t="s">
        <v>10</v>
      </c>
      <c r="P4905" s="15" t="s">
        <v>10</v>
      </c>
      <c r="Q4905" s="8"/>
      <c r="R4905" s="9" t="s">
        <v>4447</v>
      </c>
    </row>
    <row r="4906" spans="1:18" x14ac:dyDescent="0.25">
      <c r="A4906" s="6" t="str">
        <f>HYPERLINK("proteomic_fractions_linear_files/Yang_linear_img/7305315.jpg", "7305315")</f>
        <v>7305315</v>
      </c>
      <c r="B4906" s="7"/>
      <c r="C4906" s="6" t="str">
        <f>HYPERLINK("http://www.ncbi.nlm.nih.gov/protein/7305315","Ninj1")</f>
        <v>Ninj1</v>
      </c>
      <c r="D4906" s="8"/>
      <c r="E4906" s="8">
        <v>16424</v>
      </c>
      <c r="F4906" s="8"/>
      <c r="G4906" s="15" t="s">
        <v>10</v>
      </c>
      <c r="H4906" s="15" t="s">
        <v>10</v>
      </c>
      <c r="I4906" s="15">
        <v>1.0981212353349354</v>
      </c>
      <c r="J4906" s="15">
        <v>1.0981212353349354</v>
      </c>
      <c r="K4906" s="15" t="s">
        <v>10</v>
      </c>
      <c r="L4906" s="15" t="s">
        <v>10</v>
      </c>
      <c r="M4906" s="15" t="s">
        <v>10</v>
      </c>
      <c r="N4906" s="15" t="s">
        <v>10</v>
      </c>
      <c r="O4906" s="15" t="s">
        <v>10</v>
      </c>
      <c r="P4906" s="15" t="s">
        <v>10</v>
      </c>
      <c r="Q4906" s="8"/>
      <c r="R4906" s="9" t="s">
        <v>4448</v>
      </c>
    </row>
    <row r="4907" spans="1:18" x14ac:dyDescent="0.25">
      <c r="A4907" s="6" t="str">
        <f>HYPERLINK("proteomic_fractions_linear_files/Yang_linear_img/257153334.jpg", "257153334")</f>
        <v>257153334</v>
      </c>
      <c r="B4907" s="7"/>
      <c r="C4907" s="6" t="str">
        <f>HYPERLINK("http://www.ncbi.nlm.nih.gov/protein/257153334","Nip7")</f>
        <v>Nip7</v>
      </c>
      <c r="D4907" s="8"/>
      <c r="E4907" s="8">
        <v>15094</v>
      </c>
      <c r="F4907" s="8"/>
      <c r="G4907" s="15" t="s">
        <v>10</v>
      </c>
      <c r="H4907" s="15" t="s">
        <v>10</v>
      </c>
      <c r="I4907" s="15" t="s">
        <v>10</v>
      </c>
      <c r="J4907" s="15" t="s">
        <v>10</v>
      </c>
      <c r="K4907" s="15" t="s">
        <v>10</v>
      </c>
      <c r="L4907" s="15" t="s">
        <v>10</v>
      </c>
      <c r="M4907" s="15">
        <v>1.3000766552023515</v>
      </c>
      <c r="N4907" s="15">
        <v>1.3000766552023515</v>
      </c>
      <c r="O4907" s="15" t="s">
        <v>10</v>
      </c>
      <c r="P4907" s="15" t="s">
        <v>10</v>
      </c>
      <c r="Q4907" s="8"/>
      <c r="R4907" s="9" t="s">
        <v>4449</v>
      </c>
    </row>
    <row r="4908" spans="1:18" x14ac:dyDescent="0.25">
      <c r="A4908" s="6" t="str">
        <f>HYPERLINK("proteomic_fractions_linear_files/Yang_linear_img/257153336.jpg", "257153336")</f>
        <v>257153336</v>
      </c>
      <c r="B4908" s="7"/>
      <c r="C4908" s="6" t="str">
        <f>HYPERLINK("http://www.ncbi.nlm.nih.gov/protein/257153336","Nip7")</f>
        <v>Nip7</v>
      </c>
      <c r="D4908" s="8"/>
      <c r="E4908" s="8">
        <v>20321</v>
      </c>
      <c r="F4908" s="8"/>
      <c r="G4908" s="15" t="s">
        <v>10</v>
      </c>
      <c r="H4908" s="15" t="s">
        <v>10</v>
      </c>
      <c r="I4908" s="15" t="s">
        <v>10</v>
      </c>
      <c r="J4908" s="15" t="s">
        <v>10</v>
      </c>
      <c r="K4908" s="15" t="s">
        <v>10</v>
      </c>
      <c r="L4908" s="15" t="s">
        <v>10</v>
      </c>
      <c r="M4908" s="15">
        <v>0.97505749140176368</v>
      </c>
      <c r="N4908" s="15">
        <v>0.97505749140176368</v>
      </c>
      <c r="O4908" s="15" t="s">
        <v>10</v>
      </c>
      <c r="P4908" s="15" t="s">
        <v>10</v>
      </c>
      <c r="Q4908" s="8"/>
      <c r="R4908" s="9" t="s">
        <v>4450</v>
      </c>
    </row>
    <row r="4909" spans="1:18" x14ac:dyDescent="0.25">
      <c r="A4909" s="6" t="str">
        <f>HYPERLINK("proteomic_fractions_linear_files/Yang_linear_img/49169845.jpg", "49169845")</f>
        <v>49169845</v>
      </c>
      <c r="B4909" s="7"/>
      <c r="C4909" s="6" t="str">
        <f>HYPERLINK("http://www.ncbi.nlm.nih.gov/protein/49169845","Nipbl")</f>
        <v>Nipbl</v>
      </c>
      <c r="D4909" s="8"/>
      <c r="E4909" s="8">
        <v>315321</v>
      </c>
      <c r="F4909" s="8"/>
      <c r="G4909" s="15">
        <v>0.74082808770745734</v>
      </c>
      <c r="H4909" s="15">
        <v>0.74082808770745734</v>
      </c>
      <c r="I4909" s="15" t="s">
        <v>10</v>
      </c>
      <c r="J4909" s="15" t="s">
        <v>10</v>
      </c>
      <c r="K4909" s="15" t="s">
        <v>10</v>
      </c>
      <c r="L4909" s="15" t="s">
        <v>10</v>
      </c>
      <c r="M4909" s="15" t="s">
        <v>10</v>
      </c>
      <c r="N4909" s="15" t="s">
        <v>10</v>
      </c>
      <c r="O4909" s="15" t="s">
        <v>10</v>
      </c>
      <c r="P4909" s="15" t="s">
        <v>10</v>
      </c>
      <c r="Q4909" s="8"/>
      <c r="R4909" s="9" t="s">
        <v>4451</v>
      </c>
    </row>
    <row r="4910" spans="1:18" x14ac:dyDescent="0.25">
      <c r="A4910" s="6" t="str">
        <f>HYPERLINK("proteomic_fractions_linear_files/Yang_linear_img/51371928.jpg", "51371928")</f>
        <v>51371928</v>
      </c>
      <c r="B4910" s="7"/>
      <c r="C4910" s="6" t="str">
        <f>HYPERLINK("http://www.ncbi.nlm.nih.gov/protein/51371928","Nipbl")</f>
        <v>Nipbl</v>
      </c>
      <c r="D4910" s="8"/>
      <c r="E4910" s="8">
        <v>303633</v>
      </c>
      <c r="F4910" s="8"/>
      <c r="G4910" s="15">
        <v>0.76763436719687195</v>
      </c>
      <c r="H4910" s="15">
        <v>0.76763436719687195</v>
      </c>
      <c r="I4910" s="15" t="s">
        <v>10</v>
      </c>
      <c r="J4910" s="15" t="s">
        <v>10</v>
      </c>
      <c r="K4910" s="15" t="s">
        <v>10</v>
      </c>
      <c r="L4910" s="15" t="s">
        <v>10</v>
      </c>
      <c r="M4910" s="15" t="s">
        <v>10</v>
      </c>
      <c r="N4910" s="15" t="s">
        <v>10</v>
      </c>
      <c r="O4910" s="15" t="s">
        <v>10</v>
      </c>
      <c r="P4910" s="15" t="s">
        <v>10</v>
      </c>
      <c r="Q4910" s="8"/>
      <c r="R4910" s="9" t="s">
        <v>4452</v>
      </c>
    </row>
    <row r="4911" spans="1:18" x14ac:dyDescent="0.25">
      <c r="A4911" s="6" t="str">
        <f>HYPERLINK("proteomic_fractions_linear_files/Yang_linear_img/6679066.jpg", "6679066")</f>
        <v>6679066</v>
      </c>
      <c r="B4911" s="7"/>
      <c r="C4911" s="6" t="str">
        <f>HYPERLINK("http://www.ncbi.nlm.nih.gov/protein/6679066","Nipsnap1")</f>
        <v>Nipsnap1</v>
      </c>
      <c r="D4911" s="8"/>
      <c r="E4911" s="8">
        <v>33232</v>
      </c>
      <c r="F4911" s="8"/>
      <c r="G4911" s="15">
        <v>0.70029010226416499</v>
      </c>
      <c r="H4911" s="15">
        <v>0.70029010226416499</v>
      </c>
      <c r="I4911" s="15">
        <v>0.74408547312960349</v>
      </c>
      <c r="J4911" s="15">
        <v>0.74408547312960349</v>
      </c>
      <c r="K4911" s="15" t="s">
        <v>10</v>
      </c>
      <c r="L4911" s="15" t="s">
        <v>10</v>
      </c>
      <c r="M4911" s="15">
        <v>0.74408547312960349</v>
      </c>
      <c r="N4911" s="15">
        <v>0.74408547312960349</v>
      </c>
      <c r="O4911" s="15" t="s">
        <v>10</v>
      </c>
      <c r="P4911" s="15" t="s">
        <v>10</v>
      </c>
      <c r="Q4911" s="8"/>
      <c r="R4911" s="9" t="s">
        <v>4453</v>
      </c>
    </row>
    <row r="4912" spans="1:18" x14ac:dyDescent="0.25">
      <c r="A4912" s="6" t="str">
        <f>HYPERLINK("proteomic_fractions_linear_files/Yang_linear_img/13385084.jpg", "13385084")</f>
        <v>13385084</v>
      </c>
      <c r="B4912" s="7"/>
      <c r="C4912" s="6" t="str">
        <f>HYPERLINK("http://www.ncbi.nlm.nih.gov/protein/13385084","Nipsnap3b")</f>
        <v>Nipsnap3b</v>
      </c>
      <c r="D4912" s="8"/>
      <c r="E4912" s="8">
        <v>28177</v>
      </c>
      <c r="F4912" s="8"/>
      <c r="G4912" s="15" t="s">
        <v>10</v>
      </c>
      <c r="H4912" s="15" t="s">
        <v>10</v>
      </c>
      <c r="I4912" s="15">
        <v>0.82534190623990877</v>
      </c>
      <c r="J4912" s="15">
        <v>0.82534190623990877</v>
      </c>
      <c r="K4912" s="15" t="s">
        <v>10</v>
      </c>
      <c r="L4912" s="15" t="s">
        <v>10</v>
      </c>
      <c r="M4912" s="15" t="s">
        <v>10</v>
      </c>
      <c r="N4912" s="15" t="s">
        <v>10</v>
      </c>
      <c r="O4912" s="15" t="s">
        <v>10</v>
      </c>
      <c r="P4912" s="15" t="s">
        <v>10</v>
      </c>
      <c r="Q4912" s="8"/>
      <c r="R4912" s="9" t="s">
        <v>4454</v>
      </c>
    </row>
    <row r="4913" spans="1:18" x14ac:dyDescent="0.25">
      <c r="A4913" s="6" t="str">
        <f>HYPERLINK("proteomic_fractions_linear_files/Yang_linear_img/114158672.jpg", "114158672")</f>
        <v>114158672</v>
      </c>
      <c r="B4913" s="7"/>
      <c r="C4913" s="6" t="str">
        <f>HYPERLINK("http://www.ncbi.nlm.nih.gov/protein/114158672","Nisch")</f>
        <v>Nisch</v>
      </c>
      <c r="D4913" s="8"/>
      <c r="E4913" s="8">
        <v>174882</v>
      </c>
      <c r="F4913" s="8"/>
      <c r="G4913" s="15" t="s">
        <v>10</v>
      </c>
      <c r="H4913" s="15" t="s">
        <v>10</v>
      </c>
      <c r="I4913" s="15">
        <v>1.3334905578734233</v>
      </c>
      <c r="J4913" s="15">
        <v>1.3334905578734233</v>
      </c>
      <c r="K4913" s="15">
        <v>1.3334905578734233</v>
      </c>
      <c r="L4913" s="15">
        <v>1.3334905578734233</v>
      </c>
      <c r="M4913" s="15" t="s">
        <v>10</v>
      </c>
      <c r="N4913" s="15" t="s">
        <v>10</v>
      </c>
      <c r="O4913" s="15">
        <v>0.30354611217143473</v>
      </c>
      <c r="P4913" s="15">
        <v>0.30354611217143473</v>
      </c>
      <c r="Q4913" s="8"/>
      <c r="R4913" s="9" t="s">
        <v>4455</v>
      </c>
    </row>
    <row r="4914" spans="1:18" x14ac:dyDescent="0.25">
      <c r="A4914" s="6" t="str">
        <f>HYPERLINK("proteomic_fractions_linear_files/Yang_linear_img/336088630.jpg", "336088630")</f>
        <v>336088630</v>
      </c>
      <c r="B4914" s="7"/>
      <c r="C4914" s="6" t="str">
        <f>HYPERLINK("http://www.ncbi.nlm.nih.gov/protein/336088630","Nit1")</f>
        <v>Nit1</v>
      </c>
      <c r="D4914" s="8"/>
      <c r="E4914" s="8">
        <v>31755</v>
      </c>
      <c r="F4914" s="8"/>
      <c r="G4914" s="15" t="s">
        <v>10</v>
      </c>
      <c r="H4914" s="15" t="s">
        <v>10</v>
      </c>
      <c r="I4914" s="15">
        <v>0.81719556610703126</v>
      </c>
      <c r="J4914" s="15">
        <v>0.81719556610703126</v>
      </c>
      <c r="K4914" s="15">
        <v>0.87244410305256437</v>
      </c>
      <c r="L4914" s="15">
        <v>0.87244410305256437</v>
      </c>
      <c r="M4914" s="15">
        <v>0.81719556610703126</v>
      </c>
      <c r="N4914" s="15">
        <v>0.81719556610703126</v>
      </c>
      <c r="O4914" s="15">
        <v>0.72217416795992018</v>
      </c>
      <c r="P4914" s="15">
        <v>0.72217416795992018</v>
      </c>
      <c r="Q4914" s="8"/>
      <c r="R4914" s="9" t="s">
        <v>4456</v>
      </c>
    </row>
    <row r="4915" spans="1:18" x14ac:dyDescent="0.25">
      <c r="A4915" s="6" t="str">
        <f>HYPERLINK("proteomic_fractions_linear_files/Yang_linear_img/6754856.jpg", "6754856")</f>
        <v>6754856</v>
      </c>
      <c r="B4915" s="7"/>
      <c r="C4915" s="6" t="str">
        <f>HYPERLINK("http://www.ncbi.nlm.nih.gov/protein/6754856","Nit1")</f>
        <v>Nit1</v>
      </c>
      <c r="D4915" s="8"/>
      <c r="E4915" s="8">
        <v>35574</v>
      </c>
      <c r="F4915" s="8"/>
      <c r="G4915" s="15" t="s">
        <v>10</v>
      </c>
      <c r="H4915" s="15" t="s">
        <v>10</v>
      </c>
      <c r="I4915" s="15">
        <v>0.72639605876180557</v>
      </c>
      <c r="J4915" s="15">
        <v>0.72639605876180557</v>
      </c>
      <c r="K4915" s="15">
        <v>0.77550586938005717</v>
      </c>
      <c r="L4915" s="15">
        <v>0.77550586938005717</v>
      </c>
      <c r="M4915" s="15">
        <v>0.72639605876180557</v>
      </c>
      <c r="N4915" s="15">
        <v>0.72639605876180557</v>
      </c>
      <c r="O4915" s="15">
        <v>0.64193259374215128</v>
      </c>
      <c r="P4915" s="15">
        <v>0.64193259374215128</v>
      </c>
      <c r="Q4915" s="8"/>
      <c r="R4915" s="9" t="s">
        <v>4457</v>
      </c>
    </row>
    <row r="4916" spans="1:18" x14ac:dyDescent="0.25">
      <c r="A4916" s="6" t="str">
        <f>HYPERLINK("proteomic_fractions_linear_files/Yang_linear_img/12963555.jpg", "12963555")</f>
        <v>12963555</v>
      </c>
      <c r="B4916" s="7"/>
      <c r="C4916" s="6" t="str">
        <f>HYPERLINK("http://www.ncbi.nlm.nih.gov/protein/12963555","Nit2")</f>
        <v>Nit2</v>
      </c>
      <c r="D4916" s="8"/>
      <c r="E4916" s="8">
        <v>30371</v>
      </c>
      <c r="F4916" s="8"/>
      <c r="G4916" s="15" t="s">
        <v>10</v>
      </c>
      <c r="H4916" s="15" t="s">
        <v>10</v>
      </c>
      <c r="I4916" s="15">
        <v>0.87167527051416671</v>
      </c>
      <c r="J4916" s="15">
        <v>0.87167527051416671</v>
      </c>
      <c r="K4916" s="15">
        <v>0.93060704325606869</v>
      </c>
      <c r="L4916" s="15">
        <v>0.93060704325606869</v>
      </c>
      <c r="M4916" s="15">
        <v>0.93060704325606869</v>
      </c>
      <c r="N4916" s="15">
        <v>0.93060704325606869</v>
      </c>
      <c r="O4916" s="15">
        <v>0.81849402044256392</v>
      </c>
      <c r="P4916" s="15">
        <v>0.81849402044256392</v>
      </c>
      <c r="Q4916" s="8"/>
      <c r="R4916" s="9" t="s">
        <v>4458</v>
      </c>
    </row>
    <row r="4917" spans="1:18" x14ac:dyDescent="0.25">
      <c r="A4917" s="6" t="str">
        <f>HYPERLINK("proteomic_fractions_linear_files/Yang_linear_img/257153408.jpg", "257153408")</f>
        <v>257153408</v>
      </c>
      <c r="B4917" s="7"/>
      <c r="C4917" s="6" t="str">
        <f>HYPERLINK("http://www.ncbi.nlm.nih.gov/protein/257153408","Nkap")</f>
        <v>Nkap</v>
      </c>
      <c r="D4917" s="8"/>
      <c r="E4917" s="8">
        <v>47096</v>
      </c>
      <c r="F4917" s="8"/>
      <c r="G4917" s="15" t="s">
        <v>10</v>
      </c>
      <c r="H4917" s="15" t="s">
        <v>10</v>
      </c>
      <c r="I4917" s="15">
        <v>127.51276595744682</v>
      </c>
      <c r="J4917" s="15">
        <v>127.51276595744682</v>
      </c>
      <c r="K4917" s="15">
        <v>127.51276595744682</v>
      </c>
      <c r="L4917" s="15">
        <v>127.51276595744682</v>
      </c>
      <c r="M4917" s="15">
        <v>127.51276595744682</v>
      </c>
      <c r="N4917" s="15">
        <v>127.51276595744682</v>
      </c>
      <c r="O4917" s="15" t="s">
        <v>10</v>
      </c>
      <c r="P4917" s="15" t="s">
        <v>10</v>
      </c>
      <c r="Q4917" s="8"/>
      <c r="R4917" s="9" t="s">
        <v>4459</v>
      </c>
    </row>
    <row r="4918" spans="1:18" x14ac:dyDescent="0.25">
      <c r="A4918" s="6" t="str">
        <f>HYPERLINK("proteomic_fractions_linear_files/Yang_linear_img/254553396.jpg", "254553396")</f>
        <v>254553396</v>
      </c>
      <c r="B4918" s="7"/>
      <c r="C4918" s="6" t="str">
        <f>HYPERLINK("http://www.ncbi.nlm.nih.gov/protein/254553396","Nkapl")</f>
        <v>Nkapl</v>
      </c>
      <c r="D4918" s="8"/>
      <c r="E4918" s="8">
        <v>44763</v>
      </c>
      <c r="F4918" s="8"/>
      <c r="G4918" s="15" t="s">
        <v>10</v>
      </c>
      <c r="H4918" s="15" t="s">
        <v>10</v>
      </c>
      <c r="I4918" s="15">
        <v>133.18</v>
      </c>
      <c r="J4918" s="15">
        <v>133.18</v>
      </c>
      <c r="K4918" s="15">
        <v>133.18</v>
      </c>
      <c r="L4918" s="15">
        <v>133.18</v>
      </c>
      <c r="M4918" s="15">
        <v>133.18</v>
      </c>
      <c r="N4918" s="15">
        <v>133.18</v>
      </c>
      <c r="O4918" s="15" t="s">
        <v>10</v>
      </c>
      <c r="P4918" s="15" t="s">
        <v>10</v>
      </c>
      <c r="Q4918" s="8"/>
      <c r="R4918" s="9" t="s">
        <v>4460</v>
      </c>
    </row>
    <row r="4919" spans="1:18" x14ac:dyDescent="0.25">
      <c r="A4919" s="6" t="str">
        <f>HYPERLINK("proteomic_fractions_linear_files/Yang_linear_img/21312616.jpg", "21312616")</f>
        <v>21312616</v>
      </c>
      <c r="B4919" s="7"/>
      <c r="C4919" s="6" t="str">
        <f>HYPERLINK("http://www.ncbi.nlm.nih.gov/protein/21312616","Nkiras2")</f>
        <v>Nkiras2</v>
      </c>
      <c r="D4919" s="8"/>
      <c r="E4919" s="8">
        <v>21363</v>
      </c>
      <c r="F4919" s="8"/>
      <c r="G4919" s="15" t="s">
        <v>10</v>
      </c>
      <c r="H4919" s="15" t="s">
        <v>10</v>
      </c>
      <c r="I4919" s="15">
        <v>1.0378924890799406</v>
      </c>
      <c r="J4919" s="15">
        <v>1.0378924890799406</v>
      </c>
      <c r="K4919" s="15">
        <v>1.0378924890799406</v>
      </c>
      <c r="L4919" s="15">
        <v>1.0378924890799406</v>
      </c>
      <c r="M4919" s="15">
        <v>1.0378924890799406</v>
      </c>
      <c r="N4919" s="15">
        <v>1.0378924890799406</v>
      </c>
      <c r="O4919" s="15">
        <v>1.0378924890799406</v>
      </c>
      <c r="P4919" s="15">
        <v>1.0378924890799406</v>
      </c>
      <c r="Q4919" s="8"/>
      <c r="R4919" s="9" t="s">
        <v>4461</v>
      </c>
    </row>
    <row r="4920" spans="1:18" x14ac:dyDescent="0.25">
      <c r="A4920" s="6" t="str">
        <f>HYPERLINK("proteomic_fractions_linear_files/Yang_linear_img/62526130.jpg", "62526130")</f>
        <v>62526130</v>
      </c>
      <c r="B4920" s="7"/>
      <c r="C4920" s="6" t="str">
        <f>HYPERLINK("http://www.ncbi.nlm.nih.gov/protein/62526130","Nktr")</f>
        <v>Nktr</v>
      </c>
      <c r="D4920" s="8"/>
      <c r="E4920" s="8">
        <v>163319</v>
      </c>
      <c r="F4920" s="8"/>
      <c r="G4920" s="15" t="s">
        <v>10</v>
      </c>
      <c r="H4920" s="15" t="s">
        <v>10</v>
      </c>
      <c r="I4920" s="15" t="s">
        <v>10</v>
      </c>
      <c r="J4920" s="15" t="s">
        <v>10</v>
      </c>
      <c r="K4920" s="15">
        <v>36.767484662576692</v>
      </c>
      <c r="L4920" s="15">
        <v>36.767484662576692</v>
      </c>
      <c r="M4920" s="15">
        <v>36.767484662576692</v>
      </c>
      <c r="N4920" s="15">
        <v>36.767484662576692</v>
      </c>
      <c r="O4920" s="15" t="s">
        <v>10</v>
      </c>
      <c r="P4920" s="15" t="s">
        <v>10</v>
      </c>
      <c r="Q4920" s="8"/>
      <c r="R4920" s="9" t="s">
        <v>4462</v>
      </c>
    </row>
    <row r="4921" spans="1:18" x14ac:dyDescent="0.25">
      <c r="A4921" s="6" t="str">
        <f>HYPERLINK("proteomic_fractions_linear_files/Yang_linear_img/21450629.jpg", "21450629")</f>
        <v>21450629</v>
      </c>
      <c r="B4921" s="7"/>
      <c r="C4921" s="6" t="str">
        <f>HYPERLINK("http://www.ncbi.nlm.nih.gov/protein/21450629","Nkx6-1")</f>
        <v>Nkx6-1</v>
      </c>
      <c r="D4921" s="8"/>
      <c r="E4921" s="8">
        <v>37574</v>
      </c>
      <c r="F4921" s="8"/>
      <c r="G4921" s="15" t="s">
        <v>10</v>
      </c>
      <c r="H4921" s="15" t="s">
        <v>10</v>
      </c>
      <c r="I4921" s="15">
        <v>1.3979097271052916</v>
      </c>
      <c r="J4921" s="15">
        <v>1.3979097271052916</v>
      </c>
      <c r="K4921" s="15" t="s">
        <v>10</v>
      </c>
      <c r="L4921" s="15" t="s">
        <v>10</v>
      </c>
      <c r="M4921" s="15" t="s">
        <v>10</v>
      </c>
      <c r="N4921" s="15" t="s">
        <v>10</v>
      </c>
      <c r="O4921" s="15" t="s">
        <v>10</v>
      </c>
      <c r="P4921" s="15" t="s">
        <v>10</v>
      </c>
      <c r="Q4921" s="8"/>
      <c r="R4921" s="9" t="s">
        <v>4463</v>
      </c>
    </row>
    <row r="4922" spans="1:18" x14ac:dyDescent="0.25">
      <c r="A4922" s="6" t="str">
        <f>HYPERLINK("proteomic_fractions_linear_files/Yang_linear_img/238624156.jpg", "238624156")</f>
        <v>238624156</v>
      </c>
      <c r="B4922" s="7"/>
      <c r="C4922" s="6" t="str">
        <f>HYPERLINK("http://www.ncbi.nlm.nih.gov/protein/238624156","Nle1")</f>
        <v>Nle1</v>
      </c>
      <c r="D4922" s="8"/>
      <c r="E4922" s="8">
        <v>53003</v>
      </c>
      <c r="F4922" s="8"/>
      <c r="G4922" s="15" t="s">
        <v>10</v>
      </c>
      <c r="H4922" s="15" t="s">
        <v>10</v>
      </c>
      <c r="I4922" s="15" t="s">
        <v>10</v>
      </c>
      <c r="J4922" s="15" t="s">
        <v>10</v>
      </c>
      <c r="K4922" s="15">
        <v>1.0022748986792656</v>
      </c>
      <c r="L4922" s="15">
        <v>1.0022748986792656</v>
      </c>
      <c r="M4922" s="15" t="s">
        <v>10</v>
      </c>
      <c r="N4922" s="15" t="s">
        <v>10</v>
      </c>
      <c r="O4922" s="15">
        <v>0.91113161480028781</v>
      </c>
      <c r="P4922" s="15">
        <v>0.91113161480028781</v>
      </c>
      <c r="Q4922" s="8"/>
      <c r="R4922" s="9" t="s">
        <v>4464</v>
      </c>
    </row>
    <row r="4923" spans="1:18" x14ac:dyDescent="0.25">
      <c r="A4923" s="6" t="str">
        <f>HYPERLINK("proteomic_fractions_linear_files/Yang_linear_img/149408132.jpg", "149408132")</f>
        <v>149408132</v>
      </c>
      <c r="B4923" s="7"/>
      <c r="C4923" s="6" t="str">
        <f>HYPERLINK("http://www.ncbi.nlm.nih.gov/protein/149408132","Nlk")</f>
        <v>Nlk</v>
      </c>
      <c r="D4923" s="8"/>
      <c r="E4923" s="8">
        <v>58182</v>
      </c>
      <c r="F4923" s="8"/>
      <c r="G4923" s="15" t="s">
        <v>10</v>
      </c>
      <c r="H4923" s="15" t="s">
        <v>10</v>
      </c>
      <c r="I4923" s="15">
        <v>0.64381597281249292</v>
      </c>
      <c r="J4923" s="15">
        <v>0.64381597281249292</v>
      </c>
      <c r="K4923" s="15">
        <v>0.69840203798659906</v>
      </c>
      <c r="L4923" s="15">
        <v>0.69840203798659906</v>
      </c>
      <c r="M4923" s="15">
        <v>0.64381597281249292</v>
      </c>
      <c r="N4923" s="15">
        <v>0.64381597281249292</v>
      </c>
      <c r="O4923" s="15">
        <v>0.59574787121508943</v>
      </c>
      <c r="P4923" s="15">
        <v>0.59574787121508943</v>
      </c>
      <c r="Q4923" s="8"/>
      <c r="R4923" s="9" t="s">
        <v>4465</v>
      </c>
    </row>
    <row r="4924" spans="1:18" x14ac:dyDescent="0.25">
      <c r="A4924" s="6" t="str">
        <f>HYPERLINK("proteomic_fractions_linear_files/Yang_linear_img/28077051.jpg", "28077051")</f>
        <v>28077051</v>
      </c>
      <c r="B4924" s="7"/>
      <c r="C4924" s="6" t="str">
        <f>HYPERLINK("http://www.ncbi.nlm.nih.gov/protein/28077051","Nln")</f>
        <v>Nln</v>
      </c>
      <c r="D4924" s="8"/>
      <c r="E4924" s="8">
        <v>76439</v>
      </c>
      <c r="F4924" s="8"/>
      <c r="G4924" s="15" t="s">
        <v>10</v>
      </c>
      <c r="H4924" s="15" t="s">
        <v>10</v>
      </c>
      <c r="I4924" s="15">
        <v>1.0934034009624192</v>
      </c>
      <c r="J4924" s="15">
        <v>1.0934034009624192</v>
      </c>
      <c r="K4924" s="15" t="s">
        <v>10</v>
      </c>
      <c r="L4924" s="15" t="s">
        <v>10</v>
      </c>
      <c r="M4924" s="15" t="s">
        <v>10</v>
      </c>
      <c r="N4924" s="15" t="s">
        <v>10</v>
      </c>
      <c r="O4924" s="15">
        <v>1.0934034009624192</v>
      </c>
      <c r="P4924" s="15">
        <v>1.0934034009624192</v>
      </c>
      <c r="Q4924" s="8"/>
      <c r="R4924" s="9" t="s">
        <v>4466</v>
      </c>
    </row>
    <row r="4925" spans="1:18" x14ac:dyDescent="0.25">
      <c r="A4925" s="6" t="str">
        <f>HYPERLINK("proteomic_fractions_linear_files/Yang_linear_img/241666421.jpg", "241666421")</f>
        <v>241666421</v>
      </c>
      <c r="B4925" s="7"/>
      <c r="C4925" s="6" t="str">
        <f>HYPERLINK("http://www.ncbi.nlm.nih.gov/protein/241666421","Nlrp1a")</f>
        <v>Nlrp1a</v>
      </c>
      <c r="D4925" s="8"/>
      <c r="E4925" s="8">
        <v>134177</v>
      </c>
      <c r="F4925" s="8"/>
      <c r="G4925" s="15">
        <v>0.81941465538157809</v>
      </c>
      <c r="H4925" s="15">
        <v>0.81941465538157809</v>
      </c>
      <c r="I4925" s="15">
        <v>0.12474980985527628</v>
      </c>
      <c r="J4925" s="15">
        <v>0.12474980985527628</v>
      </c>
      <c r="K4925" s="15">
        <v>0.96060916526206697</v>
      </c>
      <c r="L4925" s="15">
        <v>0.96060916526206697</v>
      </c>
      <c r="M4925" s="15">
        <v>0.96060916526206697</v>
      </c>
      <c r="N4925" s="15">
        <v>0.96060916526206697</v>
      </c>
      <c r="O4925" s="15" t="s">
        <v>10</v>
      </c>
      <c r="P4925" s="15" t="s">
        <v>10</v>
      </c>
      <c r="Q4925" s="8"/>
      <c r="R4925" s="9" t="s">
        <v>4467</v>
      </c>
    </row>
    <row r="4926" spans="1:18" x14ac:dyDescent="0.25">
      <c r="A4926" s="6" t="str">
        <f>HYPERLINK("proteomic_fractions_linear_files/Yang_linear_img/22003870.jpg", "22003870")</f>
        <v>22003870</v>
      </c>
      <c r="B4926" s="7"/>
      <c r="C4926" s="6" t="str">
        <f>HYPERLINK("http://www.ncbi.nlm.nih.gov/protein/22003870","Nlrp3")</f>
        <v>Nlrp3</v>
      </c>
      <c r="D4926" s="8"/>
      <c r="E4926" s="8">
        <v>118144</v>
      </c>
      <c r="F4926" s="8"/>
      <c r="G4926" s="15" t="s">
        <v>10</v>
      </c>
      <c r="H4926" s="15" t="s">
        <v>10</v>
      </c>
      <c r="I4926" s="15" t="s">
        <v>10</v>
      </c>
      <c r="J4926" s="15" t="s">
        <v>10</v>
      </c>
      <c r="K4926" s="15">
        <v>1.5827612850842403</v>
      </c>
      <c r="L4926" s="15">
        <v>1.5827612850842403</v>
      </c>
      <c r="M4926" s="15" t="s">
        <v>10</v>
      </c>
      <c r="N4926" s="15" t="s">
        <v>10</v>
      </c>
      <c r="O4926" s="15" t="s">
        <v>10</v>
      </c>
      <c r="P4926" s="15" t="s">
        <v>10</v>
      </c>
      <c r="Q4926" s="8"/>
      <c r="R4926" s="9" t="s">
        <v>4468</v>
      </c>
    </row>
    <row r="4927" spans="1:18" x14ac:dyDescent="0.25">
      <c r="A4927" s="6" t="str">
        <f>HYPERLINK("proteomic_fractions_linear_files/Yang_linear_img/7106379.jpg", "7106379")</f>
        <v>7106379</v>
      </c>
      <c r="B4927" s="7"/>
      <c r="C4927" s="6" t="str">
        <f>HYPERLINK("http://www.ncbi.nlm.nih.gov/protein/7106379","Nlrp5")</f>
        <v>Nlrp5</v>
      </c>
      <c r="D4927" s="8"/>
      <c r="E4927" s="8">
        <v>125372</v>
      </c>
      <c r="F4927" s="8"/>
      <c r="G4927" s="15" t="s">
        <v>10</v>
      </c>
      <c r="H4927" s="15" t="s">
        <v>10</v>
      </c>
      <c r="I4927" s="15" t="s">
        <v>10</v>
      </c>
      <c r="J4927" s="15" t="s">
        <v>10</v>
      </c>
      <c r="K4927" s="15" t="s">
        <v>10</v>
      </c>
      <c r="L4927" s="15" t="s">
        <v>10</v>
      </c>
      <c r="M4927" s="15">
        <v>0.87841251056905179</v>
      </c>
      <c r="N4927" s="15">
        <v>0.87841251056905179</v>
      </c>
      <c r="O4927" s="15" t="s">
        <v>10</v>
      </c>
      <c r="P4927" s="15" t="s">
        <v>10</v>
      </c>
      <c r="Q4927" s="8"/>
      <c r="R4927" s="9" t="s">
        <v>4469</v>
      </c>
    </row>
    <row r="4928" spans="1:18" x14ac:dyDescent="0.25">
      <c r="A4928" s="6" t="str">
        <f>HYPERLINK("proteomic_fractions_linear_files/Yang_linear_img/85362740.jpg", "85362740")</f>
        <v>85362740</v>
      </c>
      <c r="B4928" s="7"/>
      <c r="C4928" s="6" t="str">
        <f>HYPERLINK("http://www.ncbi.nlm.nih.gov/protein/85362740","Nlrp5")</f>
        <v>Nlrp5</v>
      </c>
      <c r="D4928" s="8"/>
      <c r="E4928" s="8">
        <v>123539</v>
      </c>
      <c r="F4928" s="8"/>
      <c r="G4928" s="15" t="s">
        <v>10</v>
      </c>
      <c r="H4928" s="15" t="s">
        <v>10</v>
      </c>
      <c r="I4928" s="15" t="s">
        <v>10</v>
      </c>
      <c r="J4928" s="15" t="s">
        <v>10</v>
      </c>
      <c r="K4928" s="15" t="s">
        <v>10</v>
      </c>
      <c r="L4928" s="15" t="s">
        <v>10</v>
      </c>
      <c r="M4928" s="15">
        <v>0.88549648242847956</v>
      </c>
      <c r="N4928" s="15">
        <v>0.88549648242847956</v>
      </c>
      <c r="O4928" s="15" t="s">
        <v>10</v>
      </c>
      <c r="P4928" s="15" t="s">
        <v>10</v>
      </c>
      <c r="Q4928" s="8"/>
      <c r="R4928" s="9" t="s">
        <v>4470</v>
      </c>
    </row>
    <row r="4929" spans="1:18" x14ac:dyDescent="0.25">
      <c r="A4929" s="6" t="str">
        <f>HYPERLINK("proteomic_fractions_linear_files/Yang_linear_img/37700232.jpg", "37700232")</f>
        <v>37700232</v>
      </c>
      <c r="B4929" s="7"/>
      <c r="C4929" s="6" t="str">
        <f>HYPERLINK("http://www.ncbi.nlm.nih.gov/protein/37700232","Nme1")</f>
        <v>Nme1</v>
      </c>
      <c r="D4929" s="8"/>
      <c r="E4929" s="8">
        <v>17077</v>
      </c>
      <c r="F4929" s="8"/>
      <c r="G4929" s="15">
        <v>1.3593866691010261</v>
      </c>
      <c r="H4929" s="15">
        <v>1.3593866691010261</v>
      </c>
      <c r="I4929" s="15">
        <v>0.93690834018716329</v>
      </c>
      <c r="J4929" s="15">
        <v>0.93690834018716329</v>
      </c>
      <c r="K4929" s="15">
        <v>0.98332203062394252</v>
      </c>
      <c r="L4929" s="15">
        <v>0.98332203062394252</v>
      </c>
      <c r="M4929" s="15">
        <v>0.98332203062394252</v>
      </c>
      <c r="N4929" s="15">
        <v>0.98332203062394252</v>
      </c>
      <c r="O4929" s="15">
        <v>0.93690834018716329</v>
      </c>
      <c r="P4929" s="15">
        <v>0.93690834018716329</v>
      </c>
      <c r="Q4929" s="8"/>
      <c r="R4929" s="9" t="s">
        <v>4471</v>
      </c>
    </row>
    <row r="4930" spans="1:18" x14ac:dyDescent="0.25">
      <c r="A4930" s="6" t="str">
        <f>HYPERLINK("proteomic_fractions_linear_files/Yang_linear_img/6679078.jpg", "6679078")</f>
        <v>6679078</v>
      </c>
      <c r="B4930" s="7"/>
      <c r="C4930" s="6" t="str">
        <f>HYPERLINK("http://www.ncbi.nlm.nih.gov/protein/6679078","Nme2")</f>
        <v>Nme2</v>
      </c>
      <c r="D4930" s="8"/>
      <c r="E4930" s="8">
        <v>17232</v>
      </c>
      <c r="F4930" s="8"/>
      <c r="G4930" s="15">
        <v>1.3593866691010261</v>
      </c>
      <c r="H4930" s="15">
        <v>1.3593866691010261</v>
      </c>
      <c r="I4930" s="15">
        <v>0.93690834018716329</v>
      </c>
      <c r="J4930" s="15">
        <v>0.93690834018716329</v>
      </c>
      <c r="K4930" s="15">
        <v>0.98332203062394252</v>
      </c>
      <c r="L4930" s="15">
        <v>0.98332203062394252</v>
      </c>
      <c r="M4930" s="15">
        <v>0.98332203062394252</v>
      </c>
      <c r="N4930" s="15">
        <v>0.98332203062394252</v>
      </c>
      <c r="O4930" s="15">
        <v>0.93690834018716329</v>
      </c>
      <c r="P4930" s="15">
        <v>0.93690834018716329</v>
      </c>
      <c r="Q4930" s="8"/>
      <c r="R4930" s="9" t="s">
        <v>4472</v>
      </c>
    </row>
    <row r="4931" spans="1:18" x14ac:dyDescent="0.25">
      <c r="A4931" s="6" t="str">
        <f>HYPERLINK("proteomic_fractions_linear_files/Yang_linear_img/255308888.jpg", "255308888")</f>
        <v>255308888</v>
      </c>
      <c r="B4931" s="7"/>
      <c r="C4931" s="6" t="str">
        <f>HYPERLINK("http://www.ncbi.nlm.nih.gov/protein/255308888","Nme3")</f>
        <v>Nme3</v>
      </c>
      <c r="D4931" s="8"/>
      <c r="E4931" s="8">
        <v>17114</v>
      </c>
      <c r="F4931" s="8"/>
      <c r="G4931" s="15">
        <v>1.3593866691010261</v>
      </c>
      <c r="H4931" s="15">
        <v>1.3593866691010261</v>
      </c>
      <c r="I4931" s="15">
        <v>0.93690834018716329</v>
      </c>
      <c r="J4931" s="15">
        <v>0.93690834018716329</v>
      </c>
      <c r="K4931" s="15">
        <v>0.98332203062394252</v>
      </c>
      <c r="L4931" s="15">
        <v>0.98332203062394252</v>
      </c>
      <c r="M4931" s="15">
        <v>0.98332203062394252</v>
      </c>
      <c r="N4931" s="15">
        <v>0.98332203062394252</v>
      </c>
      <c r="O4931" s="15">
        <v>0.89390225257731093</v>
      </c>
      <c r="P4931" s="15">
        <v>0.89390225257731093</v>
      </c>
      <c r="Q4931" s="8"/>
      <c r="R4931" s="9" t="s">
        <v>4473</v>
      </c>
    </row>
    <row r="4932" spans="1:18" x14ac:dyDescent="0.25">
      <c r="A4932" s="6" t="str">
        <f>HYPERLINK("proteomic_fractions_linear_files/Yang_linear_img/9055290.jpg", "9055290")</f>
        <v>9055290</v>
      </c>
      <c r="B4932" s="7"/>
      <c r="C4932" s="6" t="str">
        <f>HYPERLINK("http://www.ncbi.nlm.nih.gov/protein/9055290","Nme6")</f>
        <v>Nme6</v>
      </c>
      <c r="D4932" s="8"/>
      <c r="E4932" s="8">
        <v>21647</v>
      </c>
      <c r="F4932" s="8"/>
      <c r="G4932" s="15" t="s">
        <v>10</v>
      </c>
      <c r="H4932" s="15" t="s">
        <v>10</v>
      </c>
      <c r="I4932" s="15">
        <v>0.88641590127433068</v>
      </c>
      <c r="J4932" s="15">
        <v>0.88641590127433068</v>
      </c>
      <c r="K4932" s="15" t="s">
        <v>10</v>
      </c>
      <c r="L4932" s="15" t="s">
        <v>10</v>
      </c>
      <c r="M4932" s="15" t="s">
        <v>10</v>
      </c>
      <c r="N4932" s="15" t="s">
        <v>10</v>
      </c>
      <c r="O4932" s="15" t="s">
        <v>10</v>
      </c>
      <c r="P4932" s="15" t="s">
        <v>10</v>
      </c>
      <c r="Q4932" s="8"/>
      <c r="R4932" s="9" t="s">
        <v>4474</v>
      </c>
    </row>
    <row r="4933" spans="1:18" x14ac:dyDescent="0.25">
      <c r="A4933" s="6" t="str">
        <f>HYPERLINK("proteomic_fractions_linear_files/Yang_linear_img/167000069.jpg", "167000069")</f>
        <v>167000069</v>
      </c>
      <c r="B4933" s="7"/>
      <c r="C4933" s="6" t="str">
        <f>HYPERLINK("http://www.ncbi.nlm.nih.gov/protein/167000069","Nme8")</f>
        <v>Nme8</v>
      </c>
      <c r="D4933" s="8"/>
      <c r="E4933" s="8">
        <v>66727</v>
      </c>
      <c r="F4933" s="8"/>
      <c r="G4933" s="15" t="s">
        <v>10</v>
      </c>
      <c r="H4933" s="15" t="s">
        <v>10</v>
      </c>
      <c r="I4933" s="15">
        <v>0.26223790694565624</v>
      </c>
      <c r="J4933" s="15">
        <v>0.26223790694565624</v>
      </c>
      <c r="K4933" s="15" t="s">
        <v>10</v>
      </c>
      <c r="L4933" s="15" t="s">
        <v>10</v>
      </c>
      <c r="M4933" s="15">
        <v>0.24949961971055257</v>
      </c>
      <c r="N4933" s="15">
        <v>0.24949961971055257</v>
      </c>
      <c r="O4933" s="15" t="s">
        <v>10</v>
      </c>
      <c r="P4933" s="15" t="s">
        <v>10</v>
      </c>
      <c r="Q4933" s="8"/>
      <c r="R4933" s="9" t="s">
        <v>4475</v>
      </c>
    </row>
    <row r="4934" spans="1:18" x14ac:dyDescent="0.25">
      <c r="A4934" s="6" t="str">
        <f>HYPERLINK("proteomic_fractions_linear_files/Yang_linear_img/268836142.jpg", "268836142")</f>
        <v>268836142</v>
      </c>
      <c r="B4934" s="7"/>
      <c r="C4934" s="6" t="str">
        <f>HYPERLINK("http://www.ncbi.nlm.nih.gov/protein/268836142","Nme8")</f>
        <v>Nme8</v>
      </c>
      <c r="D4934" s="8"/>
      <c r="E4934" s="8">
        <v>53754</v>
      </c>
      <c r="F4934" s="8"/>
      <c r="G4934" s="15" t="s">
        <v>10</v>
      </c>
      <c r="H4934" s="15" t="s">
        <v>10</v>
      </c>
      <c r="I4934" s="15">
        <v>0.32536925491405494</v>
      </c>
      <c r="J4934" s="15">
        <v>0.32536925491405494</v>
      </c>
      <c r="K4934" s="15" t="s">
        <v>10</v>
      </c>
      <c r="L4934" s="15" t="s">
        <v>10</v>
      </c>
      <c r="M4934" s="15">
        <v>0.3095643429742041</v>
      </c>
      <c r="N4934" s="15">
        <v>0.3095643429742041</v>
      </c>
      <c r="O4934" s="15" t="s">
        <v>10</v>
      </c>
      <c r="P4934" s="15" t="s">
        <v>10</v>
      </c>
      <c r="Q4934" s="8"/>
      <c r="R4934" s="9" t="s">
        <v>4476</v>
      </c>
    </row>
    <row r="4935" spans="1:18" x14ac:dyDescent="0.25">
      <c r="A4935" s="6" t="str">
        <f>HYPERLINK("proteomic_fractions_linear_files/Yang_linear_img/33469125.jpg", "33469125")</f>
        <v>33469125</v>
      </c>
      <c r="B4935" s="7"/>
      <c r="C4935" s="6" t="str">
        <f>HYPERLINK("http://www.ncbi.nlm.nih.gov/protein/33469125","Nmi")</f>
        <v>Nmi</v>
      </c>
      <c r="D4935" s="8"/>
      <c r="E4935" s="8">
        <v>35105</v>
      </c>
      <c r="F4935" s="8"/>
      <c r="G4935" s="15" t="s">
        <v>10</v>
      </c>
      <c r="H4935" s="15" t="s">
        <v>10</v>
      </c>
      <c r="I4935" s="15">
        <v>1.0668950406607027</v>
      </c>
      <c r="J4935" s="15">
        <v>1.0668950406607027</v>
      </c>
      <c r="K4935" s="15">
        <v>1.1573519486635071</v>
      </c>
      <c r="L4935" s="15">
        <v>1.1573519486635071</v>
      </c>
      <c r="M4935" s="15">
        <v>1.0668950406607027</v>
      </c>
      <c r="N4935" s="15">
        <v>1.0668950406607027</v>
      </c>
      <c r="O4935" s="15">
        <v>0.98723932944214809</v>
      </c>
      <c r="P4935" s="15">
        <v>0.98723932944214809</v>
      </c>
      <c r="Q4935" s="8"/>
      <c r="R4935" s="9" t="s">
        <v>4477</v>
      </c>
    </row>
    <row r="4936" spans="1:18" x14ac:dyDescent="0.25">
      <c r="A4936" s="6" t="str">
        <f>HYPERLINK("proteomic_fractions_linear_files/Yang_linear_img/57527870.jpg", "57527870")</f>
        <v>57527870</v>
      </c>
      <c r="B4936" s="7"/>
      <c r="C4936" s="6" t="str">
        <f>HYPERLINK("http://www.ncbi.nlm.nih.gov/protein/57527870","Nmnat1")</f>
        <v>Nmnat1</v>
      </c>
      <c r="D4936" s="8"/>
      <c r="E4936" s="8">
        <v>32224</v>
      </c>
      <c r="F4936" s="8"/>
      <c r="G4936" s="15" t="s">
        <v>10</v>
      </c>
      <c r="H4936" s="15" t="s">
        <v>10</v>
      </c>
      <c r="I4936" s="15">
        <v>0.87244410305256437</v>
      </c>
      <c r="J4936" s="15">
        <v>0.87244410305256437</v>
      </c>
      <c r="K4936" s="15">
        <v>0.87244410305256437</v>
      </c>
      <c r="L4936" s="15">
        <v>0.87244410305256437</v>
      </c>
      <c r="M4936" s="15">
        <v>0.87244410305256437</v>
      </c>
      <c r="N4936" s="15">
        <v>0.87244410305256437</v>
      </c>
      <c r="O4936" s="15" t="s">
        <v>10</v>
      </c>
      <c r="P4936" s="15" t="s">
        <v>10</v>
      </c>
      <c r="Q4936" s="8"/>
      <c r="R4936" s="9" t="s">
        <v>4478</v>
      </c>
    </row>
    <row r="4937" spans="1:18" x14ac:dyDescent="0.25">
      <c r="A4937" s="6" t="str">
        <f>HYPERLINK("proteomic_fractions_linear_files/Yang_linear_img/21362329.jpg", "21362329")</f>
        <v>21362329</v>
      </c>
      <c r="B4937" s="7"/>
      <c r="C4937" s="6" t="str">
        <f>HYPERLINK("http://www.ncbi.nlm.nih.gov/protein/21362329","Nmnat3")</f>
        <v>Nmnat3</v>
      </c>
      <c r="D4937" s="8"/>
      <c r="E4937" s="8">
        <v>27572</v>
      </c>
      <c r="F4937" s="8"/>
      <c r="G4937" s="15" t="s">
        <v>10</v>
      </c>
      <c r="H4937" s="15" t="s">
        <v>10</v>
      </c>
      <c r="I4937" s="15">
        <v>0.87695787904560418</v>
      </c>
      <c r="J4937" s="15">
        <v>0.87695787904560418</v>
      </c>
      <c r="K4937" s="15">
        <v>0.87695787904560418</v>
      </c>
      <c r="L4937" s="15">
        <v>0.87695787904560418</v>
      </c>
      <c r="M4937" s="15" t="s">
        <v>10</v>
      </c>
      <c r="N4937" s="15" t="s">
        <v>10</v>
      </c>
      <c r="O4937" s="15" t="s">
        <v>10</v>
      </c>
      <c r="P4937" s="15" t="s">
        <v>10</v>
      </c>
      <c r="Q4937" s="8"/>
      <c r="R4937" s="9" t="s">
        <v>4479</v>
      </c>
    </row>
    <row r="4938" spans="1:18" x14ac:dyDescent="0.25">
      <c r="A4938" s="6" t="str">
        <f>HYPERLINK("proteomic_fractions_linear_files/Yang_linear_img/24431937.jpg", "24431937")</f>
        <v>24431937</v>
      </c>
      <c r="B4938" s="7"/>
      <c r="C4938" s="6" t="str">
        <f>HYPERLINK("http://www.ncbi.nlm.nih.gov/protein/24431937","Nmral1")</f>
        <v>Nmral1</v>
      </c>
      <c r="D4938" s="8"/>
      <c r="E4938" s="8">
        <v>34245</v>
      </c>
      <c r="F4938" s="8"/>
      <c r="G4938" s="15" t="s">
        <v>10</v>
      </c>
      <c r="H4938" s="15" t="s">
        <v>10</v>
      </c>
      <c r="I4938" s="15">
        <v>0.82112386169653118</v>
      </c>
      <c r="J4938" s="15">
        <v>0.82112386169653118</v>
      </c>
      <c r="K4938" s="15">
        <v>0.87898255563862149</v>
      </c>
      <c r="L4938" s="15">
        <v>0.87898255563862149</v>
      </c>
      <c r="M4938" s="15">
        <v>0.87898255563862149</v>
      </c>
      <c r="N4938" s="15">
        <v>0.87898255563862149</v>
      </c>
      <c r="O4938" s="15">
        <v>0.76912523868897065</v>
      </c>
      <c r="P4938" s="15">
        <v>0.76912523868897065</v>
      </c>
      <c r="Q4938" s="8"/>
      <c r="R4938" s="9" t="s">
        <v>4480</v>
      </c>
    </row>
    <row r="4939" spans="1:18" x14ac:dyDescent="0.25">
      <c r="A4939" s="6" t="str">
        <f>HYPERLINK("proteomic_fractions_linear_files/Yang_linear_img/21703978.jpg", "21703978")</f>
        <v>21703978</v>
      </c>
      <c r="B4939" s="7"/>
      <c r="C4939" s="6" t="str">
        <f>HYPERLINK("http://www.ncbi.nlm.nih.gov/protein/21703978","Nmrk1")</f>
        <v>Nmrk1</v>
      </c>
      <c r="D4939" s="8"/>
      <c r="E4939" s="8">
        <v>22172</v>
      </c>
      <c r="F4939" s="8"/>
      <c r="G4939" s="15" t="s">
        <v>10</v>
      </c>
      <c r="H4939" s="15" t="s">
        <v>10</v>
      </c>
      <c r="I4939" s="15">
        <v>0.99071555775812503</v>
      </c>
      <c r="J4939" s="15">
        <v>0.99071555775812503</v>
      </c>
      <c r="K4939" s="15">
        <v>0.99071555775812503</v>
      </c>
      <c r="L4939" s="15">
        <v>0.99071555775812503</v>
      </c>
      <c r="M4939" s="15" t="s">
        <v>10</v>
      </c>
      <c r="N4939" s="15" t="s">
        <v>10</v>
      </c>
      <c r="O4939" s="15">
        <v>0.99071555775812503</v>
      </c>
      <c r="P4939" s="15">
        <v>0.99071555775812503</v>
      </c>
      <c r="Q4939" s="8"/>
      <c r="R4939" s="9" t="s">
        <v>4481</v>
      </c>
    </row>
    <row r="4940" spans="1:18" x14ac:dyDescent="0.25">
      <c r="A4940" s="6" t="str">
        <f>HYPERLINK("proteomic_fractions_linear_files/Yang_linear_img/6679082.jpg", "6679082")</f>
        <v>6679082</v>
      </c>
      <c r="B4940" s="7"/>
      <c r="C4940" s="6" t="str">
        <f>HYPERLINK("http://www.ncbi.nlm.nih.gov/protein/6679082","Nmt1")</f>
        <v>Nmt1</v>
      </c>
      <c r="D4940" s="8"/>
      <c r="E4940" s="8">
        <v>56758</v>
      </c>
      <c r="F4940" s="8"/>
      <c r="G4940" s="15">
        <v>1.2883536884505657</v>
      </c>
      <c r="H4940" s="15">
        <v>1.2883536884505657</v>
      </c>
      <c r="I4940" s="15">
        <v>1.0311089050104185</v>
      </c>
      <c r="J4940" s="15">
        <v>1.0311089050104185</v>
      </c>
      <c r="K4940" s="15">
        <v>1.1483028654481462</v>
      </c>
      <c r="L4940" s="15">
        <v>1.1483028654481462</v>
      </c>
      <c r="M4940" s="15">
        <v>1.0311089050104185</v>
      </c>
      <c r="N4940" s="15">
        <v>1.1483028654481462</v>
      </c>
      <c r="O4940" s="15">
        <v>1.0311089050104185</v>
      </c>
      <c r="P4940" s="15">
        <v>1.0311089050104185</v>
      </c>
      <c r="Q4940" s="8"/>
      <c r="R4940" s="9" t="s">
        <v>4482</v>
      </c>
    </row>
    <row r="4941" spans="1:18" x14ac:dyDescent="0.25">
      <c r="A4941" s="6" t="str">
        <f>HYPERLINK("proteomic_fractions_linear_files/Yang_linear_img/6679084.jpg", "6679084")</f>
        <v>6679084</v>
      </c>
      <c r="B4941" s="7"/>
      <c r="C4941" s="6" t="str">
        <f>HYPERLINK("http://www.ncbi.nlm.nih.gov/protein/6679084","Nmt2")</f>
        <v>Nmt2</v>
      </c>
      <c r="D4941" s="8"/>
      <c r="E4941" s="8">
        <v>60353</v>
      </c>
      <c r="F4941" s="8"/>
      <c r="G4941" s="15">
        <v>1.2239360040280374</v>
      </c>
      <c r="H4941" s="15">
        <v>1.2239360040280374</v>
      </c>
      <c r="I4941" s="15">
        <v>0.97955345975989749</v>
      </c>
      <c r="J4941" s="15">
        <v>0.97955345975989749</v>
      </c>
      <c r="K4941" s="15">
        <v>1.0908877221757389</v>
      </c>
      <c r="L4941" s="15">
        <v>1.0908877221757389</v>
      </c>
      <c r="M4941" s="15">
        <v>0.97955345975989749</v>
      </c>
      <c r="N4941" s="15">
        <v>0.97955345975989749</v>
      </c>
      <c r="O4941" s="15" t="s">
        <v>10</v>
      </c>
      <c r="P4941" s="15" t="s">
        <v>10</v>
      </c>
      <c r="Q4941" s="8"/>
      <c r="R4941" s="9" t="s">
        <v>4483</v>
      </c>
    </row>
    <row r="4942" spans="1:18" x14ac:dyDescent="0.25">
      <c r="A4942" s="6" t="str">
        <f>HYPERLINK("proteomic_fractions_linear_files/Yang_linear_img/9790049.jpg", "9790049")</f>
        <v>9790049</v>
      </c>
      <c r="B4942" s="7"/>
      <c r="C4942" s="6" t="str">
        <f>HYPERLINK("http://www.ncbi.nlm.nih.gov/protein/9790049","Noa1")</f>
        <v>Noa1</v>
      </c>
      <c r="D4942" s="8"/>
      <c r="E4942" s="8">
        <v>77248</v>
      </c>
      <c r="F4942" s="8"/>
      <c r="G4942" s="15" t="s">
        <v>10</v>
      </c>
      <c r="H4942" s="15" t="s">
        <v>10</v>
      </c>
      <c r="I4942" s="15">
        <v>1.079203356794076</v>
      </c>
      <c r="J4942" s="15">
        <v>1.079203356794076</v>
      </c>
      <c r="K4942" s="15" t="s">
        <v>10</v>
      </c>
      <c r="L4942" s="15" t="s">
        <v>10</v>
      </c>
      <c r="M4942" s="15" t="s">
        <v>10</v>
      </c>
      <c r="N4942" s="15" t="s">
        <v>10</v>
      </c>
      <c r="O4942" s="15" t="s">
        <v>10</v>
      </c>
      <c r="P4942" s="15" t="s">
        <v>10</v>
      </c>
      <c r="Q4942" s="8"/>
      <c r="R4942" s="9" t="s">
        <v>4484</v>
      </c>
    </row>
    <row r="4943" spans="1:18" x14ac:dyDescent="0.25">
      <c r="A4943" s="6" t="str">
        <f>HYPERLINK("proteomic_fractions_linear_files/Yang_linear_img/30794454.jpg", "30794454")</f>
        <v>30794454</v>
      </c>
      <c r="B4943" s="7"/>
      <c r="C4943" s="6" t="str">
        <f>HYPERLINK("http://www.ncbi.nlm.nih.gov/protein/30794454","Nob1")</f>
        <v>Nob1</v>
      </c>
      <c r="D4943" s="8"/>
      <c r="E4943" s="8">
        <v>45333</v>
      </c>
      <c r="F4943" s="8"/>
      <c r="G4943" s="15" t="s">
        <v>10</v>
      </c>
      <c r="H4943" s="15" t="s">
        <v>10</v>
      </c>
      <c r="I4943" s="15" t="s">
        <v>10</v>
      </c>
      <c r="J4943" s="15" t="s">
        <v>10</v>
      </c>
      <c r="K4943" s="15">
        <v>0.98056864993256598</v>
      </c>
      <c r="L4943" s="15">
        <v>0.98056864993256598</v>
      </c>
      <c r="M4943" s="15">
        <v>1.0731105685425613</v>
      </c>
      <c r="N4943" s="15">
        <v>1.0731105685425613</v>
      </c>
      <c r="O4943" s="15" t="s">
        <v>10</v>
      </c>
      <c r="P4943" s="15" t="s">
        <v>10</v>
      </c>
      <c r="Q4943" s="8"/>
      <c r="R4943" s="9" t="s">
        <v>4485</v>
      </c>
    </row>
    <row r="4944" spans="1:18" x14ac:dyDescent="0.25">
      <c r="A4944" s="6" t="str">
        <f>HYPERLINK("proteomic_fractions_linear_files/Yang_linear_img/124301227.jpg", "124301227")</f>
        <v>124301227</v>
      </c>
      <c r="B4944" s="7"/>
      <c r="C4944" s="6" t="str">
        <f>HYPERLINK("http://www.ncbi.nlm.nih.gov/protein/124301227","Noc2l")</f>
        <v>Noc2l</v>
      </c>
      <c r="D4944" s="8"/>
      <c r="E4944" s="8">
        <v>85508</v>
      </c>
      <c r="F4944" s="8"/>
      <c r="G4944" s="15" t="s">
        <v>10</v>
      </c>
      <c r="H4944" s="15" t="s">
        <v>10</v>
      </c>
      <c r="I4944" s="15" t="s">
        <v>10</v>
      </c>
      <c r="J4944" s="15" t="s">
        <v>10</v>
      </c>
      <c r="K4944" s="15" t="s">
        <v>10</v>
      </c>
      <c r="L4944" s="15" t="s">
        <v>10</v>
      </c>
      <c r="M4944" s="15">
        <v>1.2767623700131565</v>
      </c>
      <c r="N4944" s="15">
        <v>1.2767623700131565</v>
      </c>
      <c r="O4944" s="15" t="s">
        <v>10</v>
      </c>
      <c r="P4944" s="15" t="s">
        <v>10</v>
      </c>
      <c r="Q4944" s="8"/>
      <c r="R4944" s="9" t="s">
        <v>4486</v>
      </c>
    </row>
    <row r="4945" spans="1:18" x14ac:dyDescent="0.25">
      <c r="A4945" s="6" t="str">
        <f>HYPERLINK("proteomic_fractions_linear_files/Yang_linear_img/83977454.jpg", "83977454")</f>
        <v>83977454</v>
      </c>
      <c r="B4945" s="7"/>
      <c r="C4945" s="6" t="str">
        <f>HYPERLINK("http://www.ncbi.nlm.nih.gov/protein/83977454","Nod2")</f>
        <v>Nod2</v>
      </c>
      <c r="D4945" s="8"/>
      <c r="E4945" s="8">
        <v>112648</v>
      </c>
      <c r="F4945" s="8"/>
      <c r="G4945" s="15" t="s">
        <v>10</v>
      </c>
      <c r="H4945" s="15" t="s">
        <v>10</v>
      </c>
      <c r="I4945" s="15">
        <v>0.42734491667624119</v>
      </c>
      <c r="J4945" s="15">
        <v>0.42734491667624119</v>
      </c>
      <c r="K4945" s="15">
        <v>0.52011688128844114</v>
      </c>
      <c r="L4945" s="15">
        <v>0.52011688128844114</v>
      </c>
      <c r="M4945" s="15" t="s">
        <v>10</v>
      </c>
      <c r="N4945" s="15" t="s">
        <v>10</v>
      </c>
      <c r="O4945" s="15" t="s">
        <v>10</v>
      </c>
      <c r="P4945" s="15" t="s">
        <v>10</v>
      </c>
      <c r="Q4945" s="8"/>
      <c r="R4945" s="9" t="s">
        <v>4487</v>
      </c>
    </row>
    <row r="4946" spans="1:18" x14ac:dyDescent="0.25">
      <c r="A4946" s="6" t="str">
        <f>HYPERLINK("proteomic_fractions_linear_files/Yang_linear_img/227430356.jpg", "227430356")</f>
        <v>227430356</v>
      </c>
      <c r="B4946" s="7"/>
      <c r="C4946" s="6" t="str">
        <f>HYPERLINK("http://www.ncbi.nlm.nih.gov/protein/227430356","Nol9")</f>
        <v>Nol9</v>
      </c>
      <c r="D4946" s="8"/>
      <c r="E4946" s="8">
        <v>75813</v>
      </c>
      <c r="F4946" s="8"/>
      <c r="G4946" s="15" t="s">
        <v>10</v>
      </c>
      <c r="H4946" s="15" t="s">
        <v>10</v>
      </c>
      <c r="I4946" s="15" t="s">
        <v>10</v>
      </c>
      <c r="J4946" s="15" t="s">
        <v>10</v>
      </c>
      <c r="K4946" s="15">
        <v>1.2495786997708489</v>
      </c>
      <c r="L4946" s="15">
        <v>1.2495786997708489</v>
      </c>
      <c r="M4946" s="15" t="s">
        <v>10</v>
      </c>
      <c r="N4946" s="15" t="s">
        <v>10</v>
      </c>
      <c r="O4946" s="15" t="s">
        <v>10</v>
      </c>
      <c r="P4946" s="15" t="s">
        <v>10</v>
      </c>
      <c r="Q4946" s="8"/>
      <c r="R4946" s="9" t="s">
        <v>4488</v>
      </c>
    </row>
    <row r="4947" spans="1:18" x14ac:dyDescent="0.25">
      <c r="A4947" s="6" t="str">
        <f>HYPERLINK("proteomic_fractions_linear_files/Yang_linear_img/227430358.jpg", "227430358")</f>
        <v>227430358</v>
      </c>
      <c r="B4947" s="7"/>
      <c r="C4947" s="6" t="str">
        <f>HYPERLINK("http://www.ncbi.nlm.nih.gov/protein/227430358","Nol9")</f>
        <v>Nol9</v>
      </c>
      <c r="D4947" s="8"/>
      <c r="E4947" s="8">
        <v>80709</v>
      </c>
      <c r="F4947" s="8"/>
      <c r="G4947" s="15" t="s">
        <v>10</v>
      </c>
      <c r="H4947" s="15" t="s">
        <v>10</v>
      </c>
      <c r="I4947" s="15" t="s">
        <v>10</v>
      </c>
      <c r="J4947" s="15" t="s">
        <v>10</v>
      </c>
      <c r="K4947" s="15">
        <v>1.1724442121306728</v>
      </c>
      <c r="L4947" s="15">
        <v>1.1724442121306728</v>
      </c>
      <c r="M4947" s="15" t="s">
        <v>10</v>
      </c>
      <c r="N4947" s="15" t="s">
        <v>10</v>
      </c>
      <c r="O4947" s="15" t="s">
        <v>10</v>
      </c>
      <c r="P4947" s="15" t="s">
        <v>10</v>
      </c>
      <c r="Q4947" s="8"/>
      <c r="R4947" s="9" t="s">
        <v>4489</v>
      </c>
    </row>
    <row r="4948" spans="1:18" x14ac:dyDescent="0.25">
      <c r="A4948" s="6" t="str">
        <f>HYPERLINK("proteomic_fractions_linear_files/Yang_linear_img/86198327.jpg", "86198327")</f>
        <v>86198327</v>
      </c>
      <c r="B4948" s="7"/>
      <c r="C4948" s="6" t="str">
        <f>HYPERLINK("http://www.ncbi.nlm.nih.gov/protein/86198327","Nolc1")</f>
        <v>Nolc1</v>
      </c>
      <c r="D4948" s="8"/>
      <c r="E4948" s="8">
        <v>73297</v>
      </c>
      <c r="F4948" s="8"/>
      <c r="G4948" s="15">
        <v>2.102094125153998</v>
      </c>
      <c r="H4948" s="15">
        <v>2.102094125153998</v>
      </c>
      <c r="I4948" s="15">
        <v>82.097260273972609</v>
      </c>
      <c r="J4948" s="15">
        <v>82.097260273972609</v>
      </c>
      <c r="K4948" s="15">
        <v>82.097260273972609</v>
      </c>
      <c r="L4948" s="15">
        <v>82.097260273972609</v>
      </c>
      <c r="M4948" s="15" t="s">
        <v>10</v>
      </c>
      <c r="N4948" s="15" t="s">
        <v>10</v>
      </c>
      <c r="O4948" s="15" t="s">
        <v>10</v>
      </c>
      <c r="P4948" s="15" t="s">
        <v>10</v>
      </c>
      <c r="Q4948" s="8"/>
      <c r="R4948" s="9" t="s">
        <v>4490</v>
      </c>
    </row>
    <row r="4949" spans="1:18" x14ac:dyDescent="0.25">
      <c r="A4949" s="6" t="str">
        <f>HYPERLINK("proteomic_fractions_linear_files/Yang_linear_img/86198329.jpg", "86198329")</f>
        <v>86198329</v>
      </c>
      <c r="B4949" s="7"/>
      <c r="C4949" s="6" t="str">
        <f>HYPERLINK("http://www.ncbi.nlm.nih.gov/protein/86198329","Nolc1")</f>
        <v>Nolc1</v>
      </c>
      <c r="D4949" s="8"/>
      <c r="E4949" s="8">
        <v>73567</v>
      </c>
      <c r="F4949" s="8"/>
      <c r="G4949" s="15">
        <v>2.0736874477870519</v>
      </c>
      <c r="H4949" s="15">
        <v>2.0736874477870519</v>
      </c>
      <c r="I4949" s="15">
        <v>80.987837837837844</v>
      </c>
      <c r="J4949" s="15">
        <v>80.987837837837844</v>
      </c>
      <c r="K4949" s="15">
        <v>80.987837837837844</v>
      </c>
      <c r="L4949" s="15">
        <v>80.987837837837844</v>
      </c>
      <c r="M4949" s="15" t="s">
        <v>10</v>
      </c>
      <c r="N4949" s="15" t="s">
        <v>10</v>
      </c>
      <c r="O4949" s="15" t="s">
        <v>10</v>
      </c>
      <c r="P4949" s="15" t="s">
        <v>10</v>
      </c>
      <c r="Q4949" s="8"/>
      <c r="R4949" s="9" t="s">
        <v>4491</v>
      </c>
    </row>
    <row r="4950" spans="1:18" x14ac:dyDescent="0.25">
      <c r="A4950" s="6" t="str">
        <f>HYPERLINK("proteomic_fractions_linear_files/Yang_linear_img/86198331.jpg", "86198331")</f>
        <v>86198331</v>
      </c>
      <c r="B4950" s="7"/>
      <c r="C4950" s="6" t="str">
        <f>HYPERLINK("http://www.ncbi.nlm.nih.gov/protein/86198331","Nolc1")</f>
        <v>Nolc1</v>
      </c>
      <c r="D4950" s="8"/>
      <c r="E4950" s="8">
        <v>73439</v>
      </c>
      <c r="F4950" s="8"/>
      <c r="G4950" s="15">
        <v>2.102094125153998</v>
      </c>
      <c r="H4950" s="15">
        <v>2.102094125153998</v>
      </c>
      <c r="I4950" s="15">
        <v>82.097260273972609</v>
      </c>
      <c r="J4950" s="15">
        <v>82.097260273972609</v>
      </c>
      <c r="K4950" s="15">
        <v>82.097260273972609</v>
      </c>
      <c r="L4950" s="15">
        <v>82.097260273972609</v>
      </c>
      <c r="M4950" s="15" t="s">
        <v>10</v>
      </c>
      <c r="N4950" s="15" t="s">
        <v>10</v>
      </c>
      <c r="O4950" s="15" t="s">
        <v>10</v>
      </c>
      <c r="P4950" s="15" t="s">
        <v>10</v>
      </c>
      <c r="Q4950" s="8"/>
      <c r="R4950" s="9" t="s">
        <v>4492</v>
      </c>
    </row>
    <row r="4951" spans="1:18" x14ac:dyDescent="0.25">
      <c r="A4951" s="6" t="str">
        <f>HYPERLINK("proteomic_fractions_linear_files/Yang_linear_img/86198333.jpg", "86198333")</f>
        <v>86198333</v>
      </c>
      <c r="B4951" s="7"/>
      <c r="C4951" s="6" t="str">
        <f>HYPERLINK("http://www.ncbi.nlm.nih.gov/protein/86198333","Nolc1")</f>
        <v>Nolc1</v>
      </c>
      <c r="D4951" s="8"/>
      <c r="E4951" s="8">
        <v>73425</v>
      </c>
      <c r="F4951" s="8"/>
      <c r="G4951" s="15">
        <v>2.102094125153998</v>
      </c>
      <c r="H4951" s="15">
        <v>2.102094125153998</v>
      </c>
      <c r="I4951" s="15">
        <v>82.097260273972609</v>
      </c>
      <c r="J4951" s="15">
        <v>82.097260273972609</v>
      </c>
      <c r="K4951" s="15">
        <v>82.097260273972609</v>
      </c>
      <c r="L4951" s="15">
        <v>82.097260273972609</v>
      </c>
      <c r="M4951" s="15" t="s">
        <v>10</v>
      </c>
      <c r="N4951" s="15" t="s">
        <v>10</v>
      </c>
      <c r="O4951" s="15" t="s">
        <v>10</v>
      </c>
      <c r="P4951" s="15" t="s">
        <v>10</v>
      </c>
      <c r="Q4951" s="8"/>
      <c r="R4951" s="9" t="s">
        <v>4493</v>
      </c>
    </row>
    <row r="4952" spans="1:18" x14ac:dyDescent="0.25">
      <c r="A4952" s="6" t="str">
        <f>HYPERLINK("proteomic_fractions_linear_files/Yang_linear_img/134288861.jpg", "134288861")</f>
        <v>134288861</v>
      </c>
      <c r="B4952" s="7"/>
      <c r="C4952" s="6" t="str">
        <f>HYPERLINK("http://www.ncbi.nlm.nih.gov/protein/134288861","Nom1")</f>
        <v>Nom1</v>
      </c>
      <c r="D4952" s="8"/>
      <c r="E4952" s="8">
        <v>95829</v>
      </c>
      <c r="F4952" s="8"/>
      <c r="G4952" s="15" t="s">
        <v>10</v>
      </c>
      <c r="H4952" s="15" t="s">
        <v>10</v>
      </c>
      <c r="I4952" s="15" t="s">
        <v>10</v>
      </c>
      <c r="J4952" s="15" t="s">
        <v>10</v>
      </c>
      <c r="K4952" s="15">
        <v>1.1437662898034529</v>
      </c>
      <c r="L4952" s="15">
        <v>1.1437662898034529</v>
      </c>
      <c r="M4952" s="15" t="s">
        <v>10</v>
      </c>
      <c r="N4952" s="15" t="s">
        <v>10</v>
      </c>
      <c r="O4952" s="15" t="s">
        <v>10</v>
      </c>
      <c r="P4952" s="15" t="s">
        <v>10</v>
      </c>
      <c r="Q4952" s="8"/>
      <c r="R4952" s="9" t="s">
        <v>4494</v>
      </c>
    </row>
    <row r="4953" spans="1:18" x14ac:dyDescent="0.25">
      <c r="A4953" s="6" t="str">
        <f>HYPERLINK("proteomic_fractions_linear_files/Yang_linear_img/227908803.jpg", "227908803")</f>
        <v>227908803</v>
      </c>
      <c r="B4953" s="7"/>
      <c r="C4953" s="6" t="str">
        <f>HYPERLINK("http://www.ncbi.nlm.nih.gov/protein/227908803","Nomo1")</f>
        <v>Nomo1</v>
      </c>
      <c r="D4953" s="8"/>
      <c r="E4953" s="8">
        <v>131184</v>
      </c>
      <c r="F4953" s="8"/>
      <c r="G4953" s="15">
        <v>3.1224699064079373</v>
      </c>
      <c r="H4953" s="15">
        <v>1.1713959628720751</v>
      </c>
      <c r="I4953" s="15">
        <v>1.1713959628720751</v>
      </c>
      <c r="J4953" s="15">
        <v>1.1713959628720751</v>
      </c>
      <c r="K4953" s="15">
        <v>1.1713959628720751</v>
      </c>
      <c r="L4953" s="15">
        <v>1.1713959628720751</v>
      </c>
      <c r="M4953" s="15" t="s">
        <v>10</v>
      </c>
      <c r="N4953" s="15" t="s">
        <v>10</v>
      </c>
      <c r="O4953" s="15" t="s">
        <v>10</v>
      </c>
      <c r="P4953" s="15" t="s">
        <v>10</v>
      </c>
      <c r="Q4953" s="8"/>
      <c r="R4953" s="9" t="s">
        <v>4495</v>
      </c>
    </row>
    <row r="4954" spans="1:18" x14ac:dyDescent="0.25">
      <c r="A4954" s="6" t="str">
        <f>HYPERLINK("proteomic_fractions_linear_files/Yang_linear_img/357394934;255958247.jpg", "357394934;255958247")</f>
        <v>357394934;255958247</v>
      </c>
      <c r="B4954" s="8"/>
      <c r="C4954" s="6" t="str">
        <f>HYPERLINK("http://www.ncbi.nlm.nih.gov/protein/357394934;255958247","Nono")</f>
        <v>Nono</v>
      </c>
      <c r="D4954" s="8"/>
      <c r="E4954" s="8">
        <v>54410</v>
      </c>
      <c r="F4954" s="8"/>
      <c r="G4954" s="15" t="s">
        <v>10</v>
      </c>
      <c r="H4954" s="15" t="s">
        <v>10</v>
      </c>
      <c r="I4954" s="15" t="s">
        <v>10</v>
      </c>
      <c r="J4954" s="15" t="s">
        <v>10</v>
      </c>
      <c r="K4954" s="15">
        <v>1.2120974690841544</v>
      </c>
      <c r="L4954" s="15">
        <v>1.2120974690841544</v>
      </c>
      <c r="M4954" s="15" t="s">
        <v>10</v>
      </c>
      <c r="N4954" s="15" t="s">
        <v>10</v>
      </c>
      <c r="O4954" s="15" t="s">
        <v>10</v>
      </c>
      <c r="P4954" s="15" t="s">
        <v>10</v>
      </c>
      <c r="Q4954" s="8"/>
      <c r="R4954" s="9" t="s">
        <v>4496</v>
      </c>
    </row>
    <row r="4955" spans="1:18" x14ac:dyDescent="0.25">
      <c r="A4955" s="6" t="str">
        <f>HYPERLINK("proteomic_fractions_linear_files/Yang_linear_img/255958247.jpg", "255958247")</f>
        <v>255958247</v>
      </c>
      <c r="B4955" s="7"/>
      <c r="C4955" s="6" t="str">
        <f>HYPERLINK("http://www.ncbi.nlm.nih.gov/protein/255958247","Nono")</f>
        <v>Nono</v>
      </c>
      <c r="D4955" s="8"/>
      <c r="E4955" s="8">
        <v>54410</v>
      </c>
      <c r="F4955" s="8"/>
      <c r="G4955" s="15">
        <v>0.98371425240742738</v>
      </c>
      <c r="H4955" s="15">
        <v>0.98371425240742738</v>
      </c>
      <c r="I4955" s="15">
        <v>1.0883927330665528</v>
      </c>
      <c r="J4955" s="15">
        <v>1.0883927330665528</v>
      </c>
      <c r="K4955" s="15" t="s">
        <v>10</v>
      </c>
      <c r="L4955" s="15" t="s">
        <v>10</v>
      </c>
      <c r="M4955" s="15">
        <v>0.89425880711880101</v>
      </c>
      <c r="N4955" s="15">
        <v>0.89425880711880101</v>
      </c>
      <c r="O4955" s="15" t="s">
        <v>10</v>
      </c>
      <c r="P4955" s="15" t="s">
        <v>10</v>
      </c>
      <c r="Q4955" s="8"/>
      <c r="R4955" s="9" t="s">
        <v>4496</v>
      </c>
    </row>
    <row r="4956" spans="1:18" x14ac:dyDescent="0.25">
      <c r="A4956" s="6" t="str">
        <f>HYPERLINK("proteomic_fractions_linear_files/Yang_linear_img/13384790.jpg", "13384790")</f>
        <v>13384790</v>
      </c>
      <c r="B4956" s="7"/>
      <c r="C4956" s="6" t="str">
        <f>HYPERLINK("http://www.ncbi.nlm.nih.gov/protein/13384790","Nop10")</f>
        <v>Nop10</v>
      </c>
      <c r="D4956" s="8"/>
      <c r="E4956" s="8">
        <v>7575</v>
      </c>
      <c r="F4956" s="8"/>
      <c r="G4956" s="15" t="s">
        <v>10</v>
      </c>
      <c r="H4956" s="15" t="s">
        <v>10</v>
      </c>
      <c r="I4956" s="15" t="s">
        <v>10</v>
      </c>
      <c r="J4956" s="15" t="s">
        <v>10</v>
      </c>
      <c r="K4956" s="15" t="s">
        <v>10</v>
      </c>
      <c r="L4956" s="15" t="s">
        <v>10</v>
      </c>
      <c r="M4956" s="15">
        <v>1.6621330028751917</v>
      </c>
      <c r="N4956" s="15">
        <v>1.6621330028751917</v>
      </c>
      <c r="O4956" s="15" t="s">
        <v>10</v>
      </c>
      <c r="P4956" s="15" t="s">
        <v>10</v>
      </c>
      <c r="Q4956" s="8"/>
      <c r="R4956" s="9" t="s">
        <v>4497</v>
      </c>
    </row>
    <row r="4957" spans="1:18" x14ac:dyDescent="0.25">
      <c r="A4957" s="6" t="str">
        <f>HYPERLINK("proteomic_fractions_linear_files/Yang_linear_img/30519925.jpg", "30519925")</f>
        <v>30519925</v>
      </c>
      <c r="B4957" s="7"/>
      <c r="C4957" s="6" t="str">
        <f>HYPERLINK("http://www.ncbi.nlm.nih.gov/protein/30519925","Nop16")</f>
        <v>Nop16</v>
      </c>
      <c r="D4957" s="8"/>
      <c r="E4957" s="8">
        <v>21008</v>
      </c>
      <c r="F4957" s="8"/>
      <c r="G4957" s="15" t="s">
        <v>10</v>
      </c>
      <c r="H4957" s="15" t="s">
        <v>10</v>
      </c>
      <c r="I4957" s="15" t="s">
        <v>10</v>
      </c>
      <c r="J4957" s="15" t="s">
        <v>10</v>
      </c>
      <c r="K4957" s="15">
        <v>1.0378924890799406</v>
      </c>
      <c r="L4957" s="15">
        <v>1.0378924890799406</v>
      </c>
      <c r="M4957" s="15">
        <v>1.0378924890799406</v>
      </c>
      <c r="N4957" s="15">
        <v>1.0378924890799406</v>
      </c>
      <c r="O4957" s="15" t="s">
        <v>10</v>
      </c>
      <c r="P4957" s="15" t="s">
        <v>10</v>
      </c>
      <c r="Q4957" s="8"/>
      <c r="R4957" s="9" t="s">
        <v>4498</v>
      </c>
    </row>
    <row r="4958" spans="1:18" x14ac:dyDescent="0.25">
      <c r="A4958" s="6" t="str">
        <f>HYPERLINK("proteomic_fractions_linear_files/Yang_linear_img/158966689.jpg", "158966689")</f>
        <v>158966689</v>
      </c>
      <c r="B4958" s="7"/>
      <c r="C4958" s="6" t="str">
        <f>HYPERLINK("http://www.ncbi.nlm.nih.gov/protein/158966689","Nop2")</f>
        <v>Nop2</v>
      </c>
      <c r="D4958" s="8"/>
      <c r="E4958" s="8">
        <v>86776</v>
      </c>
      <c r="F4958" s="8"/>
      <c r="G4958" s="15">
        <v>1.2620869404727755</v>
      </c>
      <c r="H4958" s="15">
        <v>1.2620869404727755</v>
      </c>
      <c r="I4958" s="15" t="s">
        <v>10</v>
      </c>
      <c r="J4958" s="15" t="s">
        <v>10</v>
      </c>
      <c r="K4958" s="15">
        <v>1.4795589441967467</v>
      </c>
      <c r="L4958" s="15">
        <v>1.4795589441967467</v>
      </c>
      <c r="M4958" s="15" t="s">
        <v>10</v>
      </c>
      <c r="N4958" s="15" t="s">
        <v>10</v>
      </c>
      <c r="O4958" s="15" t="s">
        <v>10</v>
      </c>
      <c r="P4958" s="15" t="s">
        <v>10</v>
      </c>
      <c r="Q4958" s="8"/>
      <c r="R4958" s="9" t="s">
        <v>4499</v>
      </c>
    </row>
    <row r="4959" spans="1:18" x14ac:dyDescent="0.25">
      <c r="A4959" s="6" t="str">
        <f>HYPERLINK("proteomic_fractions_linear_files/Yang_linear_img/126090932.jpg", "126090932")</f>
        <v>126090932</v>
      </c>
      <c r="B4959" s="7"/>
      <c r="C4959" s="6" t="str">
        <f>HYPERLINK("http://www.ncbi.nlm.nih.gov/protein/126090932","Nop56")</f>
        <v>Nop56</v>
      </c>
      <c r="D4959" s="8"/>
      <c r="E4959" s="8">
        <v>64333</v>
      </c>
      <c r="F4959" s="8"/>
      <c r="G4959" s="15">
        <v>1.2984165386428728</v>
      </c>
      <c r="H4959" s="15">
        <v>1.0227072395397552</v>
      </c>
      <c r="I4959" s="15">
        <v>1.1474400037762851</v>
      </c>
      <c r="J4959" s="15">
        <v>1.1474400037762851</v>
      </c>
      <c r="K4959" s="15">
        <v>1.1474400037762851</v>
      </c>
      <c r="L4959" s="15">
        <v>1.1474400037762851</v>
      </c>
      <c r="M4959" s="15">
        <v>1.1474400037762851</v>
      </c>
      <c r="N4959" s="15">
        <v>1.1474400037762851</v>
      </c>
      <c r="O4959" s="15">
        <v>0.21696641406151015</v>
      </c>
      <c r="P4959" s="15">
        <v>0.21696641406151015</v>
      </c>
      <c r="Q4959" s="8"/>
      <c r="R4959" s="9" t="s">
        <v>4500</v>
      </c>
    </row>
    <row r="4960" spans="1:18" x14ac:dyDescent="0.25">
      <c r="A4960" s="6" t="str">
        <f>HYPERLINK("proteomic_fractions_linear_files/Yang_linear_img/120407050.jpg", "120407050")</f>
        <v>120407050</v>
      </c>
      <c r="B4960" s="7"/>
      <c r="C4960" s="6" t="str">
        <f>HYPERLINK("http://www.ncbi.nlm.nih.gov/protein/120407050","Nop58")</f>
        <v>Nop58</v>
      </c>
      <c r="D4960" s="8"/>
      <c r="E4960" s="8">
        <v>60212</v>
      </c>
      <c r="F4960" s="8"/>
      <c r="G4960" s="15">
        <v>1.3849776412190642</v>
      </c>
      <c r="H4960" s="15">
        <v>1.3849776412190642</v>
      </c>
      <c r="I4960" s="15">
        <v>1.2239360040280374</v>
      </c>
      <c r="J4960" s="15">
        <v>1.2239360040280374</v>
      </c>
      <c r="K4960" s="15">
        <v>1.2239360040280374</v>
      </c>
      <c r="L4960" s="15">
        <v>1.2239360040280374</v>
      </c>
      <c r="M4960" s="15">
        <v>1.2239360040280374</v>
      </c>
      <c r="N4960" s="15">
        <v>1.2239360040280374</v>
      </c>
      <c r="O4960" s="15">
        <v>1.0908877221757389</v>
      </c>
      <c r="P4960" s="15">
        <v>1.0908877221757389</v>
      </c>
      <c r="Q4960" s="8"/>
      <c r="R4960" s="9" t="s">
        <v>4501</v>
      </c>
    </row>
    <row r="4961" spans="1:18" x14ac:dyDescent="0.25">
      <c r="A4961" s="6" t="str">
        <f>HYPERLINK("proteomic_fractions_linear_files/Yang_linear_img/169646352.jpg", "169646352")</f>
        <v>169646352</v>
      </c>
      <c r="B4961" s="7"/>
      <c r="C4961" s="6" t="str">
        <f>HYPERLINK("http://www.ncbi.nlm.nih.gov/protein/169646352","Nop9")</f>
        <v>Nop9</v>
      </c>
      <c r="D4961" s="8"/>
      <c r="E4961" s="8">
        <v>69916</v>
      </c>
      <c r="F4961" s="8"/>
      <c r="G4961" s="15" t="s">
        <v>10</v>
      </c>
      <c r="H4961" s="15" t="s">
        <v>10</v>
      </c>
      <c r="I4961" s="15">
        <v>0.93504661900777619</v>
      </c>
      <c r="J4961" s="15">
        <v>0.93504661900777619</v>
      </c>
      <c r="K4961" s="15">
        <v>1.0490880034526036</v>
      </c>
      <c r="L4961" s="15">
        <v>1.0490880034526036</v>
      </c>
      <c r="M4961" s="15">
        <v>0.93504661900777619</v>
      </c>
      <c r="N4961" s="15">
        <v>0.93504661900777619</v>
      </c>
      <c r="O4961" s="15" t="s">
        <v>10</v>
      </c>
      <c r="P4961" s="15" t="s">
        <v>10</v>
      </c>
      <c r="Q4961" s="8"/>
      <c r="R4961" s="9" t="s">
        <v>4502</v>
      </c>
    </row>
    <row r="4962" spans="1:18" x14ac:dyDescent="0.25">
      <c r="A4962" s="6" t="str">
        <f>HYPERLINK("proteomic_fractions_linear_files/Yang_linear_img/110625798.jpg", "110625798")</f>
        <v>110625798</v>
      </c>
      <c r="B4962" s="7"/>
      <c r="C4962" s="6" t="str">
        <f>HYPERLINK("http://www.ncbi.nlm.nih.gov/protein/110625798","Nos1ap")</f>
        <v>Nos1ap</v>
      </c>
      <c r="D4962" s="8"/>
      <c r="E4962" s="8">
        <v>29936</v>
      </c>
      <c r="F4962" s="8"/>
      <c r="G4962" s="15" t="s">
        <v>10</v>
      </c>
      <c r="H4962" s="15" t="s">
        <v>10</v>
      </c>
      <c r="I4962" s="15" t="s">
        <v>10</v>
      </c>
      <c r="J4962" s="15" t="s">
        <v>10</v>
      </c>
      <c r="K4962" s="15">
        <v>3.6600521273710487</v>
      </c>
      <c r="L4962" s="15">
        <v>3.6600521273710487</v>
      </c>
      <c r="M4962" s="15" t="s">
        <v>10</v>
      </c>
      <c r="N4962" s="15" t="s">
        <v>10</v>
      </c>
      <c r="O4962" s="15" t="s">
        <v>10</v>
      </c>
      <c r="P4962" s="15" t="s">
        <v>10</v>
      </c>
      <c r="Q4962" s="8"/>
      <c r="R4962" s="9" t="s">
        <v>4503</v>
      </c>
    </row>
    <row r="4963" spans="1:18" x14ac:dyDescent="0.25">
      <c r="A4963" s="6" t="str">
        <f>HYPERLINK("proteomic_fractions_linear_files/Yang_linear_img/158508485.jpg", "158508485")</f>
        <v>158508485</v>
      </c>
      <c r="B4963" s="7"/>
      <c r="C4963" s="6" t="str">
        <f>HYPERLINK("http://www.ncbi.nlm.nih.gov/protein/158508485","Nos1ap")</f>
        <v>Nos1ap</v>
      </c>
      <c r="D4963" s="8"/>
      <c r="E4963" s="8">
        <v>55742</v>
      </c>
      <c r="F4963" s="8"/>
      <c r="G4963" s="15" t="s">
        <v>10</v>
      </c>
      <c r="H4963" s="15" t="s">
        <v>10</v>
      </c>
      <c r="I4963" s="15" t="s">
        <v>10</v>
      </c>
      <c r="J4963" s="15" t="s">
        <v>10</v>
      </c>
      <c r="K4963" s="15">
        <v>1.9607422110916333</v>
      </c>
      <c r="L4963" s="15">
        <v>1.9607422110916333</v>
      </c>
      <c r="M4963" s="15" t="s">
        <v>10</v>
      </c>
      <c r="N4963" s="15" t="s">
        <v>10</v>
      </c>
      <c r="O4963" s="15" t="s">
        <v>10</v>
      </c>
      <c r="P4963" s="15" t="s">
        <v>10</v>
      </c>
      <c r="Q4963" s="8"/>
      <c r="R4963" s="9" t="s">
        <v>4504</v>
      </c>
    </row>
    <row r="4964" spans="1:18" x14ac:dyDescent="0.25">
      <c r="A4964" s="6" t="str">
        <f>HYPERLINK("proteomic_fractions_linear_files/Yang_linear_img/254826728.jpg", "254826728")</f>
        <v>254826728</v>
      </c>
      <c r="B4964" s="7"/>
      <c r="C4964" s="6" t="str">
        <f>HYPERLINK("http://www.ncbi.nlm.nih.gov/protein/254826728","Nosip")</f>
        <v>Nosip</v>
      </c>
      <c r="D4964" s="8"/>
      <c r="E4964" s="8">
        <v>30297</v>
      </c>
      <c r="F4964" s="8"/>
      <c r="G4964" s="15">
        <v>0.93060704325606869</v>
      </c>
      <c r="H4964" s="15">
        <v>0.93060704325606869</v>
      </c>
      <c r="I4964" s="15">
        <v>0.99618022972377107</v>
      </c>
      <c r="J4964" s="15">
        <v>0.99618022972377107</v>
      </c>
      <c r="K4964" s="15" t="s">
        <v>10</v>
      </c>
      <c r="L4964" s="15" t="s">
        <v>10</v>
      </c>
      <c r="M4964" s="15">
        <v>0.99618022972377107</v>
      </c>
      <c r="N4964" s="15">
        <v>0.99618022972377107</v>
      </c>
      <c r="O4964" s="15">
        <v>0.93060704325606869</v>
      </c>
      <c r="P4964" s="15">
        <v>0.93060704325606869</v>
      </c>
      <c r="Q4964" s="8"/>
      <c r="R4964" s="9" t="s">
        <v>4505</v>
      </c>
    </row>
    <row r="4965" spans="1:18" x14ac:dyDescent="0.25">
      <c r="A4965" s="6" t="str">
        <f>HYPERLINK("proteomic_fractions_linear_files/Yang_linear_img/13384956.jpg", "13384956")</f>
        <v>13384956</v>
      </c>
      <c r="B4965" s="7"/>
      <c r="C4965" s="6" t="str">
        <f>HYPERLINK("http://www.ncbi.nlm.nih.gov/protein/13384956","Nosip")</f>
        <v>Nosip</v>
      </c>
      <c r="D4965" s="8"/>
      <c r="E4965" s="8">
        <v>33078</v>
      </c>
      <c r="F4965" s="8"/>
      <c r="G4965" s="15">
        <v>0.84600640296006246</v>
      </c>
      <c r="H4965" s="15">
        <v>0.84600640296006246</v>
      </c>
      <c r="I4965" s="15">
        <v>0.90561839065797367</v>
      </c>
      <c r="J4965" s="15">
        <v>0.90561839065797367</v>
      </c>
      <c r="K4965" s="15">
        <v>0.9722446319919269</v>
      </c>
      <c r="L4965" s="15">
        <v>0.9722446319919269</v>
      </c>
      <c r="M4965" s="15">
        <v>0.90561839065797367</v>
      </c>
      <c r="N4965" s="15">
        <v>0.90561839065797367</v>
      </c>
      <c r="O4965" s="15">
        <v>0.84600640296006246</v>
      </c>
      <c r="P4965" s="15">
        <v>0.84600640296006246</v>
      </c>
      <c r="Q4965" s="8"/>
      <c r="R4965" s="9" t="s">
        <v>4506</v>
      </c>
    </row>
    <row r="4966" spans="1:18" x14ac:dyDescent="0.25">
      <c r="A4966" s="6" t="str">
        <f>HYPERLINK("proteomic_fractions_linear_files/Yang_linear_img/134288853.jpg", "134288853")</f>
        <v>134288853</v>
      </c>
      <c r="B4966" s="7"/>
      <c r="C4966" s="6" t="str">
        <f>HYPERLINK("http://www.ncbi.nlm.nih.gov/protein/134288853","Notch2")</f>
        <v>Notch2</v>
      </c>
      <c r="D4966" s="8"/>
      <c r="E4966" s="8">
        <v>262997</v>
      </c>
      <c r="F4966" s="8"/>
      <c r="G4966" s="15" t="s">
        <v>10</v>
      </c>
      <c r="H4966" s="15" t="s">
        <v>10</v>
      </c>
      <c r="I4966" s="15">
        <v>6.6805854621136751E-2</v>
      </c>
      <c r="J4966" s="15">
        <v>6.6805854621136751E-2</v>
      </c>
      <c r="K4966" s="15">
        <v>1.1474651126863071</v>
      </c>
      <c r="L4966" s="15">
        <v>1.1474651126863071</v>
      </c>
      <c r="M4966" s="15" t="s">
        <v>10</v>
      </c>
      <c r="N4966" s="15" t="s">
        <v>10</v>
      </c>
      <c r="O4966" s="15" t="s">
        <v>10</v>
      </c>
      <c r="P4966" s="15" t="s">
        <v>10</v>
      </c>
      <c r="Q4966" s="8"/>
      <c r="R4966" s="9" t="s">
        <v>4507</v>
      </c>
    </row>
    <row r="4967" spans="1:18" x14ac:dyDescent="0.25">
      <c r="A4967" s="6" t="str">
        <f>HYPERLINK("proteomic_fractions_linear_files/Yang_linear_img/6679096.jpg", "6679096")</f>
        <v>6679096</v>
      </c>
      <c r="B4967" s="7"/>
      <c r="C4967" s="6" t="str">
        <f>HYPERLINK("http://www.ncbi.nlm.nih.gov/protein/6679096","Notch3")</f>
        <v>Notch3</v>
      </c>
      <c r="D4967" s="8"/>
      <c r="E4967" s="8">
        <v>240084</v>
      </c>
      <c r="F4967" s="8"/>
      <c r="G4967" s="15" t="s">
        <v>10</v>
      </c>
      <c r="H4967" s="15" t="s">
        <v>10</v>
      </c>
      <c r="I4967" s="15" t="s">
        <v>10</v>
      </c>
      <c r="J4967" s="15" t="s">
        <v>10</v>
      </c>
      <c r="K4967" s="15" t="s">
        <v>10</v>
      </c>
      <c r="L4967" s="15" t="s">
        <v>10</v>
      </c>
      <c r="M4967" s="15" t="s">
        <v>10</v>
      </c>
      <c r="N4967" s="15" t="s">
        <v>10</v>
      </c>
      <c r="O4967" s="15">
        <v>0.20120823160173021</v>
      </c>
      <c r="P4967" s="15">
        <v>0.20120823160173021</v>
      </c>
      <c r="Q4967" s="8"/>
      <c r="R4967" s="9" t="s">
        <v>4508</v>
      </c>
    </row>
    <row r="4968" spans="1:18" x14ac:dyDescent="0.25">
      <c r="A4968" s="6" t="str">
        <f>HYPERLINK("proteomic_fractions_linear_files/Yang_linear_img/24233564.jpg", "24233564")</f>
        <v>24233564</v>
      </c>
      <c r="B4968" s="7"/>
      <c r="C4968" s="6" t="str">
        <f>HYPERLINK("http://www.ncbi.nlm.nih.gov/protein/24233564","Npas4")</f>
        <v>Npas4</v>
      </c>
      <c r="D4968" s="8"/>
      <c r="E4968" s="8">
        <v>87155</v>
      </c>
      <c r="F4968" s="8"/>
      <c r="G4968" s="15">
        <v>0.42921064854166197</v>
      </c>
      <c r="H4968" s="15">
        <v>0.42921064854166197</v>
      </c>
      <c r="I4968" s="15">
        <v>0.28223931739398755</v>
      </c>
      <c r="J4968" s="15">
        <v>0.28223931739398755</v>
      </c>
      <c r="K4968" s="15">
        <v>0.30057767948764369</v>
      </c>
      <c r="L4968" s="15">
        <v>0.30057767948764369</v>
      </c>
      <c r="M4968" s="15">
        <v>0.28223931739398755</v>
      </c>
      <c r="N4968" s="15">
        <v>0.28223931739398755</v>
      </c>
      <c r="O4968" s="15">
        <v>0.25052577322619252</v>
      </c>
      <c r="P4968" s="15">
        <v>0.25052577322619252</v>
      </c>
      <c r="Q4968" s="8"/>
      <c r="R4968" s="9" t="s">
        <v>4509</v>
      </c>
    </row>
    <row r="4969" spans="1:18" x14ac:dyDescent="0.25">
      <c r="A4969" s="6" t="str">
        <f>HYPERLINK("proteomic_fractions_linear_files/Yang_linear_img/89242146.jpg", "89242146")</f>
        <v>89242146</v>
      </c>
      <c r="B4969" s="7"/>
      <c r="C4969" s="6" t="str">
        <f>HYPERLINK("http://www.ncbi.nlm.nih.gov/protein/89242146","Npc1")</f>
        <v>Npc1</v>
      </c>
      <c r="D4969" s="8"/>
      <c r="E4969" s="8">
        <v>140602</v>
      </c>
      <c r="F4969" s="8"/>
      <c r="G4969" s="15" t="s">
        <v>10</v>
      </c>
      <c r="H4969" s="15" t="s">
        <v>10</v>
      </c>
      <c r="I4969" s="15">
        <v>1.6550414725379368</v>
      </c>
      <c r="J4969" s="15">
        <v>1.6550414725379368</v>
      </c>
      <c r="K4969" s="15">
        <v>2.1403072669255234</v>
      </c>
      <c r="L4969" s="15">
        <v>2.1403072669255234</v>
      </c>
      <c r="M4969" s="15" t="s">
        <v>10</v>
      </c>
      <c r="N4969" s="15" t="s">
        <v>10</v>
      </c>
      <c r="O4969" s="15" t="s">
        <v>10</v>
      </c>
      <c r="P4969" s="15" t="s">
        <v>10</v>
      </c>
      <c r="Q4969" s="8"/>
      <c r="R4969" s="9" t="s">
        <v>4510</v>
      </c>
    </row>
    <row r="4970" spans="1:18" x14ac:dyDescent="0.25">
      <c r="A4970" s="6" t="str">
        <f>HYPERLINK("proteomic_fractions_linear_files/Yang_linear_img/12963667.jpg", "12963667")</f>
        <v>12963667</v>
      </c>
      <c r="B4970" s="7"/>
      <c r="C4970" s="6" t="str">
        <f>HYPERLINK("http://www.ncbi.nlm.nih.gov/protein/12963667","Npc2")</f>
        <v>Npc2</v>
      </c>
      <c r="D4970" s="8"/>
      <c r="E4970" s="8">
        <v>14487</v>
      </c>
      <c r="F4970" s="8"/>
      <c r="G4970" s="15">
        <v>1.1940338943290729</v>
      </c>
      <c r="H4970" s="15">
        <v>1.1940338943290729</v>
      </c>
      <c r="I4970" s="15">
        <v>1.3210927974688631</v>
      </c>
      <c r="J4970" s="15">
        <v>1.3210927974688631</v>
      </c>
      <c r="K4970" s="15">
        <v>1.2549956975256404</v>
      </c>
      <c r="L4970" s="15">
        <v>1.2549956975256404</v>
      </c>
      <c r="M4970" s="15" t="s">
        <v>10</v>
      </c>
      <c r="N4970" s="15" t="s">
        <v>10</v>
      </c>
      <c r="O4970" s="15">
        <v>1.2549956975256404</v>
      </c>
      <c r="P4970" s="15">
        <v>1.2549956975256404</v>
      </c>
      <c r="Q4970" s="8"/>
      <c r="R4970" s="9" t="s">
        <v>4511</v>
      </c>
    </row>
    <row r="4971" spans="1:18" x14ac:dyDescent="0.25">
      <c r="A4971" s="6" t="str">
        <f>HYPERLINK("proteomic_fractions_linear_files/Yang_linear_img/47523981.jpg", "47523981")</f>
        <v>47523981</v>
      </c>
      <c r="B4971" s="7"/>
      <c r="C4971" s="6" t="str">
        <f>HYPERLINK("http://www.ncbi.nlm.nih.gov/protein/47523981","Npepl1")</f>
        <v>Npepl1</v>
      </c>
      <c r="D4971" s="8"/>
      <c r="E4971" s="8">
        <v>55809</v>
      </c>
      <c r="F4971" s="8"/>
      <c r="G4971" s="15" t="s">
        <v>10</v>
      </c>
      <c r="H4971" s="15" t="s">
        <v>10</v>
      </c>
      <c r="I4971" s="15" t="s">
        <v>10</v>
      </c>
      <c r="J4971" s="15" t="s">
        <v>10</v>
      </c>
      <c r="K4971" s="15">
        <v>0.94858160053573359</v>
      </c>
      <c r="L4971" s="15">
        <v>0.94858160053573359</v>
      </c>
      <c r="M4971" s="15">
        <v>0.94858160053573359</v>
      </c>
      <c r="N4971" s="15">
        <v>0.94858160053573359</v>
      </c>
      <c r="O4971" s="15">
        <v>0.86232099257884376</v>
      </c>
      <c r="P4971" s="15">
        <v>0.86232099257884376</v>
      </c>
      <c r="Q4971" s="8"/>
      <c r="R4971" s="9" t="s">
        <v>4512</v>
      </c>
    </row>
    <row r="4972" spans="1:18" x14ac:dyDescent="0.25">
      <c r="A4972" s="6" t="str">
        <f>HYPERLINK("proteomic_fractions_linear_files/Yang_linear_img/68226731.jpg", "68226731")</f>
        <v>68226731</v>
      </c>
      <c r="B4972" s="7"/>
      <c r="C4972" s="6" t="str">
        <f>HYPERLINK("http://www.ncbi.nlm.nih.gov/protein/68226731","Npepps")</f>
        <v>Npepps</v>
      </c>
      <c r="D4972" s="8"/>
      <c r="E4972" s="8">
        <v>103195</v>
      </c>
      <c r="F4972" s="8"/>
      <c r="G4972" s="15">
        <v>1.2497245450982231</v>
      </c>
      <c r="H4972" s="15">
        <v>1.2497245450982231</v>
      </c>
      <c r="I4972" s="15">
        <v>1.0660346002051599</v>
      </c>
      <c r="J4972" s="15">
        <v>1.0660346002051599</v>
      </c>
      <c r="K4972" s="15">
        <v>1.0660346002051599</v>
      </c>
      <c r="L4972" s="15">
        <v>1.0660346002051599</v>
      </c>
      <c r="M4972" s="15">
        <v>1.0660346002051599</v>
      </c>
      <c r="N4972" s="15">
        <v>1.0660346002051599</v>
      </c>
      <c r="O4972" s="15">
        <v>1.0660346002051599</v>
      </c>
      <c r="P4972" s="15">
        <v>1.0660346002051599</v>
      </c>
      <c r="Q4972" s="8"/>
      <c r="R4972" s="9" t="s">
        <v>4513</v>
      </c>
    </row>
    <row r="4973" spans="1:18" x14ac:dyDescent="0.25">
      <c r="A4973" s="6" t="str">
        <f>HYPERLINK("proteomic_fractions_linear_files/Yang_linear_img/303324586.jpg", "303324586")</f>
        <v>303324586</v>
      </c>
      <c r="B4973" s="7"/>
      <c r="C4973" s="6" t="str">
        <f>HYPERLINK("http://www.ncbi.nlm.nih.gov/protein/303324586","Nploc4")</f>
        <v>Nploc4</v>
      </c>
      <c r="D4973" s="8"/>
      <c r="E4973" s="8">
        <v>67886</v>
      </c>
      <c r="F4973" s="8"/>
      <c r="G4973" s="15" t="s">
        <v>10</v>
      </c>
      <c r="H4973" s="15" t="s">
        <v>10</v>
      </c>
      <c r="I4973" s="15">
        <v>1.0799435329659153</v>
      </c>
      <c r="J4973" s="15">
        <v>1.0799435329659153</v>
      </c>
      <c r="K4973" s="15">
        <v>1.0799435329659153</v>
      </c>
      <c r="L4973" s="15">
        <v>1.0799435329659153</v>
      </c>
      <c r="M4973" s="15">
        <v>1.0799435329659153</v>
      </c>
      <c r="N4973" s="15">
        <v>1.0799435329659153</v>
      </c>
      <c r="O4973" s="15">
        <v>1.0799435329659153</v>
      </c>
      <c r="P4973" s="15">
        <v>1.0799435329659153</v>
      </c>
      <c r="Q4973" s="8"/>
      <c r="R4973" s="9" t="s">
        <v>4514</v>
      </c>
    </row>
    <row r="4974" spans="1:18" x14ac:dyDescent="0.25">
      <c r="A4974" s="6" t="str">
        <f>HYPERLINK("proteomic_fractions_linear_files/Yang_linear_img/41054974.jpg", "41054974")</f>
        <v>41054974</v>
      </c>
      <c r="B4974" s="7"/>
      <c r="C4974" s="6" t="str">
        <f>HYPERLINK("http://www.ncbi.nlm.nih.gov/protein/41054974","Nploc4")</f>
        <v>Nploc4</v>
      </c>
      <c r="D4974" s="8"/>
      <c r="E4974" s="8">
        <v>64248</v>
      </c>
      <c r="F4974" s="8"/>
      <c r="G4974" s="15" t="s">
        <v>10</v>
      </c>
      <c r="H4974" s="15" t="s">
        <v>10</v>
      </c>
      <c r="I4974" s="15">
        <v>1.1474400037762851</v>
      </c>
      <c r="J4974" s="15">
        <v>1.1474400037762851</v>
      </c>
      <c r="K4974" s="15">
        <v>1.1474400037762851</v>
      </c>
      <c r="L4974" s="15">
        <v>1.1474400037762851</v>
      </c>
      <c r="M4974" s="15">
        <v>1.1474400037762851</v>
      </c>
      <c r="N4974" s="15">
        <v>1.1474400037762851</v>
      </c>
      <c r="O4974" s="15">
        <v>1.1474400037762851</v>
      </c>
      <c r="P4974" s="15">
        <v>1.1474400037762851</v>
      </c>
      <c r="Q4974" s="8"/>
      <c r="R4974" s="9" t="s">
        <v>4515</v>
      </c>
    </row>
    <row r="4975" spans="1:18" x14ac:dyDescent="0.25">
      <c r="A4975" s="6" t="str">
        <f>HYPERLINK("proteomic_fractions_linear_files/Yang_linear_img/356582423.jpg", "356582423")</f>
        <v>356582423</v>
      </c>
      <c r="B4975" s="7"/>
      <c r="C4975" s="6" t="str">
        <f>HYPERLINK("http://www.ncbi.nlm.nih.gov/protein/356582423","Npm1")</f>
        <v>Npm1</v>
      </c>
      <c r="D4975" s="8"/>
      <c r="E4975" s="8">
        <v>30893</v>
      </c>
      <c r="F4975" s="8"/>
      <c r="G4975" s="15">
        <v>1.0349700921204383</v>
      </c>
      <c r="H4975" s="15">
        <v>1.0349700921204383</v>
      </c>
      <c r="I4975" s="15">
        <v>0.41120062393347179</v>
      </c>
      <c r="J4975" s="15">
        <v>0.41120062393347179</v>
      </c>
      <c r="K4975" s="15">
        <v>1.1146250493701673</v>
      </c>
      <c r="L4975" s="15">
        <v>1.1146250493701673</v>
      </c>
      <c r="M4975" s="15">
        <v>1.1146250493701673</v>
      </c>
      <c r="N4975" s="15">
        <v>1.1146250493701673</v>
      </c>
      <c r="O4975" s="15">
        <v>7.5277692783177121</v>
      </c>
      <c r="P4975" s="15">
        <v>7.5277692783177121</v>
      </c>
      <c r="Q4975" s="8"/>
      <c r="R4975" s="9" t="s">
        <v>4516</v>
      </c>
    </row>
    <row r="4976" spans="1:18" x14ac:dyDescent="0.25">
      <c r="A4976" s="6" t="str">
        <f>HYPERLINK("proteomic_fractions_linear_files/Yang_linear_img/356582426.jpg", "356582426")</f>
        <v>356582426</v>
      </c>
      <c r="B4976" s="7"/>
      <c r="C4976" s="6" t="str">
        <f>HYPERLINK("http://www.ncbi.nlm.nih.gov/protein/356582426","Npm1")</f>
        <v>Npm1</v>
      </c>
      <c r="D4976" s="8"/>
      <c r="E4976" s="8">
        <v>28254</v>
      </c>
      <c r="F4976" s="8"/>
      <c r="G4976" s="15">
        <v>1.5759139016773382</v>
      </c>
      <c r="H4976" s="15">
        <v>1.5759139016773382</v>
      </c>
      <c r="I4976" s="15">
        <v>1.2340491618026852</v>
      </c>
      <c r="J4976" s="15">
        <v>1.2340491618026852</v>
      </c>
      <c r="K4976" s="15">
        <v>1.2340491618026852</v>
      </c>
      <c r="L4976" s="15">
        <v>1.2340491618026852</v>
      </c>
      <c r="M4976" s="15">
        <v>1.1458597448476282</v>
      </c>
      <c r="N4976" s="15">
        <v>1.1458597448476282</v>
      </c>
      <c r="O4976" s="15">
        <v>8.3343159867088961</v>
      </c>
      <c r="P4976" s="15">
        <v>8.3343159867088961</v>
      </c>
      <c r="Q4976" s="8"/>
      <c r="R4976" s="9" t="s">
        <v>4517</v>
      </c>
    </row>
    <row r="4977" spans="1:18" x14ac:dyDescent="0.25">
      <c r="A4977" s="6" t="str">
        <f>HYPERLINK("proteomic_fractions_linear_files/Yang_linear_img/6679108.jpg", "6679108")</f>
        <v>6679108</v>
      </c>
      <c r="B4977" s="7"/>
      <c r="C4977" s="6" t="str">
        <f>HYPERLINK("http://www.ncbi.nlm.nih.gov/protein/6679108","Npm1")</f>
        <v>Npm1</v>
      </c>
      <c r="D4977" s="8"/>
      <c r="E4977" s="8">
        <v>32429</v>
      </c>
      <c r="F4977" s="8"/>
      <c r="G4977" s="15">
        <v>1.3789246639676709</v>
      </c>
      <c r="H4977" s="15">
        <v>1.3789246639676709</v>
      </c>
      <c r="I4977" s="15">
        <v>1.0797930165773495</v>
      </c>
      <c r="J4977" s="15">
        <v>1.0797930165773495</v>
      </c>
      <c r="K4977" s="15">
        <v>1.0797930165773495</v>
      </c>
      <c r="L4977" s="15">
        <v>1.0797930165773495</v>
      </c>
      <c r="M4977" s="15">
        <v>1.0026272767416746</v>
      </c>
      <c r="N4977" s="15">
        <v>1.0026272767416746</v>
      </c>
      <c r="O4977" s="15">
        <v>7.2925264883702834</v>
      </c>
      <c r="P4977" s="15">
        <v>7.2925264883702834</v>
      </c>
      <c r="Q4977" s="8"/>
      <c r="R4977" s="9" t="s">
        <v>4518</v>
      </c>
    </row>
    <row r="4978" spans="1:18" x14ac:dyDescent="0.25">
      <c r="A4978" s="6" t="str">
        <f>HYPERLINK("proteomic_fractions_linear_files/Yang_linear_img/6679110.jpg", "6679110")</f>
        <v>6679110</v>
      </c>
      <c r="B4978" s="7"/>
      <c r="C4978" s="6" t="str">
        <f>HYPERLINK("http://www.ncbi.nlm.nih.gov/protein/6679110","Npm3")</f>
        <v>Npm3</v>
      </c>
      <c r="D4978" s="8"/>
      <c r="E4978" s="8">
        <v>18892</v>
      </c>
      <c r="F4978" s="8"/>
      <c r="G4978" s="15">
        <v>1.6886354134596626</v>
      </c>
      <c r="H4978" s="15">
        <v>1.6886354134596626</v>
      </c>
      <c r="I4978" s="15">
        <v>1.1471443300357238</v>
      </c>
      <c r="J4978" s="15">
        <v>1.1471443300357238</v>
      </c>
      <c r="K4978" s="15">
        <v>1.1471443300357238</v>
      </c>
      <c r="L4978" s="15">
        <v>1.1471443300357238</v>
      </c>
      <c r="M4978" s="15">
        <v>1.1471443300357238</v>
      </c>
      <c r="N4978" s="15">
        <v>1.1471443300357238</v>
      </c>
      <c r="O4978" s="15">
        <v>1.1471443300357238</v>
      </c>
      <c r="P4978" s="15">
        <v>1.1471443300357238</v>
      </c>
      <c r="Q4978" s="8"/>
      <c r="R4978" s="9" t="s">
        <v>4519</v>
      </c>
    </row>
    <row r="4979" spans="1:18" x14ac:dyDescent="0.25">
      <c r="A4979" s="6" t="str">
        <f>HYPERLINK("proteomic_fractions_linear_files/Yang_linear_img/71067128.jpg", "71067128")</f>
        <v>71067128</v>
      </c>
      <c r="B4979" s="7"/>
      <c r="C4979" s="6" t="str">
        <f>HYPERLINK("http://www.ncbi.nlm.nih.gov/protein/71067128","Npnt")</f>
        <v>Npnt</v>
      </c>
      <c r="D4979" s="8"/>
      <c r="E4979" s="8">
        <v>59604</v>
      </c>
      <c r="F4979" s="8"/>
      <c r="G4979" s="15" t="s">
        <v>10</v>
      </c>
      <c r="H4979" s="15" t="s">
        <v>10</v>
      </c>
      <c r="I4979" s="15">
        <v>0.25327230489690478</v>
      </c>
      <c r="J4979" s="15">
        <v>0.25327230489690478</v>
      </c>
      <c r="K4979" s="15" t="s">
        <v>10</v>
      </c>
      <c r="L4979" s="15" t="s">
        <v>10</v>
      </c>
      <c r="M4979" s="15" t="s">
        <v>10</v>
      </c>
      <c r="N4979" s="15" t="s">
        <v>10</v>
      </c>
      <c r="O4979" s="15" t="s">
        <v>10</v>
      </c>
      <c r="P4979" s="15" t="s">
        <v>10</v>
      </c>
      <c r="Q4979" s="8"/>
      <c r="R4979" s="9" t="s">
        <v>4520</v>
      </c>
    </row>
    <row r="4980" spans="1:18" x14ac:dyDescent="0.25">
      <c r="A4980" s="6" t="str">
        <f>HYPERLINK("proteomic_fractions_linear_files/Yang_linear_img/73088940.jpg", "73088940")</f>
        <v>73088940</v>
      </c>
      <c r="B4980" s="7"/>
      <c r="C4980" s="6" t="str">
        <f>HYPERLINK("http://www.ncbi.nlm.nih.gov/protein/73088940","Npnt")</f>
        <v>Npnt</v>
      </c>
      <c r="D4980" s="8"/>
      <c r="E4980" s="8">
        <v>61721</v>
      </c>
      <c r="F4980" s="8"/>
      <c r="G4980" s="15" t="s">
        <v>10</v>
      </c>
      <c r="H4980" s="15" t="s">
        <v>10</v>
      </c>
      <c r="I4980" s="15">
        <v>0.24510223054539171</v>
      </c>
      <c r="J4980" s="15">
        <v>0.24510223054539171</v>
      </c>
      <c r="K4980" s="15" t="s">
        <v>10</v>
      </c>
      <c r="L4980" s="15" t="s">
        <v>10</v>
      </c>
      <c r="M4980" s="15" t="s">
        <v>10</v>
      </c>
      <c r="N4980" s="15" t="s">
        <v>10</v>
      </c>
      <c r="O4980" s="15" t="s">
        <v>10</v>
      </c>
      <c r="P4980" s="15" t="s">
        <v>10</v>
      </c>
      <c r="Q4980" s="8"/>
      <c r="R4980" s="9" t="s">
        <v>4521</v>
      </c>
    </row>
    <row r="4981" spans="1:18" x14ac:dyDescent="0.25">
      <c r="A4981" s="6" t="str">
        <f>HYPERLINK("proteomic_fractions_linear_files/Yang_linear_img/38194222.jpg", "38194222")</f>
        <v>38194222</v>
      </c>
      <c r="B4981" s="7"/>
      <c r="C4981" s="6" t="str">
        <f>HYPERLINK("http://www.ncbi.nlm.nih.gov/protein/38194222","Nprl3")</f>
        <v>Nprl3</v>
      </c>
      <c r="D4981" s="8"/>
      <c r="E4981" s="8">
        <v>63487</v>
      </c>
      <c r="F4981" s="8"/>
      <c r="G4981" s="15" t="s">
        <v>10</v>
      </c>
      <c r="H4981" s="15" t="s">
        <v>10</v>
      </c>
      <c r="I4981" s="15" t="s">
        <v>10</v>
      </c>
      <c r="J4981" s="15" t="s">
        <v>10</v>
      </c>
      <c r="K4981" s="15">
        <v>1.038940687786418</v>
      </c>
      <c r="L4981" s="15">
        <v>1.038940687786418</v>
      </c>
      <c r="M4981" s="15" t="s">
        <v>10</v>
      </c>
      <c r="N4981" s="15" t="s">
        <v>10</v>
      </c>
      <c r="O4981" s="15" t="s">
        <v>10</v>
      </c>
      <c r="P4981" s="15" t="s">
        <v>10</v>
      </c>
      <c r="Q4981" s="8"/>
      <c r="R4981" s="9" t="s">
        <v>4522</v>
      </c>
    </row>
    <row r="4982" spans="1:18" x14ac:dyDescent="0.25">
      <c r="A4982" s="6" t="str">
        <f>HYPERLINK("proteomic_fractions_linear_files/Yang_linear_img/153945724.jpg", "153945724")</f>
        <v>153945724</v>
      </c>
      <c r="B4982" s="7"/>
      <c r="C4982" s="6" t="str">
        <f>HYPERLINK("http://www.ncbi.nlm.nih.gov/protein/153945724","Nptn")</f>
        <v>Nptn</v>
      </c>
      <c r="D4982" s="8"/>
      <c r="E4982" s="8">
        <v>28758</v>
      </c>
      <c r="F4982" s="8"/>
      <c r="G4982" s="15" t="s">
        <v>10</v>
      </c>
      <c r="H4982" s="15" t="s">
        <v>10</v>
      </c>
      <c r="I4982" s="15">
        <v>2.865470981832547</v>
      </c>
      <c r="J4982" s="15">
        <v>2.865470981832547</v>
      </c>
      <c r="K4982" s="15">
        <v>3.2747579718132589</v>
      </c>
      <c r="L4982" s="15">
        <v>3.2747579718132589</v>
      </c>
      <c r="M4982" s="15" t="s">
        <v>10</v>
      </c>
      <c r="N4982" s="15" t="s">
        <v>10</v>
      </c>
      <c r="O4982" s="15" t="s">
        <v>10</v>
      </c>
      <c r="P4982" s="15" t="s">
        <v>10</v>
      </c>
      <c r="Q4982" s="8"/>
      <c r="R4982" s="9" t="s">
        <v>4523</v>
      </c>
    </row>
    <row r="4983" spans="1:18" x14ac:dyDescent="0.25">
      <c r="A4983" s="6" t="str">
        <f>HYPERLINK("proteomic_fractions_linear_files/Yang_linear_img/94400773.jpg", "94400773")</f>
        <v>94400773</v>
      </c>
      <c r="B4983" s="7"/>
      <c r="C4983" s="6" t="str">
        <f>HYPERLINK("http://www.ncbi.nlm.nih.gov/protein/94400773","Nqo1")</f>
        <v>Nqo1</v>
      </c>
      <c r="D4983" s="8"/>
      <c r="E4983" s="8">
        <v>30829</v>
      </c>
      <c r="F4983" s="8"/>
      <c r="G4983" s="15">
        <v>1.1146250493701673</v>
      </c>
      <c r="H4983" s="15">
        <v>1.1146250493701673</v>
      </c>
      <c r="I4983" s="15">
        <v>0.84355671340080651</v>
      </c>
      <c r="J4983" s="15">
        <v>0.84355671340080651</v>
      </c>
      <c r="K4983" s="15">
        <v>0.84355671340080651</v>
      </c>
      <c r="L4983" s="15">
        <v>0.84355671340080651</v>
      </c>
      <c r="M4983" s="15">
        <v>0.84355671340080651</v>
      </c>
      <c r="N4983" s="15">
        <v>0.84355671340080651</v>
      </c>
      <c r="O4983" s="15">
        <v>0.74547010886185305</v>
      </c>
      <c r="P4983" s="15">
        <v>0.74547010886185305</v>
      </c>
      <c r="Q4983" s="8"/>
      <c r="R4983" s="9" t="s">
        <v>4524</v>
      </c>
    </row>
    <row r="4984" spans="1:18" x14ac:dyDescent="0.25">
      <c r="A4984" s="6" t="str">
        <f>HYPERLINK("proteomic_fractions_linear_files/Yang_linear_img/253795451.jpg", "253795451")</f>
        <v>253795451</v>
      </c>
      <c r="B4984" s="7"/>
      <c r="C4984" s="6" t="str">
        <f>HYPERLINK("http://www.ncbi.nlm.nih.gov/protein/253795451","Nqo2")</f>
        <v>Nqo2</v>
      </c>
      <c r="D4984" s="8"/>
      <c r="E4984" s="8">
        <v>21351</v>
      </c>
      <c r="F4984" s="8"/>
      <c r="G4984" s="15" t="s">
        <v>10</v>
      </c>
      <c r="H4984" s="15" t="s">
        <v>10</v>
      </c>
      <c r="I4984" s="15" t="s">
        <v>10</v>
      </c>
      <c r="J4984" s="15" t="s">
        <v>10</v>
      </c>
      <c r="K4984" s="15" t="s">
        <v>10</v>
      </c>
      <c r="L4984" s="15" t="s">
        <v>10</v>
      </c>
      <c r="M4984" s="15" t="s">
        <v>10</v>
      </c>
      <c r="N4984" s="15" t="s">
        <v>10</v>
      </c>
      <c r="O4984" s="15">
        <v>0.98083053269791776</v>
      </c>
      <c r="P4984" s="15">
        <v>0.98083053269791776</v>
      </c>
      <c r="Q4984" s="8"/>
      <c r="R4984" s="9" t="s">
        <v>4525</v>
      </c>
    </row>
    <row r="4985" spans="1:18" x14ac:dyDescent="0.25">
      <c r="A4985" s="6" t="str">
        <f>HYPERLINK("proteomic_fractions_linear_files/Yang_linear_img/253795453.jpg", "253795453")</f>
        <v>253795453</v>
      </c>
      <c r="B4985" s="7"/>
      <c r="C4985" s="6" t="str">
        <f>HYPERLINK("http://www.ncbi.nlm.nih.gov/protein/253795453","Nqo2")</f>
        <v>Nqo2</v>
      </c>
      <c r="D4985" s="8"/>
      <c r="E4985" s="8">
        <v>26117</v>
      </c>
      <c r="F4985" s="8"/>
      <c r="G4985" s="15" t="s">
        <v>10</v>
      </c>
      <c r="H4985" s="15" t="s">
        <v>10</v>
      </c>
      <c r="I4985" s="15" t="s">
        <v>10</v>
      </c>
      <c r="J4985" s="15" t="s">
        <v>10</v>
      </c>
      <c r="K4985" s="15" t="s">
        <v>10</v>
      </c>
      <c r="L4985" s="15" t="s">
        <v>10</v>
      </c>
      <c r="M4985" s="15" t="s">
        <v>10</v>
      </c>
      <c r="N4985" s="15" t="s">
        <v>10</v>
      </c>
      <c r="O4985" s="15">
        <v>0.79220927640985661</v>
      </c>
      <c r="P4985" s="15">
        <v>0.79220927640985661</v>
      </c>
      <c r="Q4985" s="8"/>
      <c r="R4985" s="9" t="s">
        <v>4526</v>
      </c>
    </row>
    <row r="4986" spans="1:18" x14ac:dyDescent="0.25">
      <c r="A4986" s="6" t="str">
        <f>HYPERLINK("proteomic_fractions_linear_files/Yang_linear_img/70980537.jpg", "70980537")</f>
        <v>70980537</v>
      </c>
      <c r="B4986" s="7"/>
      <c r="C4986" s="6" t="str">
        <f>HYPERLINK("http://www.ncbi.nlm.nih.gov/protein/70980537","Nr2c2ap")</f>
        <v>Nr2c2ap</v>
      </c>
      <c r="D4986" s="8"/>
      <c r="E4986" s="8">
        <v>15726</v>
      </c>
      <c r="F4986" s="8"/>
      <c r="G4986" s="15" t="s">
        <v>10</v>
      </c>
      <c r="H4986" s="15" t="s">
        <v>10</v>
      </c>
      <c r="I4986" s="15" t="s">
        <v>10</v>
      </c>
      <c r="J4986" s="15" t="s">
        <v>10</v>
      </c>
      <c r="K4986" s="15" t="s">
        <v>10</v>
      </c>
      <c r="L4986" s="15" t="s">
        <v>10</v>
      </c>
      <c r="M4986" s="15">
        <v>0.90734210761689671</v>
      </c>
      <c r="N4986" s="15">
        <v>0.90734210761689671</v>
      </c>
      <c r="O4986" s="15" t="s">
        <v>10</v>
      </c>
      <c r="P4986" s="15" t="s">
        <v>10</v>
      </c>
      <c r="Q4986" s="8"/>
      <c r="R4986" s="9" t="s">
        <v>4527</v>
      </c>
    </row>
    <row r="4987" spans="1:18" x14ac:dyDescent="0.25">
      <c r="A4987" s="6" t="str">
        <f>HYPERLINK("proteomic_fractions_linear_files/Yang_linear_img/121247453.jpg", "121247453")</f>
        <v>121247453</v>
      </c>
      <c r="B4987" s="7"/>
      <c r="C4987" s="6" t="str">
        <f>HYPERLINK("http://www.ncbi.nlm.nih.gov/protein/121247453","Nr3c1")</f>
        <v>Nr3c1</v>
      </c>
      <c r="D4987" s="8"/>
      <c r="E4987" s="8">
        <v>87033</v>
      </c>
      <c r="F4987" s="8"/>
      <c r="G4987" s="15" t="s">
        <v>10</v>
      </c>
      <c r="H4987" s="15" t="s">
        <v>10</v>
      </c>
      <c r="I4987" s="15" t="s">
        <v>10</v>
      </c>
      <c r="J4987" s="15" t="s">
        <v>10</v>
      </c>
      <c r="K4987" s="15" t="s">
        <v>10</v>
      </c>
      <c r="L4987" s="15" t="s">
        <v>10</v>
      </c>
      <c r="M4987" s="15">
        <v>1.2620869404727755</v>
      </c>
      <c r="N4987" s="15">
        <v>1.2620869404727755</v>
      </c>
      <c r="O4987" s="15">
        <v>1.2620869404727755</v>
      </c>
      <c r="P4987" s="15">
        <v>1.2620869404727755</v>
      </c>
      <c r="Q4987" s="8"/>
      <c r="R4987" s="9" t="s">
        <v>4528</v>
      </c>
    </row>
    <row r="4988" spans="1:18" x14ac:dyDescent="0.25">
      <c r="A4988" s="6" t="str">
        <f>HYPERLINK("proteomic_fractions_linear_files/Yang_linear_img/111154109.jpg", "111154109")</f>
        <v>111154109</v>
      </c>
      <c r="B4988" s="7"/>
      <c r="C4988" s="6" t="str">
        <f>HYPERLINK("http://www.ncbi.nlm.nih.gov/protein/111154109","Nras")</f>
        <v>Nras</v>
      </c>
      <c r="D4988" s="8"/>
      <c r="E4988" s="8">
        <v>21112</v>
      </c>
      <c r="F4988" s="8"/>
      <c r="G4988" s="15">
        <v>1.3294386332229553</v>
      </c>
      <c r="H4988" s="15">
        <v>1.3294386332229553</v>
      </c>
      <c r="I4988" s="15">
        <v>0.92862618228739402</v>
      </c>
      <c r="J4988" s="15">
        <v>0.92862618228739402</v>
      </c>
      <c r="K4988" s="15">
        <v>0.92862618228739402</v>
      </c>
      <c r="L4988" s="15">
        <v>0.92862618228739402</v>
      </c>
      <c r="M4988" s="15">
        <v>0.98083053269791776</v>
      </c>
      <c r="N4988" s="15">
        <v>0.98083053269791776</v>
      </c>
      <c r="O4988" s="15">
        <v>0.92862618228739402</v>
      </c>
      <c r="P4988" s="15">
        <v>0.92862618228739402</v>
      </c>
      <c r="Q4988" s="8"/>
      <c r="R4988" s="9" t="s">
        <v>4529</v>
      </c>
    </row>
    <row r="4989" spans="1:18" x14ac:dyDescent="0.25">
      <c r="A4989" s="6" t="str">
        <f>HYPERLINK("proteomic_fractions_linear_files/Yang_linear_img/22219434.jpg", "22219434")</f>
        <v>22219434</v>
      </c>
      <c r="B4989" s="7"/>
      <c r="C4989" s="6" t="str">
        <f>HYPERLINK("http://www.ncbi.nlm.nih.gov/protein/22219434","Nrbp1")</f>
        <v>Nrbp1</v>
      </c>
      <c r="D4989" s="8"/>
      <c r="E4989" s="8">
        <v>59735</v>
      </c>
      <c r="F4989" s="8"/>
      <c r="G4989" s="15" t="s">
        <v>10</v>
      </c>
      <c r="H4989" s="15" t="s">
        <v>10</v>
      </c>
      <c r="I4989" s="15">
        <v>1.2239360040280374</v>
      </c>
      <c r="J4989" s="15">
        <v>1.2239360040280374</v>
      </c>
      <c r="K4989" s="15">
        <v>1.2239360040280374</v>
      </c>
      <c r="L4989" s="15">
        <v>1.2239360040280374</v>
      </c>
      <c r="M4989" s="15">
        <v>1.2239360040280374</v>
      </c>
      <c r="N4989" s="15">
        <v>1.2239360040280374</v>
      </c>
      <c r="O4989" s="15">
        <v>1.2239360040280374</v>
      </c>
      <c r="P4989" s="15">
        <v>1.2239360040280374</v>
      </c>
      <c r="Q4989" s="8"/>
      <c r="R4989" s="9" t="s">
        <v>4530</v>
      </c>
    </row>
    <row r="4990" spans="1:18" x14ac:dyDescent="0.25">
      <c r="A4990" s="6" t="str">
        <f>HYPERLINK("proteomic_fractions_linear_files/Yang_linear_img/21450055.jpg", "21450055")</f>
        <v>21450055</v>
      </c>
      <c r="B4990" s="7"/>
      <c r="C4990" s="6" t="str">
        <f>HYPERLINK("http://www.ncbi.nlm.nih.gov/protein/21450055","Nrbp2")</f>
        <v>Nrbp2</v>
      </c>
      <c r="D4990" s="8"/>
      <c r="E4990" s="8">
        <v>29470</v>
      </c>
      <c r="F4990" s="8"/>
      <c r="G4990" s="15" t="s">
        <v>10</v>
      </c>
      <c r="H4990" s="15" t="s">
        <v>10</v>
      </c>
      <c r="I4990" s="15" t="s">
        <v>10</v>
      </c>
      <c r="J4990" s="15" t="s">
        <v>10</v>
      </c>
      <c r="K4990" s="15" t="s">
        <v>10</v>
      </c>
      <c r="L4990" s="15" t="s">
        <v>10</v>
      </c>
      <c r="M4990" s="15" t="s">
        <v>10</v>
      </c>
      <c r="N4990" s="15" t="s">
        <v>10</v>
      </c>
      <c r="O4990" s="15">
        <v>1.8317437803448648</v>
      </c>
      <c r="P4990" s="15">
        <v>1.8317437803448648</v>
      </c>
      <c r="Q4990" s="8"/>
      <c r="R4990" s="9" t="s">
        <v>4531</v>
      </c>
    </row>
    <row r="4991" spans="1:18" x14ac:dyDescent="0.25">
      <c r="A4991" s="6" t="str">
        <f>HYPERLINK("proteomic_fractions_linear_files/Yang_linear_img/31559918.jpg", "31559918")</f>
        <v>31559918</v>
      </c>
      <c r="B4991" s="7"/>
      <c r="C4991" s="6" t="str">
        <f>HYPERLINK("http://www.ncbi.nlm.nih.gov/protein/31559918","Nrd1")</f>
        <v>Nrd1</v>
      </c>
      <c r="D4991" s="8"/>
      <c r="E4991" s="8">
        <v>130910</v>
      </c>
      <c r="F4991" s="8"/>
      <c r="G4991" s="15" t="s">
        <v>10</v>
      </c>
      <c r="H4991" s="15" t="s">
        <v>10</v>
      </c>
      <c r="I4991" s="15" t="s">
        <v>10</v>
      </c>
      <c r="J4991" s="15" t="s">
        <v>10</v>
      </c>
      <c r="K4991" s="15">
        <v>1.4256933712972546</v>
      </c>
      <c r="L4991" s="15">
        <v>1.4256933712972546</v>
      </c>
      <c r="M4991" s="15" t="s">
        <v>10</v>
      </c>
      <c r="N4991" s="15" t="s">
        <v>10</v>
      </c>
      <c r="O4991" s="15">
        <v>1.1713959628720751</v>
      </c>
      <c r="P4991" s="15">
        <v>1.1713959628720751</v>
      </c>
      <c r="Q4991" s="8"/>
      <c r="R4991" s="9" t="s">
        <v>4532</v>
      </c>
    </row>
    <row r="4992" spans="1:18" x14ac:dyDescent="0.25">
      <c r="A4992" s="6" t="str">
        <f>HYPERLINK("proteomic_fractions_linear_files/Yang_linear_img/6679132.jpg", "6679132")</f>
        <v>6679132</v>
      </c>
      <c r="B4992" s="7"/>
      <c r="C4992" s="6" t="str">
        <f>HYPERLINK("http://www.ncbi.nlm.nih.gov/protein/6679132","Nrl")</f>
        <v>Nrl</v>
      </c>
      <c r="D4992" s="8"/>
      <c r="E4992" s="8">
        <v>25952</v>
      </c>
      <c r="F4992" s="8"/>
      <c r="G4992" s="15" t="s">
        <v>10</v>
      </c>
      <c r="H4992" s="15" t="s">
        <v>10</v>
      </c>
      <c r="I4992" s="15" t="s">
        <v>10</v>
      </c>
      <c r="J4992" s="15" t="s">
        <v>10</v>
      </c>
      <c r="K4992" s="15">
        <v>2.0430988319231185</v>
      </c>
      <c r="L4992" s="15">
        <v>2.0430988319231185</v>
      </c>
      <c r="M4992" s="15">
        <v>2.0430988319231185</v>
      </c>
      <c r="N4992" s="15">
        <v>2.0430988319231185</v>
      </c>
      <c r="O4992" s="15" t="s">
        <v>10</v>
      </c>
      <c r="P4992" s="15" t="s">
        <v>10</v>
      </c>
      <c r="Q4992" s="8"/>
      <c r="R4992" s="9" t="s">
        <v>4533</v>
      </c>
    </row>
    <row r="4993" spans="1:18" x14ac:dyDescent="0.25">
      <c r="A4993" s="6" t="str">
        <f>HYPERLINK("proteomic_fractions_linear_files/Yang_linear_img/19527352.jpg", "19527352")</f>
        <v>19527352</v>
      </c>
      <c r="B4993" s="7"/>
      <c r="C4993" s="6" t="str">
        <f>HYPERLINK("http://www.ncbi.nlm.nih.gov/protein/19527352","Nrm")</f>
        <v>Nrm</v>
      </c>
      <c r="D4993" s="8"/>
      <c r="E4993" s="8">
        <v>29304</v>
      </c>
      <c r="F4993" s="8"/>
      <c r="G4993" s="15">
        <v>0.67245344234604398</v>
      </c>
      <c r="H4993" s="15">
        <v>0.67245344234604398</v>
      </c>
      <c r="I4993" s="15" t="s">
        <v>10</v>
      </c>
      <c r="J4993" s="15" t="s">
        <v>10</v>
      </c>
      <c r="K4993" s="15" t="s">
        <v>10</v>
      </c>
      <c r="L4993" s="15" t="s">
        <v>10</v>
      </c>
      <c r="M4993" s="15" t="s">
        <v>10</v>
      </c>
      <c r="N4993" s="15" t="s">
        <v>10</v>
      </c>
      <c r="O4993" s="15" t="s">
        <v>10</v>
      </c>
      <c r="P4993" s="15" t="s">
        <v>10</v>
      </c>
      <c r="Q4993" s="8"/>
      <c r="R4993" s="9" t="s">
        <v>4534</v>
      </c>
    </row>
    <row r="4994" spans="1:18" x14ac:dyDescent="0.25">
      <c r="A4994" s="6" t="str">
        <f>HYPERLINK("proteomic_fractions_linear_files/Yang_linear_img/244792700.jpg", "244792700")</f>
        <v>244792700</v>
      </c>
      <c r="B4994" s="7"/>
      <c r="C4994" s="6" t="str">
        <f>HYPERLINK("http://www.ncbi.nlm.nih.gov/protein/244792700","Nrp1")</f>
        <v>Nrp1</v>
      </c>
      <c r="D4994" s="8"/>
      <c r="E4994" s="8">
        <v>100950</v>
      </c>
      <c r="F4994" s="8"/>
      <c r="G4994" s="15" t="s">
        <v>10</v>
      </c>
      <c r="H4994" s="15" t="s">
        <v>10</v>
      </c>
      <c r="I4994" s="15">
        <v>1.5193353577845727</v>
      </c>
      <c r="J4994" s="15">
        <v>1.5193353577845727</v>
      </c>
      <c r="K4994" s="15">
        <v>2.310503441859892</v>
      </c>
      <c r="L4994" s="15">
        <v>2.310503441859892</v>
      </c>
      <c r="M4994" s="15" t="s">
        <v>10</v>
      </c>
      <c r="N4994" s="15" t="s">
        <v>10</v>
      </c>
      <c r="O4994" s="15" t="s">
        <v>10</v>
      </c>
      <c r="P4994" s="15" t="s">
        <v>10</v>
      </c>
      <c r="Q4994" s="8"/>
      <c r="R4994" s="9" t="s">
        <v>4535</v>
      </c>
    </row>
    <row r="4995" spans="1:18" x14ac:dyDescent="0.25">
      <c r="A4995" s="6" t="str">
        <f>HYPERLINK("proteomic_fractions_linear_files/Yang_linear_img/31982437.jpg", "31982437")</f>
        <v>31982437</v>
      </c>
      <c r="B4995" s="7"/>
      <c r="C4995" s="6" t="str">
        <f>HYPERLINK("http://www.ncbi.nlm.nih.gov/protein/31982437","Nsdhl")</f>
        <v>Nsdhl</v>
      </c>
      <c r="D4995" s="8"/>
      <c r="E4995" s="8">
        <v>40555</v>
      </c>
      <c r="F4995" s="8"/>
      <c r="G4995" s="15">
        <v>0.78253836233496554</v>
      </c>
      <c r="H4995" s="15">
        <v>0.78253836233496554</v>
      </c>
      <c r="I4995" s="15">
        <v>0.84276528123110206</v>
      </c>
      <c r="J4995" s="15">
        <v>0.84276528123110206</v>
      </c>
      <c r="K4995" s="15">
        <v>0.84276528123110206</v>
      </c>
      <c r="L4995" s="15">
        <v>0.84276528123110206</v>
      </c>
      <c r="M4995" s="15" t="s">
        <v>10</v>
      </c>
      <c r="N4995" s="15" t="s">
        <v>10</v>
      </c>
      <c r="O4995" s="15" t="s">
        <v>10</v>
      </c>
      <c r="P4995" s="15" t="s">
        <v>10</v>
      </c>
      <c r="Q4995" s="8"/>
      <c r="R4995" s="9" t="s">
        <v>4536</v>
      </c>
    </row>
    <row r="4996" spans="1:18" x14ac:dyDescent="0.25">
      <c r="A4996" s="6" t="str">
        <f>HYPERLINK("proteomic_fractions_linear_files/Yang_linear_img/31543349.jpg", "31543349")</f>
        <v>31543349</v>
      </c>
      <c r="B4996" s="7"/>
      <c r="C4996" s="6" t="str">
        <f>HYPERLINK("http://www.ncbi.nlm.nih.gov/protein/31543349","Nsf")</f>
        <v>Nsf</v>
      </c>
      <c r="D4996" s="8"/>
      <c r="E4996" s="8">
        <v>82483</v>
      </c>
      <c r="F4996" s="8"/>
      <c r="G4996" s="15">
        <v>1.1581461119827379</v>
      </c>
      <c r="H4996" s="15">
        <v>1.1581461119827379</v>
      </c>
      <c r="I4996" s="15">
        <v>1.0133982740627299</v>
      </c>
      <c r="J4996" s="15">
        <v>1.0133982740627299</v>
      </c>
      <c r="K4996" s="15">
        <v>1.0133982740627299</v>
      </c>
      <c r="L4996" s="15">
        <v>1.0133982740627299</v>
      </c>
      <c r="M4996" s="15">
        <v>1.0133982740627299</v>
      </c>
      <c r="N4996" s="15">
        <v>1.0133982740627299</v>
      </c>
      <c r="O4996" s="15" t="s">
        <v>10</v>
      </c>
      <c r="P4996" s="15" t="s">
        <v>10</v>
      </c>
      <c r="Q4996" s="8"/>
      <c r="R4996" s="9" t="s">
        <v>4537</v>
      </c>
    </row>
    <row r="4997" spans="1:18" x14ac:dyDescent="0.25">
      <c r="A4997" s="6" t="str">
        <f>HYPERLINK("proteomic_fractions_linear_files/Yang_linear_img/38198665.jpg", "38198665")</f>
        <v>38198665</v>
      </c>
      <c r="B4997" s="7"/>
      <c r="C4997" s="6" t="str">
        <f>HYPERLINK("http://www.ncbi.nlm.nih.gov/protein/38198665","Nsfl1c")</f>
        <v>Nsfl1c</v>
      </c>
      <c r="D4997" s="8"/>
      <c r="E4997" s="8">
        <v>40822</v>
      </c>
      <c r="F4997" s="8"/>
      <c r="G4997" s="15" t="s">
        <v>10</v>
      </c>
      <c r="H4997" s="15" t="s">
        <v>10</v>
      </c>
      <c r="I4997" s="15">
        <v>1.0762338840723285</v>
      </c>
      <c r="J4997" s="15">
        <v>1.0762338840723285</v>
      </c>
      <c r="K4997" s="15">
        <v>1.0762338840723285</v>
      </c>
      <c r="L4997" s="15">
        <v>1.0762338840723285</v>
      </c>
      <c r="M4997" s="15">
        <v>1.0762338840723285</v>
      </c>
      <c r="N4997" s="15">
        <v>1.0762338840723285</v>
      </c>
      <c r="O4997" s="15">
        <v>0.98798337081031085</v>
      </c>
      <c r="P4997" s="15">
        <v>0.98798337081031085</v>
      </c>
      <c r="Q4997" s="8"/>
      <c r="R4997" s="9" t="s">
        <v>4538</v>
      </c>
    </row>
    <row r="4998" spans="1:18" x14ac:dyDescent="0.25">
      <c r="A4998" s="6" t="str">
        <f>HYPERLINK("proteomic_fractions_linear_files/Yang_linear_img/257196205.jpg", "257196205")</f>
        <v>257196205</v>
      </c>
      <c r="B4998" s="7"/>
      <c r="C4998" s="6" t="str">
        <f>HYPERLINK("http://www.ncbi.nlm.nih.gov/protein/257196205","Nsmce2")</f>
        <v>Nsmce2</v>
      </c>
      <c r="D4998" s="8"/>
      <c r="E4998" s="8">
        <v>28100</v>
      </c>
      <c r="F4998" s="8"/>
      <c r="G4998" s="15">
        <v>1.4466899358293837</v>
      </c>
      <c r="H4998" s="15">
        <v>1.4466899358293837</v>
      </c>
      <c r="I4998" s="15" t="s">
        <v>10</v>
      </c>
      <c r="J4998" s="15" t="s">
        <v>10</v>
      </c>
      <c r="K4998" s="15" t="s">
        <v>10</v>
      </c>
      <c r="L4998" s="15" t="s">
        <v>10</v>
      </c>
      <c r="M4998" s="15" t="s">
        <v>10</v>
      </c>
      <c r="N4998" s="15" t="s">
        <v>10</v>
      </c>
      <c r="O4998" s="15" t="s">
        <v>10</v>
      </c>
      <c r="P4998" s="15" t="s">
        <v>10</v>
      </c>
      <c r="Q4998" s="8"/>
      <c r="R4998" s="9" t="s">
        <v>4539</v>
      </c>
    </row>
    <row r="4999" spans="1:18" x14ac:dyDescent="0.25">
      <c r="A4999" s="6" t="str">
        <f>HYPERLINK("proteomic_fractions_linear_files/Yang_linear_img/257196207.jpg", "257196207")</f>
        <v>257196207</v>
      </c>
      <c r="B4999" s="7"/>
      <c r="C4999" s="6" t="str">
        <f>HYPERLINK("http://www.ncbi.nlm.nih.gov/protein/257196207","Nsmce2")</f>
        <v>Nsmce2</v>
      </c>
      <c r="D4999" s="8"/>
      <c r="E4999" s="8">
        <v>15578</v>
      </c>
      <c r="F4999" s="8"/>
      <c r="G4999" s="15">
        <v>2.5317073877014216</v>
      </c>
      <c r="H4999" s="15">
        <v>2.5317073877014216</v>
      </c>
      <c r="I4999" s="15" t="s">
        <v>10</v>
      </c>
      <c r="J4999" s="15" t="s">
        <v>10</v>
      </c>
      <c r="K4999" s="15" t="s">
        <v>10</v>
      </c>
      <c r="L4999" s="15" t="s">
        <v>10</v>
      </c>
      <c r="M4999" s="15" t="s">
        <v>10</v>
      </c>
      <c r="N4999" s="15" t="s">
        <v>10</v>
      </c>
      <c r="O4999" s="15" t="s">
        <v>10</v>
      </c>
      <c r="P4999" s="15" t="s">
        <v>10</v>
      </c>
      <c r="Q4999" s="8"/>
      <c r="R4999" s="9" t="s">
        <v>4540</v>
      </c>
    </row>
    <row r="5000" spans="1:18" x14ac:dyDescent="0.25">
      <c r="A5000" s="6" t="str">
        <f>HYPERLINK("proteomic_fractions_linear_files/Yang_linear_img/242246981.jpg", "242246981")</f>
        <v>242246981</v>
      </c>
      <c r="B5000" s="7"/>
      <c r="C5000" s="6" t="str">
        <f>HYPERLINK("http://www.ncbi.nlm.nih.gov/protein/242246981","Nsmce4a")</f>
        <v>Nsmce4a</v>
      </c>
      <c r="D5000" s="8"/>
      <c r="E5000" s="8">
        <v>43622</v>
      </c>
      <c r="F5000" s="8"/>
      <c r="G5000" s="15">
        <v>1.4875741666032802</v>
      </c>
      <c r="H5000" s="15">
        <v>1.4875741666032802</v>
      </c>
      <c r="I5000" s="15" t="s">
        <v>10</v>
      </c>
      <c r="J5000" s="15" t="s">
        <v>10</v>
      </c>
      <c r="K5000" s="15" t="s">
        <v>10</v>
      </c>
      <c r="L5000" s="15" t="s">
        <v>10</v>
      </c>
      <c r="M5000" s="15" t="s">
        <v>10</v>
      </c>
      <c r="N5000" s="15" t="s">
        <v>10</v>
      </c>
      <c r="O5000" s="15" t="s">
        <v>10</v>
      </c>
      <c r="P5000" s="15" t="s">
        <v>10</v>
      </c>
      <c r="Q5000" s="8"/>
      <c r="R5000" s="9" t="s">
        <v>4541</v>
      </c>
    </row>
    <row r="5001" spans="1:18" x14ac:dyDescent="0.25">
      <c r="A5001" s="6" t="str">
        <f>HYPERLINK("proteomic_fractions_linear_files/Yang_linear_img/295054316.jpg", "295054316")</f>
        <v>295054316</v>
      </c>
      <c r="B5001" s="7"/>
      <c r="C5001" s="6" t="str">
        <f>HYPERLINK("http://www.ncbi.nlm.nih.gov/protein/295054316","Nsun2")</f>
        <v>Nsun2</v>
      </c>
      <c r="D5001" s="8"/>
      <c r="E5001" s="8">
        <v>85321</v>
      </c>
      <c r="F5001" s="8"/>
      <c r="G5001" s="15" t="s">
        <v>10</v>
      </c>
      <c r="H5001" s="15" t="s">
        <v>10</v>
      </c>
      <c r="I5001" s="15">
        <v>1.2917831037780172</v>
      </c>
      <c r="J5001" s="15">
        <v>1.2917831037780172</v>
      </c>
      <c r="K5001" s="15">
        <v>1.2917831037780172</v>
      </c>
      <c r="L5001" s="15">
        <v>1.2917831037780172</v>
      </c>
      <c r="M5001" s="15">
        <v>1.2917831037780172</v>
      </c>
      <c r="N5001" s="15">
        <v>1.2917831037780172</v>
      </c>
      <c r="O5001" s="15">
        <v>1.2917831037780172</v>
      </c>
      <c r="P5001" s="15">
        <v>1.2917831037780172</v>
      </c>
      <c r="Q5001" s="8"/>
      <c r="R5001" s="9" t="s">
        <v>4542</v>
      </c>
    </row>
    <row r="5002" spans="1:18" x14ac:dyDescent="0.25">
      <c r="A5002" s="6" t="str">
        <f>HYPERLINK("proteomic_fractions_linear_files/Yang_linear_img/154146245.jpg", "154146245")</f>
        <v>154146245</v>
      </c>
      <c r="B5002" s="7"/>
      <c r="C5002" s="6" t="str">
        <f>HYPERLINK("http://www.ncbi.nlm.nih.gov/protein/154146245","Nsun5")</f>
        <v>Nsun5</v>
      </c>
      <c r="D5002" s="8"/>
      <c r="E5002" s="8">
        <v>50899</v>
      </c>
      <c r="F5002" s="8"/>
      <c r="G5002" s="15" t="s">
        <v>10</v>
      </c>
      <c r="H5002" s="15" t="s">
        <v>10</v>
      </c>
      <c r="I5002" s="15" t="s">
        <v>10</v>
      </c>
      <c r="J5002" s="15" t="s">
        <v>10</v>
      </c>
      <c r="K5002" s="15">
        <v>1.1524158350116442</v>
      </c>
      <c r="L5002" s="15">
        <v>1.1524158350116442</v>
      </c>
      <c r="M5002" s="15" t="s">
        <v>10</v>
      </c>
      <c r="N5002" s="15" t="s">
        <v>10</v>
      </c>
      <c r="O5002" s="15" t="s">
        <v>10</v>
      </c>
      <c r="P5002" s="15" t="s">
        <v>10</v>
      </c>
      <c r="Q5002" s="8"/>
      <c r="R5002" s="9" t="s">
        <v>4543</v>
      </c>
    </row>
    <row r="5003" spans="1:18" x14ac:dyDescent="0.25">
      <c r="A5003" s="6" t="str">
        <f>HYPERLINK("proteomic_fractions_linear_files/Yang_linear_img/260099658.jpg", "260099658")</f>
        <v>260099658</v>
      </c>
      <c r="B5003" s="7"/>
      <c r="C5003" s="6" t="str">
        <f>HYPERLINK("http://www.ncbi.nlm.nih.gov/protein/260099658","Nsun6")</f>
        <v>Nsun6</v>
      </c>
      <c r="D5003" s="8"/>
      <c r="E5003" s="8">
        <v>52148</v>
      </c>
      <c r="F5003" s="8"/>
      <c r="G5003" s="15" t="s">
        <v>10</v>
      </c>
      <c r="H5003" s="15" t="s">
        <v>10</v>
      </c>
      <c r="I5003" s="15" t="s">
        <v>10</v>
      </c>
      <c r="J5003" s="15" t="s">
        <v>10</v>
      </c>
      <c r="K5003" s="15">
        <v>1.0215494159615592</v>
      </c>
      <c r="L5003" s="15">
        <v>1.0215494159615592</v>
      </c>
      <c r="M5003" s="15" t="s">
        <v>10</v>
      </c>
      <c r="N5003" s="15" t="s">
        <v>10</v>
      </c>
      <c r="O5003" s="15">
        <v>0.92865337662337022</v>
      </c>
      <c r="P5003" s="15">
        <v>0.92865337662337022</v>
      </c>
      <c r="Q5003" s="8"/>
      <c r="R5003" s="9" t="s">
        <v>4544</v>
      </c>
    </row>
    <row r="5004" spans="1:18" x14ac:dyDescent="0.25">
      <c r="A5004" s="6" t="str">
        <f>HYPERLINK("proteomic_fractions_linear_files/Yang_linear_img/260099662.jpg", "260099662")</f>
        <v>260099662</v>
      </c>
      <c r="B5004" s="7"/>
      <c r="C5004" s="6" t="str">
        <f>HYPERLINK("http://www.ncbi.nlm.nih.gov/protein/260099662","Nsun6")</f>
        <v>Nsun6</v>
      </c>
      <c r="D5004" s="8"/>
      <c r="E5004" s="8">
        <v>13128</v>
      </c>
      <c r="F5004" s="8"/>
      <c r="G5004" s="15" t="s">
        <v>10</v>
      </c>
      <c r="H5004" s="15" t="s">
        <v>10</v>
      </c>
      <c r="I5004" s="15" t="s">
        <v>10</v>
      </c>
      <c r="J5004" s="15" t="s">
        <v>10</v>
      </c>
      <c r="K5004" s="15">
        <v>4.0861976638462369</v>
      </c>
      <c r="L5004" s="15">
        <v>4.0861976638462369</v>
      </c>
      <c r="M5004" s="15" t="s">
        <v>10</v>
      </c>
      <c r="N5004" s="15" t="s">
        <v>10</v>
      </c>
      <c r="O5004" s="15">
        <v>3.7146135064934809</v>
      </c>
      <c r="P5004" s="15">
        <v>3.7146135064934809</v>
      </c>
      <c r="Q5004" s="8"/>
      <c r="R5004" s="9" t="s">
        <v>4545</v>
      </c>
    </row>
    <row r="5005" spans="1:18" x14ac:dyDescent="0.25">
      <c r="A5005" s="6" t="str">
        <f>HYPERLINK("proteomic_fractions_linear_files/Yang_linear_img/260099664.jpg", "260099664")</f>
        <v>260099664</v>
      </c>
      <c r="B5005" s="7"/>
      <c r="C5005" s="6" t="str">
        <f>HYPERLINK("http://www.ncbi.nlm.nih.gov/protein/260099664","Nsun6")</f>
        <v>Nsun6</v>
      </c>
      <c r="D5005" s="8"/>
      <c r="E5005" s="8">
        <v>46198</v>
      </c>
      <c r="F5005" s="8"/>
      <c r="G5005" s="15" t="s">
        <v>10</v>
      </c>
      <c r="H5005" s="15" t="s">
        <v>10</v>
      </c>
      <c r="I5005" s="15" t="s">
        <v>10</v>
      </c>
      <c r="J5005" s="15" t="s">
        <v>10</v>
      </c>
      <c r="K5005" s="15">
        <v>1.1547949919565452</v>
      </c>
      <c r="L5005" s="15">
        <v>1.1547949919565452</v>
      </c>
      <c r="M5005" s="15" t="s">
        <v>10</v>
      </c>
      <c r="N5005" s="15" t="s">
        <v>10</v>
      </c>
      <c r="O5005" s="15">
        <v>1.0497820779220708</v>
      </c>
      <c r="P5005" s="15">
        <v>1.0497820779220708</v>
      </c>
      <c r="Q5005" s="8"/>
      <c r="R5005" s="9" t="s">
        <v>4546</v>
      </c>
    </row>
    <row r="5006" spans="1:18" x14ac:dyDescent="0.25">
      <c r="A5006" s="6" t="str">
        <f>HYPERLINK("proteomic_fractions_linear_files/Yang_linear_img/7657031.jpg", "7657031")</f>
        <v>7657031</v>
      </c>
      <c r="B5006" s="7"/>
      <c r="C5006" s="6" t="str">
        <f>HYPERLINK("http://www.ncbi.nlm.nih.gov/protein/7657031","Nt5c")</f>
        <v>Nt5c</v>
      </c>
      <c r="D5006" s="8"/>
      <c r="E5006" s="8">
        <v>22945</v>
      </c>
      <c r="F5006" s="8"/>
      <c r="G5006" s="15" t="s">
        <v>10</v>
      </c>
      <c r="H5006" s="15" t="s">
        <v>10</v>
      </c>
      <c r="I5006" s="15">
        <v>1.0047640597703238</v>
      </c>
      <c r="J5006" s="15">
        <v>1.0047640597703238</v>
      </c>
      <c r="K5006" s="15">
        <v>1.0047640597703238</v>
      </c>
      <c r="L5006" s="15">
        <v>1.0047640597703238</v>
      </c>
      <c r="M5006" s="15" t="s">
        <v>10</v>
      </c>
      <c r="N5006" s="15" t="s">
        <v>10</v>
      </c>
      <c r="O5006" s="15">
        <v>0.94764096829038047</v>
      </c>
      <c r="P5006" s="15">
        <v>0.94764096829038047</v>
      </c>
      <c r="Q5006" s="8"/>
      <c r="R5006" s="9" t="s">
        <v>4547</v>
      </c>
    </row>
    <row r="5007" spans="1:18" x14ac:dyDescent="0.25">
      <c r="A5007" s="6" t="str">
        <f>HYPERLINK("proteomic_fractions_linear_files/Yang_linear_img/256665234.jpg", "256665234")</f>
        <v>256665234</v>
      </c>
      <c r="B5007" s="7"/>
      <c r="C5007" s="6" t="str">
        <f>HYPERLINK("http://www.ncbi.nlm.nih.gov/protein/256665234","Nt5c2")</f>
        <v>Nt5c2</v>
      </c>
      <c r="D5007" s="8"/>
      <c r="E5007" s="8">
        <v>67573</v>
      </c>
      <c r="F5007" s="8"/>
      <c r="G5007" s="15" t="s">
        <v>10</v>
      </c>
      <c r="H5007" s="15" t="s">
        <v>10</v>
      </c>
      <c r="I5007" s="15">
        <v>0.86431187625873307</v>
      </c>
      <c r="J5007" s="15">
        <v>0.86431187625873307</v>
      </c>
      <c r="K5007" s="15">
        <v>0.96254799015506365</v>
      </c>
      <c r="L5007" s="15">
        <v>0.96254799015506365</v>
      </c>
      <c r="M5007" s="15">
        <v>0.86431187625873307</v>
      </c>
      <c r="N5007" s="15">
        <v>0.86431187625873307</v>
      </c>
      <c r="O5007" s="15">
        <v>0.78118484750001582</v>
      </c>
      <c r="P5007" s="15">
        <v>0.78118484750001582</v>
      </c>
      <c r="Q5007" s="8"/>
      <c r="R5007" s="9" t="s">
        <v>4548</v>
      </c>
    </row>
    <row r="5008" spans="1:18" x14ac:dyDescent="0.25">
      <c r="A5008" s="6" t="str">
        <f>HYPERLINK("proteomic_fractions_linear_files/Yang_linear_img/256665236.jpg", "256665236")</f>
        <v>256665236</v>
      </c>
      <c r="B5008" s="7"/>
      <c r="C5008" s="6" t="str">
        <f>HYPERLINK("http://www.ncbi.nlm.nih.gov/protein/256665236","Nt5c2")</f>
        <v>Nt5c2</v>
      </c>
      <c r="D5008" s="8"/>
      <c r="E5008" s="8">
        <v>67634</v>
      </c>
      <c r="F5008" s="8"/>
      <c r="G5008" s="15" t="s">
        <v>10</v>
      </c>
      <c r="H5008" s="15" t="s">
        <v>10</v>
      </c>
      <c r="I5008" s="15">
        <v>0.86431187625873307</v>
      </c>
      <c r="J5008" s="15">
        <v>0.86431187625873307</v>
      </c>
      <c r="K5008" s="15">
        <v>0.96254799015506365</v>
      </c>
      <c r="L5008" s="15">
        <v>0.96254799015506365</v>
      </c>
      <c r="M5008" s="15">
        <v>0.86431187625873307</v>
      </c>
      <c r="N5008" s="15">
        <v>0.86431187625873307</v>
      </c>
      <c r="O5008" s="15">
        <v>0.78118484750001582</v>
      </c>
      <c r="P5008" s="15">
        <v>0.78118484750001582</v>
      </c>
      <c r="Q5008" s="8"/>
      <c r="R5008" s="9" t="s">
        <v>4549</v>
      </c>
    </row>
    <row r="5009" spans="1:18" x14ac:dyDescent="0.25">
      <c r="A5009" s="6" t="str">
        <f>HYPERLINK("proteomic_fractions_linear_files/Yang_linear_img/256665238.jpg", "256665238")</f>
        <v>256665238</v>
      </c>
      <c r="B5009" s="7"/>
      <c r="C5009" s="6" t="str">
        <f>HYPERLINK("http://www.ncbi.nlm.nih.gov/protein/256665238","Nt5c2")</f>
        <v>Nt5c2</v>
      </c>
      <c r="D5009" s="8"/>
      <c r="E5009" s="8">
        <v>64678</v>
      </c>
      <c r="F5009" s="8"/>
      <c r="G5009" s="15" t="s">
        <v>10</v>
      </c>
      <c r="H5009" s="15" t="s">
        <v>10</v>
      </c>
      <c r="I5009" s="15">
        <v>0.90420319362452084</v>
      </c>
      <c r="J5009" s="15">
        <v>0.90420319362452084</v>
      </c>
      <c r="K5009" s="15">
        <v>1.0069732820083743</v>
      </c>
      <c r="L5009" s="15">
        <v>1.0069732820083743</v>
      </c>
      <c r="M5009" s="15">
        <v>0.90420319362452084</v>
      </c>
      <c r="N5009" s="15">
        <v>0.90420319362452084</v>
      </c>
      <c r="O5009" s="15">
        <v>0.81723953276924732</v>
      </c>
      <c r="P5009" s="15">
        <v>0.81723953276924732</v>
      </c>
      <c r="Q5009" s="8"/>
      <c r="R5009" s="9" t="s">
        <v>4550</v>
      </c>
    </row>
    <row r="5010" spans="1:18" x14ac:dyDescent="0.25">
      <c r="A5010" s="6" t="str">
        <f>HYPERLINK("proteomic_fractions_linear_files/Yang_linear_img/172072627.jpg", "172072627")</f>
        <v>172072627</v>
      </c>
      <c r="B5010" s="7"/>
      <c r="C5010" s="6" t="str">
        <f>HYPERLINK("http://www.ncbi.nlm.nih.gov/protein/172072627","Nt5c3")</f>
        <v>Nt5c3</v>
      </c>
      <c r="D5010" s="8"/>
      <c r="E5010" s="8">
        <v>37121</v>
      </c>
      <c r="F5010" s="8"/>
      <c r="G5010" s="15" t="s">
        <v>10</v>
      </c>
      <c r="H5010" s="15" t="s">
        <v>10</v>
      </c>
      <c r="I5010" s="15">
        <v>0.93387504136419419</v>
      </c>
      <c r="J5010" s="15">
        <v>0.93387504136419419</v>
      </c>
      <c r="K5010" s="15">
        <v>0.70676373284932437</v>
      </c>
      <c r="L5010" s="15">
        <v>0.70676373284932437</v>
      </c>
      <c r="M5010" s="15" t="s">
        <v>10</v>
      </c>
      <c r="N5010" s="15" t="s">
        <v>10</v>
      </c>
      <c r="O5010" s="15">
        <v>0.62458306418155263</v>
      </c>
      <c r="P5010" s="15">
        <v>0.62458306418155263</v>
      </c>
      <c r="Q5010" s="8"/>
      <c r="R5010" s="9" t="s">
        <v>4551</v>
      </c>
    </row>
    <row r="5011" spans="1:18" x14ac:dyDescent="0.25">
      <c r="A5011" s="6" t="str">
        <f>HYPERLINK("proteomic_fractions_linear_files/Yang_linear_img/356991161.jpg", "356991161")</f>
        <v>356991161</v>
      </c>
      <c r="B5011" s="7"/>
      <c r="C5011" s="6" t="str">
        <f>HYPERLINK("http://www.ncbi.nlm.nih.gov/protein/356991161","Nt5c3")</f>
        <v>Nt5c3</v>
      </c>
      <c r="D5011" s="8"/>
      <c r="E5011" s="8">
        <v>33659</v>
      </c>
      <c r="F5011" s="8"/>
      <c r="G5011" s="15" t="s">
        <v>10</v>
      </c>
      <c r="H5011" s="15" t="s">
        <v>10</v>
      </c>
      <c r="I5011" s="15">
        <v>1.0162757803080937</v>
      </c>
      <c r="J5011" s="15">
        <v>1.0162757803080937</v>
      </c>
      <c r="K5011" s="15">
        <v>0.76912523868897065</v>
      </c>
      <c r="L5011" s="15">
        <v>0.76912523868897065</v>
      </c>
      <c r="M5011" s="15" t="s">
        <v>10</v>
      </c>
      <c r="N5011" s="15" t="s">
        <v>10</v>
      </c>
      <c r="O5011" s="15">
        <v>0.67969333455051306</v>
      </c>
      <c r="P5011" s="15">
        <v>0.67969333455051306</v>
      </c>
      <c r="Q5011" s="8"/>
      <c r="R5011" s="9" t="s">
        <v>4552</v>
      </c>
    </row>
    <row r="5012" spans="1:18" x14ac:dyDescent="0.25">
      <c r="A5012" s="6" t="str">
        <f>HYPERLINK("proteomic_fractions_linear_files/Yang_linear_img/156627551.jpg", "156627551")</f>
        <v>156627551</v>
      </c>
      <c r="B5012" s="7"/>
      <c r="C5012" s="6" t="str">
        <f>HYPERLINK("http://www.ncbi.nlm.nih.gov/protein/156627551","Nt5c3b")</f>
        <v>Nt5c3b</v>
      </c>
      <c r="D5012" s="8"/>
      <c r="E5012" s="8">
        <v>29651</v>
      </c>
      <c r="F5012" s="8"/>
      <c r="G5012" s="15" t="s">
        <v>10</v>
      </c>
      <c r="H5012" s="15" t="s">
        <v>10</v>
      </c>
      <c r="I5012" s="15">
        <v>0.99618022972377107</v>
      </c>
      <c r="J5012" s="15">
        <v>0.99618022972377107</v>
      </c>
      <c r="K5012" s="15" t="s">
        <v>10</v>
      </c>
      <c r="L5012" s="15" t="s">
        <v>10</v>
      </c>
      <c r="M5012" s="15" t="s">
        <v>10</v>
      </c>
      <c r="N5012" s="15" t="s">
        <v>10</v>
      </c>
      <c r="O5012" s="15">
        <v>0.93060704325606869</v>
      </c>
      <c r="P5012" s="15">
        <v>0.93060704325606869</v>
      </c>
      <c r="Q5012" s="8"/>
      <c r="R5012" s="9" t="s">
        <v>4553</v>
      </c>
    </row>
    <row r="5013" spans="1:18" x14ac:dyDescent="0.25">
      <c r="A5013" s="6" t="str">
        <f>HYPERLINK("proteomic_fractions_linear_files/Yang_linear_img/156627553.jpg", "156627553")</f>
        <v>156627553</v>
      </c>
      <c r="B5013" s="7"/>
      <c r="C5013" s="6" t="str">
        <f>HYPERLINK("http://www.ncbi.nlm.nih.gov/protein/156627553","Nt5c3b")</f>
        <v>Nt5c3b</v>
      </c>
      <c r="D5013" s="8"/>
      <c r="E5013" s="8">
        <v>34294</v>
      </c>
      <c r="F5013" s="8"/>
      <c r="G5013" s="15" t="s">
        <v>10</v>
      </c>
      <c r="H5013" s="15" t="s">
        <v>10</v>
      </c>
      <c r="I5013" s="15">
        <v>0.87898255563862149</v>
      </c>
      <c r="J5013" s="15">
        <v>0.87898255563862149</v>
      </c>
      <c r="K5013" s="15" t="s">
        <v>10</v>
      </c>
      <c r="L5013" s="15" t="s">
        <v>10</v>
      </c>
      <c r="M5013" s="15" t="s">
        <v>10</v>
      </c>
      <c r="N5013" s="15" t="s">
        <v>10</v>
      </c>
      <c r="O5013" s="15">
        <v>0.82112386169653118</v>
      </c>
      <c r="P5013" s="15">
        <v>0.82112386169653118</v>
      </c>
      <c r="Q5013" s="8"/>
      <c r="R5013" s="9" t="s">
        <v>4554</v>
      </c>
    </row>
    <row r="5014" spans="1:18" x14ac:dyDescent="0.25">
      <c r="A5014" s="6" t="str">
        <f>HYPERLINK("proteomic_fractions_linear_files/Yang_linear_img/110626010.jpg", "110626010")</f>
        <v>110626010</v>
      </c>
      <c r="B5014" s="7"/>
      <c r="C5014" s="6" t="str">
        <f>HYPERLINK("http://www.ncbi.nlm.nih.gov/protein/110626010","Nt5dc1")</f>
        <v>Nt5dc1</v>
      </c>
      <c r="D5014" s="8"/>
      <c r="E5014" s="8">
        <v>52963</v>
      </c>
      <c r="F5014" s="8"/>
      <c r="G5014" s="15" t="s">
        <v>10</v>
      </c>
      <c r="H5014" s="15" t="s">
        <v>10</v>
      </c>
      <c r="I5014" s="15">
        <v>1.0022748986792656</v>
      </c>
      <c r="J5014" s="15">
        <v>1.0022748986792656</v>
      </c>
      <c r="K5014" s="15">
        <v>1.0022748986792656</v>
      </c>
      <c r="L5014" s="15">
        <v>1.0022748986792656</v>
      </c>
      <c r="M5014" s="15" t="s">
        <v>10</v>
      </c>
      <c r="N5014" s="15" t="s">
        <v>10</v>
      </c>
      <c r="O5014" s="15">
        <v>0.91113161480028781</v>
      </c>
      <c r="P5014" s="15">
        <v>0.91113161480028781</v>
      </c>
      <c r="Q5014" s="8"/>
      <c r="R5014" s="9" t="s">
        <v>4555</v>
      </c>
    </row>
    <row r="5015" spans="1:18" x14ac:dyDescent="0.25">
      <c r="A5015" s="6" t="str">
        <f>HYPERLINK("proteomic_fractions_linear_files/Yang_linear_img/110625755.jpg", "110625755")</f>
        <v>110625755</v>
      </c>
      <c r="B5015" s="7"/>
      <c r="C5015" s="6" t="str">
        <f>HYPERLINK("http://www.ncbi.nlm.nih.gov/protein/110625755","Nt5dc2")</f>
        <v>Nt5dc2</v>
      </c>
      <c r="D5015" s="8"/>
      <c r="E5015" s="8">
        <v>45903</v>
      </c>
      <c r="F5015" s="8"/>
      <c r="G5015" s="15" t="s">
        <v>10</v>
      </c>
      <c r="H5015" s="15" t="s">
        <v>10</v>
      </c>
      <c r="I5015" s="15">
        <v>1.1547949919565452</v>
      </c>
      <c r="J5015" s="15">
        <v>1.1547949919565452</v>
      </c>
      <c r="K5015" s="15" t="s">
        <v>10</v>
      </c>
      <c r="L5015" s="15" t="s">
        <v>10</v>
      </c>
      <c r="M5015" s="15" t="s">
        <v>10</v>
      </c>
      <c r="N5015" s="15" t="s">
        <v>10</v>
      </c>
      <c r="O5015" s="15" t="s">
        <v>10</v>
      </c>
      <c r="P5015" s="15" t="s">
        <v>10</v>
      </c>
      <c r="Q5015" s="8"/>
      <c r="R5015" s="9" t="s">
        <v>4556</v>
      </c>
    </row>
    <row r="5016" spans="1:18" x14ac:dyDescent="0.25">
      <c r="A5016" s="6" t="str">
        <f>HYPERLINK("proteomic_fractions_linear_files/Yang_linear_img/111494223.jpg", "111494223")</f>
        <v>111494223</v>
      </c>
      <c r="B5016" s="7"/>
      <c r="C5016" s="6" t="str">
        <f>HYPERLINK("http://www.ncbi.nlm.nih.gov/protein/111494223","Nt5dc3")</f>
        <v>Nt5dc3</v>
      </c>
      <c r="D5016" s="8"/>
      <c r="E5016" s="8">
        <v>63040</v>
      </c>
      <c r="F5016" s="8"/>
      <c r="G5016" s="15" t="s">
        <v>10</v>
      </c>
      <c r="H5016" s="15" t="s">
        <v>10</v>
      </c>
      <c r="I5016" s="15">
        <v>0.9329080569141881</v>
      </c>
      <c r="J5016" s="15">
        <v>0.9329080569141881</v>
      </c>
      <c r="K5016" s="15" t="s">
        <v>10</v>
      </c>
      <c r="L5016" s="15" t="s">
        <v>10</v>
      </c>
      <c r="M5016" s="15" t="s">
        <v>10</v>
      </c>
      <c r="N5016" s="15" t="s">
        <v>10</v>
      </c>
      <c r="O5016" s="15" t="s">
        <v>10</v>
      </c>
      <c r="P5016" s="15" t="s">
        <v>10</v>
      </c>
      <c r="Q5016" s="8"/>
      <c r="R5016" s="9" t="s">
        <v>4557</v>
      </c>
    </row>
    <row r="5017" spans="1:18" x14ac:dyDescent="0.25">
      <c r="A5017" s="6" t="str">
        <f>HYPERLINK("proteomic_fractions_linear_files/Yang_linear_img/6754902.jpg", "6754902")</f>
        <v>6754902</v>
      </c>
      <c r="B5017" s="7"/>
      <c r="C5017" s="6" t="str">
        <f>HYPERLINK("http://www.ncbi.nlm.nih.gov/protein/6754902","Ntan1")</f>
        <v>Ntan1</v>
      </c>
      <c r="D5017" s="8"/>
      <c r="E5017" s="8">
        <v>34464</v>
      </c>
      <c r="F5017" s="8"/>
      <c r="G5017" s="15" t="s">
        <v>10</v>
      </c>
      <c r="H5017" s="15" t="s">
        <v>10</v>
      </c>
      <c r="I5017" s="15" t="s">
        <v>10</v>
      </c>
      <c r="J5017" s="15" t="s">
        <v>10</v>
      </c>
      <c r="K5017" s="15" t="s">
        <v>10</v>
      </c>
      <c r="L5017" s="15" t="s">
        <v>10</v>
      </c>
      <c r="M5017" s="15">
        <v>0.87898255563862149</v>
      </c>
      <c r="N5017" s="15">
        <v>0.87898255563862149</v>
      </c>
      <c r="O5017" s="15">
        <v>0.76912523868897065</v>
      </c>
      <c r="P5017" s="15">
        <v>0.76912523868897065</v>
      </c>
      <c r="Q5017" s="8"/>
      <c r="R5017" s="9" t="s">
        <v>4558</v>
      </c>
    </row>
    <row r="5018" spans="1:18" x14ac:dyDescent="0.25">
      <c r="A5018" s="6" t="str">
        <f>HYPERLINK("proteomic_fractions_linear_files/Yang_linear_img/24528555.jpg", "24528555")</f>
        <v>24528555</v>
      </c>
      <c r="B5018" s="7"/>
      <c r="C5018" s="6" t="str">
        <f>HYPERLINK("http://www.ncbi.nlm.nih.gov/protein/24528555","Ntmt1")</f>
        <v>Ntmt1</v>
      </c>
      <c r="D5018" s="8"/>
      <c r="E5018" s="8">
        <v>25289</v>
      </c>
      <c r="F5018" s="8"/>
      <c r="G5018" s="15" t="s">
        <v>10</v>
      </c>
      <c r="H5018" s="15" t="s">
        <v>10</v>
      </c>
      <c r="I5018" s="15">
        <v>0.9821928245310767</v>
      </c>
      <c r="J5018" s="15">
        <v>0.9821928245310767</v>
      </c>
      <c r="K5018" s="15">
        <v>0.9821928245310767</v>
      </c>
      <c r="L5018" s="15">
        <v>0.9821928245310767</v>
      </c>
      <c r="M5018" s="15" t="s">
        <v>10</v>
      </c>
      <c r="N5018" s="15" t="s">
        <v>10</v>
      </c>
      <c r="O5018" s="15">
        <v>0.87182969082715001</v>
      </c>
      <c r="P5018" s="15">
        <v>0.87182969082715001</v>
      </c>
      <c r="Q5018" s="8"/>
      <c r="R5018" s="9" t="s">
        <v>4559</v>
      </c>
    </row>
    <row r="5019" spans="1:18" x14ac:dyDescent="0.25">
      <c r="A5019" s="6" t="str">
        <f>HYPERLINK("proteomic_fractions_linear_files/Yang_linear_img/13385098.jpg", "13385098")</f>
        <v>13385098</v>
      </c>
      <c r="B5019" s="7"/>
      <c r="C5019" s="6" t="str">
        <f>HYPERLINK("http://www.ncbi.nlm.nih.gov/protein/13385098","Ntpcr")</f>
        <v>Ntpcr</v>
      </c>
      <c r="D5019" s="8"/>
      <c r="E5019" s="8">
        <v>20536</v>
      </c>
      <c r="F5019" s="8"/>
      <c r="G5019" s="15" t="s">
        <v>10</v>
      </c>
      <c r="H5019" s="15" t="s">
        <v>10</v>
      </c>
      <c r="I5019" s="15" t="s">
        <v>10</v>
      </c>
      <c r="J5019" s="15" t="s">
        <v>10</v>
      </c>
      <c r="K5019" s="15">
        <v>0.98083053269791776</v>
      </c>
      <c r="L5019" s="15">
        <v>0.98083053269791776</v>
      </c>
      <c r="M5019" s="15">
        <v>0.98083053269791776</v>
      </c>
      <c r="N5019" s="15">
        <v>0.98083053269791776</v>
      </c>
      <c r="O5019" s="15" t="s">
        <v>10</v>
      </c>
      <c r="P5019" s="15" t="s">
        <v>10</v>
      </c>
      <c r="Q5019" s="8"/>
      <c r="R5019" s="9" t="s">
        <v>4560</v>
      </c>
    </row>
    <row r="5020" spans="1:18" x14ac:dyDescent="0.25">
      <c r="A5020" s="6" t="str">
        <f>HYPERLINK("proteomic_fractions_linear_files/Yang_linear_img/119360354.jpg", "119360354")</f>
        <v>119360354</v>
      </c>
      <c r="B5020" s="7"/>
      <c r="C5020" s="6" t="str">
        <f>HYPERLINK("http://www.ncbi.nlm.nih.gov/protein/119360354","Nub1")</f>
        <v>Nub1</v>
      </c>
      <c r="D5020" s="8"/>
      <c r="E5020" s="8">
        <v>70176</v>
      </c>
      <c r="F5020" s="8"/>
      <c r="G5020" s="15" t="s">
        <v>10</v>
      </c>
      <c r="H5020" s="15" t="s">
        <v>10</v>
      </c>
      <c r="I5020" s="15">
        <v>1.1871236924734836</v>
      </c>
      <c r="J5020" s="15">
        <v>1.1871236924734836</v>
      </c>
      <c r="K5020" s="15">
        <v>1.1871236924734836</v>
      </c>
      <c r="L5020" s="15">
        <v>1.1871236924734836</v>
      </c>
      <c r="M5020" s="15">
        <v>1.1871236924734836</v>
      </c>
      <c r="N5020" s="15">
        <v>1.1871236924734836</v>
      </c>
      <c r="O5020" s="15">
        <v>1.0490880034526036</v>
      </c>
      <c r="P5020" s="15">
        <v>1.0490880034526036</v>
      </c>
      <c r="Q5020" s="8"/>
      <c r="R5020" s="9" t="s">
        <v>4561</v>
      </c>
    </row>
    <row r="5021" spans="1:18" x14ac:dyDescent="0.25">
      <c r="A5021" s="6" t="str">
        <f>HYPERLINK("proteomic_fractions_linear_files/Yang_linear_img/6754906.jpg", "6754906")</f>
        <v>6754906</v>
      </c>
      <c r="B5021" s="7"/>
      <c r="C5021" s="6" t="str">
        <f>HYPERLINK("http://www.ncbi.nlm.nih.gov/protein/6754906","Nubp1")</f>
        <v>Nubp1</v>
      </c>
      <c r="D5021" s="8"/>
      <c r="E5021" s="8">
        <v>33954</v>
      </c>
      <c r="F5021" s="8"/>
      <c r="G5021" s="15" t="s">
        <v>10</v>
      </c>
      <c r="H5021" s="15" t="s">
        <v>10</v>
      </c>
      <c r="I5021" s="15" t="s">
        <v>10</v>
      </c>
      <c r="J5021" s="15" t="s">
        <v>10</v>
      </c>
      <c r="K5021" s="15">
        <v>1.0162757803080937</v>
      </c>
      <c r="L5021" s="15">
        <v>1.0162757803080937</v>
      </c>
      <c r="M5021" s="15" t="s">
        <v>10</v>
      </c>
      <c r="N5021" s="15" t="s">
        <v>10</v>
      </c>
      <c r="O5021" s="15">
        <v>0.87898255563862149</v>
      </c>
      <c r="P5021" s="15">
        <v>0.87898255563862149</v>
      </c>
      <c r="Q5021" s="8"/>
      <c r="R5021" s="9" t="s">
        <v>4562</v>
      </c>
    </row>
    <row r="5022" spans="1:18" x14ac:dyDescent="0.25">
      <c r="A5022" s="6" t="str">
        <f>HYPERLINK("proteomic_fractions_linear_files/Yang_linear_img/6754908.jpg", "6754908")</f>
        <v>6754908</v>
      </c>
      <c r="B5022" s="7"/>
      <c r="C5022" s="6" t="str">
        <f>HYPERLINK("http://www.ncbi.nlm.nih.gov/protein/6754908","Nubp2")</f>
        <v>Nubp2</v>
      </c>
      <c r="D5022" s="8"/>
      <c r="E5022" s="8">
        <v>29387</v>
      </c>
      <c r="F5022" s="8"/>
      <c r="G5022" s="15" t="s">
        <v>10</v>
      </c>
      <c r="H5022" s="15" t="s">
        <v>10</v>
      </c>
      <c r="I5022" s="15">
        <v>0.90173303846293107</v>
      </c>
      <c r="J5022" s="15">
        <v>0.90173303846293107</v>
      </c>
      <c r="K5022" s="15">
        <v>0.96269694129938133</v>
      </c>
      <c r="L5022" s="15">
        <v>0.96269694129938133</v>
      </c>
      <c r="M5022" s="15">
        <v>0.90173303846293107</v>
      </c>
      <c r="N5022" s="15">
        <v>0.90173303846293107</v>
      </c>
      <c r="O5022" s="15">
        <v>0.79688184050749811</v>
      </c>
      <c r="P5022" s="15">
        <v>0.79688184050749811</v>
      </c>
      <c r="Q5022" s="8"/>
      <c r="R5022" s="9" t="s">
        <v>4563</v>
      </c>
    </row>
    <row r="5023" spans="1:18" x14ac:dyDescent="0.25">
      <c r="A5023" s="6" t="str">
        <f>HYPERLINK("proteomic_fractions_linear_files/Yang_linear_img/167234411.jpg", "167234411")</f>
        <v>167234411</v>
      </c>
      <c r="B5023" s="7"/>
      <c r="C5023" s="6" t="str">
        <f>HYPERLINK("http://www.ncbi.nlm.nih.gov/protein/167234411","Nubpl")</f>
        <v>Nubpl</v>
      </c>
      <c r="D5023" s="8"/>
      <c r="E5023" s="8">
        <v>30202</v>
      </c>
      <c r="F5023" s="8"/>
      <c r="G5023" s="15" t="s">
        <v>10</v>
      </c>
      <c r="H5023" s="15" t="s">
        <v>10</v>
      </c>
      <c r="I5023" s="15">
        <v>0.87167527051416671</v>
      </c>
      <c r="J5023" s="15">
        <v>0.87167527051416671</v>
      </c>
      <c r="K5023" s="15" t="s">
        <v>10</v>
      </c>
      <c r="L5023" s="15" t="s">
        <v>10</v>
      </c>
      <c r="M5023" s="15" t="s">
        <v>10</v>
      </c>
      <c r="N5023" s="15" t="s">
        <v>10</v>
      </c>
      <c r="O5023" s="15" t="s">
        <v>10</v>
      </c>
      <c r="P5023" s="15" t="s">
        <v>10</v>
      </c>
      <c r="Q5023" s="8"/>
      <c r="R5023" s="9" t="s">
        <v>4564</v>
      </c>
    </row>
    <row r="5024" spans="1:18" x14ac:dyDescent="0.25">
      <c r="A5024" s="6" t="str">
        <f>HYPERLINK("proteomic_fractions_linear_files/Yang_linear_img/254750698.jpg", "254750698")</f>
        <v>254750698</v>
      </c>
      <c r="B5024" s="7"/>
      <c r="C5024" s="6" t="str">
        <f>HYPERLINK("http://www.ncbi.nlm.nih.gov/protein/254750698","Nucb1")</f>
        <v>Nucb1</v>
      </c>
      <c r="D5024" s="8"/>
      <c r="E5024" s="8">
        <v>50822</v>
      </c>
      <c r="F5024" s="8"/>
      <c r="G5024" s="15">
        <v>1.4399247106212205</v>
      </c>
      <c r="H5024" s="15">
        <v>1.4399247106212205</v>
      </c>
      <c r="I5024" s="15">
        <v>1.1524158350116442</v>
      </c>
      <c r="J5024" s="15">
        <v>1.1524158350116442</v>
      </c>
      <c r="K5024" s="15">
        <v>1.1524158350116442</v>
      </c>
      <c r="L5024" s="15">
        <v>1.1524158350116442</v>
      </c>
      <c r="M5024" s="15">
        <v>1.1524158350116442</v>
      </c>
      <c r="N5024" s="15">
        <v>1.1524158350116442</v>
      </c>
      <c r="O5024" s="15">
        <v>1.0415797966666878</v>
      </c>
      <c r="P5024" s="15">
        <v>1.0415797966666878</v>
      </c>
      <c r="Q5024" s="8"/>
      <c r="R5024" s="9" t="s">
        <v>4565</v>
      </c>
    </row>
    <row r="5025" spans="1:18" x14ac:dyDescent="0.25">
      <c r="A5025" s="6" t="str">
        <f>HYPERLINK("proteomic_fractions_linear_files/Yang_linear_img/6679158.jpg", "6679158")</f>
        <v>6679158</v>
      </c>
      <c r="B5025" s="7"/>
      <c r="C5025" s="6" t="str">
        <f>HYPERLINK("http://www.ncbi.nlm.nih.gov/protein/6679158","Nucb1")</f>
        <v>Nucb1</v>
      </c>
      <c r="D5025" s="8"/>
      <c r="E5025" s="8">
        <v>50410</v>
      </c>
      <c r="F5025" s="8"/>
      <c r="G5025" s="15">
        <v>1.4687232048336449</v>
      </c>
      <c r="H5025" s="15">
        <v>1.4687232048336449</v>
      </c>
      <c r="I5025" s="15">
        <v>1.1754641517118771</v>
      </c>
      <c r="J5025" s="15">
        <v>1.1754641517118771</v>
      </c>
      <c r="K5025" s="15">
        <v>1.1754641517118771</v>
      </c>
      <c r="L5025" s="15">
        <v>1.1754641517118771</v>
      </c>
      <c r="M5025" s="15">
        <v>1.1754641517118771</v>
      </c>
      <c r="N5025" s="15">
        <v>1.1754641517118771</v>
      </c>
      <c r="O5025" s="15">
        <v>1.1754641517118771</v>
      </c>
      <c r="P5025" s="15">
        <v>1.1754641517118771</v>
      </c>
      <c r="Q5025" s="8"/>
      <c r="R5025" s="9" t="s">
        <v>4566</v>
      </c>
    </row>
    <row r="5026" spans="1:18" x14ac:dyDescent="0.25">
      <c r="A5026" s="6" t="str">
        <f>HYPERLINK("proteomic_fractions_linear_files/Yang_linear_img/194440700.jpg", "194440700")</f>
        <v>194440700</v>
      </c>
      <c r="B5026" s="7"/>
      <c r="C5026" s="6" t="str">
        <f>HYPERLINK("http://www.ncbi.nlm.nih.gov/protein/194440700","Nucb2")</f>
        <v>Nucb2</v>
      </c>
      <c r="D5026" s="8"/>
      <c r="E5026" s="8">
        <v>47424</v>
      </c>
      <c r="F5026" s="8"/>
      <c r="G5026" s="15" t="s">
        <v>10</v>
      </c>
      <c r="H5026" s="15" t="s">
        <v>10</v>
      </c>
      <c r="I5026" s="15">
        <v>1.0274462890301117</v>
      </c>
      <c r="J5026" s="15">
        <v>1.0274462890301117</v>
      </c>
      <c r="K5026" s="15">
        <v>1.1302248857447037</v>
      </c>
      <c r="L5026" s="15">
        <v>1.1302248857447037</v>
      </c>
      <c r="M5026" s="15" t="s">
        <v>10</v>
      </c>
      <c r="N5026" s="15" t="s">
        <v>10</v>
      </c>
      <c r="O5026" s="15" t="s">
        <v>10</v>
      </c>
      <c r="P5026" s="15" t="s">
        <v>10</v>
      </c>
      <c r="Q5026" s="8"/>
      <c r="R5026" s="9" t="s">
        <v>4567</v>
      </c>
    </row>
    <row r="5027" spans="1:18" x14ac:dyDescent="0.25">
      <c r="A5027" s="6" t="str">
        <f>HYPERLINK("proteomic_fractions_linear_files/Yang_linear_img/224809559.jpg", "224809559")</f>
        <v>224809559</v>
      </c>
      <c r="B5027" s="7"/>
      <c r="C5027" s="6" t="str">
        <f>HYPERLINK("http://www.ncbi.nlm.nih.gov/protein/224809559","Nucks1")</f>
        <v>Nucks1</v>
      </c>
      <c r="D5027" s="8"/>
      <c r="E5027" s="8">
        <v>26182</v>
      </c>
      <c r="F5027" s="8"/>
      <c r="G5027" s="15" t="s">
        <v>10</v>
      </c>
      <c r="H5027" s="15" t="s">
        <v>10</v>
      </c>
      <c r="I5027" s="15" t="s">
        <v>10</v>
      </c>
      <c r="J5027" s="15" t="s">
        <v>10</v>
      </c>
      <c r="K5027" s="15" t="s">
        <v>10</v>
      </c>
      <c r="L5027" s="15" t="s">
        <v>10</v>
      </c>
      <c r="M5027" s="15" t="s">
        <v>10</v>
      </c>
      <c r="N5027" s="15" t="s">
        <v>10</v>
      </c>
      <c r="O5027" s="15">
        <v>0.47049466508966759</v>
      </c>
      <c r="P5027" s="15">
        <v>0.47049466508966759</v>
      </c>
      <c r="Q5027" s="8"/>
      <c r="R5027" s="9" t="s">
        <v>4568</v>
      </c>
    </row>
    <row r="5028" spans="1:18" x14ac:dyDescent="0.25">
      <c r="A5028" s="6" t="str">
        <f>HYPERLINK("proteomic_fractions_linear_files/Yang_linear_img/224809563.jpg", "224809563")</f>
        <v>224809563</v>
      </c>
      <c r="B5028" s="7"/>
      <c r="C5028" s="6" t="str">
        <f>HYPERLINK("http://www.ncbi.nlm.nih.gov/protein/224809563","Nucks1")</f>
        <v>Nucks1</v>
      </c>
      <c r="D5028" s="8"/>
      <c r="E5028" s="8">
        <v>26053</v>
      </c>
      <c r="F5028" s="8"/>
      <c r="G5028" s="15" t="s">
        <v>10</v>
      </c>
      <c r="H5028" s="15" t="s">
        <v>10</v>
      </c>
      <c r="I5028" s="15" t="s">
        <v>10</v>
      </c>
      <c r="J5028" s="15" t="s">
        <v>10</v>
      </c>
      <c r="K5028" s="15" t="s">
        <v>10</v>
      </c>
      <c r="L5028" s="15" t="s">
        <v>10</v>
      </c>
      <c r="M5028" s="15" t="s">
        <v>10</v>
      </c>
      <c r="N5028" s="15" t="s">
        <v>10</v>
      </c>
      <c r="O5028" s="15">
        <v>0.47049466508966759</v>
      </c>
      <c r="P5028" s="15">
        <v>0.47049466508966759</v>
      </c>
      <c r="Q5028" s="8"/>
      <c r="R5028" s="9" t="s">
        <v>4569</v>
      </c>
    </row>
    <row r="5029" spans="1:18" x14ac:dyDescent="0.25">
      <c r="A5029" s="6" t="str">
        <f>HYPERLINK("proteomic_fractions_linear_files/Yang_linear_img/6754910.jpg", "6754910")</f>
        <v>6754910</v>
      </c>
      <c r="B5029" s="7"/>
      <c r="C5029" s="6" t="str">
        <f>HYPERLINK("http://www.ncbi.nlm.nih.gov/protein/6754910","Nudc")</f>
        <v>Nudc</v>
      </c>
      <c r="D5029" s="8"/>
      <c r="E5029" s="8">
        <v>38227</v>
      </c>
      <c r="F5029" s="8"/>
      <c r="G5029" s="15" t="s">
        <v>10</v>
      </c>
      <c r="H5029" s="15" t="s">
        <v>10</v>
      </c>
      <c r="I5029" s="15">
        <v>1.1611997170254071</v>
      </c>
      <c r="J5029" s="15">
        <v>1.1611997170254071</v>
      </c>
      <c r="K5029" s="15">
        <v>1.1611997170254071</v>
      </c>
      <c r="L5029" s="15">
        <v>1.1611997170254071</v>
      </c>
      <c r="M5029" s="15">
        <v>1.1611997170254071</v>
      </c>
      <c r="N5029" s="15">
        <v>1.1611997170254071</v>
      </c>
      <c r="O5029" s="15">
        <v>1.0659820579795458</v>
      </c>
      <c r="P5029" s="15">
        <v>1.0659820579795458</v>
      </c>
      <c r="Q5029" s="8"/>
      <c r="R5029" s="9" t="s">
        <v>4570</v>
      </c>
    </row>
    <row r="5030" spans="1:18" x14ac:dyDescent="0.25">
      <c r="A5030" s="6" t="str">
        <f>HYPERLINK("proteomic_fractions_linear_files/Yang_linear_img/165905633.jpg", "165905633")</f>
        <v>165905633</v>
      </c>
      <c r="B5030" s="7"/>
      <c r="C5030" s="6" t="str">
        <f>HYPERLINK("http://www.ncbi.nlm.nih.gov/protein/165905633","Nudcd1")</f>
        <v>Nudcd1</v>
      </c>
      <c r="D5030" s="8"/>
      <c r="E5030" s="8">
        <v>66574</v>
      </c>
      <c r="F5030" s="8"/>
      <c r="G5030" s="15" t="s">
        <v>10</v>
      </c>
      <c r="H5030" s="15" t="s">
        <v>10</v>
      </c>
      <c r="I5030" s="15" t="s">
        <v>10</v>
      </c>
      <c r="J5030" s="15" t="s">
        <v>10</v>
      </c>
      <c r="K5030" s="15">
        <v>0.87721205351632614</v>
      </c>
      <c r="L5030" s="15">
        <v>0.87721205351632614</v>
      </c>
      <c r="M5030" s="15">
        <v>0.87721205351632614</v>
      </c>
      <c r="N5030" s="15">
        <v>0.87721205351632614</v>
      </c>
      <c r="O5030" s="15">
        <v>0.79284432283583695</v>
      </c>
      <c r="P5030" s="15">
        <v>0.79284432283583695</v>
      </c>
      <c r="Q5030" s="8"/>
      <c r="R5030" s="9" t="s">
        <v>4571</v>
      </c>
    </row>
    <row r="5031" spans="1:18" x14ac:dyDescent="0.25">
      <c r="A5031" s="6" t="str">
        <f>HYPERLINK("proteomic_fractions_linear_files/Yang_linear_img/165905635.jpg", "165905635")</f>
        <v>165905635</v>
      </c>
      <c r="B5031" s="7"/>
      <c r="C5031" s="6" t="str">
        <f>HYPERLINK("http://www.ncbi.nlm.nih.gov/protein/165905635","Nudcd1")</f>
        <v>Nudcd1</v>
      </c>
      <c r="D5031" s="8"/>
      <c r="E5031" s="8">
        <v>66475</v>
      </c>
      <c r="F5031" s="8"/>
      <c r="G5031" s="15" t="s">
        <v>10</v>
      </c>
      <c r="H5031" s="15" t="s">
        <v>10</v>
      </c>
      <c r="I5031" s="15" t="s">
        <v>10</v>
      </c>
      <c r="J5031" s="15" t="s">
        <v>10</v>
      </c>
      <c r="K5031" s="15">
        <v>0.8905031452362705</v>
      </c>
      <c r="L5031" s="15">
        <v>0.8905031452362705</v>
      </c>
      <c r="M5031" s="15">
        <v>0.8905031452362705</v>
      </c>
      <c r="N5031" s="15">
        <v>0.8905031452362705</v>
      </c>
      <c r="O5031" s="15">
        <v>0.80485711560607698</v>
      </c>
      <c r="P5031" s="15">
        <v>0.80485711560607698</v>
      </c>
      <c r="Q5031" s="8"/>
      <c r="R5031" s="9" t="s">
        <v>4572</v>
      </c>
    </row>
    <row r="5032" spans="1:18" x14ac:dyDescent="0.25">
      <c r="A5032" s="6" t="str">
        <f>HYPERLINK("proteomic_fractions_linear_files/Yang_linear_img/133922575.jpg", "133922575")</f>
        <v>133922575</v>
      </c>
      <c r="B5032" s="7"/>
      <c r="C5032" s="6" t="str">
        <f>HYPERLINK("http://www.ncbi.nlm.nih.gov/protein/133922575","Nudcd2")</f>
        <v>Nudcd2</v>
      </c>
      <c r="D5032" s="8"/>
      <c r="E5032" s="8">
        <v>17529</v>
      </c>
      <c r="F5032" s="8"/>
      <c r="G5032" s="15">
        <v>0.84424101632301585</v>
      </c>
      <c r="H5032" s="15">
        <v>0.84424101632301585</v>
      </c>
      <c r="I5032" s="15">
        <v>0.9286930289226123</v>
      </c>
      <c r="J5032" s="15">
        <v>0.9286930289226123</v>
      </c>
      <c r="K5032" s="15">
        <v>0.9286930289226123</v>
      </c>
      <c r="L5032" s="15">
        <v>0.9286930289226123</v>
      </c>
      <c r="M5032" s="15">
        <v>0.9286930289226123</v>
      </c>
      <c r="N5032" s="15">
        <v>0.9286930289226123</v>
      </c>
      <c r="O5032" s="15">
        <v>0.88485787684343198</v>
      </c>
      <c r="P5032" s="15">
        <v>0.88485787684343198</v>
      </c>
      <c r="Q5032" s="8"/>
      <c r="R5032" s="9" t="s">
        <v>4573</v>
      </c>
    </row>
    <row r="5033" spans="1:18" x14ac:dyDescent="0.25">
      <c r="A5033" s="6" t="str">
        <f>HYPERLINK("proteomic_fractions_linear_files/Yang_linear_img/30424587.jpg", "30424587")</f>
        <v>30424587</v>
      </c>
      <c r="B5033" s="7"/>
      <c r="C5033" s="6" t="str">
        <f>HYPERLINK("http://www.ncbi.nlm.nih.gov/protein/30424587","Nudcd3")</f>
        <v>Nudcd3</v>
      </c>
      <c r="D5033" s="8"/>
      <c r="E5033" s="8">
        <v>40759</v>
      </c>
      <c r="F5033" s="8"/>
      <c r="G5033" s="15" t="s">
        <v>10</v>
      </c>
      <c r="H5033" s="15" t="s">
        <v>10</v>
      </c>
      <c r="I5033" s="15">
        <v>1.1778042825467134</v>
      </c>
      <c r="J5033" s="15">
        <v>1.1778042825467134</v>
      </c>
      <c r="K5033" s="15" t="s">
        <v>10</v>
      </c>
      <c r="L5033" s="15" t="s">
        <v>10</v>
      </c>
      <c r="M5033" s="15" t="s">
        <v>10</v>
      </c>
      <c r="N5033" s="15" t="s">
        <v>10</v>
      </c>
      <c r="O5033" s="15">
        <v>1.1778042825467134</v>
      </c>
      <c r="P5033" s="15">
        <v>1.1778042825467134</v>
      </c>
      <c r="Q5033" s="8"/>
      <c r="R5033" s="9" t="s">
        <v>4574</v>
      </c>
    </row>
    <row r="5034" spans="1:18" x14ac:dyDescent="0.25">
      <c r="A5034" s="6" t="str">
        <f>HYPERLINK("proteomic_fractions_linear_files/Yang_linear_img/6678950.jpg", "6678950")</f>
        <v>6678950</v>
      </c>
      <c r="B5034" s="7"/>
      <c r="C5034" s="6" t="str">
        <f>HYPERLINK("http://www.ncbi.nlm.nih.gov/protein/6678950","Nudt1")</f>
        <v>Nudt1</v>
      </c>
      <c r="D5034" s="8"/>
      <c r="E5034" s="8">
        <v>15596</v>
      </c>
      <c r="F5034" s="8"/>
      <c r="G5034" s="15" t="s">
        <v>10</v>
      </c>
      <c r="H5034" s="15" t="s">
        <v>10</v>
      </c>
      <c r="I5034" s="15">
        <v>0.99546511144886096</v>
      </c>
      <c r="J5034" s="15">
        <v>0.99546511144886096</v>
      </c>
      <c r="K5034" s="15">
        <v>1.0447796575379389</v>
      </c>
      <c r="L5034" s="15">
        <v>1.0447796575379389</v>
      </c>
      <c r="M5034" s="15" t="s">
        <v>10</v>
      </c>
      <c r="N5034" s="15" t="s">
        <v>10</v>
      </c>
      <c r="O5034" s="15">
        <v>0.94977114336339286</v>
      </c>
      <c r="P5034" s="15">
        <v>0.94977114336339286</v>
      </c>
      <c r="Q5034" s="8"/>
      <c r="R5034" s="9" t="s">
        <v>4575</v>
      </c>
    </row>
    <row r="5035" spans="1:18" x14ac:dyDescent="0.25">
      <c r="A5035" s="6" t="str">
        <f>HYPERLINK("proteomic_fractions_linear_files/Yang_linear_img/72384357.jpg", "72384357")</f>
        <v>72384357</v>
      </c>
      <c r="B5035" s="7"/>
      <c r="C5035" s="6" t="str">
        <f>HYPERLINK("http://www.ncbi.nlm.nih.gov/protein/72384357","Nudt10")</f>
        <v>Nudt10</v>
      </c>
      <c r="D5035" s="8"/>
      <c r="E5035" s="8">
        <v>18462</v>
      </c>
      <c r="F5035" s="8"/>
      <c r="G5035" s="15" t="s">
        <v>10</v>
      </c>
      <c r="H5035" s="15" t="s">
        <v>10</v>
      </c>
      <c r="I5035" s="15" t="s">
        <v>10</v>
      </c>
      <c r="J5035" s="15" t="s">
        <v>10</v>
      </c>
      <c r="K5035" s="15" t="s">
        <v>10</v>
      </c>
      <c r="L5035" s="15" t="s">
        <v>10</v>
      </c>
      <c r="M5035" s="15" t="s">
        <v>10</v>
      </c>
      <c r="N5035" s="15" t="s">
        <v>10</v>
      </c>
      <c r="O5035" s="15">
        <v>1.1443022881475706</v>
      </c>
      <c r="P5035" s="15">
        <v>1.1443022881475706</v>
      </c>
      <c r="Q5035" s="8"/>
      <c r="R5035" s="9" t="s">
        <v>4576</v>
      </c>
    </row>
    <row r="5036" spans="1:18" x14ac:dyDescent="0.25">
      <c r="A5036" s="6" t="str">
        <f>HYPERLINK("proteomic_fractions_linear_files/Yang_linear_img/21312664.jpg", "21312664")</f>
        <v>21312664</v>
      </c>
      <c r="B5036" s="7"/>
      <c r="C5036" s="6" t="str">
        <f>HYPERLINK("http://www.ncbi.nlm.nih.gov/protein/21312664","Nudt12")</f>
        <v>Nudt12</v>
      </c>
      <c r="D5036" s="8"/>
      <c r="E5036" s="8">
        <v>51380</v>
      </c>
      <c r="F5036" s="8"/>
      <c r="G5036" s="15" t="s">
        <v>10</v>
      </c>
      <c r="H5036" s="15" t="s">
        <v>10</v>
      </c>
      <c r="I5036" s="15">
        <v>1.0415797966666878</v>
      </c>
      <c r="J5036" s="15">
        <v>1.0415797966666878</v>
      </c>
      <c r="K5036" s="15">
        <v>1.0415797966666878</v>
      </c>
      <c r="L5036" s="15">
        <v>1.0415797966666878</v>
      </c>
      <c r="M5036" s="15">
        <v>1.0415797966666878</v>
      </c>
      <c r="N5036" s="15">
        <v>1.0415797966666878</v>
      </c>
      <c r="O5036" s="15" t="s">
        <v>10</v>
      </c>
      <c r="P5036" s="15" t="s">
        <v>10</v>
      </c>
      <c r="Q5036" s="8"/>
      <c r="R5036" s="9" t="s">
        <v>4577</v>
      </c>
    </row>
    <row r="5037" spans="1:18" x14ac:dyDescent="0.25">
      <c r="A5037" s="6" t="str">
        <f>HYPERLINK("proteomic_fractions_linear_files/Yang_linear_img/23956126.jpg", "23956126")</f>
        <v>23956126</v>
      </c>
      <c r="B5037" s="7"/>
      <c r="C5037" s="6" t="str">
        <f>HYPERLINK("http://www.ncbi.nlm.nih.gov/protein/23956126","Nudt14")</f>
        <v>Nudt14</v>
      </c>
      <c r="D5037" s="8"/>
      <c r="E5037" s="8">
        <v>24313</v>
      </c>
      <c r="F5037" s="8"/>
      <c r="G5037" s="15" t="s">
        <v>10</v>
      </c>
      <c r="H5037" s="15" t="s">
        <v>10</v>
      </c>
      <c r="I5037" s="15">
        <v>1.0231175255532048</v>
      </c>
      <c r="J5037" s="15">
        <v>1.0231175255532048</v>
      </c>
      <c r="K5037" s="15">
        <v>1.0895940881427084</v>
      </c>
      <c r="L5037" s="15">
        <v>1.0895940881427084</v>
      </c>
      <c r="M5037" s="15" t="s">
        <v>10</v>
      </c>
      <c r="N5037" s="15" t="s">
        <v>10</v>
      </c>
      <c r="O5037" s="15">
        <v>0.96289889061322687</v>
      </c>
      <c r="P5037" s="15">
        <v>0.96289889061322687</v>
      </c>
      <c r="Q5037" s="8"/>
      <c r="R5037" s="9" t="s">
        <v>4578</v>
      </c>
    </row>
    <row r="5038" spans="1:18" x14ac:dyDescent="0.25">
      <c r="A5038" s="6" t="str">
        <f>HYPERLINK("proteomic_fractions_linear_files/Yang_linear_img/125656157.jpg", "125656157")</f>
        <v>125656157</v>
      </c>
      <c r="B5038" s="7"/>
      <c r="C5038" s="6" t="str">
        <f>HYPERLINK("http://www.ncbi.nlm.nih.gov/protein/125656157","Nudt16")</f>
        <v>Nudt16</v>
      </c>
      <c r="D5038" s="8"/>
      <c r="E5038" s="8">
        <v>21694</v>
      </c>
      <c r="F5038" s="8"/>
      <c r="G5038" s="15" t="s">
        <v>10</v>
      </c>
      <c r="H5038" s="15" t="s">
        <v>10</v>
      </c>
      <c r="I5038" s="15" t="s">
        <v>10</v>
      </c>
      <c r="J5038" s="15" t="s">
        <v>10</v>
      </c>
      <c r="K5038" s="15">
        <v>1.0504351533962475</v>
      </c>
      <c r="L5038" s="15">
        <v>1.0504351533962475</v>
      </c>
      <c r="M5038" s="15" t="s">
        <v>10</v>
      </c>
      <c r="N5038" s="15" t="s">
        <v>10</v>
      </c>
      <c r="O5038" s="15" t="s">
        <v>10</v>
      </c>
      <c r="P5038" s="15" t="s">
        <v>10</v>
      </c>
      <c r="Q5038" s="8"/>
      <c r="R5038" s="9" t="s">
        <v>4579</v>
      </c>
    </row>
    <row r="5039" spans="1:18" x14ac:dyDescent="0.25">
      <c r="A5039" s="6" t="str">
        <f>HYPERLINK("proteomic_fractions_linear_files/Yang_linear_img/13385314.jpg", "13385314")</f>
        <v>13385314</v>
      </c>
      <c r="B5039" s="7"/>
      <c r="C5039" s="6" t="str">
        <f>HYPERLINK("http://www.ncbi.nlm.nih.gov/protein/13385314","Nudt16l1")</f>
        <v>Nudt16l1</v>
      </c>
      <c r="D5039" s="8"/>
      <c r="E5039" s="8">
        <v>23283</v>
      </c>
      <c r="F5039" s="8"/>
      <c r="G5039" s="15">
        <v>0.89554092115896833</v>
      </c>
      <c r="H5039" s="15">
        <v>0.89554092115896833</v>
      </c>
      <c r="I5039" s="15">
        <v>0.94764096829038047</v>
      </c>
      <c r="J5039" s="15">
        <v>0.94764096829038047</v>
      </c>
      <c r="K5039" s="15">
        <v>0.94764096829038047</v>
      </c>
      <c r="L5039" s="15">
        <v>0.94764096829038047</v>
      </c>
      <c r="M5039" s="15">
        <v>0.94764096829038047</v>
      </c>
      <c r="N5039" s="15">
        <v>0.94764096829038047</v>
      </c>
      <c r="O5039" s="15">
        <v>0.94764096829038047</v>
      </c>
      <c r="P5039" s="15">
        <v>0.94764096829038047</v>
      </c>
      <c r="Q5039" s="8"/>
      <c r="R5039" s="9" t="s">
        <v>4580</v>
      </c>
    </row>
    <row r="5040" spans="1:18" x14ac:dyDescent="0.25">
      <c r="A5040" s="6" t="str">
        <f>HYPERLINK("proteomic_fractions_linear_files/Yang_linear_img/86198335.jpg", "86198335")</f>
        <v>86198335</v>
      </c>
      <c r="B5040" s="7"/>
      <c r="C5040" s="6" t="str">
        <f>HYPERLINK("http://www.ncbi.nlm.nih.gov/protein/86198335","Nudt2")</f>
        <v>Nudt2</v>
      </c>
      <c r="D5040" s="8"/>
      <c r="E5040" s="8">
        <v>16858</v>
      </c>
      <c r="F5040" s="8"/>
      <c r="G5040" s="15" t="s">
        <v>10</v>
      </c>
      <c r="H5040" s="15" t="s">
        <v>10</v>
      </c>
      <c r="I5040" s="15">
        <v>0.98332203062394252</v>
      </c>
      <c r="J5040" s="15">
        <v>0.98332203062394252</v>
      </c>
      <c r="K5040" s="15">
        <v>0.98332203062394252</v>
      </c>
      <c r="L5040" s="15">
        <v>0.98332203062394252</v>
      </c>
      <c r="M5040" s="15" t="s">
        <v>10</v>
      </c>
      <c r="N5040" s="15" t="s">
        <v>10</v>
      </c>
      <c r="O5040" s="15">
        <v>0.93690834018716329</v>
      </c>
      <c r="P5040" s="15">
        <v>0.93690834018716329</v>
      </c>
      <c r="Q5040" s="8"/>
      <c r="R5040" s="9" t="s">
        <v>4581</v>
      </c>
    </row>
    <row r="5041" spans="1:18" x14ac:dyDescent="0.25">
      <c r="A5041" s="6" t="str">
        <f>HYPERLINK("proteomic_fractions_linear_files/Yang_linear_img/13386106.jpg", "13386106")</f>
        <v>13386106</v>
      </c>
      <c r="B5041" s="7"/>
      <c r="C5041" s="6" t="str">
        <f>HYPERLINK("http://www.ncbi.nlm.nih.gov/protein/13386106","Nudt21")</f>
        <v>Nudt21</v>
      </c>
      <c r="D5041" s="8"/>
      <c r="E5041" s="8">
        <v>26109</v>
      </c>
      <c r="F5041" s="8"/>
      <c r="G5041" s="15">
        <v>1.3289760204028918</v>
      </c>
      <c r="H5041" s="15">
        <v>1.3289760204028918</v>
      </c>
      <c r="I5041" s="15">
        <v>0.8888297451814402</v>
      </c>
      <c r="J5041" s="15">
        <v>0.8888297451814402</v>
      </c>
      <c r="K5041" s="15">
        <v>0.8888297451814402</v>
      </c>
      <c r="L5041" s="15">
        <v>0.94441617743372752</v>
      </c>
      <c r="M5041" s="15">
        <v>0.8888297451814402</v>
      </c>
      <c r="N5041" s="15">
        <v>0.8888297451814402</v>
      </c>
      <c r="O5041" s="15">
        <v>0.79220927640985661</v>
      </c>
      <c r="P5041" s="15">
        <v>0.79220927640985661</v>
      </c>
      <c r="Q5041" s="8"/>
      <c r="R5041" s="9" t="s">
        <v>4582</v>
      </c>
    </row>
    <row r="5042" spans="1:18" x14ac:dyDescent="0.25">
      <c r="A5042" s="6" t="str">
        <f>HYPERLINK("proteomic_fractions_linear_files/Yang_linear_img/9789933.jpg", "9789933")</f>
        <v>9789933</v>
      </c>
      <c r="B5042" s="7"/>
      <c r="C5042" s="6" t="str">
        <f>HYPERLINK("http://www.ncbi.nlm.nih.gov/protein/9789933","Nudt3")</f>
        <v>Nudt3</v>
      </c>
      <c r="D5042" s="8"/>
      <c r="E5042" s="8">
        <v>18898</v>
      </c>
      <c r="F5042" s="8"/>
      <c r="G5042" s="15" t="s">
        <v>10</v>
      </c>
      <c r="H5042" s="15" t="s">
        <v>10</v>
      </c>
      <c r="I5042" s="15">
        <v>1.0840758519292775</v>
      </c>
      <c r="J5042" s="15">
        <v>1.0840758519292775</v>
      </c>
      <c r="K5042" s="15" t="s">
        <v>10</v>
      </c>
      <c r="L5042" s="15" t="s">
        <v>10</v>
      </c>
      <c r="M5042" s="15" t="s">
        <v>10</v>
      </c>
      <c r="N5042" s="15" t="s">
        <v>10</v>
      </c>
      <c r="O5042" s="15">
        <v>1.0840758519292775</v>
      </c>
      <c r="P5042" s="15">
        <v>1.0840758519292775</v>
      </c>
      <c r="Q5042" s="8"/>
      <c r="R5042" s="9" t="s">
        <v>4583</v>
      </c>
    </row>
    <row r="5043" spans="1:18" x14ac:dyDescent="0.25">
      <c r="A5043" s="6" t="str">
        <f>HYPERLINK("proteomic_fractions_linear_files/Yang_linear_img/169808397.jpg", "169808397")</f>
        <v>169808397</v>
      </c>
      <c r="B5043" s="7"/>
      <c r="C5043" s="6" t="str">
        <f>HYPERLINK("http://www.ncbi.nlm.nih.gov/protein/169808397","Nudt4")</f>
        <v>Nudt4</v>
      </c>
      <c r="D5043" s="8"/>
      <c r="E5043" s="8">
        <v>20025</v>
      </c>
      <c r="F5043" s="8"/>
      <c r="G5043" s="15" t="s">
        <v>10</v>
      </c>
      <c r="H5043" s="15" t="s">
        <v>10</v>
      </c>
      <c r="I5043" s="15" t="s">
        <v>10</v>
      </c>
      <c r="J5043" s="15" t="s">
        <v>10</v>
      </c>
      <c r="K5043" s="15" t="s">
        <v>10</v>
      </c>
      <c r="L5043" s="15" t="s">
        <v>10</v>
      </c>
      <c r="M5043" s="15" t="s">
        <v>10</v>
      </c>
      <c r="N5043" s="15" t="s">
        <v>10</v>
      </c>
      <c r="O5043" s="15">
        <v>1.0298720593328137</v>
      </c>
      <c r="P5043" s="15">
        <v>1.0298720593328137</v>
      </c>
      <c r="Q5043" s="8"/>
      <c r="R5043" s="9" t="s">
        <v>4584</v>
      </c>
    </row>
    <row r="5044" spans="1:18" x14ac:dyDescent="0.25">
      <c r="A5044" s="6" t="str">
        <f>HYPERLINK("proteomic_fractions_linear_files/Yang_linear_img/8393853.jpg", "8393853")</f>
        <v>8393853</v>
      </c>
      <c r="B5044" s="7"/>
      <c r="C5044" s="6" t="str">
        <f>HYPERLINK("http://www.ncbi.nlm.nih.gov/protein/8393853","Nudt5")</f>
        <v>Nudt5</v>
      </c>
      <c r="D5044" s="8"/>
      <c r="E5044" s="8">
        <v>23853</v>
      </c>
      <c r="F5044" s="8"/>
      <c r="G5044" s="15" t="s">
        <v>10</v>
      </c>
      <c r="H5044" s="15" t="s">
        <v>10</v>
      </c>
      <c r="I5044" s="15">
        <v>1.2452252871547138</v>
      </c>
      <c r="J5044" s="15">
        <v>1.2452252871547138</v>
      </c>
      <c r="K5044" s="15">
        <v>1.3368363689888996</v>
      </c>
      <c r="L5044" s="15">
        <v>1.3368363689888996</v>
      </c>
      <c r="M5044" s="15">
        <v>1.2452252871547138</v>
      </c>
      <c r="N5044" s="15">
        <v>1.2452252871547138</v>
      </c>
      <c r="O5044" s="15">
        <v>1.0895940881427084</v>
      </c>
      <c r="P5044" s="15">
        <v>1.0895940881427084</v>
      </c>
      <c r="Q5044" s="8"/>
      <c r="R5044" s="9" t="s">
        <v>4585</v>
      </c>
    </row>
    <row r="5045" spans="1:18" x14ac:dyDescent="0.25">
      <c r="A5045" s="6" t="str">
        <f>HYPERLINK("proteomic_fractions_linear_files/Yang_linear_img/13384950.jpg", "13384950")</f>
        <v>13384950</v>
      </c>
      <c r="B5045" s="7"/>
      <c r="C5045" s="6" t="str">
        <f>HYPERLINK("http://www.ncbi.nlm.nih.gov/protein/13384950","Nudt8")</f>
        <v>Nudt8</v>
      </c>
      <c r="D5045" s="8"/>
      <c r="E5045" s="8">
        <v>23122</v>
      </c>
      <c r="F5045" s="8"/>
      <c r="G5045" s="15">
        <v>1.5023207187163123</v>
      </c>
      <c r="H5045" s="15">
        <v>1.5023207187163123</v>
      </c>
      <c r="I5045" s="15">
        <v>1.0676008962294312</v>
      </c>
      <c r="J5045" s="15">
        <v>1.0676008962294312</v>
      </c>
      <c r="K5045" s="15" t="s">
        <v>10</v>
      </c>
      <c r="L5045" s="15" t="s">
        <v>10</v>
      </c>
      <c r="M5045" s="15" t="s">
        <v>10</v>
      </c>
      <c r="N5045" s="15" t="s">
        <v>10</v>
      </c>
      <c r="O5045" s="15" t="s">
        <v>10</v>
      </c>
      <c r="P5045" s="15" t="s">
        <v>10</v>
      </c>
      <c r="Q5045" s="8"/>
      <c r="R5045" s="9" t="s">
        <v>4586</v>
      </c>
    </row>
    <row r="5046" spans="1:18" x14ac:dyDescent="0.25">
      <c r="A5046" s="6" t="str">
        <f>HYPERLINK("proteomic_fractions_linear_files/Yang_linear_img/27753998.jpg", "27753998")</f>
        <v>27753998</v>
      </c>
      <c r="B5046" s="7"/>
      <c r="C5046" s="6" t="str">
        <f>HYPERLINK("http://www.ncbi.nlm.nih.gov/protein/27753998","Nudt9")</f>
        <v>Nudt9</v>
      </c>
      <c r="D5046" s="8"/>
      <c r="E5046" s="8">
        <v>33963</v>
      </c>
      <c r="F5046" s="8"/>
      <c r="G5046" s="15" t="s">
        <v>10</v>
      </c>
      <c r="H5046" s="15" t="s">
        <v>10</v>
      </c>
      <c r="I5046" s="15" t="s">
        <v>10</v>
      </c>
      <c r="J5046" s="15" t="s">
        <v>10</v>
      </c>
      <c r="K5046" s="15" t="s">
        <v>10</v>
      </c>
      <c r="L5046" s="15" t="s">
        <v>10</v>
      </c>
      <c r="M5046" s="15" t="s">
        <v>10</v>
      </c>
      <c r="N5046" s="15" t="s">
        <v>10</v>
      </c>
      <c r="O5046" s="15">
        <v>1.0162757803080937</v>
      </c>
      <c r="P5046" s="15">
        <v>1.0162757803080937</v>
      </c>
      <c r="Q5046" s="8"/>
      <c r="R5046" s="9" t="s">
        <v>4587</v>
      </c>
    </row>
    <row r="5047" spans="1:18" x14ac:dyDescent="0.25">
      <c r="A5047" s="6" t="str">
        <f>HYPERLINK("proteomic_fractions_linear_files/Yang_linear_img/110625714.jpg", "110625714")</f>
        <v>110625714</v>
      </c>
      <c r="B5047" s="7"/>
      <c r="C5047" s="6" t="str">
        <f>HYPERLINK("http://www.ncbi.nlm.nih.gov/protein/110625714","Nuf2")</f>
        <v>Nuf2</v>
      </c>
      <c r="D5047" s="8"/>
      <c r="E5047" s="8">
        <v>54463</v>
      </c>
      <c r="F5047" s="8"/>
      <c r="G5047" s="15" t="s">
        <v>10</v>
      </c>
      <c r="H5047" s="15" t="s">
        <v>10</v>
      </c>
      <c r="I5047" s="15" t="s">
        <v>10</v>
      </c>
      <c r="J5047" s="15" t="s">
        <v>10</v>
      </c>
      <c r="K5047" s="15">
        <v>0.98371425240742738</v>
      </c>
      <c r="L5047" s="15">
        <v>0.98371425240742738</v>
      </c>
      <c r="M5047" s="15" t="s">
        <v>10</v>
      </c>
      <c r="N5047" s="15" t="s">
        <v>10</v>
      </c>
      <c r="O5047" s="15" t="s">
        <v>10</v>
      </c>
      <c r="P5047" s="15" t="s">
        <v>10</v>
      </c>
      <c r="Q5047" s="8"/>
      <c r="R5047" s="9" t="s">
        <v>4588</v>
      </c>
    </row>
    <row r="5048" spans="1:18" x14ac:dyDescent="0.25">
      <c r="A5048" s="6" t="str">
        <f>HYPERLINK("proteomic_fractions_linear_files/Yang_linear_img/66730553.jpg", "66730553")</f>
        <v>66730553</v>
      </c>
      <c r="B5048" s="7"/>
      <c r="C5048" s="6" t="str">
        <f>HYPERLINK("http://www.ncbi.nlm.nih.gov/protein/66730553","Nufip2")</f>
        <v>Nufip2</v>
      </c>
      <c r="D5048" s="8"/>
      <c r="E5048" s="8">
        <v>75526</v>
      </c>
      <c r="F5048" s="8"/>
      <c r="G5048" s="15" t="s">
        <v>10</v>
      </c>
      <c r="H5048" s="15" t="s">
        <v>10</v>
      </c>
      <c r="I5048" s="15" t="s">
        <v>10</v>
      </c>
      <c r="J5048" s="15" t="s">
        <v>10</v>
      </c>
      <c r="K5048" s="15">
        <v>1.0934034009624192</v>
      </c>
      <c r="L5048" s="15">
        <v>1.0934034009624192</v>
      </c>
      <c r="M5048" s="15">
        <v>1.0934034009624192</v>
      </c>
      <c r="N5048" s="15">
        <v>1.0934034009624192</v>
      </c>
      <c r="O5048" s="15" t="s">
        <v>10</v>
      </c>
      <c r="P5048" s="15" t="s">
        <v>10</v>
      </c>
      <c r="Q5048" s="8"/>
      <c r="R5048" s="9" t="s">
        <v>4589</v>
      </c>
    </row>
    <row r="5049" spans="1:18" x14ac:dyDescent="0.25">
      <c r="A5049" s="6" t="str">
        <f>HYPERLINK("proteomic_fractions_linear_files/Yang_linear_img/254675300.jpg", "254675300")</f>
        <v>254675300</v>
      </c>
      <c r="B5049" s="7"/>
      <c r="C5049" s="6" t="str">
        <f>HYPERLINK("http://www.ncbi.nlm.nih.gov/protein/254675300","Numa1")</f>
        <v>Numa1</v>
      </c>
      <c r="D5049" s="8"/>
      <c r="E5049" s="8">
        <v>235500</v>
      </c>
      <c r="F5049" s="8"/>
      <c r="G5049" s="15">
        <v>0.98881715096546219</v>
      </c>
      <c r="H5049" s="15">
        <v>0.98881715096546219</v>
      </c>
      <c r="I5049" s="15">
        <v>25.394491525423732</v>
      </c>
      <c r="J5049" s="15">
        <v>25.394491525423732</v>
      </c>
      <c r="K5049" s="15">
        <v>0.15822595942001946</v>
      </c>
      <c r="L5049" s="15">
        <v>0.15822595942001946</v>
      </c>
      <c r="M5049" s="15" t="s">
        <v>10</v>
      </c>
      <c r="N5049" s="15" t="s">
        <v>10</v>
      </c>
      <c r="O5049" s="15">
        <v>0.98881715096546219</v>
      </c>
      <c r="P5049" s="15">
        <v>0.98881715096546219</v>
      </c>
      <c r="Q5049" s="8"/>
      <c r="R5049" s="9" t="s">
        <v>4590</v>
      </c>
    </row>
    <row r="5050" spans="1:18" x14ac:dyDescent="0.25">
      <c r="A5050" s="6" t="str">
        <f>HYPERLINK("proteomic_fractions_linear_files/Yang_linear_img/209862959.jpg", "209862959")</f>
        <v>209862959</v>
      </c>
      <c r="B5050" s="7"/>
      <c r="C5050" s="6" t="str">
        <f>HYPERLINK("http://www.ncbi.nlm.nih.gov/protein/209862959","Numb")</f>
        <v>Numb</v>
      </c>
      <c r="D5050" s="8"/>
      <c r="E5050" s="8">
        <v>70682</v>
      </c>
      <c r="F5050" s="8"/>
      <c r="G5050" s="15" t="s">
        <v>10</v>
      </c>
      <c r="H5050" s="15" t="s">
        <v>10</v>
      </c>
      <c r="I5050" s="15" t="s">
        <v>10</v>
      </c>
      <c r="J5050" s="15" t="s">
        <v>10</v>
      </c>
      <c r="K5050" s="15">
        <v>1.1704036404668148</v>
      </c>
      <c r="L5050" s="15">
        <v>1.1704036404668148</v>
      </c>
      <c r="M5050" s="15" t="s">
        <v>10</v>
      </c>
      <c r="N5050" s="15" t="s">
        <v>10</v>
      </c>
      <c r="O5050" s="15" t="s">
        <v>10</v>
      </c>
      <c r="P5050" s="15" t="s">
        <v>10</v>
      </c>
      <c r="Q5050" s="8"/>
      <c r="R5050" s="9" t="s">
        <v>4591</v>
      </c>
    </row>
    <row r="5051" spans="1:18" x14ac:dyDescent="0.25">
      <c r="A5051" s="6" t="str">
        <f>HYPERLINK("proteomic_fractions_linear_files/Yang_linear_img/440546408.jpg", "440546408")</f>
        <v>440546408</v>
      </c>
      <c r="B5051" s="7"/>
      <c r="C5051" s="6" t="str">
        <f>HYPERLINK("http://www.ncbi.nlm.nih.gov/protein/440546408","Numb")</f>
        <v>Numb</v>
      </c>
      <c r="D5051" s="8"/>
      <c r="E5051" s="8">
        <v>69309</v>
      </c>
      <c r="F5051" s="8"/>
      <c r="G5051" s="15" t="s">
        <v>10</v>
      </c>
      <c r="H5051" s="15" t="s">
        <v>10</v>
      </c>
      <c r="I5051" s="15" t="s">
        <v>10</v>
      </c>
      <c r="J5051" s="15" t="s">
        <v>10</v>
      </c>
      <c r="K5051" s="15">
        <v>1.2043283836687515</v>
      </c>
      <c r="L5051" s="15">
        <v>1.2043283836687515</v>
      </c>
      <c r="M5051" s="15" t="s">
        <v>10</v>
      </c>
      <c r="N5051" s="15" t="s">
        <v>10</v>
      </c>
      <c r="O5051" s="15" t="s">
        <v>10</v>
      </c>
      <c r="P5051" s="15" t="s">
        <v>10</v>
      </c>
      <c r="Q5051" s="8"/>
      <c r="R5051" s="9" t="s">
        <v>4592</v>
      </c>
    </row>
    <row r="5052" spans="1:18" x14ac:dyDescent="0.25">
      <c r="A5052" s="6" t="str">
        <f>HYPERLINK("proteomic_fractions_linear_files/Yang_linear_img/440546411.jpg", "440546411")</f>
        <v>440546411</v>
      </c>
      <c r="B5052" s="7"/>
      <c r="C5052" s="6" t="str">
        <f>HYPERLINK("http://www.ncbi.nlm.nih.gov/protein/440546411","Numb")</f>
        <v>Numb</v>
      </c>
      <c r="D5052" s="8"/>
      <c r="E5052" s="8">
        <v>64263</v>
      </c>
      <c r="F5052" s="8"/>
      <c r="G5052" s="15" t="s">
        <v>10</v>
      </c>
      <c r="H5052" s="15" t="s">
        <v>10</v>
      </c>
      <c r="I5052" s="15" t="s">
        <v>10</v>
      </c>
      <c r="J5052" s="15" t="s">
        <v>10</v>
      </c>
      <c r="K5052" s="15">
        <v>1.2984165386428728</v>
      </c>
      <c r="L5052" s="15">
        <v>1.2984165386428728</v>
      </c>
      <c r="M5052" s="15" t="s">
        <v>10</v>
      </c>
      <c r="N5052" s="15" t="s">
        <v>10</v>
      </c>
      <c r="O5052" s="15" t="s">
        <v>10</v>
      </c>
      <c r="P5052" s="15" t="s">
        <v>10</v>
      </c>
      <c r="Q5052" s="8"/>
      <c r="R5052" s="9" t="s">
        <v>4593</v>
      </c>
    </row>
    <row r="5053" spans="1:18" x14ac:dyDescent="0.25">
      <c r="A5053" s="6" t="str">
        <f>HYPERLINK("proteomic_fractions_linear_files/Yang_linear_img/6754912.jpg", "6754912")</f>
        <v>6754912</v>
      </c>
      <c r="B5053" s="7"/>
      <c r="C5053" s="6" t="str">
        <f>HYPERLINK("http://www.ncbi.nlm.nih.gov/protein/6754912","Numb")</f>
        <v>Numb</v>
      </c>
      <c r="D5053" s="8"/>
      <c r="E5053" s="8">
        <v>65635</v>
      </c>
      <c r="F5053" s="8"/>
      <c r="G5053" s="15" t="s">
        <v>10</v>
      </c>
      <c r="H5053" s="15" t="s">
        <v>10</v>
      </c>
      <c r="I5053" s="15" t="s">
        <v>10</v>
      </c>
      <c r="J5053" s="15" t="s">
        <v>10</v>
      </c>
      <c r="K5053" s="15">
        <v>1.2590705829264222</v>
      </c>
      <c r="L5053" s="15">
        <v>1.2590705829264222</v>
      </c>
      <c r="M5053" s="15" t="s">
        <v>10</v>
      </c>
      <c r="N5053" s="15" t="s">
        <v>10</v>
      </c>
      <c r="O5053" s="15" t="s">
        <v>10</v>
      </c>
      <c r="P5053" s="15" t="s">
        <v>10</v>
      </c>
      <c r="Q5053" s="8"/>
      <c r="R5053" s="9" t="s">
        <v>4594</v>
      </c>
    </row>
    <row r="5054" spans="1:18" x14ac:dyDescent="0.25">
      <c r="A5054" s="6" t="str">
        <f>HYPERLINK("proteomic_fractions_linear_files/Yang_linear_img/29789351.jpg", "29789351")</f>
        <v>29789351</v>
      </c>
      <c r="B5054" s="7"/>
      <c r="C5054" s="6" t="str">
        <f>HYPERLINK("http://www.ncbi.nlm.nih.gov/protein/29789351","Nup107")</f>
        <v>Nup107</v>
      </c>
      <c r="D5054" s="8"/>
      <c r="E5054" s="8">
        <v>106587</v>
      </c>
      <c r="F5054" s="8"/>
      <c r="G5054" s="15">
        <v>1.2030058705151119</v>
      </c>
      <c r="H5054" s="15">
        <v>1.2030058705151119</v>
      </c>
      <c r="I5054" s="15" t="s">
        <v>10</v>
      </c>
      <c r="J5054" s="15" t="s">
        <v>10</v>
      </c>
      <c r="K5054" s="15" t="s">
        <v>10</v>
      </c>
      <c r="L5054" s="15" t="s">
        <v>10</v>
      </c>
      <c r="M5054" s="15" t="s">
        <v>10</v>
      </c>
      <c r="N5054" s="15" t="s">
        <v>10</v>
      </c>
      <c r="O5054" s="15" t="s">
        <v>10</v>
      </c>
      <c r="P5054" s="15" t="s">
        <v>10</v>
      </c>
      <c r="Q5054" s="8"/>
      <c r="R5054" s="9" t="s">
        <v>4595</v>
      </c>
    </row>
    <row r="5055" spans="1:18" x14ac:dyDescent="0.25">
      <c r="A5055" s="6" t="str">
        <f>HYPERLINK("proteomic_fractions_linear_files/Yang_linear_img/283806543.jpg", "283806543")</f>
        <v>283806543</v>
      </c>
      <c r="B5055" s="7"/>
      <c r="C5055" s="6" t="str">
        <f>HYPERLINK("http://www.ncbi.nlm.nih.gov/protein/283806543","Nup133")</f>
        <v>Nup133</v>
      </c>
      <c r="D5055" s="8"/>
      <c r="E5055" s="8">
        <v>128490</v>
      </c>
      <c r="F5055" s="8"/>
      <c r="G5055" s="15">
        <v>1.1988505557518894</v>
      </c>
      <c r="H5055" s="15">
        <v>4.6366625442914389</v>
      </c>
      <c r="I5055" s="15">
        <v>1.1988505557518894</v>
      </c>
      <c r="J5055" s="15">
        <v>1.1988505557518894</v>
      </c>
      <c r="K5055" s="15" t="s">
        <v>10</v>
      </c>
      <c r="L5055" s="15" t="s">
        <v>10</v>
      </c>
      <c r="M5055" s="15" t="s">
        <v>10</v>
      </c>
      <c r="N5055" s="15" t="s">
        <v>10</v>
      </c>
      <c r="O5055" s="15">
        <v>1.1988505557518894</v>
      </c>
      <c r="P5055" s="15">
        <v>1.1988505557518894</v>
      </c>
      <c r="Q5055" s="8"/>
      <c r="R5055" s="9" t="s">
        <v>4596</v>
      </c>
    </row>
    <row r="5056" spans="1:18" x14ac:dyDescent="0.25">
      <c r="A5056" s="6" t="str">
        <f>HYPERLINK("proteomic_fractions_linear_files/Yang_linear_img/165932389.jpg", "165932389")</f>
        <v>165932389</v>
      </c>
      <c r="B5056" s="7"/>
      <c r="C5056" s="6" t="str">
        <f>HYPERLINK("http://www.ncbi.nlm.nih.gov/protein/165932389","Nup155")</f>
        <v>Nup155</v>
      </c>
      <c r="D5056" s="8"/>
      <c r="E5056" s="8">
        <v>154988</v>
      </c>
      <c r="F5056" s="8"/>
      <c r="G5056" s="15">
        <v>1.2049408492899378</v>
      </c>
      <c r="H5056" s="15">
        <v>1.2049408492899378</v>
      </c>
      <c r="I5056" s="15">
        <v>0.99001852345962482</v>
      </c>
      <c r="J5056" s="15">
        <v>0.99001852345962482</v>
      </c>
      <c r="K5056" s="15">
        <v>1.2049408492899378</v>
      </c>
      <c r="L5056" s="15">
        <v>1.2049408492899378</v>
      </c>
      <c r="M5056" s="15" t="s">
        <v>10</v>
      </c>
      <c r="N5056" s="15" t="s">
        <v>10</v>
      </c>
      <c r="O5056" s="15" t="s">
        <v>10</v>
      </c>
      <c r="P5056" s="15" t="s">
        <v>10</v>
      </c>
      <c r="Q5056" s="8"/>
      <c r="R5056" s="9" t="s">
        <v>4597</v>
      </c>
    </row>
    <row r="5057" spans="1:18" x14ac:dyDescent="0.25">
      <c r="A5057" s="6" t="str">
        <f>HYPERLINK("proteomic_fractions_linear_files/Yang_linear_img/10946932.jpg", "10946932")</f>
        <v>10946932</v>
      </c>
      <c r="B5057" s="7"/>
      <c r="C5057" s="6" t="str">
        <f>HYPERLINK("http://www.ncbi.nlm.nih.gov/protein/10946932","Nup160")</f>
        <v>Nup160</v>
      </c>
      <c r="D5057" s="8"/>
      <c r="E5057" s="8">
        <v>158101</v>
      </c>
      <c r="F5057" s="8"/>
      <c r="G5057" s="15">
        <v>1.1820622255692428</v>
      </c>
      <c r="H5057" s="15">
        <v>1.1820622255692428</v>
      </c>
      <c r="I5057" s="15">
        <v>0.97122070339393574</v>
      </c>
      <c r="J5057" s="15">
        <v>0.97122070339393574</v>
      </c>
      <c r="K5057" s="15">
        <v>1.1820622255692428</v>
      </c>
      <c r="L5057" s="15">
        <v>1.1820622255692428</v>
      </c>
      <c r="M5057" s="15">
        <v>1.1820622255692428</v>
      </c>
      <c r="N5057" s="15">
        <v>1.1820622255692428</v>
      </c>
      <c r="O5057" s="15" t="s">
        <v>10</v>
      </c>
      <c r="P5057" s="15" t="s">
        <v>10</v>
      </c>
      <c r="Q5057" s="8"/>
      <c r="R5057" s="9" t="s">
        <v>4598</v>
      </c>
    </row>
    <row r="5058" spans="1:18" x14ac:dyDescent="0.25">
      <c r="A5058" s="6" t="str">
        <f>HYPERLINK("proteomic_fractions_linear_files/Yang_linear_img/38678526.jpg", "38678526")</f>
        <v>38678526</v>
      </c>
      <c r="B5058" s="7"/>
      <c r="C5058" s="6" t="str">
        <f>HYPERLINK("http://www.ncbi.nlm.nih.gov/protein/38678526","Nup188")</f>
        <v>Nup188</v>
      </c>
      <c r="D5058" s="8"/>
      <c r="E5058" s="8">
        <v>196566</v>
      </c>
      <c r="F5058" s="8"/>
      <c r="G5058" s="15">
        <v>0.94804990680172774</v>
      </c>
      <c r="H5058" s="15">
        <v>0.94804990680172774</v>
      </c>
      <c r="I5058" s="15" t="s">
        <v>10</v>
      </c>
      <c r="J5058" s="15" t="s">
        <v>10</v>
      </c>
      <c r="K5058" s="15" t="s">
        <v>10</v>
      </c>
      <c r="L5058" s="15" t="s">
        <v>10</v>
      </c>
      <c r="M5058" s="15">
        <v>1.1845728305982186</v>
      </c>
      <c r="N5058" s="15">
        <v>1.1845728305982186</v>
      </c>
      <c r="O5058" s="15" t="s">
        <v>10</v>
      </c>
      <c r="P5058" s="15" t="s">
        <v>10</v>
      </c>
      <c r="Q5058" s="8"/>
      <c r="R5058" s="9" t="s">
        <v>4599</v>
      </c>
    </row>
    <row r="5059" spans="1:18" x14ac:dyDescent="0.25">
      <c r="A5059" s="6" t="str">
        <f>HYPERLINK("proteomic_fractions_linear_files/Yang_linear_img/226437676.jpg", "226437676")</f>
        <v>226437676</v>
      </c>
      <c r="B5059" s="7"/>
      <c r="C5059" s="6" t="str">
        <f>HYPERLINK("http://www.ncbi.nlm.nih.gov/protein/226437676","Nup205")</f>
        <v>Nup205</v>
      </c>
      <c r="D5059" s="8"/>
      <c r="E5059" s="8">
        <v>227335</v>
      </c>
      <c r="F5059" s="8"/>
      <c r="G5059" s="15">
        <v>1.0280213551887625</v>
      </c>
      <c r="H5059" s="15">
        <v>1.0280213551887625</v>
      </c>
      <c r="I5059" s="15">
        <v>1.0280213551887625</v>
      </c>
      <c r="J5059" s="15">
        <v>1.0280213551887625</v>
      </c>
      <c r="K5059" s="15">
        <v>1.0280213551887625</v>
      </c>
      <c r="L5059" s="15">
        <v>1.0280213551887625</v>
      </c>
      <c r="M5059" s="15">
        <v>1.0280213551887625</v>
      </c>
      <c r="N5059" s="15">
        <v>1.0280213551887625</v>
      </c>
      <c r="O5059" s="15">
        <v>1.3294419587510959</v>
      </c>
      <c r="P5059" s="15">
        <v>1.3294419587510959</v>
      </c>
      <c r="Q5059" s="8"/>
      <c r="R5059" s="9" t="s">
        <v>4600</v>
      </c>
    </row>
    <row r="5060" spans="1:18" x14ac:dyDescent="0.25">
      <c r="A5060" s="6" t="str">
        <f>HYPERLINK("proteomic_fractions_linear_files/Yang_linear_img/172073152.jpg", "172073152")</f>
        <v>172073152</v>
      </c>
      <c r="B5060" s="7"/>
      <c r="C5060" s="6" t="str">
        <f>HYPERLINK("http://www.ncbi.nlm.nih.gov/protein/172073152","Nup210")</f>
        <v>Nup210</v>
      </c>
      <c r="D5060" s="8"/>
      <c r="E5060" s="8">
        <v>201488</v>
      </c>
      <c r="F5060" s="8"/>
      <c r="G5060" s="15">
        <v>1.1609992419295974</v>
      </c>
      <c r="H5060" s="15">
        <v>1.1609992419295974</v>
      </c>
      <c r="I5060" s="15">
        <v>1.1609992419295974</v>
      </c>
      <c r="J5060" s="15">
        <v>1.1609992419295974</v>
      </c>
      <c r="K5060" s="15" t="s">
        <v>10</v>
      </c>
      <c r="L5060" s="15" t="s">
        <v>10</v>
      </c>
      <c r="M5060" s="15" t="s">
        <v>10</v>
      </c>
      <c r="N5060" s="15" t="s">
        <v>10</v>
      </c>
      <c r="O5060" s="15" t="s">
        <v>10</v>
      </c>
      <c r="P5060" s="15" t="s">
        <v>10</v>
      </c>
      <c r="Q5060" s="8"/>
      <c r="R5060" s="9" t="s">
        <v>4601</v>
      </c>
    </row>
    <row r="5061" spans="1:18" x14ac:dyDescent="0.25">
      <c r="A5061" s="6" t="str">
        <f>HYPERLINK("proteomic_fractions_linear_files/Yang_linear_img/124378033.jpg", "124378033")</f>
        <v>124378033</v>
      </c>
      <c r="B5061" s="7"/>
      <c r="C5061" s="6" t="str">
        <f>HYPERLINK("http://www.ncbi.nlm.nih.gov/protein/124378033","Nup214")</f>
        <v>Nup214</v>
      </c>
      <c r="D5061" s="8"/>
      <c r="E5061" s="8">
        <v>212849</v>
      </c>
      <c r="F5061" s="8"/>
      <c r="G5061" s="15">
        <v>1.0955908339335636</v>
      </c>
      <c r="H5061" s="15">
        <v>1.0955908339335636</v>
      </c>
      <c r="I5061" s="15" t="s">
        <v>10</v>
      </c>
      <c r="J5061" s="15" t="s">
        <v>10</v>
      </c>
      <c r="K5061" s="15" t="s">
        <v>10</v>
      </c>
      <c r="L5061" s="15" t="s">
        <v>10</v>
      </c>
      <c r="M5061" s="15" t="s">
        <v>10</v>
      </c>
      <c r="N5061" s="15" t="s">
        <v>10</v>
      </c>
      <c r="O5061" s="15" t="s">
        <v>10</v>
      </c>
      <c r="P5061" s="15" t="s">
        <v>10</v>
      </c>
      <c r="Q5061" s="8"/>
      <c r="R5061" s="9" t="s">
        <v>4602</v>
      </c>
    </row>
    <row r="5062" spans="1:18" x14ac:dyDescent="0.25">
      <c r="A5062" s="6" t="str">
        <f>HYPERLINK("proteomic_fractions_linear_files/Yang_linear_img/298231198.jpg", "298231198")</f>
        <v>298231198</v>
      </c>
      <c r="B5062" s="7"/>
      <c r="C5062" s="6" t="str">
        <f>HYPERLINK("http://www.ncbi.nlm.nih.gov/protein/298231198","Nup35")</f>
        <v>Nup35</v>
      </c>
      <c r="D5062" s="8"/>
      <c r="E5062" s="8">
        <v>32971</v>
      </c>
      <c r="F5062" s="8"/>
      <c r="G5062" s="15">
        <v>1.3371390680898627</v>
      </c>
      <c r="H5062" s="15">
        <v>1.3371390680898627</v>
      </c>
      <c r="I5062" s="15">
        <v>0.9722446319919269</v>
      </c>
      <c r="J5062" s="15">
        <v>0.9722446319919269</v>
      </c>
      <c r="K5062" s="15">
        <v>0.9722446319919269</v>
      </c>
      <c r="L5062" s="15">
        <v>0.9722446319919269</v>
      </c>
      <c r="M5062" s="15" t="s">
        <v>10</v>
      </c>
      <c r="N5062" s="15" t="s">
        <v>10</v>
      </c>
      <c r="O5062" s="15" t="s">
        <v>10</v>
      </c>
      <c r="P5062" s="15" t="s">
        <v>10</v>
      </c>
      <c r="Q5062" s="8"/>
      <c r="R5062" s="9" t="s">
        <v>4603</v>
      </c>
    </row>
    <row r="5063" spans="1:18" x14ac:dyDescent="0.25">
      <c r="A5063" s="6" t="str">
        <f>HYPERLINK("proteomic_fractions_linear_files/Yang_linear_img/58037163.jpg", "58037163")</f>
        <v>58037163</v>
      </c>
      <c r="B5063" s="7"/>
      <c r="C5063" s="6" t="str">
        <f>HYPERLINK("http://www.ncbi.nlm.nih.gov/protein/58037163","Nup35")</f>
        <v>Nup35</v>
      </c>
      <c r="D5063" s="8"/>
      <c r="E5063" s="8">
        <v>34655</v>
      </c>
      <c r="F5063" s="8"/>
      <c r="G5063" s="15">
        <v>1.2607311213418706</v>
      </c>
      <c r="H5063" s="15">
        <v>1.2607311213418706</v>
      </c>
      <c r="I5063" s="15">
        <v>0.91668779587810256</v>
      </c>
      <c r="J5063" s="15">
        <v>0.91668779587810256</v>
      </c>
      <c r="K5063" s="15">
        <v>0.91668779587810256</v>
      </c>
      <c r="L5063" s="15">
        <v>0.91668779587810256</v>
      </c>
      <c r="M5063" s="15" t="s">
        <v>10</v>
      </c>
      <c r="N5063" s="15" t="s">
        <v>10</v>
      </c>
      <c r="O5063" s="15" t="s">
        <v>10</v>
      </c>
      <c r="P5063" s="15" t="s">
        <v>10</v>
      </c>
      <c r="Q5063" s="8"/>
      <c r="R5063" s="9" t="s">
        <v>4604</v>
      </c>
    </row>
    <row r="5064" spans="1:18" x14ac:dyDescent="0.25">
      <c r="A5064" s="6" t="str">
        <f>HYPERLINK("proteomic_fractions_linear_files/Yang_linear_img/210032861.jpg", "210032861")</f>
        <v>210032861</v>
      </c>
      <c r="B5064" s="7"/>
      <c r="C5064" s="6" t="str">
        <f>HYPERLINK("http://www.ncbi.nlm.nih.gov/protein/210032861","Nup37")</f>
        <v>Nup37</v>
      </c>
      <c r="D5064" s="8"/>
      <c r="E5064" s="8">
        <v>36601</v>
      </c>
      <c r="F5064" s="8"/>
      <c r="G5064" s="15">
        <v>1.1925834931612289</v>
      </c>
      <c r="H5064" s="15">
        <v>1.1925834931612289</v>
      </c>
      <c r="I5064" s="15">
        <v>0.93387504136419419</v>
      </c>
      <c r="J5064" s="15">
        <v>0.93387504136419419</v>
      </c>
      <c r="K5064" s="15">
        <v>0.93387504136419419</v>
      </c>
      <c r="L5064" s="15">
        <v>0.93387504136419419</v>
      </c>
      <c r="M5064" s="15">
        <v>0.93387504136419419</v>
      </c>
      <c r="N5064" s="15">
        <v>0.93387504136419419</v>
      </c>
      <c r="O5064" s="15">
        <v>0.86713710420901591</v>
      </c>
      <c r="P5064" s="15">
        <v>0.86713710420901591</v>
      </c>
      <c r="Q5064" s="8"/>
      <c r="R5064" s="9" t="s">
        <v>4605</v>
      </c>
    </row>
    <row r="5065" spans="1:18" x14ac:dyDescent="0.25">
      <c r="A5065" s="6" t="str">
        <f>HYPERLINK("proteomic_fractions_linear_files/Yang_linear_img/166295220.jpg", "166295220")</f>
        <v>166295220</v>
      </c>
      <c r="B5065" s="7"/>
      <c r="C5065" s="6" t="str">
        <f>HYPERLINK("http://www.ncbi.nlm.nih.gov/protein/166295220","Nup43")</f>
        <v>Nup43</v>
      </c>
      <c r="D5065" s="8"/>
      <c r="E5065" s="8">
        <v>41859</v>
      </c>
      <c r="F5065" s="8"/>
      <c r="G5065" s="15" t="s">
        <v>10</v>
      </c>
      <c r="H5065" s="15" t="s">
        <v>10</v>
      </c>
      <c r="I5065" s="15" t="s">
        <v>10</v>
      </c>
      <c r="J5065" s="15" t="s">
        <v>10</v>
      </c>
      <c r="K5065" s="15" t="s">
        <v>10</v>
      </c>
      <c r="L5065" s="15" t="s">
        <v>10</v>
      </c>
      <c r="M5065" s="15" t="s">
        <v>10</v>
      </c>
      <c r="N5065" s="15" t="s">
        <v>10</v>
      </c>
      <c r="O5065" s="15">
        <v>0.88907920055058554</v>
      </c>
      <c r="P5065" s="15">
        <v>0.88907920055058554</v>
      </c>
      <c r="Q5065" s="8"/>
      <c r="R5065" s="9" t="s">
        <v>4606</v>
      </c>
    </row>
    <row r="5066" spans="1:18" x14ac:dyDescent="0.25">
      <c r="A5066" s="6" t="str">
        <f>HYPERLINK("proteomic_fractions_linear_files/Yang_linear_img/38016154.jpg", "38016154")</f>
        <v>38016154</v>
      </c>
      <c r="B5066" s="7"/>
      <c r="C5066" s="6" t="str">
        <f>HYPERLINK("http://www.ncbi.nlm.nih.gov/protein/38016154","Nup50")</f>
        <v>Nup50</v>
      </c>
      <c r="D5066" s="8"/>
      <c r="E5066" s="8">
        <v>49354</v>
      </c>
      <c r="F5066" s="8"/>
      <c r="G5066" s="15">
        <v>1.4986971477894335</v>
      </c>
      <c r="H5066" s="15">
        <v>1.4986971477894335</v>
      </c>
      <c r="I5066" s="15" t="s">
        <v>10</v>
      </c>
      <c r="J5066" s="15" t="s">
        <v>10</v>
      </c>
      <c r="K5066" s="15">
        <v>1.1994532160325275</v>
      </c>
      <c r="L5066" s="15">
        <v>1.1994532160325275</v>
      </c>
      <c r="M5066" s="15">
        <v>1.1994532160325275</v>
      </c>
      <c r="N5066" s="15">
        <v>1.1994532160325275</v>
      </c>
      <c r="O5066" s="15">
        <v>1.0840932577551241</v>
      </c>
      <c r="P5066" s="15">
        <v>1.0840932577551241</v>
      </c>
      <c r="Q5066" s="8"/>
      <c r="R5066" s="9" t="s">
        <v>4607</v>
      </c>
    </row>
    <row r="5067" spans="1:18" x14ac:dyDescent="0.25">
      <c r="A5067" s="6" t="str">
        <f>HYPERLINK("proteomic_fractions_linear_files/Yang_linear_img/39930543.jpg", "39930543")</f>
        <v>39930543</v>
      </c>
      <c r="B5067" s="7"/>
      <c r="C5067" s="6" t="str">
        <f>HYPERLINK("http://www.ncbi.nlm.nih.gov/protein/39930543","Nup54")</f>
        <v>Nup54</v>
      </c>
      <c r="D5067" s="8"/>
      <c r="E5067" s="8">
        <v>55601</v>
      </c>
      <c r="F5067" s="8"/>
      <c r="G5067" s="15" t="s">
        <v>10</v>
      </c>
      <c r="H5067" s="15" t="s">
        <v>10</v>
      </c>
      <c r="I5067" s="15">
        <v>1.0495215640284616</v>
      </c>
      <c r="J5067" s="15">
        <v>1.0495215640284616</v>
      </c>
      <c r="K5067" s="15" t="s">
        <v>10</v>
      </c>
      <c r="L5067" s="15" t="s">
        <v>10</v>
      </c>
      <c r="M5067" s="15" t="s">
        <v>10</v>
      </c>
      <c r="N5067" s="15" t="s">
        <v>10</v>
      </c>
      <c r="O5067" s="15">
        <v>0.94858160053573359</v>
      </c>
      <c r="P5067" s="15">
        <v>0.94858160053573359</v>
      </c>
      <c r="Q5067" s="8"/>
      <c r="R5067" s="9" t="s">
        <v>4608</v>
      </c>
    </row>
    <row r="5068" spans="1:18" x14ac:dyDescent="0.25">
      <c r="A5068" s="6" t="str">
        <f>HYPERLINK("proteomic_fractions_linear_files/Yang_linear_img/108773813.jpg", "108773813")</f>
        <v>108773813</v>
      </c>
      <c r="B5068" s="7"/>
      <c r="C5068" s="6" t="str">
        <f>HYPERLINK("http://www.ncbi.nlm.nih.gov/protein/108773813","Nup85")</f>
        <v>Nup85</v>
      </c>
      <c r="D5068" s="8"/>
      <c r="E5068" s="8">
        <v>74645</v>
      </c>
      <c r="F5068" s="8"/>
      <c r="G5068" s="15" t="s">
        <v>10</v>
      </c>
      <c r="H5068" s="15" t="s">
        <v>10</v>
      </c>
      <c r="I5068" s="15" t="s">
        <v>10</v>
      </c>
      <c r="J5068" s="15" t="s">
        <v>10</v>
      </c>
      <c r="K5068" s="15">
        <v>0.97914880322242992</v>
      </c>
      <c r="L5068" s="15">
        <v>0.97914880322242992</v>
      </c>
      <c r="M5068" s="15">
        <v>0.97914880322242992</v>
      </c>
      <c r="N5068" s="15">
        <v>0.97914880322242992</v>
      </c>
      <c r="O5068" s="15">
        <v>0.87271017774059112</v>
      </c>
      <c r="P5068" s="15">
        <v>0.97914880322242992</v>
      </c>
      <c r="Q5068" s="8"/>
      <c r="R5068" s="9" t="s">
        <v>4609</v>
      </c>
    </row>
    <row r="5069" spans="1:18" x14ac:dyDescent="0.25">
      <c r="A5069" s="6" t="str">
        <f>HYPERLINK("proteomic_fractions_linear_files/Yang_linear_img/27369533.jpg", "27369533")</f>
        <v>27369533</v>
      </c>
      <c r="B5069" s="7"/>
      <c r="C5069" s="6" t="str">
        <f>HYPERLINK("http://www.ncbi.nlm.nih.gov/protein/27369533","Nup93")</f>
        <v>Nup93</v>
      </c>
      <c r="D5069" s="8"/>
      <c r="E5069" s="8">
        <v>93150</v>
      </c>
      <c r="F5069" s="8"/>
      <c r="G5069" s="15">
        <v>1.180661976571306</v>
      </c>
      <c r="H5069" s="15">
        <v>1.180661976571306</v>
      </c>
      <c r="I5069" s="15">
        <v>1.0211610879847797</v>
      </c>
      <c r="J5069" s="15">
        <v>1.0211610879847797</v>
      </c>
      <c r="K5069" s="15">
        <v>1.0211610879847797</v>
      </c>
      <c r="L5069" s="15">
        <v>1.0211610879847797</v>
      </c>
      <c r="M5069" s="15">
        <v>1.0211610879847797</v>
      </c>
      <c r="N5069" s="15">
        <v>1.0211610879847797</v>
      </c>
      <c r="O5069" s="15">
        <v>1.0211610879847797</v>
      </c>
      <c r="P5069" s="15">
        <v>1.0211610879847797</v>
      </c>
      <c r="Q5069" s="8"/>
      <c r="R5069" s="9" t="s">
        <v>4610</v>
      </c>
    </row>
    <row r="5070" spans="1:18" x14ac:dyDescent="0.25">
      <c r="A5070" s="6" t="str">
        <f>HYPERLINK("proteomic_fractions_linear_files/Yang_linear_img/13384840.jpg", "13384840")</f>
        <v>13384840</v>
      </c>
      <c r="B5070" s="7"/>
      <c r="C5070" s="6" t="str">
        <f>HYPERLINK("http://www.ncbi.nlm.nih.gov/protein/13384840","Nus1")</f>
        <v>Nus1</v>
      </c>
      <c r="D5070" s="8"/>
      <c r="E5070" s="8">
        <v>33354</v>
      </c>
      <c r="F5070" s="8"/>
      <c r="G5070" s="15" t="s">
        <v>10</v>
      </c>
      <c r="H5070" s="15" t="s">
        <v>10</v>
      </c>
      <c r="I5070" s="15">
        <v>0.96404538360364944</v>
      </c>
      <c r="J5070" s="15">
        <v>0.96404538360364944</v>
      </c>
      <c r="K5070" s="15" t="s">
        <v>10</v>
      </c>
      <c r="L5070" s="15" t="s">
        <v>10</v>
      </c>
      <c r="M5070" s="15" t="s">
        <v>10</v>
      </c>
      <c r="N5070" s="15" t="s">
        <v>10</v>
      </c>
      <c r="O5070" s="15" t="s">
        <v>10</v>
      </c>
      <c r="P5070" s="15" t="s">
        <v>10</v>
      </c>
      <c r="Q5070" s="8"/>
      <c r="R5070" s="9" t="s">
        <v>4611</v>
      </c>
    </row>
    <row r="5071" spans="1:18" x14ac:dyDescent="0.25">
      <c r="A5071" s="6" t="str">
        <f>HYPERLINK("proteomic_fractions_linear_files/Yang_linear_img/111118996.jpg", "111118996")</f>
        <v>111118996</v>
      </c>
      <c r="B5071" s="7"/>
      <c r="C5071" s="6" t="str">
        <f>HYPERLINK("http://www.ncbi.nlm.nih.gov/protein/111118996","Nusap1")</f>
        <v>Nusap1</v>
      </c>
      <c r="D5071" s="8"/>
      <c r="E5071" s="8">
        <v>44752</v>
      </c>
      <c r="F5071" s="8"/>
      <c r="G5071" s="15" t="s">
        <v>10</v>
      </c>
      <c r="H5071" s="15" t="s">
        <v>10</v>
      </c>
      <c r="I5071" s="15" t="s">
        <v>10</v>
      </c>
      <c r="J5071" s="15" t="s">
        <v>10</v>
      </c>
      <c r="K5071" s="15">
        <v>1.4545169629009851</v>
      </c>
      <c r="L5071" s="15">
        <v>1.4545169629009851</v>
      </c>
      <c r="M5071" s="15">
        <v>1.3060712796798635</v>
      </c>
      <c r="N5071" s="15">
        <v>1.3060712796798635</v>
      </c>
      <c r="O5071" s="15" t="s">
        <v>10</v>
      </c>
      <c r="P5071" s="15" t="s">
        <v>10</v>
      </c>
      <c r="Q5071" s="8"/>
      <c r="R5071" s="9" t="s">
        <v>4612</v>
      </c>
    </row>
    <row r="5072" spans="1:18" x14ac:dyDescent="0.25">
      <c r="A5072" s="6" t="str">
        <f>HYPERLINK("proteomic_fractions_linear_files/Yang_linear_img/19527068.jpg", "19527068")</f>
        <v>19527068</v>
      </c>
      <c r="B5072" s="7"/>
      <c r="C5072" s="6" t="str">
        <f>HYPERLINK("http://www.ncbi.nlm.nih.gov/protein/19527068","Nusap1")</f>
        <v>Nusap1</v>
      </c>
      <c r="D5072" s="8"/>
      <c r="E5072" s="8">
        <v>48442</v>
      </c>
      <c r="F5072" s="8"/>
      <c r="G5072" s="15" t="s">
        <v>10</v>
      </c>
      <c r="H5072" s="15" t="s">
        <v>10</v>
      </c>
      <c r="I5072" s="15" t="s">
        <v>10</v>
      </c>
      <c r="J5072" s="15" t="s">
        <v>10</v>
      </c>
      <c r="K5072" s="15">
        <v>1.3636096527196735</v>
      </c>
      <c r="L5072" s="15">
        <v>1.3636096527196735</v>
      </c>
      <c r="M5072" s="15">
        <v>1.2244418246998718</v>
      </c>
      <c r="N5072" s="15">
        <v>1.2244418246998718</v>
      </c>
      <c r="O5072" s="15" t="s">
        <v>10</v>
      </c>
      <c r="P5072" s="15" t="s">
        <v>10</v>
      </c>
      <c r="Q5072" s="8"/>
      <c r="R5072" s="9" t="s">
        <v>4613</v>
      </c>
    </row>
    <row r="5073" spans="1:18" x14ac:dyDescent="0.25">
      <c r="A5073" s="6" t="str">
        <f>HYPERLINK("proteomic_fractions_linear_files/Yang_linear_img/33468981.jpg", "33468981")</f>
        <v>33468981</v>
      </c>
      <c r="B5073" s="7"/>
      <c r="C5073" s="6" t="str">
        <f>HYPERLINK("http://www.ncbi.nlm.nih.gov/protein/33468981","Nvl")</f>
        <v>Nvl</v>
      </c>
      <c r="D5073" s="8"/>
      <c r="E5073" s="8">
        <v>94345</v>
      </c>
      <c r="F5073" s="8"/>
      <c r="G5073" s="15" t="s">
        <v>10</v>
      </c>
      <c r="H5073" s="15" t="s">
        <v>10</v>
      </c>
      <c r="I5073" s="15" t="s">
        <v>10</v>
      </c>
      <c r="J5073" s="15" t="s">
        <v>10</v>
      </c>
      <c r="K5073" s="15">
        <v>1.1681017427779943</v>
      </c>
      <c r="L5073" s="15">
        <v>1.1681017427779943</v>
      </c>
      <c r="M5073" s="15" t="s">
        <v>10</v>
      </c>
      <c r="N5073" s="15" t="s">
        <v>10</v>
      </c>
      <c r="O5073" s="15" t="s">
        <v>10</v>
      </c>
      <c r="P5073" s="15" t="s">
        <v>10</v>
      </c>
      <c r="Q5073" s="8"/>
      <c r="R5073" s="9" t="s">
        <v>4614</v>
      </c>
    </row>
    <row r="5074" spans="1:18" x14ac:dyDescent="0.25">
      <c r="A5074" s="6" t="str">
        <f>HYPERLINK("proteomic_fractions_linear_files/Yang_linear_img/452401033.jpg", "452401033")</f>
        <v>452401033</v>
      </c>
      <c r="B5074" s="7"/>
      <c r="C5074" s="6" t="str">
        <f>HYPERLINK("http://www.ncbi.nlm.nih.gov/protein/452401033","Nxf1")</f>
        <v>Nxf1</v>
      </c>
      <c r="D5074" s="8"/>
      <c r="E5074" s="8">
        <v>47501</v>
      </c>
      <c r="F5074" s="8"/>
      <c r="G5074" s="15">
        <v>1.7312220515238304</v>
      </c>
      <c r="H5074" s="15">
        <v>1.7312220515238304</v>
      </c>
      <c r="I5074" s="15" t="s">
        <v>10</v>
      </c>
      <c r="J5074" s="15" t="s">
        <v>10</v>
      </c>
      <c r="K5074" s="15" t="s">
        <v>10</v>
      </c>
      <c r="L5074" s="15" t="s">
        <v>10</v>
      </c>
      <c r="M5074" s="15" t="s">
        <v>10</v>
      </c>
      <c r="N5074" s="15" t="s">
        <v>10</v>
      </c>
      <c r="O5074" s="15" t="s">
        <v>10</v>
      </c>
      <c r="P5074" s="15" t="s">
        <v>10</v>
      </c>
      <c r="Q5074" s="8"/>
      <c r="R5074" s="9" t="s">
        <v>4615</v>
      </c>
    </row>
    <row r="5075" spans="1:18" x14ac:dyDescent="0.25">
      <c r="A5075" s="6" t="str">
        <f>HYPERLINK("proteomic_fractions_linear_files/Yang_linear_img/31980798.jpg", "31980798")</f>
        <v>31980798</v>
      </c>
      <c r="B5075" s="7"/>
      <c r="C5075" s="6" t="str">
        <f>HYPERLINK("http://www.ncbi.nlm.nih.gov/protein/31980798","Nxf1")</f>
        <v>Nxf1</v>
      </c>
      <c r="D5075" s="8"/>
      <c r="E5075" s="8">
        <v>70169</v>
      </c>
      <c r="F5075" s="8"/>
      <c r="G5075" s="15">
        <v>0.93504661900777619</v>
      </c>
      <c r="H5075" s="15">
        <v>0.93504661900777619</v>
      </c>
      <c r="I5075" s="15">
        <v>1.0490880034526036</v>
      </c>
      <c r="J5075" s="15">
        <v>1.0490880034526036</v>
      </c>
      <c r="K5075" s="15">
        <v>1.1871236924734836</v>
      </c>
      <c r="L5075" s="15">
        <v>1.1871236924734836</v>
      </c>
      <c r="M5075" s="15">
        <v>1.0490880034526036</v>
      </c>
      <c r="N5075" s="15">
        <v>1.0490880034526036</v>
      </c>
      <c r="O5075" s="15" t="s">
        <v>10</v>
      </c>
      <c r="P5075" s="15" t="s">
        <v>10</v>
      </c>
      <c r="Q5075" s="8"/>
      <c r="R5075" s="9" t="s">
        <v>4616</v>
      </c>
    </row>
    <row r="5076" spans="1:18" x14ac:dyDescent="0.25">
      <c r="A5076" s="6" t="str">
        <f>HYPERLINK("proteomic_fractions_linear_files/Yang_linear_img/6679160.jpg", "6679160")</f>
        <v>6679160</v>
      </c>
      <c r="B5076" s="7"/>
      <c r="C5076" s="6" t="str">
        <f>HYPERLINK("http://www.ncbi.nlm.nih.gov/protein/6679160","Nxn")</f>
        <v>Nxn</v>
      </c>
      <c r="D5076" s="8"/>
      <c r="E5076" s="8">
        <v>48213</v>
      </c>
      <c r="F5076" s="8"/>
      <c r="G5076" s="15" t="s">
        <v>10</v>
      </c>
      <c r="H5076" s="15" t="s">
        <v>10</v>
      </c>
      <c r="I5076" s="15">
        <v>1.006041158008651</v>
      </c>
      <c r="J5076" s="15">
        <v>1.006041158008651</v>
      </c>
      <c r="K5076" s="15">
        <v>1.1066785339583558</v>
      </c>
      <c r="L5076" s="15">
        <v>1.1066785339583558</v>
      </c>
      <c r="M5076" s="15">
        <v>1.1066785339583558</v>
      </c>
      <c r="N5076" s="15">
        <v>1.1066785339583558</v>
      </c>
      <c r="O5076" s="15">
        <v>1.006041158008651</v>
      </c>
      <c r="P5076" s="15">
        <v>1.006041158008651</v>
      </c>
      <c r="Q5076" s="8"/>
      <c r="R5076" s="9" t="s">
        <v>4617</v>
      </c>
    </row>
    <row r="5077" spans="1:18" x14ac:dyDescent="0.25">
      <c r="A5077" s="6" t="str">
        <f>HYPERLINK("proteomic_fractions_linear_files/Yang_linear_img/158749549.jpg", "158749549")</f>
        <v>158749549</v>
      </c>
      <c r="B5077" s="7"/>
      <c r="C5077" s="6" t="str">
        <f>HYPERLINK("http://www.ncbi.nlm.nih.gov/protein/158749549","Nxt1")</f>
        <v>Nxt1</v>
      </c>
      <c r="D5077" s="8"/>
      <c r="E5077" s="8">
        <v>15716</v>
      </c>
      <c r="F5077" s="8"/>
      <c r="G5077" s="15">
        <v>0.86786565624604062</v>
      </c>
      <c r="H5077" s="15">
        <v>0.86786565624604062</v>
      </c>
      <c r="I5077" s="15" t="s">
        <v>10</v>
      </c>
      <c r="J5077" s="15" t="s">
        <v>10</v>
      </c>
      <c r="K5077" s="15">
        <v>0.94977114336339286</v>
      </c>
      <c r="L5077" s="15">
        <v>0.94977114336339286</v>
      </c>
      <c r="M5077" s="15" t="s">
        <v>10</v>
      </c>
      <c r="N5077" s="15" t="s">
        <v>10</v>
      </c>
      <c r="O5077" s="15" t="s">
        <v>10</v>
      </c>
      <c r="P5077" s="15" t="s">
        <v>10</v>
      </c>
      <c r="Q5077" s="8"/>
      <c r="R5077" s="9" t="s">
        <v>4618</v>
      </c>
    </row>
    <row r="5078" spans="1:18" x14ac:dyDescent="0.25">
      <c r="A5078" s="6" t="str">
        <f>HYPERLINK("proteomic_fractions_linear_files/Yang_linear_img/238637332;238637330.jpg", "238637332;238637330")</f>
        <v>238637332;238637330</v>
      </c>
      <c r="B5078" s="8"/>
      <c r="C5078" s="6" t="str">
        <f>HYPERLINK("http://www.ncbi.nlm.nih.gov/protein/238637332;238637330","Nxt2")</f>
        <v>Nxt2</v>
      </c>
      <c r="D5078" s="8"/>
      <c r="E5078" s="8">
        <v>16125</v>
      </c>
      <c r="F5078" s="8"/>
      <c r="G5078" s="15">
        <v>0.86786565624604062</v>
      </c>
      <c r="H5078" s="15">
        <v>0.86786565624604062</v>
      </c>
      <c r="I5078" s="15" t="s">
        <v>10</v>
      </c>
      <c r="J5078" s="15" t="s">
        <v>10</v>
      </c>
      <c r="K5078" s="15">
        <v>0.94977114336339286</v>
      </c>
      <c r="L5078" s="15">
        <v>0.94977114336339286</v>
      </c>
      <c r="M5078" s="15" t="s">
        <v>10</v>
      </c>
      <c r="N5078" s="15" t="s">
        <v>10</v>
      </c>
      <c r="O5078" s="15" t="s">
        <v>10</v>
      </c>
      <c r="P5078" s="15" t="s">
        <v>10</v>
      </c>
      <c r="Q5078" s="8"/>
      <c r="R5078" s="9" t="s">
        <v>4619</v>
      </c>
    </row>
    <row r="5079" spans="1:18" x14ac:dyDescent="0.25">
      <c r="A5079" s="6" t="str">
        <f>HYPERLINK("proteomic_fractions_linear_files/Yang_linear_img/256220954.jpg", "256220954")</f>
        <v>256220954</v>
      </c>
      <c r="B5079" s="7"/>
      <c r="C5079" s="6" t="str">
        <f>HYPERLINK("http://www.ncbi.nlm.nih.gov/protein/256220954","Nynrin")</f>
        <v>Nynrin</v>
      </c>
      <c r="D5079" s="8"/>
      <c r="E5079" s="8">
        <v>202937</v>
      </c>
      <c r="F5079" s="8"/>
      <c r="G5079" s="15" t="s">
        <v>10</v>
      </c>
      <c r="H5079" s="15" t="s">
        <v>10</v>
      </c>
      <c r="I5079" s="15">
        <v>0.1073681885255111</v>
      </c>
      <c r="J5079" s="15">
        <v>0.1073681885255111</v>
      </c>
      <c r="K5079" s="15" t="s">
        <v>10</v>
      </c>
      <c r="L5079" s="15" t="s">
        <v>10</v>
      </c>
      <c r="M5079" s="15" t="s">
        <v>10</v>
      </c>
      <c r="N5079" s="15" t="s">
        <v>10</v>
      </c>
      <c r="O5079" s="15" t="s">
        <v>10</v>
      </c>
      <c r="P5079" s="15" t="s">
        <v>10</v>
      </c>
      <c r="Q5079" s="8"/>
      <c r="R5079" s="9" t="s">
        <v>4620</v>
      </c>
    </row>
    <row r="5080" spans="1:18" x14ac:dyDescent="0.25">
      <c r="A5080" s="6" t="str">
        <f>HYPERLINK("proteomic_fractions_linear_files/Yang_linear_img/110625732.jpg", "110625732")</f>
        <v>110625732</v>
      </c>
      <c r="B5080" s="7"/>
      <c r="C5080" s="6" t="str">
        <f>HYPERLINK("http://www.ncbi.nlm.nih.gov/protein/110625732","Oard1")</f>
        <v>Oard1</v>
      </c>
      <c r="D5080" s="8"/>
      <c r="E5080" s="8">
        <v>16976</v>
      </c>
      <c r="F5080" s="8"/>
      <c r="G5080" s="15">
        <v>1.2821024865105148</v>
      </c>
      <c r="H5080" s="15">
        <v>1.2821024865105148</v>
      </c>
      <c r="I5080" s="15">
        <v>0.89390225257731093</v>
      </c>
      <c r="J5080" s="15">
        <v>0.89390225257731093</v>
      </c>
      <c r="K5080" s="15">
        <v>0.93690834018716329</v>
      </c>
      <c r="L5080" s="15">
        <v>0.93690834018716329</v>
      </c>
      <c r="M5080" s="15">
        <v>0.93690834018716329</v>
      </c>
      <c r="N5080" s="15">
        <v>0.93690834018716329</v>
      </c>
      <c r="O5080" s="15">
        <v>0.89390225257731093</v>
      </c>
      <c r="P5080" s="15">
        <v>0.89390225257731093</v>
      </c>
      <c r="Q5080" s="8"/>
      <c r="R5080" s="9" t="s">
        <v>4621</v>
      </c>
    </row>
    <row r="5081" spans="1:18" x14ac:dyDescent="0.25">
      <c r="A5081" s="6" t="str">
        <f>HYPERLINK("proteomic_fractions_linear_files/Yang_linear_img/281332108.jpg", "281332108")</f>
        <v>281332108</v>
      </c>
      <c r="B5081" s="7"/>
      <c r="C5081" s="6" t="str">
        <f>HYPERLINK("http://www.ncbi.nlm.nih.gov/protein/281332108","Oas1a")</f>
        <v>Oas1a</v>
      </c>
      <c r="D5081" s="8"/>
      <c r="E5081" s="8">
        <v>42298</v>
      </c>
      <c r="F5081" s="8"/>
      <c r="G5081" s="15" t="s">
        <v>10</v>
      </c>
      <c r="H5081" s="15" t="s">
        <v>10</v>
      </c>
      <c r="I5081" s="15">
        <v>0.88907920055058554</v>
      </c>
      <c r="J5081" s="15">
        <v>0.88907920055058554</v>
      </c>
      <c r="K5081" s="15">
        <v>0.96445995721958921</v>
      </c>
      <c r="L5081" s="15">
        <v>0.96445995721958921</v>
      </c>
      <c r="M5081" s="15">
        <v>0.88907920055058554</v>
      </c>
      <c r="N5081" s="15">
        <v>0.88907920055058554</v>
      </c>
      <c r="O5081" s="15" t="s">
        <v>10</v>
      </c>
      <c r="P5081" s="15" t="s">
        <v>10</v>
      </c>
      <c r="Q5081" s="8"/>
      <c r="R5081" s="9" t="s">
        <v>4622</v>
      </c>
    </row>
    <row r="5082" spans="1:18" x14ac:dyDescent="0.25">
      <c r="A5082" s="6" t="str">
        <f>HYPERLINK("proteomic_fractions_linear_files/Yang_linear_img/31560524.jpg", "31560524")</f>
        <v>31560524</v>
      </c>
      <c r="B5082" s="7"/>
      <c r="C5082" s="6" t="str">
        <f>HYPERLINK("http://www.ncbi.nlm.nih.gov/protein/31560524","Oas1g")</f>
        <v>Oas1g</v>
      </c>
      <c r="D5082" s="8"/>
      <c r="E5082" s="8">
        <v>42351</v>
      </c>
      <c r="F5082" s="8"/>
      <c r="G5082" s="15" t="s">
        <v>10</v>
      </c>
      <c r="H5082" s="15" t="s">
        <v>10</v>
      </c>
      <c r="I5082" s="15">
        <v>0.88907920055058554</v>
      </c>
      <c r="J5082" s="15">
        <v>0.88907920055058554</v>
      </c>
      <c r="K5082" s="15">
        <v>0.96445995721958921</v>
      </c>
      <c r="L5082" s="15">
        <v>0.96445995721958921</v>
      </c>
      <c r="M5082" s="15">
        <v>0.88907920055058554</v>
      </c>
      <c r="N5082" s="15">
        <v>0.88907920055058554</v>
      </c>
      <c r="O5082" s="15" t="s">
        <v>10</v>
      </c>
      <c r="P5082" s="15" t="s">
        <v>10</v>
      </c>
      <c r="Q5082" s="8"/>
      <c r="R5082" s="9" t="s">
        <v>4623</v>
      </c>
    </row>
    <row r="5083" spans="1:18" x14ac:dyDescent="0.25">
      <c r="A5083" s="6" t="str">
        <f>HYPERLINK("proteomic_fractions_linear_files/Yang_linear_img/28827826.jpg", "28827826")</f>
        <v>28827826</v>
      </c>
      <c r="B5083" s="7"/>
      <c r="C5083" s="6" t="str">
        <f>HYPERLINK("http://www.ncbi.nlm.nih.gov/protein/28827826","Obfc1")</f>
        <v>Obfc1</v>
      </c>
      <c r="D5083" s="8"/>
      <c r="E5083" s="8">
        <v>43355</v>
      </c>
      <c r="F5083" s="8"/>
      <c r="G5083" s="15" t="s">
        <v>10</v>
      </c>
      <c r="H5083" s="15" t="s">
        <v>10</v>
      </c>
      <c r="I5083" s="15" t="s">
        <v>10</v>
      </c>
      <c r="J5083" s="15" t="s">
        <v>10</v>
      </c>
      <c r="K5083" s="15">
        <v>1.0261764941154761</v>
      </c>
      <c r="L5083" s="15">
        <v>1.0261764941154761</v>
      </c>
      <c r="M5083" s="15">
        <v>0.942030655888901</v>
      </c>
      <c r="N5083" s="15">
        <v>0.942030655888901</v>
      </c>
      <c r="O5083" s="15">
        <v>0.942030655888901</v>
      </c>
      <c r="P5083" s="15">
        <v>0.942030655888901</v>
      </c>
      <c r="Q5083" s="8"/>
      <c r="R5083" s="9" t="s">
        <v>4624</v>
      </c>
    </row>
    <row r="5084" spans="1:18" x14ac:dyDescent="0.25">
      <c r="A5084" s="6" t="str">
        <f>HYPERLINK("proteomic_fractions_linear_files/Yang_linear_img/170763522.jpg", "170763522")</f>
        <v>170763522</v>
      </c>
      <c r="B5084" s="7"/>
      <c r="C5084" s="6" t="str">
        <f>HYPERLINK("http://www.ncbi.nlm.nih.gov/protein/170763522","Obsl1")</f>
        <v>Obsl1</v>
      </c>
      <c r="D5084" s="8"/>
      <c r="E5084" s="8">
        <v>197807</v>
      </c>
      <c r="F5084" s="8"/>
      <c r="G5084" s="15">
        <v>0.26828570520202566</v>
      </c>
      <c r="H5084" s="15">
        <v>0.26828570520202566</v>
      </c>
      <c r="I5084" s="15" t="s">
        <v>10</v>
      </c>
      <c r="J5084" s="15" t="s">
        <v>10</v>
      </c>
      <c r="K5084" s="15">
        <v>0.20458241516779163</v>
      </c>
      <c r="L5084" s="15">
        <v>0.20458241516779163</v>
      </c>
      <c r="M5084" s="15">
        <v>0.18859255769254846</v>
      </c>
      <c r="N5084" s="15">
        <v>0.18859255769254846</v>
      </c>
      <c r="O5084" s="15">
        <v>0.77501450068809008</v>
      </c>
      <c r="P5084" s="15">
        <v>0.77501450068809008</v>
      </c>
      <c r="Q5084" s="8"/>
      <c r="R5084" s="9" t="s">
        <v>4625</v>
      </c>
    </row>
    <row r="5085" spans="1:18" x14ac:dyDescent="0.25">
      <c r="A5085" s="6" t="str">
        <f>HYPERLINK("proteomic_fractions_linear_files/Yang_linear_img/12963675.jpg", "12963675")</f>
        <v>12963675</v>
      </c>
      <c r="B5085" s="7"/>
      <c r="C5085" s="6" t="str">
        <f>HYPERLINK("http://www.ncbi.nlm.nih.gov/protein/12963675","Ociad1")</f>
        <v>Ociad1</v>
      </c>
      <c r="D5085" s="8"/>
      <c r="E5085" s="8">
        <v>27479</v>
      </c>
      <c r="F5085" s="8"/>
      <c r="G5085" s="15">
        <v>1.5002710445638054</v>
      </c>
      <c r="H5085" s="15">
        <v>1.5002710445638054</v>
      </c>
      <c r="I5085" s="15">
        <v>1.1068669219153011</v>
      </c>
      <c r="J5085" s="15">
        <v>1.1068669219153011</v>
      </c>
      <c r="K5085" s="15">
        <v>1.1068669219153011</v>
      </c>
      <c r="L5085" s="15">
        <v>1.1068669219153011</v>
      </c>
      <c r="M5085" s="15" t="s">
        <v>10</v>
      </c>
      <c r="N5085" s="15" t="s">
        <v>10</v>
      </c>
      <c r="O5085" s="15" t="s">
        <v>10</v>
      </c>
      <c r="P5085" s="15" t="s">
        <v>10</v>
      </c>
      <c r="Q5085" s="8"/>
      <c r="R5085" s="9" t="s">
        <v>4626</v>
      </c>
    </row>
    <row r="5086" spans="1:18" x14ac:dyDescent="0.25">
      <c r="A5086" s="6" t="str">
        <f>HYPERLINK("proteomic_fractions_linear_files/Yang_linear_img/229577356.jpg", "229577356")</f>
        <v>229577356</v>
      </c>
      <c r="B5086" s="7"/>
      <c r="C5086" s="6" t="str">
        <f>HYPERLINK("http://www.ncbi.nlm.nih.gov/protein/229577356","Ociad1")</f>
        <v>Ociad1</v>
      </c>
      <c r="D5086" s="8"/>
      <c r="E5086" s="8">
        <v>21591</v>
      </c>
      <c r="F5086" s="8"/>
      <c r="G5086" s="15">
        <v>1.8412417365101248</v>
      </c>
      <c r="H5086" s="15">
        <v>1.8412417365101248</v>
      </c>
      <c r="I5086" s="15">
        <v>1.3584275859869606</v>
      </c>
      <c r="J5086" s="15">
        <v>1.3584275859869606</v>
      </c>
      <c r="K5086" s="15">
        <v>1.3584275859869606</v>
      </c>
      <c r="L5086" s="15">
        <v>1.3584275859869606</v>
      </c>
      <c r="M5086" s="15" t="s">
        <v>10</v>
      </c>
      <c r="N5086" s="15" t="s">
        <v>10</v>
      </c>
      <c r="O5086" s="15" t="s">
        <v>10</v>
      </c>
      <c r="P5086" s="15" t="s">
        <v>10</v>
      </c>
      <c r="Q5086" s="8"/>
      <c r="R5086" s="9" t="s">
        <v>4627</v>
      </c>
    </row>
    <row r="5087" spans="1:18" x14ac:dyDescent="0.25">
      <c r="A5087" s="6" t="str">
        <f>HYPERLINK("proteomic_fractions_linear_files/Yang_linear_img/229577358.jpg", "229577358")</f>
        <v>229577358</v>
      </c>
      <c r="B5087" s="7"/>
      <c r="C5087" s="6" t="str">
        <f>HYPERLINK("http://www.ncbi.nlm.nih.gov/protein/229577358","Ociad1")</f>
        <v>Ociad1</v>
      </c>
      <c r="D5087" s="8"/>
      <c r="E5087" s="8">
        <v>20717</v>
      </c>
      <c r="F5087" s="8"/>
      <c r="G5087" s="15">
        <v>1.9289199144391784</v>
      </c>
      <c r="H5087" s="15">
        <v>1.9289199144391784</v>
      </c>
      <c r="I5087" s="15">
        <v>1.4231146138911015</v>
      </c>
      <c r="J5087" s="15">
        <v>1.4231146138911015</v>
      </c>
      <c r="K5087" s="15">
        <v>1.4231146138911015</v>
      </c>
      <c r="L5087" s="15">
        <v>1.4231146138911015</v>
      </c>
      <c r="M5087" s="15" t="s">
        <v>10</v>
      </c>
      <c r="N5087" s="15" t="s">
        <v>10</v>
      </c>
      <c r="O5087" s="15" t="s">
        <v>10</v>
      </c>
      <c r="P5087" s="15" t="s">
        <v>10</v>
      </c>
      <c r="Q5087" s="8"/>
      <c r="R5087" s="9" t="s">
        <v>4628</v>
      </c>
    </row>
    <row r="5088" spans="1:18" x14ac:dyDescent="0.25">
      <c r="A5088" s="6" t="str">
        <f>HYPERLINK("proteomic_fractions_linear_files/Yang_linear_img/38348576.jpg", "38348576")</f>
        <v>38348576</v>
      </c>
      <c r="B5088" s="7"/>
      <c r="C5088" s="6" t="str">
        <f>HYPERLINK("http://www.ncbi.nlm.nih.gov/protein/38348576","Odf3l1")</f>
        <v>Odf3l1</v>
      </c>
      <c r="D5088" s="8"/>
      <c r="E5088" s="8">
        <v>30933</v>
      </c>
      <c r="F5088" s="8"/>
      <c r="G5088" s="15">
        <v>0.41120062393347179</v>
      </c>
      <c r="H5088" s="15">
        <v>0.41120062393347179</v>
      </c>
      <c r="I5088" s="15" t="s">
        <v>10</v>
      </c>
      <c r="J5088" s="15" t="s">
        <v>10</v>
      </c>
      <c r="K5088" s="15">
        <v>0.41120062393347179</v>
      </c>
      <c r="L5088" s="15">
        <v>0.41120062393347179</v>
      </c>
      <c r="M5088" s="15" t="s">
        <v>10</v>
      </c>
      <c r="N5088" s="15" t="s">
        <v>10</v>
      </c>
      <c r="O5088" s="15" t="s">
        <v>10</v>
      </c>
      <c r="P5088" s="15" t="s">
        <v>10</v>
      </c>
      <c r="Q5088" s="8"/>
      <c r="R5088" s="9" t="s">
        <v>4629</v>
      </c>
    </row>
    <row r="5089" spans="1:18" x14ac:dyDescent="0.25">
      <c r="A5089" s="6" t="str">
        <f>HYPERLINK("proteomic_fractions_linear_files/Yang_linear_img/225007605.jpg", "225007605")</f>
        <v>225007605</v>
      </c>
      <c r="B5089" s="7"/>
      <c r="C5089" s="6" t="str">
        <f>HYPERLINK("http://www.ncbi.nlm.nih.gov/protein/225007605","Ofd1")</f>
        <v>Ofd1</v>
      </c>
      <c r="D5089" s="8"/>
      <c r="E5089" s="8">
        <v>117502</v>
      </c>
      <c r="F5089" s="8"/>
      <c r="G5089" s="15" t="s">
        <v>10</v>
      </c>
      <c r="H5089" s="15" t="s">
        <v>10</v>
      </c>
      <c r="I5089" s="15" t="s">
        <v>10</v>
      </c>
      <c r="J5089" s="15" t="s">
        <v>10</v>
      </c>
      <c r="K5089" s="15" t="s">
        <v>10</v>
      </c>
      <c r="L5089" s="15" t="s">
        <v>10</v>
      </c>
      <c r="M5089" s="15" t="s">
        <v>10</v>
      </c>
      <c r="N5089" s="15" t="s">
        <v>10</v>
      </c>
      <c r="O5089" s="15">
        <v>0.17455458632759552</v>
      </c>
      <c r="P5089" s="15">
        <v>0.17455458632759552</v>
      </c>
      <c r="Q5089" s="8"/>
      <c r="R5089" s="9" t="s">
        <v>4630</v>
      </c>
    </row>
    <row r="5090" spans="1:18" x14ac:dyDescent="0.25">
      <c r="A5090" s="6" t="str">
        <f>HYPERLINK("proteomic_fractions_linear_files/Yang_linear_img/85861164;356582489.jpg", "85861164;356582489")</f>
        <v>85861164;356582489</v>
      </c>
      <c r="B5090" s="8"/>
      <c r="C5090" s="6" t="str">
        <f>HYPERLINK("http://www.ncbi.nlm.nih.gov/protein/85861164;356582489","Ogdh")</f>
        <v>Ogdh</v>
      </c>
      <c r="D5090" s="8"/>
      <c r="E5090" s="8">
        <v>111840</v>
      </c>
      <c r="F5090" s="8"/>
      <c r="G5090" s="15">
        <v>0.98037110554581663</v>
      </c>
      <c r="H5090" s="15">
        <v>0.98037110554581663</v>
      </c>
      <c r="I5090" s="15">
        <v>0.98037110554581663</v>
      </c>
      <c r="J5090" s="15">
        <v>0.98037110554581663</v>
      </c>
      <c r="K5090" s="15">
        <v>1.1493002512956871</v>
      </c>
      <c r="L5090" s="15">
        <v>1.1493002512956871</v>
      </c>
      <c r="M5090" s="15">
        <v>1.1493002512956871</v>
      </c>
      <c r="N5090" s="15">
        <v>1.1493002512956871</v>
      </c>
      <c r="O5090" s="15" t="s">
        <v>10</v>
      </c>
      <c r="P5090" s="15" t="s">
        <v>10</v>
      </c>
      <c r="Q5090" s="8"/>
      <c r="R5090" s="9" t="s">
        <v>4631</v>
      </c>
    </row>
    <row r="5091" spans="1:18" x14ac:dyDescent="0.25">
      <c r="A5091" s="6" t="str">
        <f>HYPERLINK("proteomic_fractions_linear_files/Yang_linear_img/85861164.jpg", "85861164")</f>
        <v>85861164</v>
      </c>
      <c r="B5091" s="7"/>
      <c r="C5091" s="6" t="str">
        <f>HYPERLINK("http://www.ncbi.nlm.nih.gov/protein/85861164","Ogdh")</f>
        <v>Ogdh</v>
      </c>
      <c r="D5091" s="8"/>
      <c r="E5091" s="8">
        <v>111840</v>
      </c>
      <c r="F5091" s="8"/>
      <c r="G5091" s="15" t="s">
        <v>10</v>
      </c>
      <c r="H5091" s="15" t="s">
        <v>10</v>
      </c>
      <c r="I5091" s="15" t="s">
        <v>10</v>
      </c>
      <c r="J5091" s="15" t="s">
        <v>10</v>
      </c>
      <c r="K5091" s="15" t="s">
        <v>10</v>
      </c>
      <c r="L5091" s="15" t="s">
        <v>10</v>
      </c>
      <c r="M5091" s="15" t="s">
        <v>10</v>
      </c>
      <c r="N5091" s="15" t="s">
        <v>10</v>
      </c>
      <c r="O5091" s="15">
        <v>0.98037110554581663</v>
      </c>
      <c r="P5091" s="15">
        <v>0.98037110554581663</v>
      </c>
      <c r="Q5091" s="8"/>
      <c r="R5091" s="9" t="s">
        <v>4632</v>
      </c>
    </row>
    <row r="5092" spans="1:18" x14ac:dyDescent="0.25">
      <c r="A5092" s="6" t="str">
        <f>HYPERLINK("proteomic_fractions_linear_files/Yang_linear_img/356582477.jpg", "356582477")</f>
        <v>356582477</v>
      </c>
      <c r="B5092" s="7"/>
      <c r="C5092" s="6" t="str">
        <f>HYPERLINK("http://www.ncbi.nlm.nih.gov/protein/356582477","Ogdh")</f>
        <v>Ogdh</v>
      </c>
      <c r="D5092" s="8"/>
      <c r="E5092" s="8">
        <v>113570</v>
      </c>
      <c r="F5092" s="8"/>
      <c r="G5092" s="15">
        <v>0.96317161246606553</v>
      </c>
      <c r="H5092" s="15">
        <v>0.96317161246606553</v>
      </c>
      <c r="I5092" s="15">
        <v>0.96317161246606553</v>
      </c>
      <c r="J5092" s="15">
        <v>0.96317161246606553</v>
      </c>
      <c r="K5092" s="15">
        <v>1.1291370889922541</v>
      </c>
      <c r="L5092" s="15">
        <v>1.1291370889922541</v>
      </c>
      <c r="M5092" s="15">
        <v>1.1291370889922541</v>
      </c>
      <c r="N5092" s="15">
        <v>1.1291370889922541</v>
      </c>
      <c r="O5092" s="15">
        <v>0.96317161246606553</v>
      </c>
      <c r="P5092" s="15">
        <v>0.96317161246606553</v>
      </c>
      <c r="Q5092" s="8"/>
      <c r="R5092" s="9" t="s">
        <v>4633</v>
      </c>
    </row>
    <row r="5093" spans="1:18" x14ac:dyDescent="0.25">
      <c r="A5093" s="6" t="str">
        <f>HYPERLINK("proteomic_fractions_linear_files/Yang_linear_img/356582479.jpg", "356582479")</f>
        <v>356582479</v>
      </c>
      <c r="B5093" s="7"/>
      <c r="C5093" s="6" t="str">
        <f>HYPERLINK("http://www.ncbi.nlm.nih.gov/protein/356582479","Ogdh")</f>
        <v>Ogdh</v>
      </c>
      <c r="D5093" s="8"/>
      <c r="E5093" s="8">
        <v>117627</v>
      </c>
      <c r="F5093" s="8"/>
      <c r="G5093" s="15">
        <v>0.93052172729772431</v>
      </c>
      <c r="H5093" s="15">
        <v>0.93052172729772431</v>
      </c>
      <c r="I5093" s="15">
        <v>0.93052172729772431</v>
      </c>
      <c r="J5093" s="15">
        <v>0.93052172729772431</v>
      </c>
      <c r="K5093" s="15">
        <v>1.0908612554670929</v>
      </c>
      <c r="L5093" s="15">
        <v>1.0908612554670929</v>
      </c>
      <c r="M5093" s="15">
        <v>1.0908612554670929</v>
      </c>
      <c r="N5093" s="15">
        <v>1.0908612554670929</v>
      </c>
      <c r="O5093" s="15">
        <v>0.93052172729772431</v>
      </c>
      <c r="P5093" s="15">
        <v>0.93052172729772431</v>
      </c>
      <c r="Q5093" s="8"/>
      <c r="R5093" s="9" t="s">
        <v>4634</v>
      </c>
    </row>
    <row r="5094" spans="1:18" x14ac:dyDescent="0.25">
      <c r="A5094" s="6" t="str">
        <f>HYPERLINK("proteomic_fractions_linear_files/Yang_linear_img/356582492.jpg", "356582492")</f>
        <v>356582492</v>
      </c>
      <c r="B5094" s="7"/>
      <c r="C5094" s="6" t="str">
        <f>HYPERLINK("http://www.ncbi.nlm.nih.gov/protein/356582492","Ogdh")</f>
        <v>Ogdh</v>
      </c>
      <c r="D5094" s="8"/>
      <c r="E5094" s="8">
        <v>115897</v>
      </c>
      <c r="F5094" s="8"/>
      <c r="G5094" s="15">
        <v>0.94656520535458166</v>
      </c>
      <c r="H5094" s="15">
        <v>0.94656520535458166</v>
      </c>
      <c r="I5094" s="15">
        <v>0.94656520535458166</v>
      </c>
      <c r="J5094" s="15">
        <v>0.94656520535458166</v>
      </c>
      <c r="K5094" s="15">
        <v>1.1096692081475601</v>
      </c>
      <c r="L5094" s="15">
        <v>1.1096692081475601</v>
      </c>
      <c r="M5094" s="15">
        <v>1.1096692081475601</v>
      </c>
      <c r="N5094" s="15">
        <v>1.1096692081475601</v>
      </c>
      <c r="O5094" s="15">
        <v>0.94656520535458166</v>
      </c>
      <c r="P5094" s="15">
        <v>0.94656520535458166</v>
      </c>
      <c r="Q5094" s="8"/>
      <c r="R5094" s="9" t="s">
        <v>4635</v>
      </c>
    </row>
    <row r="5095" spans="1:18" x14ac:dyDescent="0.25">
      <c r="A5095" s="6" t="str">
        <f>HYPERLINK("proteomic_fractions_linear_files/Yang_linear_img/124487483.jpg", "124487483")</f>
        <v>124487483</v>
      </c>
      <c r="B5095" s="7"/>
      <c r="C5095" s="6" t="str">
        <f>HYPERLINK("http://www.ncbi.nlm.nih.gov/protein/124487483","Ogdhl")</f>
        <v>Ogdhl</v>
      </c>
      <c r="D5095" s="8"/>
      <c r="E5095" s="8">
        <v>116469</v>
      </c>
      <c r="F5095" s="8"/>
      <c r="G5095" s="15">
        <v>3.5262375667193084</v>
      </c>
      <c r="H5095" s="15">
        <v>3.5262375667193084</v>
      </c>
      <c r="I5095" s="15">
        <v>0.94656520535458166</v>
      </c>
      <c r="J5095" s="15">
        <v>0.94656520535458166</v>
      </c>
      <c r="K5095" s="15">
        <v>1.1096692081475601</v>
      </c>
      <c r="L5095" s="15">
        <v>1.1096692081475601</v>
      </c>
      <c r="M5095" s="15" t="s">
        <v>10</v>
      </c>
      <c r="N5095" s="15" t="s">
        <v>10</v>
      </c>
      <c r="O5095" s="15">
        <v>0.94656520535458166</v>
      </c>
      <c r="P5095" s="15">
        <v>0.94656520535458166</v>
      </c>
      <c r="Q5095" s="8"/>
      <c r="R5095" s="9" t="s">
        <v>4636</v>
      </c>
    </row>
    <row r="5096" spans="1:18" x14ac:dyDescent="0.25">
      <c r="A5096" s="6" t="str">
        <f>HYPERLINK("proteomic_fractions_linear_files/Yang_linear_img/147901538.jpg", "147901538")</f>
        <v>147901538</v>
      </c>
      <c r="B5096" s="7"/>
      <c r="C5096" s="6" t="str">
        <f>HYPERLINK("http://www.ncbi.nlm.nih.gov/protein/147901538","Ogfod1")</f>
        <v>Ogfod1</v>
      </c>
      <c r="D5096" s="8"/>
      <c r="E5096" s="8">
        <v>62603</v>
      </c>
      <c r="F5096" s="8"/>
      <c r="G5096" s="15" t="s">
        <v>10</v>
      </c>
      <c r="H5096" s="15" t="s">
        <v>10</v>
      </c>
      <c r="I5096" s="15" t="s">
        <v>10</v>
      </c>
      <c r="J5096" s="15" t="s">
        <v>10</v>
      </c>
      <c r="K5096" s="15" t="s">
        <v>10</v>
      </c>
      <c r="L5096" s="15" t="s">
        <v>10</v>
      </c>
      <c r="M5096" s="15">
        <v>1.1656533371695594</v>
      </c>
      <c r="N5096" s="15">
        <v>1.1656533371695594</v>
      </c>
      <c r="O5096" s="15">
        <v>1.038940687786418</v>
      </c>
      <c r="P5096" s="15">
        <v>1.038940687786418</v>
      </c>
      <c r="Q5096" s="8"/>
      <c r="R5096" s="9" t="s">
        <v>4637</v>
      </c>
    </row>
    <row r="5097" spans="1:18" x14ac:dyDescent="0.25">
      <c r="A5097" s="6" t="str">
        <f>HYPERLINK("proteomic_fractions_linear_files/Yang_linear_img/148224284.jpg", "148224284")</f>
        <v>148224284</v>
      </c>
      <c r="B5097" s="7"/>
      <c r="C5097" s="6" t="str">
        <f>HYPERLINK("http://www.ncbi.nlm.nih.gov/protein/148224284","Ogfod1")</f>
        <v>Ogfod1</v>
      </c>
      <c r="D5097" s="8"/>
      <c r="E5097" s="8">
        <v>57723</v>
      </c>
      <c r="F5097" s="8"/>
      <c r="G5097" s="15" t="s">
        <v>10</v>
      </c>
      <c r="H5097" s="15" t="s">
        <v>10</v>
      </c>
      <c r="I5097" s="15" t="s">
        <v>10</v>
      </c>
      <c r="J5097" s="15" t="s">
        <v>10</v>
      </c>
      <c r="K5097" s="15" t="s">
        <v>10</v>
      </c>
      <c r="L5097" s="15" t="s">
        <v>10</v>
      </c>
      <c r="M5097" s="15">
        <v>1.2661406938221076</v>
      </c>
      <c r="N5097" s="15">
        <v>1.2661406938221076</v>
      </c>
      <c r="O5097" s="15">
        <v>1.1285045401817988</v>
      </c>
      <c r="P5097" s="15">
        <v>1.1285045401817988</v>
      </c>
      <c r="Q5097" s="8"/>
      <c r="R5097" s="9" t="s">
        <v>4638</v>
      </c>
    </row>
    <row r="5098" spans="1:18" x14ac:dyDescent="0.25">
      <c r="A5098" s="6" t="str">
        <f>HYPERLINK("proteomic_fractions_linear_files/Yang_linear_img/258679484.jpg", "258679484")</f>
        <v>258679484</v>
      </c>
      <c r="B5098" s="7"/>
      <c r="C5098" s="6" t="str">
        <f>HYPERLINK("http://www.ncbi.nlm.nih.gov/protein/258679484","Ogfr")</f>
        <v>Ogfr</v>
      </c>
      <c r="D5098" s="8"/>
      <c r="E5098" s="8">
        <v>70548</v>
      </c>
      <c r="F5098" s="8"/>
      <c r="G5098" s="15" t="s">
        <v>10</v>
      </c>
      <c r="H5098" s="15" t="s">
        <v>10</v>
      </c>
      <c r="I5098" s="15" t="s">
        <v>10</v>
      </c>
      <c r="J5098" s="15" t="s">
        <v>10</v>
      </c>
      <c r="K5098" s="15" t="s">
        <v>10</v>
      </c>
      <c r="L5098" s="15" t="s">
        <v>10</v>
      </c>
      <c r="M5098" s="15" t="s">
        <v>10</v>
      </c>
      <c r="N5098" s="15" t="s">
        <v>10</v>
      </c>
      <c r="O5098" s="15">
        <v>1.5465008988891755</v>
      </c>
      <c r="P5098" s="15">
        <v>1.5465008988891755</v>
      </c>
      <c r="Q5098" s="8"/>
      <c r="R5098" s="9" t="s">
        <v>4639</v>
      </c>
    </row>
    <row r="5099" spans="1:18" x14ac:dyDescent="0.25">
      <c r="A5099" s="6" t="str">
        <f>HYPERLINK("proteomic_fractions_linear_files/Yang_linear_img/46909607.jpg", "46909607")</f>
        <v>46909607</v>
      </c>
      <c r="B5099" s="7"/>
      <c r="C5099" s="6" t="str">
        <f>HYPERLINK("http://www.ncbi.nlm.nih.gov/protein/46909607","Ogt")</f>
        <v>Ogt</v>
      </c>
      <c r="D5099" s="8"/>
      <c r="E5099" s="8">
        <v>116821</v>
      </c>
      <c r="F5099" s="8"/>
      <c r="G5099" s="15">
        <v>3.496098784097776</v>
      </c>
      <c r="H5099" s="15">
        <v>3.496098784097776</v>
      </c>
      <c r="I5099" s="15">
        <v>0.93847490445411508</v>
      </c>
      <c r="J5099" s="15">
        <v>0.93847490445411508</v>
      </c>
      <c r="K5099" s="15">
        <v>1.1001848559411707</v>
      </c>
      <c r="L5099" s="15">
        <v>1.1001848559411707</v>
      </c>
      <c r="M5099" s="15">
        <v>1.1001848559411707</v>
      </c>
      <c r="N5099" s="15">
        <v>1.1001848559411707</v>
      </c>
      <c r="O5099" s="15">
        <v>1.1001848559411707</v>
      </c>
      <c r="P5099" s="15">
        <v>1.1001848559411707</v>
      </c>
      <c r="Q5099" s="8"/>
      <c r="R5099" s="9" t="s">
        <v>4640</v>
      </c>
    </row>
    <row r="5100" spans="1:18" x14ac:dyDescent="0.25">
      <c r="A5100" s="6" t="str">
        <f>HYPERLINK("proteomic_fractions_linear_files/Yang_linear_img/22164770.jpg", "22164770")</f>
        <v>22164770</v>
      </c>
      <c r="B5100" s="7"/>
      <c r="C5100" s="6" t="str">
        <f>HYPERLINK("http://www.ncbi.nlm.nih.gov/protein/22164770","Oit1")</f>
        <v>Oit1</v>
      </c>
      <c r="D5100" s="8"/>
      <c r="E5100" s="8">
        <v>22051</v>
      </c>
      <c r="F5100" s="8"/>
      <c r="G5100" s="15" t="s">
        <v>10</v>
      </c>
      <c r="H5100" s="15" t="s">
        <v>10</v>
      </c>
      <c r="I5100" s="15">
        <v>1.0504351533962475</v>
      </c>
      <c r="J5100" s="15">
        <v>1.0504351533962475</v>
      </c>
      <c r="K5100" s="15" t="s">
        <v>10</v>
      </c>
      <c r="L5100" s="15" t="s">
        <v>10</v>
      </c>
      <c r="M5100" s="15" t="s">
        <v>10</v>
      </c>
      <c r="N5100" s="15" t="s">
        <v>10</v>
      </c>
      <c r="O5100" s="15" t="s">
        <v>10</v>
      </c>
      <c r="P5100" s="15" t="s">
        <v>10</v>
      </c>
      <c r="Q5100" s="8"/>
      <c r="R5100" s="9" t="s">
        <v>4641</v>
      </c>
    </row>
    <row r="5101" spans="1:18" x14ac:dyDescent="0.25">
      <c r="A5101" s="6" t="str">
        <f>HYPERLINK("proteomic_fractions_linear_files/Yang_linear_img/21313144.jpg", "21313144")</f>
        <v>21313144</v>
      </c>
      <c r="B5101" s="7"/>
      <c r="C5101" s="6" t="str">
        <f>HYPERLINK("http://www.ncbi.nlm.nih.gov/protein/21313144","Ola1")</f>
        <v>Ola1</v>
      </c>
      <c r="D5101" s="8"/>
      <c r="E5101" s="8">
        <v>44599</v>
      </c>
      <c r="F5101" s="8"/>
      <c r="G5101" s="15">
        <v>1.3060712796798635</v>
      </c>
      <c r="H5101" s="15">
        <v>1.3060712796798635</v>
      </c>
      <c r="I5101" s="15">
        <v>0.98056864993256598</v>
      </c>
      <c r="J5101" s="15">
        <v>0.98056864993256598</v>
      </c>
      <c r="K5101" s="15">
        <v>0.98056864993256598</v>
      </c>
      <c r="L5101" s="15">
        <v>0.98056864993256598</v>
      </c>
      <c r="M5101" s="15">
        <v>0.98056864993256598</v>
      </c>
      <c r="N5101" s="15">
        <v>0.98056864993256598</v>
      </c>
      <c r="O5101" s="15">
        <v>0.90016262673828318</v>
      </c>
      <c r="P5101" s="15">
        <v>0.90016262673828318</v>
      </c>
      <c r="Q5101" s="8"/>
      <c r="R5101" s="9" t="s">
        <v>4642</v>
      </c>
    </row>
    <row r="5102" spans="1:18" x14ac:dyDescent="0.25">
      <c r="A5102" s="6" t="str">
        <f>HYPERLINK("proteomic_fractions_linear_files/Yang_linear_img/76677915.jpg", "76677915")</f>
        <v>76677915</v>
      </c>
      <c r="B5102" s="7"/>
      <c r="C5102" s="6" t="str">
        <f>HYPERLINK("http://www.ncbi.nlm.nih.gov/protein/76677915","Ola1")</f>
        <v>Ola1</v>
      </c>
      <c r="D5102" s="8"/>
      <c r="E5102" s="8">
        <v>30245</v>
      </c>
      <c r="F5102" s="8"/>
      <c r="G5102" s="15">
        <v>1.959106919519795</v>
      </c>
      <c r="H5102" s="15">
        <v>1.959106919519795</v>
      </c>
      <c r="I5102" s="15">
        <v>1.470852974898849</v>
      </c>
      <c r="J5102" s="15">
        <v>1.470852974898849</v>
      </c>
      <c r="K5102" s="15">
        <v>1.470852974898849</v>
      </c>
      <c r="L5102" s="15">
        <v>1.470852974898849</v>
      </c>
      <c r="M5102" s="15">
        <v>1.470852974898849</v>
      </c>
      <c r="N5102" s="15">
        <v>1.470852974898849</v>
      </c>
      <c r="O5102" s="15">
        <v>1.2447108807708198</v>
      </c>
      <c r="P5102" s="15">
        <v>1.2447108807708198</v>
      </c>
      <c r="Q5102" s="8"/>
      <c r="R5102" s="9" t="s">
        <v>4643</v>
      </c>
    </row>
    <row r="5103" spans="1:18" x14ac:dyDescent="0.25">
      <c r="A5103" s="6" t="str">
        <f>HYPERLINK("proteomic_fractions_linear_files/Yang_linear_img/121583683.jpg", "121583683")</f>
        <v>121583683</v>
      </c>
      <c r="B5103" s="7"/>
      <c r="C5103" s="6" t="str">
        <f>HYPERLINK("http://www.ncbi.nlm.nih.gov/protein/121583683","Olfr1126")</f>
        <v>Olfr1126</v>
      </c>
      <c r="D5103" s="8"/>
      <c r="E5103" s="8">
        <v>34905</v>
      </c>
      <c r="F5103" s="8"/>
      <c r="G5103" s="15" t="s">
        <v>10</v>
      </c>
      <c r="H5103" s="15" t="s">
        <v>10</v>
      </c>
      <c r="I5103" s="15" t="s">
        <v>10</v>
      </c>
      <c r="J5103" s="15" t="s">
        <v>10</v>
      </c>
      <c r="K5103" s="15" t="s">
        <v>10</v>
      </c>
      <c r="L5103" s="15" t="s">
        <v>10</v>
      </c>
      <c r="M5103" s="15" t="s">
        <v>10</v>
      </c>
      <c r="N5103" s="15" t="s">
        <v>10</v>
      </c>
      <c r="O5103" s="15">
        <v>3.1371875377466134</v>
      </c>
      <c r="P5103" s="15">
        <v>3.1371875377466134</v>
      </c>
      <c r="Q5103" s="8"/>
      <c r="R5103" s="9" t="s">
        <v>4644</v>
      </c>
    </row>
    <row r="5104" spans="1:18" x14ac:dyDescent="0.25">
      <c r="A5104" s="6" t="str">
        <f>HYPERLINK("proteomic_fractions_linear_files/Yang_linear_img/22129387.jpg", "22129387")</f>
        <v>22129387</v>
      </c>
      <c r="B5104" s="7"/>
      <c r="C5104" s="6" t="str">
        <f>HYPERLINK("http://www.ncbi.nlm.nih.gov/protein/22129387","Olfr516")</f>
        <v>Olfr516</v>
      </c>
      <c r="D5104" s="8"/>
      <c r="E5104" s="8">
        <v>35525</v>
      </c>
      <c r="F5104" s="8"/>
      <c r="G5104" s="15" t="s">
        <v>10</v>
      </c>
      <c r="H5104" s="15" t="s">
        <v>10</v>
      </c>
      <c r="I5104" s="15">
        <v>6.4822457674402516</v>
      </c>
      <c r="J5104" s="15">
        <v>6.4822457674402516</v>
      </c>
      <c r="K5104" s="15" t="s">
        <v>10</v>
      </c>
      <c r="L5104" s="15" t="s">
        <v>10</v>
      </c>
      <c r="M5104" s="15" t="s">
        <v>10</v>
      </c>
      <c r="N5104" s="15" t="s">
        <v>10</v>
      </c>
      <c r="O5104" s="15" t="s">
        <v>10</v>
      </c>
      <c r="P5104" s="15" t="s">
        <v>10</v>
      </c>
      <c r="Q5104" s="8"/>
      <c r="R5104" s="9" t="s">
        <v>4645</v>
      </c>
    </row>
    <row r="5105" spans="1:18" x14ac:dyDescent="0.25">
      <c r="A5105" s="6" t="str">
        <f>HYPERLINK("proteomic_fractions_linear_files/Yang_linear_img/22129679.jpg", "22129679")</f>
        <v>22129679</v>
      </c>
      <c r="B5105" s="7"/>
      <c r="C5105" s="6" t="str">
        <f>HYPERLINK("http://www.ncbi.nlm.nih.gov/protein/22129679","Olfr518")</f>
        <v>Olfr518</v>
      </c>
      <c r="D5105" s="8"/>
      <c r="E5105" s="8">
        <v>37167</v>
      </c>
      <c r="F5105" s="8"/>
      <c r="G5105" s="15" t="s">
        <v>10</v>
      </c>
      <c r="H5105" s="15" t="s">
        <v>10</v>
      </c>
      <c r="I5105" s="15">
        <v>6.3070499358878127</v>
      </c>
      <c r="J5105" s="15">
        <v>6.3070499358878127</v>
      </c>
      <c r="K5105" s="15" t="s">
        <v>10</v>
      </c>
      <c r="L5105" s="15" t="s">
        <v>10</v>
      </c>
      <c r="M5105" s="15" t="s">
        <v>10</v>
      </c>
      <c r="N5105" s="15" t="s">
        <v>10</v>
      </c>
      <c r="O5105" s="15" t="s">
        <v>10</v>
      </c>
      <c r="P5105" s="15" t="s">
        <v>10</v>
      </c>
      <c r="Q5105" s="8"/>
      <c r="R5105" s="9" t="s">
        <v>4646</v>
      </c>
    </row>
    <row r="5106" spans="1:18" x14ac:dyDescent="0.25">
      <c r="A5106" s="6" t="str">
        <f>HYPERLINK("proteomic_fractions_linear_files/Yang_linear_img/121247462.jpg", "121247462")</f>
        <v>121247462</v>
      </c>
      <c r="B5106" s="7"/>
      <c r="C5106" s="6" t="str">
        <f>HYPERLINK("http://www.ncbi.nlm.nih.gov/protein/121247462","Olfr554")</f>
        <v>Olfr554</v>
      </c>
      <c r="D5106" s="8"/>
      <c r="E5106" s="8">
        <v>34854</v>
      </c>
      <c r="F5106" s="8"/>
      <c r="G5106" s="15" t="s">
        <v>10</v>
      </c>
      <c r="H5106" s="15" t="s">
        <v>10</v>
      </c>
      <c r="I5106" s="15" t="s">
        <v>10</v>
      </c>
      <c r="J5106" s="15" t="s">
        <v>10</v>
      </c>
      <c r="K5106" s="15">
        <v>2.7133708909309862</v>
      </c>
      <c r="L5106" s="15">
        <v>2.7133708909309862</v>
      </c>
      <c r="M5106" s="15">
        <v>1.0668950406607027</v>
      </c>
      <c r="N5106" s="15">
        <v>1.0668950406607027</v>
      </c>
      <c r="O5106" s="15" t="s">
        <v>10</v>
      </c>
      <c r="P5106" s="15" t="s">
        <v>10</v>
      </c>
      <c r="Q5106" s="8"/>
      <c r="R5106" s="9" t="s">
        <v>4647</v>
      </c>
    </row>
    <row r="5107" spans="1:18" x14ac:dyDescent="0.25">
      <c r="A5107" s="6" t="str">
        <f>HYPERLINK("proteomic_fractions_linear_files/Yang_linear_img/22128813.jpg", "22128813")</f>
        <v>22128813</v>
      </c>
      <c r="B5107" s="7"/>
      <c r="C5107" s="6" t="str">
        <f>HYPERLINK("http://www.ncbi.nlm.nih.gov/protein/22128813","Olfr643")</f>
        <v>Olfr643</v>
      </c>
      <c r="D5107" s="8"/>
      <c r="E5107" s="8">
        <v>35384</v>
      </c>
      <c r="F5107" s="8"/>
      <c r="G5107" s="15" t="s">
        <v>10</v>
      </c>
      <c r="H5107" s="15" t="s">
        <v>10</v>
      </c>
      <c r="I5107" s="15" t="s">
        <v>10</v>
      </c>
      <c r="J5107" s="15" t="s">
        <v>10</v>
      </c>
      <c r="K5107" s="15" t="s">
        <v>10</v>
      </c>
      <c r="L5107" s="15" t="s">
        <v>10</v>
      </c>
      <c r="M5107" s="15" t="s">
        <v>10</v>
      </c>
      <c r="N5107" s="15" t="s">
        <v>10</v>
      </c>
      <c r="O5107" s="15">
        <v>8.6223807038999656</v>
      </c>
      <c r="P5107" s="15">
        <v>8.6223807038999656</v>
      </c>
      <c r="Q5107" s="8"/>
      <c r="R5107" s="9" t="s">
        <v>4648</v>
      </c>
    </row>
    <row r="5108" spans="1:18" x14ac:dyDescent="0.25">
      <c r="A5108" s="6" t="str">
        <f>HYPERLINK("proteomic_fractions_linear_files/Yang_linear_img/120407031.jpg", "120407031")</f>
        <v>120407031</v>
      </c>
      <c r="B5108" s="7"/>
      <c r="C5108" s="6" t="str">
        <f>HYPERLINK("http://www.ncbi.nlm.nih.gov/protein/120407031","Olfr67")</f>
        <v>Olfr67</v>
      </c>
      <c r="D5108" s="8"/>
      <c r="E5108" s="8">
        <v>35931</v>
      </c>
      <c r="F5108" s="8"/>
      <c r="G5108" s="15" t="s">
        <v>10</v>
      </c>
      <c r="H5108" s="15" t="s">
        <v>10</v>
      </c>
      <c r="I5108" s="15" t="s">
        <v>10</v>
      </c>
      <c r="J5108" s="15" t="s">
        <v>10</v>
      </c>
      <c r="K5108" s="15">
        <v>0.46434651446130615</v>
      </c>
      <c r="L5108" s="15">
        <v>0.46434651446130615</v>
      </c>
      <c r="M5108" s="15" t="s">
        <v>10</v>
      </c>
      <c r="N5108" s="15" t="s">
        <v>10</v>
      </c>
      <c r="O5108" s="15" t="s">
        <v>10</v>
      </c>
      <c r="P5108" s="15" t="s">
        <v>10</v>
      </c>
      <c r="Q5108" s="8"/>
      <c r="R5108" s="9" t="s">
        <v>4649</v>
      </c>
    </row>
    <row r="5109" spans="1:18" x14ac:dyDescent="0.25">
      <c r="A5109" s="6" t="str">
        <f>HYPERLINK("proteomic_fractions_linear_files/Yang_linear_img/33239332.jpg", "33239332")</f>
        <v>33239332</v>
      </c>
      <c r="B5109" s="7"/>
      <c r="C5109" s="6" t="str">
        <f>HYPERLINK("http://www.ncbi.nlm.nih.gov/protein/33239332","Olfr810")</f>
        <v>Olfr810</v>
      </c>
      <c r="D5109" s="8"/>
      <c r="E5109" s="8">
        <v>35030</v>
      </c>
      <c r="F5109" s="8"/>
      <c r="G5109" s="15" t="s">
        <v>10</v>
      </c>
      <c r="H5109" s="15" t="s">
        <v>10</v>
      </c>
      <c r="I5109" s="15" t="s">
        <v>10</v>
      </c>
      <c r="J5109" s="15" t="s">
        <v>10</v>
      </c>
      <c r="K5109" s="15" t="s">
        <v>10</v>
      </c>
      <c r="L5109" s="15" t="s">
        <v>10</v>
      </c>
      <c r="M5109" s="15" t="s">
        <v>10</v>
      </c>
      <c r="N5109" s="15" t="s">
        <v>10</v>
      </c>
      <c r="O5109" s="15">
        <v>1.6792345024455386</v>
      </c>
      <c r="P5109" s="15">
        <v>1.6792345024455386</v>
      </c>
      <c r="Q5109" s="8"/>
      <c r="R5109" s="9" t="s">
        <v>4650</v>
      </c>
    </row>
    <row r="5110" spans="1:18" x14ac:dyDescent="0.25">
      <c r="A5110" s="6" t="str">
        <f>HYPERLINK("proteomic_fractions_linear_files/Yang_linear_img/33239334.jpg", "33239334")</f>
        <v>33239334</v>
      </c>
      <c r="B5110" s="7"/>
      <c r="C5110" s="6" t="str">
        <f>HYPERLINK("http://www.ncbi.nlm.nih.gov/protein/33239334","Olfr816")</f>
        <v>Olfr816</v>
      </c>
      <c r="D5110" s="8"/>
      <c r="E5110" s="8">
        <v>34992</v>
      </c>
      <c r="F5110" s="8"/>
      <c r="G5110" s="15" t="s">
        <v>10</v>
      </c>
      <c r="H5110" s="15" t="s">
        <v>10</v>
      </c>
      <c r="I5110" s="15" t="s">
        <v>10</v>
      </c>
      <c r="J5110" s="15" t="s">
        <v>10</v>
      </c>
      <c r="K5110" s="15" t="s">
        <v>10</v>
      </c>
      <c r="L5110" s="15" t="s">
        <v>10</v>
      </c>
      <c r="M5110" s="15" t="s">
        <v>10</v>
      </c>
      <c r="N5110" s="15" t="s">
        <v>10</v>
      </c>
      <c r="O5110" s="15">
        <v>1.6792345024455386</v>
      </c>
      <c r="P5110" s="15">
        <v>1.6792345024455386</v>
      </c>
      <c r="Q5110" s="8"/>
      <c r="R5110" s="9" t="s">
        <v>4651</v>
      </c>
    </row>
    <row r="5111" spans="1:18" x14ac:dyDescent="0.25">
      <c r="A5111" s="6" t="str">
        <f>HYPERLINK("proteomic_fractions_linear_files/Yang_linear_img/33239336.jpg", "33239336")</f>
        <v>33239336</v>
      </c>
      <c r="B5111" s="7"/>
      <c r="C5111" s="6" t="str">
        <f>HYPERLINK("http://www.ncbi.nlm.nih.gov/protein/33239336","Olfr822")</f>
        <v>Olfr822</v>
      </c>
      <c r="D5111" s="8"/>
      <c r="E5111" s="8">
        <v>35104</v>
      </c>
      <c r="F5111" s="8"/>
      <c r="G5111" s="15" t="s">
        <v>10</v>
      </c>
      <c r="H5111" s="15" t="s">
        <v>10</v>
      </c>
      <c r="I5111" s="15" t="s">
        <v>10</v>
      </c>
      <c r="J5111" s="15" t="s">
        <v>10</v>
      </c>
      <c r="K5111" s="15" t="s">
        <v>10</v>
      </c>
      <c r="L5111" s="15" t="s">
        <v>10</v>
      </c>
      <c r="M5111" s="15" t="s">
        <v>10</v>
      </c>
      <c r="N5111" s="15" t="s">
        <v>10</v>
      </c>
      <c r="O5111" s="15">
        <v>1.6792345024455386</v>
      </c>
      <c r="P5111" s="15">
        <v>1.6792345024455386</v>
      </c>
      <c r="Q5111" s="8"/>
      <c r="R5111" s="9" t="s">
        <v>4652</v>
      </c>
    </row>
    <row r="5112" spans="1:18" x14ac:dyDescent="0.25">
      <c r="A5112" s="6" t="str">
        <f>HYPERLINK("proteomic_fractions_linear_files/Yang_linear_img/22380661.jpg", "22380661")</f>
        <v>22380661</v>
      </c>
      <c r="B5112" s="7"/>
      <c r="C5112" s="6" t="str">
        <f>HYPERLINK("http://www.ncbi.nlm.nih.gov/protein/22380661","Olfr870")</f>
        <v>Olfr870</v>
      </c>
      <c r="D5112" s="8"/>
      <c r="E5112" s="8">
        <v>34892</v>
      </c>
      <c r="F5112" s="8"/>
      <c r="G5112" s="15" t="s">
        <v>10</v>
      </c>
      <c r="H5112" s="15" t="s">
        <v>10</v>
      </c>
      <c r="I5112" s="15" t="s">
        <v>10</v>
      </c>
      <c r="J5112" s="15" t="s">
        <v>10</v>
      </c>
      <c r="K5112" s="15">
        <v>5.3361666182840102</v>
      </c>
      <c r="L5112" s="15">
        <v>5.3361666182840102</v>
      </c>
      <c r="M5112" s="15" t="s">
        <v>10</v>
      </c>
      <c r="N5112" s="15" t="s">
        <v>10</v>
      </c>
      <c r="O5112" s="15" t="s">
        <v>10</v>
      </c>
      <c r="P5112" s="15" t="s">
        <v>10</v>
      </c>
      <c r="Q5112" s="8"/>
      <c r="R5112" s="9" t="s">
        <v>4653</v>
      </c>
    </row>
    <row r="5113" spans="1:18" x14ac:dyDescent="0.25">
      <c r="A5113" s="6" t="str">
        <f>HYPERLINK("proteomic_fractions_linear_files/Yang_linear_img/257196219.jpg", "257196219")</f>
        <v>257196219</v>
      </c>
      <c r="B5113" s="7"/>
      <c r="C5113" s="6" t="str">
        <f>HYPERLINK("http://www.ncbi.nlm.nih.gov/protein/257196219","Olfr871")</f>
        <v>Olfr871</v>
      </c>
      <c r="D5113" s="8"/>
      <c r="E5113" s="8">
        <v>34875</v>
      </c>
      <c r="F5113" s="8"/>
      <c r="G5113" s="15" t="s">
        <v>10</v>
      </c>
      <c r="H5113" s="15" t="s">
        <v>10</v>
      </c>
      <c r="I5113" s="15" t="s">
        <v>10</v>
      </c>
      <c r="J5113" s="15" t="s">
        <v>10</v>
      </c>
      <c r="K5113" s="15">
        <v>5.3361666182840102</v>
      </c>
      <c r="L5113" s="15">
        <v>5.3361666182840102</v>
      </c>
      <c r="M5113" s="15" t="s">
        <v>10</v>
      </c>
      <c r="N5113" s="15" t="s">
        <v>10</v>
      </c>
      <c r="O5113" s="15" t="s">
        <v>10</v>
      </c>
      <c r="P5113" s="15" t="s">
        <v>10</v>
      </c>
      <c r="Q5113" s="8"/>
      <c r="R5113" s="9" t="s">
        <v>4654</v>
      </c>
    </row>
    <row r="5114" spans="1:18" x14ac:dyDescent="0.25">
      <c r="A5114" s="6" t="str">
        <f>HYPERLINK("proteomic_fractions_linear_files/Yang_linear_img/289629197.jpg", "289629197")</f>
        <v>289629197</v>
      </c>
      <c r="B5114" s="7"/>
      <c r="C5114" s="6" t="str">
        <f>HYPERLINK("http://www.ncbi.nlm.nih.gov/protein/289629197","Olfr923")</f>
        <v>Olfr923</v>
      </c>
      <c r="D5114" s="8"/>
      <c r="E5114" s="8">
        <v>35768</v>
      </c>
      <c r="F5114" s="8"/>
      <c r="G5114" s="15" t="s">
        <v>10</v>
      </c>
      <c r="H5114" s="15" t="s">
        <v>10</v>
      </c>
      <c r="I5114" s="15">
        <v>3.050043439475874</v>
      </c>
      <c r="J5114" s="15">
        <v>3.050043439475874</v>
      </c>
      <c r="K5114" s="15" t="s">
        <v>10</v>
      </c>
      <c r="L5114" s="15" t="s">
        <v>10</v>
      </c>
      <c r="M5114" s="15" t="s">
        <v>10</v>
      </c>
      <c r="N5114" s="15" t="s">
        <v>10</v>
      </c>
      <c r="O5114" s="15" t="s">
        <v>10</v>
      </c>
      <c r="P5114" s="15" t="s">
        <v>10</v>
      </c>
      <c r="Q5114" s="8"/>
      <c r="R5114" s="9" t="s">
        <v>4655</v>
      </c>
    </row>
    <row r="5115" spans="1:18" x14ac:dyDescent="0.25">
      <c r="A5115" s="6" t="str">
        <f>HYPERLINK("proteomic_fractions_linear_files/Yang_linear_img/19526960.jpg", "19526960")</f>
        <v>19526960</v>
      </c>
      <c r="B5115" s="7"/>
      <c r="C5115" s="6" t="str">
        <f>HYPERLINK("http://www.ncbi.nlm.nih.gov/protein/19526960","Opa1")</f>
        <v>Opa1</v>
      </c>
      <c r="D5115" s="8"/>
      <c r="E5115" s="8">
        <v>101277</v>
      </c>
      <c r="F5115" s="8"/>
      <c r="G5115" s="15" t="s">
        <v>10</v>
      </c>
      <c r="H5115" s="15" t="s">
        <v>10</v>
      </c>
      <c r="I5115" s="15">
        <v>0.94027704141172785</v>
      </c>
      <c r="J5115" s="15">
        <v>0.94027704141172785</v>
      </c>
      <c r="K5115" s="15" t="s">
        <v>10</v>
      </c>
      <c r="L5115" s="15" t="s">
        <v>10</v>
      </c>
      <c r="M5115" s="15" t="s">
        <v>10</v>
      </c>
      <c r="N5115" s="15" t="s">
        <v>10</v>
      </c>
      <c r="O5115" s="15" t="s">
        <v>10</v>
      </c>
      <c r="P5115" s="15" t="s">
        <v>10</v>
      </c>
      <c r="Q5115" s="8"/>
      <c r="R5115" s="9" t="s">
        <v>4656</v>
      </c>
    </row>
    <row r="5116" spans="1:18" x14ac:dyDescent="0.25">
      <c r="A5116" s="6" t="str">
        <f>HYPERLINK("proteomic_fractions_linear_files/Yang_linear_img/312836758.jpg", "312836758")</f>
        <v>312836758</v>
      </c>
      <c r="B5116" s="7"/>
      <c r="C5116" s="6" t="str">
        <f>HYPERLINK("http://www.ncbi.nlm.nih.gov/protein/312836758","Opa1")</f>
        <v>Opa1</v>
      </c>
      <c r="D5116" s="8"/>
      <c r="E5116" s="8">
        <v>103168</v>
      </c>
      <c r="F5116" s="8"/>
      <c r="G5116" s="15" t="s">
        <v>10</v>
      </c>
      <c r="H5116" s="15" t="s">
        <v>10</v>
      </c>
      <c r="I5116" s="15">
        <v>0.92201923478237391</v>
      </c>
      <c r="J5116" s="15">
        <v>0.92201923478237391</v>
      </c>
      <c r="K5116" s="15" t="s">
        <v>10</v>
      </c>
      <c r="L5116" s="15" t="s">
        <v>10</v>
      </c>
      <c r="M5116" s="15" t="s">
        <v>10</v>
      </c>
      <c r="N5116" s="15" t="s">
        <v>10</v>
      </c>
      <c r="O5116" s="15" t="s">
        <v>10</v>
      </c>
      <c r="P5116" s="15" t="s">
        <v>10</v>
      </c>
      <c r="Q5116" s="8"/>
      <c r="R5116" s="9" t="s">
        <v>4657</v>
      </c>
    </row>
    <row r="5117" spans="1:18" x14ac:dyDescent="0.25">
      <c r="A5117" s="6" t="str">
        <f>HYPERLINK("proteomic_fractions_linear_files/Yang_linear_img/110625722.jpg", "110625722")</f>
        <v>110625722</v>
      </c>
      <c r="B5117" s="7"/>
      <c r="C5117" s="6" t="str">
        <f>HYPERLINK("http://www.ncbi.nlm.nih.gov/protein/110625722","Opa3")</f>
        <v>Opa3</v>
      </c>
      <c r="D5117" s="8"/>
      <c r="E5117" s="8">
        <v>19979</v>
      </c>
      <c r="F5117" s="8"/>
      <c r="G5117" s="15" t="s">
        <v>10</v>
      </c>
      <c r="H5117" s="15" t="s">
        <v>10</v>
      </c>
      <c r="I5117" s="15">
        <v>0.92476495822820426</v>
      </c>
      <c r="J5117" s="15">
        <v>0.92476495822820426</v>
      </c>
      <c r="K5117" s="15" t="s">
        <v>10</v>
      </c>
      <c r="L5117" s="15" t="s">
        <v>10</v>
      </c>
      <c r="M5117" s="15" t="s">
        <v>10</v>
      </c>
      <c r="N5117" s="15" t="s">
        <v>10</v>
      </c>
      <c r="O5117" s="15" t="s">
        <v>10</v>
      </c>
      <c r="P5117" s="15" t="s">
        <v>10</v>
      </c>
      <c r="Q5117" s="8"/>
      <c r="R5117" s="9" t="s">
        <v>4658</v>
      </c>
    </row>
    <row r="5118" spans="1:18" x14ac:dyDescent="0.25">
      <c r="A5118" s="6" t="str">
        <f>HYPERLINK("proteomic_fractions_linear_files/Yang_linear_img/32469491.jpg", "32469491")</f>
        <v>32469491</v>
      </c>
      <c r="B5118" s="7"/>
      <c r="C5118" s="6" t="str">
        <f>HYPERLINK("http://www.ncbi.nlm.nih.gov/protein/32469491","Optn")</f>
        <v>Optn</v>
      </c>
      <c r="D5118" s="8"/>
      <c r="E5118" s="8">
        <v>66887</v>
      </c>
      <c r="F5118" s="8"/>
      <c r="G5118" s="15" t="s">
        <v>10</v>
      </c>
      <c r="H5118" s="15" t="s">
        <v>10</v>
      </c>
      <c r="I5118" s="15" t="s">
        <v>10</v>
      </c>
      <c r="J5118" s="15" t="s">
        <v>10</v>
      </c>
      <c r="K5118" s="15" t="s">
        <v>10</v>
      </c>
      <c r="L5118" s="15" t="s">
        <v>10</v>
      </c>
      <c r="M5118" s="15" t="s">
        <v>10</v>
      </c>
      <c r="N5118" s="15" t="s">
        <v>10</v>
      </c>
      <c r="O5118" s="15">
        <v>1.0960620931594365</v>
      </c>
      <c r="P5118" s="15">
        <v>1.0960620931594365</v>
      </c>
      <c r="Q5118" s="8"/>
      <c r="R5118" s="9" t="s">
        <v>4659</v>
      </c>
    </row>
    <row r="5119" spans="1:18" x14ac:dyDescent="0.25">
      <c r="A5119" s="6" t="str">
        <f>HYPERLINK("proteomic_fractions_linear_files/Yang_linear_img/21313282.jpg", "21313282")</f>
        <v>21313282</v>
      </c>
      <c r="B5119" s="7"/>
      <c r="C5119" s="6" t="str">
        <f>HYPERLINK("http://www.ncbi.nlm.nih.gov/protein/21313282","Ormdl2")</f>
        <v>Ormdl2</v>
      </c>
      <c r="D5119" s="8"/>
      <c r="E5119" s="8">
        <v>17258</v>
      </c>
      <c r="F5119" s="8"/>
      <c r="G5119" s="15" t="s">
        <v>10</v>
      </c>
      <c r="H5119" s="15" t="s">
        <v>10</v>
      </c>
      <c r="I5119" s="15" t="s">
        <v>10</v>
      </c>
      <c r="J5119" s="15" t="s">
        <v>10</v>
      </c>
      <c r="K5119" s="15">
        <v>0.93690834018716329</v>
      </c>
      <c r="L5119" s="15">
        <v>0.93690834018716329</v>
      </c>
      <c r="M5119" s="15" t="s">
        <v>10</v>
      </c>
      <c r="N5119" s="15" t="s">
        <v>10</v>
      </c>
      <c r="O5119" s="15" t="s">
        <v>10</v>
      </c>
      <c r="P5119" s="15" t="s">
        <v>10</v>
      </c>
      <c r="Q5119" s="8"/>
      <c r="R5119" s="9" t="s">
        <v>4660</v>
      </c>
    </row>
    <row r="5120" spans="1:18" x14ac:dyDescent="0.25">
      <c r="A5120" s="6" t="str">
        <f>HYPERLINK("proteomic_fractions_linear_files/Yang_linear_img/13385128.jpg", "13385128")</f>
        <v>13385128</v>
      </c>
      <c r="B5120" s="7"/>
      <c r="C5120" s="6" t="str">
        <f>HYPERLINK("http://www.ncbi.nlm.nih.gov/protein/13385128","Ormdl3")</f>
        <v>Ormdl3</v>
      </c>
      <c r="D5120" s="8"/>
      <c r="E5120" s="8">
        <v>17346</v>
      </c>
      <c r="F5120" s="8"/>
      <c r="G5120" s="15" t="s">
        <v>10</v>
      </c>
      <c r="H5120" s="15" t="s">
        <v>10</v>
      </c>
      <c r="I5120" s="15" t="s">
        <v>10</v>
      </c>
      <c r="J5120" s="15" t="s">
        <v>10</v>
      </c>
      <c r="K5120" s="15">
        <v>0.93690834018716329</v>
      </c>
      <c r="L5120" s="15">
        <v>0.93690834018716329</v>
      </c>
      <c r="M5120" s="15" t="s">
        <v>10</v>
      </c>
      <c r="N5120" s="15" t="s">
        <v>10</v>
      </c>
      <c r="O5120" s="15" t="s">
        <v>10</v>
      </c>
      <c r="P5120" s="15" t="s">
        <v>10</v>
      </c>
      <c r="Q5120" s="8"/>
      <c r="R5120" s="9" t="s">
        <v>4661</v>
      </c>
    </row>
    <row r="5121" spans="1:18" x14ac:dyDescent="0.25">
      <c r="A5121" s="6" t="str">
        <f>HYPERLINK("proteomic_fractions_linear_files/Yang_linear_img/283837907.jpg", "283837907")</f>
        <v>283837907</v>
      </c>
      <c r="B5121" s="7"/>
      <c r="C5121" s="6" t="str">
        <f>HYPERLINK("http://www.ncbi.nlm.nih.gov/protein/283837907","Os9")</f>
        <v>Os9</v>
      </c>
      <c r="D5121" s="8"/>
      <c r="E5121" s="8">
        <v>66799</v>
      </c>
      <c r="F5121" s="8"/>
      <c r="G5121" s="15">
        <v>1.6388293107631562</v>
      </c>
      <c r="H5121" s="15">
        <v>1.6388293107631562</v>
      </c>
      <c r="I5121" s="15">
        <v>1.4174325549639479</v>
      </c>
      <c r="J5121" s="15">
        <v>1.4174325549639479</v>
      </c>
      <c r="K5121" s="15">
        <v>1.6388293107631562</v>
      </c>
      <c r="L5121" s="15">
        <v>1.6388293107631562</v>
      </c>
      <c r="M5121" s="15" t="s">
        <v>10</v>
      </c>
      <c r="N5121" s="15" t="s">
        <v>10</v>
      </c>
      <c r="O5121" s="15" t="s">
        <v>10</v>
      </c>
      <c r="P5121" s="15" t="s">
        <v>10</v>
      </c>
      <c r="Q5121" s="8"/>
      <c r="R5121" s="9" t="s">
        <v>4662</v>
      </c>
    </row>
    <row r="5122" spans="1:18" x14ac:dyDescent="0.25">
      <c r="A5122" s="6" t="str">
        <f>HYPERLINK("proteomic_fractions_linear_files/Yang_linear_img/283837911.jpg", "283837911")</f>
        <v>283837911</v>
      </c>
      <c r="B5122" s="7"/>
      <c r="C5122" s="6" t="str">
        <f>HYPERLINK("http://www.ncbi.nlm.nih.gov/protein/283837911","Os9")</f>
        <v>Os9</v>
      </c>
      <c r="D5122" s="8"/>
      <c r="E5122" s="8">
        <v>73444</v>
      </c>
      <c r="F5122" s="8"/>
      <c r="G5122" s="15">
        <v>1.5041310112483763</v>
      </c>
      <c r="H5122" s="15">
        <v>1.5041310112483763</v>
      </c>
      <c r="I5122" s="15">
        <v>1.3009312490765002</v>
      </c>
      <c r="J5122" s="15">
        <v>1.3009312490765002</v>
      </c>
      <c r="K5122" s="15">
        <v>1.5041310112483763</v>
      </c>
      <c r="L5122" s="15">
        <v>1.5041310112483763</v>
      </c>
      <c r="M5122" s="15" t="s">
        <v>10</v>
      </c>
      <c r="N5122" s="15" t="s">
        <v>10</v>
      </c>
      <c r="O5122" s="15" t="s">
        <v>10</v>
      </c>
      <c r="P5122" s="15" t="s">
        <v>10</v>
      </c>
      <c r="Q5122" s="8"/>
      <c r="R5122" s="9" t="s">
        <v>4663</v>
      </c>
    </row>
    <row r="5123" spans="1:18" x14ac:dyDescent="0.25">
      <c r="A5123" s="6" t="str">
        <f>HYPERLINK("proteomic_fractions_linear_files/Yang_linear_img/133504509.jpg", "133504509")</f>
        <v>133504509</v>
      </c>
      <c r="B5123" s="7"/>
      <c r="C5123" s="6" t="str">
        <f>HYPERLINK("http://www.ncbi.nlm.nih.gov/protein/133504509","Osbp")</f>
        <v>Osbp</v>
      </c>
      <c r="D5123" s="8"/>
      <c r="E5123" s="8">
        <v>88666</v>
      </c>
      <c r="F5123" s="8"/>
      <c r="G5123" s="15">
        <v>1.0670559683436462</v>
      </c>
      <c r="H5123" s="15">
        <v>1.0670559683436462</v>
      </c>
      <c r="I5123" s="15">
        <v>1.0670559683436462</v>
      </c>
      <c r="J5123" s="15">
        <v>1.0670559683436462</v>
      </c>
      <c r="K5123" s="15">
        <v>1.2337254361924883</v>
      </c>
      <c r="L5123" s="15">
        <v>1.2337254361924883</v>
      </c>
      <c r="M5123" s="15">
        <v>1.2337254361924883</v>
      </c>
      <c r="N5123" s="15">
        <v>1.2337254361924883</v>
      </c>
      <c r="O5123" s="15">
        <v>1.0670559683436462</v>
      </c>
      <c r="P5123" s="15">
        <v>1.0670559683436462</v>
      </c>
      <c r="Q5123" s="8"/>
      <c r="R5123" s="9" t="s">
        <v>4664</v>
      </c>
    </row>
    <row r="5124" spans="1:18" x14ac:dyDescent="0.25">
      <c r="A5124" s="6" t="str">
        <f>HYPERLINK("proteomic_fractions_linear_files/Yang_linear_img/61744458.jpg", "61744458")</f>
        <v>61744458</v>
      </c>
      <c r="B5124" s="7"/>
      <c r="C5124" s="6" t="str">
        <f>HYPERLINK("http://www.ncbi.nlm.nih.gov/protein/61744458","Osbp2")</f>
        <v>Osbp2</v>
      </c>
      <c r="D5124" s="8"/>
      <c r="E5124" s="8">
        <v>101223</v>
      </c>
      <c r="F5124" s="8"/>
      <c r="G5124" s="15" t="s">
        <v>10</v>
      </c>
      <c r="H5124" s="15" t="s">
        <v>10</v>
      </c>
      <c r="I5124" s="15">
        <v>0.94027704141172785</v>
      </c>
      <c r="J5124" s="15">
        <v>0.94027704141172785</v>
      </c>
      <c r="K5124" s="15">
        <v>1.0871441962488264</v>
      </c>
      <c r="L5124" s="15">
        <v>1.0871441962488264</v>
      </c>
      <c r="M5124" s="15">
        <v>1.0871441962488264</v>
      </c>
      <c r="N5124" s="15">
        <v>1.0871441962488264</v>
      </c>
      <c r="O5124" s="15" t="s">
        <v>10</v>
      </c>
      <c r="P5124" s="15" t="s">
        <v>10</v>
      </c>
      <c r="Q5124" s="8"/>
      <c r="R5124" s="9" t="s">
        <v>4665</v>
      </c>
    </row>
    <row r="5125" spans="1:18" x14ac:dyDescent="0.25">
      <c r="A5125" s="6" t="str">
        <f>HYPERLINK("proteomic_fractions_linear_files/Yang_linear_img/22507367.jpg", "22507367")</f>
        <v>22507367</v>
      </c>
      <c r="B5125" s="7"/>
      <c r="C5125" s="6" t="str">
        <f>HYPERLINK("http://www.ncbi.nlm.nih.gov/protein/22507367","Osbpl10")</f>
        <v>Osbpl10</v>
      </c>
      <c r="D5125" s="8"/>
      <c r="E5125" s="8">
        <v>65670</v>
      </c>
      <c r="F5125" s="8"/>
      <c r="G5125" s="15" t="s">
        <v>10</v>
      </c>
      <c r="H5125" s="15" t="s">
        <v>10</v>
      </c>
      <c r="I5125" s="15">
        <v>1.438908805796735</v>
      </c>
      <c r="J5125" s="15">
        <v>1.438908805796735</v>
      </c>
      <c r="K5125" s="15">
        <v>1.438908805796735</v>
      </c>
      <c r="L5125" s="15">
        <v>1.438908805796735</v>
      </c>
      <c r="M5125" s="15" t="s">
        <v>10</v>
      </c>
      <c r="N5125" s="15" t="s">
        <v>10</v>
      </c>
      <c r="O5125" s="15" t="s">
        <v>10</v>
      </c>
      <c r="P5125" s="15" t="s">
        <v>10</v>
      </c>
      <c r="Q5125" s="8"/>
      <c r="R5125" s="9" t="s">
        <v>4666</v>
      </c>
    </row>
    <row r="5126" spans="1:18" x14ac:dyDescent="0.25">
      <c r="A5126" s="6" t="str">
        <f>HYPERLINK("proteomic_fractions_linear_files/Yang_linear_img/257196261.jpg", "257196261")</f>
        <v>257196261</v>
      </c>
      <c r="B5126" s="7"/>
      <c r="C5126" s="6" t="str">
        <f>HYPERLINK("http://www.ncbi.nlm.nih.gov/protein/257196261","Osbpl11")</f>
        <v>Osbpl11</v>
      </c>
      <c r="D5126" s="8"/>
      <c r="E5126" s="8">
        <v>84203</v>
      </c>
      <c r="F5126" s="8"/>
      <c r="G5126" s="15" t="s">
        <v>10</v>
      </c>
      <c r="H5126" s="15" t="s">
        <v>10</v>
      </c>
      <c r="I5126" s="15">
        <v>1.1305712045545775</v>
      </c>
      <c r="J5126" s="15">
        <v>1.1305712045545775</v>
      </c>
      <c r="K5126" s="15">
        <v>1.1305712045545775</v>
      </c>
      <c r="L5126" s="15">
        <v>1.1305712045545775</v>
      </c>
      <c r="M5126" s="15" t="s">
        <v>10</v>
      </c>
      <c r="N5126" s="15" t="s">
        <v>10</v>
      </c>
      <c r="O5126" s="15" t="s">
        <v>10</v>
      </c>
      <c r="P5126" s="15" t="s">
        <v>10</v>
      </c>
      <c r="Q5126" s="8"/>
      <c r="R5126" s="9" t="s">
        <v>4667</v>
      </c>
    </row>
    <row r="5127" spans="1:18" x14ac:dyDescent="0.25">
      <c r="A5127" s="6" t="str">
        <f>HYPERLINK("proteomic_fractions_linear_files/Yang_linear_img/110625879.jpg", "110625879")</f>
        <v>110625879</v>
      </c>
      <c r="B5127" s="7"/>
      <c r="C5127" s="6" t="str">
        <f>HYPERLINK("http://www.ncbi.nlm.nih.gov/protein/110625879","Osbpl2")</f>
        <v>Osbpl2</v>
      </c>
      <c r="D5127" s="8"/>
      <c r="E5127" s="8">
        <v>55254</v>
      </c>
      <c r="F5127" s="8"/>
      <c r="G5127" s="15" t="s">
        <v>10</v>
      </c>
      <c r="H5127" s="15" t="s">
        <v>10</v>
      </c>
      <c r="I5127" s="15" t="s">
        <v>10</v>
      </c>
      <c r="J5127" s="15" t="s">
        <v>10</v>
      </c>
      <c r="K5127" s="15" t="s">
        <v>10</v>
      </c>
      <c r="L5127" s="15" t="s">
        <v>10</v>
      </c>
      <c r="M5127" s="15">
        <v>1.0686037742835246</v>
      </c>
      <c r="N5127" s="15">
        <v>0.87799955608027735</v>
      </c>
      <c r="O5127" s="15" t="s">
        <v>10</v>
      </c>
      <c r="P5127" s="15" t="s">
        <v>10</v>
      </c>
      <c r="Q5127" s="8"/>
      <c r="R5127" s="9" t="s">
        <v>4668</v>
      </c>
    </row>
    <row r="5128" spans="1:18" x14ac:dyDescent="0.25">
      <c r="A5128" s="6" t="str">
        <f>HYPERLINK("proteomic_fractions_linear_files/Yang_linear_img/254692962.jpg", "254692962")</f>
        <v>254692962</v>
      </c>
      <c r="B5128" s="7"/>
      <c r="C5128" s="6" t="str">
        <f>HYPERLINK("http://www.ncbi.nlm.nih.gov/protein/254692962","Osbpl3")</f>
        <v>Osbpl3</v>
      </c>
      <c r="D5128" s="8"/>
      <c r="E5128" s="8">
        <v>96835</v>
      </c>
      <c r="F5128" s="8"/>
      <c r="G5128" s="15" t="s">
        <v>10</v>
      </c>
      <c r="H5128" s="15" t="s">
        <v>10</v>
      </c>
      <c r="I5128" s="15">
        <v>1.1319748847539326</v>
      </c>
      <c r="J5128" s="15">
        <v>1.1319748847539326</v>
      </c>
      <c r="K5128" s="15">
        <v>1.3270270942795563</v>
      </c>
      <c r="L5128" s="15">
        <v>1.3270270942795563</v>
      </c>
      <c r="M5128" s="15">
        <v>1.1319748847539326</v>
      </c>
      <c r="N5128" s="15">
        <v>1.1319748847539326</v>
      </c>
      <c r="O5128" s="15">
        <v>1.1319748847539326</v>
      </c>
      <c r="P5128" s="15">
        <v>1.1319748847539326</v>
      </c>
      <c r="Q5128" s="8"/>
      <c r="R5128" s="9" t="s">
        <v>4669</v>
      </c>
    </row>
    <row r="5129" spans="1:18" x14ac:dyDescent="0.25">
      <c r="A5129" s="6" t="str">
        <f>HYPERLINK("proteomic_fractions_linear_files/Yang_linear_img/254692964.jpg", "254692964")</f>
        <v>254692964</v>
      </c>
      <c r="B5129" s="7"/>
      <c r="C5129" s="6" t="str">
        <f>HYPERLINK("http://www.ncbi.nlm.nih.gov/protein/254692964","Osbpl3")</f>
        <v>Osbpl3</v>
      </c>
      <c r="D5129" s="8"/>
      <c r="E5129" s="8">
        <v>92891</v>
      </c>
      <c r="F5129" s="8"/>
      <c r="G5129" s="15" t="s">
        <v>10</v>
      </c>
      <c r="H5129" s="15" t="s">
        <v>10</v>
      </c>
      <c r="I5129" s="15">
        <v>1.180661976571306</v>
      </c>
      <c r="J5129" s="15">
        <v>1.180661976571306</v>
      </c>
      <c r="K5129" s="15">
        <v>1.3841035284421179</v>
      </c>
      <c r="L5129" s="15">
        <v>1.3841035284421179</v>
      </c>
      <c r="M5129" s="15">
        <v>1.180661976571306</v>
      </c>
      <c r="N5129" s="15">
        <v>1.180661976571306</v>
      </c>
      <c r="O5129" s="15">
        <v>1.180661976571306</v>
      </c>
      <c r="P5129" s="15">
        <v>1.180661976571306</v>
      </c>
      <c r="Q5129" s="8"/>
      <c r="R5129" s="9" t="s">
        <v>4670</v>
      </c>
    </row>
    <row r="5130" spans="1:18" x14ac:dyDescent="0.25">
      <c r="A5130" s="6" t="str">
        <f>HYPERLINK("proteomic_fractions_linear_files/Yang_linear_img/51243034.jpg", "51243034")</f>
        <v>51243034</v>
      </c>
      <c r="B5130" s="7"/>
      <c r="C5130" s="6" t="str">
        <f>HYPERLINK("http://www.ncbi.nlm.nih.gov/protein/51243034","Osbpl8")</f>
        <v>Osbpl8</v>
      </c>
      <c r="D5130" s="8"/>
      <c r="E5130" s="8">
        <v>101138</v>
      </c>
      <c r="F5130" s="8"/>
      <c r="G5130" s="15">
        <v>4.0499362152419778</v>
      </c>
      <c r="H5130" s="15">
        <v>4.0499362152419778</v>
      </c>
      <c r="I5130" s="15">
        <v>1.0871441962488264</v>
      </c>
      <c r="J5130" s="15">
        <v>1.0871441962488264</v>
      </c>
      <c r="K5130" s="15">
        <v>1.5193353577845727</v>
      </c>
      <c r="L5130" s="15">
        <v>1.5193353577845727</v>
      </c>
      <c r="M5130" s="15" t="s">
        <v>10</v>
      </c>
      <c r="N5130" s="15" t="s">
        <v>10</v>
      </c>
      <c r="O5130" s="15" t="s">
        <v>10</v>
      </c>
      <c r="P5130" s="15" t="s">
        <v>10</v>
      </c>
      <c r="Q5130" s="8"/>
      <c r="R5130" s="9" t="s">
        <v>4671</v>
      </c>
    </row>
    <row r="5131" spans="1:18" x14ac:dyDescent="0.25">
      <c r="A5131" s="6" t="str">
        <f>HYPERLINK("proteomic_fractions_linear_files/Yang_linear_img/51243036.jpg", "51243036")</f>
        <v>51243036</v>
      </c>
      <c r="B5131" s="7"/>
      <c r="C5131" s="6" t="str">
        <f>HYPERLINK("http://www.ncbi.nlm.nih.gov/protein/51243036","Osbpl8")</f>
        <v>Osbpl8</v>
      </c>
      <c r="D5131" s="8"/>
      <c r="E5131" s="8">
        <v>96850</v>
      </c>
      <c r="F5131" s="8"/>
      <c r="G5131" s="15">
        <v>4.2169438942210284</v>
      </c>
      <c r="H5131" s="15">
        <v>4.2169438942210284</v>
      </c>
      <c r="I5131" s="15">
        <v>1.1319748847539326</v>
      </c>
      <c r="J5131" s="15">
        <v>1.1319748847539326</v>
      </c>
      <c r="K5131" s="15">
        <v>1.5819883622292974</v>
      </c>
      <c r="L5131" s="15">
        <v>1.5819883622292974</v>
      </c>
      <c r="M5131" s="15" t="s">
        <v>10</v>
      </c>
      <c r="N5131" s="15" t="s">
        <v>10</v>
      </c>
      <c r="O5131" s="15" t="s">
        <v>10</v>
      </c>
      <c r="P5131" s="15" t="s">
        <v>10</v>
      </c>
      <c r="Q5131" s="8"/>
      <c r="R5131" s="9" t="s">
        <v>4672</v>
      </c>
    </row>
    <row r="5132" spans="1:18" x14ac:dyDescent="0.25">
      <c r="A5132" s="6" t="str">
        <f>HYPERLINK("proteomic_fractions_linear_files/Yang_linear_img/198278439.jpg", "198278439")</f>
        <v>198278439</v>
      </c>
      <c r="B5132" s="7"/>
      <c r="C5132" s="6" t="str">
        <f>HYPERLINK("http://www.ncbi.nlm.nih.gov/protein/198278439","Osbpl9")</f>
        <v>Osbpl9</v>
      </c>
      <c r="D5132" s="8"/>
      <c r="E5132" s="8">
        <v>71397</v>
      </c>
      <c r="F5132" s="8"/>
      <c r="G5132" s="15" t="s">
        <v>10</v>
      </c>
      <c r="H5132" s="15" t="s">
        <v>10</v>
      </c>
      <c r="I5132" s="15">
        <v>1.3375771997547115</v>
      </c>
      <c r="J5132" s="15">
        <v>1.3375771997547115</v>
      </c>
      <c r="K5132" s="15">
        <v>1.5465008988891755</v>
      </c>
      <c r="L5132" s="15">
        <v>1.5465008988891755</v>
      </c>
      <c r="M5132" s="15" t="s">
        <v>10</v>
      </c>
      <c r="N5132" s="15" t="s">
        <v>10</v>
      </c>
      <c r="O5132" s="15" t="s">
        <v>10</v>
      </c>
      <c r="P5132" s="15" t="s">
        <v>10</v>
      </c>
      <c r="Q5132" s="8"/>
      <c r="R5132" s="9" t="s">
        <v>4673</v>
      </c>
    </row>
    <row r="5133" spans="1:18" x14ac:dyDescent="0.25">
      <c r="A5133" s="6" t="str">
        <f>HYPERLINK("proteomic_fractions_linear_files/Yang_linear_img/198278441.jpg", "198278441")</f>
        <v>198278441</v>
      </c>
      <c r="B5133" s="7"/>
      <c r="C5133" s="6" t="str">
        <f>HYPERLINK("http://www.ncbi.nlm.nih.gov/protein/198278441","Osbpl9")</f>
        <v>Osbpl9</v>
      </c>
      <c r="D5133" s="8"/>
      <c r="E5133" s="8">
        <v>70017</v>
      </c>
      <c r="F5133" s="8"/>
      <c r="G5133" s="15" t="s">
        <v>10</v>
      </c>
      <c r="H5133" s="15" t="s">
        <v>10</v>
      </c>
      <c r="I5133" s="15">
        <v>1.3566854454654931</v>
      </c>
      <c r="J5133" s="15">
        <v>1.3566854454654931</v>
      </c>
      <c r="K5133" s="15">
        <v>1.5685937688733067</v>
      </c>
      <c r="L5133" s="15">
        <v>1.5685937688733067</v>
      </c>
      <c r="M5133" s="15" t="s">
        <v>10</v>
      </c>
      <c r="N5133" s="15" t="s">
        <v>10</v>
      </c>
      <c r="O5133" s="15" t="s">
        <v>10</v>
      </c>
      <c r="P5133" s="15" t="s">
        <v>10</v>
      </c>
      <c r="Q5133" s="8"/>
      <c r="R5133" s="9" t="s">
        <v>4674</v>
      </c>
    </row>
    <row r="5134" spans="1:18" x14ac:dyDescent="0.25">
      <c r="A5134" s="6" t="str">
        <f>HYPERLINK("proteomic_fractions_linear_files/Yang_linear_img/307938353.jpg", "307938353")</f>
        <v>307938353</v>
      </c>
      <c r="B5134" s="7"/>
      <c r="C5134" s="6" t="str">
        <f>HYPERLINK("http://www.ncbi.nlm.nih.gov/protein/307938353","Osbpl9")</f>
        <v>Osbpl9</v>
      </c>
      <c r="D5134" s="8"/>
      <c r="E5134" s="8">
        <v>81599</v>
      </c>
      <c r="F5134" s="8"/>
      <c r="G5134" s="15" t="s">
        <v>10</v>
      </c>
      <c r="H5134" s="15" t="s">
        <v>10</v>
      </c>
      <c r="I5134" s="15">
        <v>1.1581461119827379</v>
      </c>
      <c r="J5134" s="15">
        <v>1.1581461119827379</v>
      </c>
      <c r="K5134" s="15">
        <v>1.3390434612333106</v>
      </c>
      <c r="L5134" s="15">
        <v>1.3390434612333106</v>
      </c>
      <c r="M5134" s="15" t="s">
        <v>10</v>
      </c>
      <c r="N5134" s="15" t="s">
        <v>10</v>
      </c>
      <c r="O5134" s="15" t="s">
        <v>10</v>
      </c>
      <c r="P5134" s="15" t="s">
        <v>10</v>
      </c>
      <c r="Q5134" s="8"/>
      <c r="R5134" s="9" t="s">
        <v>4675</v>
      </c>
    </row>
    <row r="5135" spans="1:18" x14ac:dyDescent="0.25">
      <c r="A5135" s="6" t="str">
        <f>HYPERLINK("proteomic_fractions_linear_files/Yang_linear_img/84662768.jpg", "84662768")</f>
        <v>84662768</v>
      </c>
      <c r="B5135" s="7"/>
      <c r="C5135" s="6" t="str">
        <f>HYPERLINK("http://www.ncbi.nlm.nih.gov/protein/84662768","Osgep")</f>
        <v>Osgep</v>
      </c>
      <c r="D5135" s="8"/>
      <c r="E5135" s="8">
        <v>36216</v>
      </c>
      <c r="F5135" s="8"/>
      <c r="G5135" s="15" t="s">
        <v>10</v>
      </c>
      <c r="H5135" s="15" t="s">
        <v>10</v>
      </c>
      <c r="I5135" s="15">
        <v>0.95981601473542177</v>
      </c>
      <c r="J5135" s="15">
        <v>0.95981601473542177</v>
      </c>
      <c r="K5135" s="15">
        <v>0.95981601473542177</v>
      </c>
      <c r="L5135" s="15">
        <v>0.95981601473542177</v>
      </c>
      <c r="M5135" s="15">
        <v>0.95981601473542177</v>
      </c>
      <c r="N5135" s="15">
        <v>0.95981601473542177</v>
      </c>
      <c r="O5135" s="15">
        <v>0.83015019143647584</v>
      </c>
      <c r="P5135" s="15">
        <v>0.83015019143647584</v>
      </c>
      <c r="Q5135" s="8"/>
      <c r="R5135" s="9" t="s">
        <v>4676</v>
      </c>
    </row>
    <row r="5136" spans="1:18" x14ac:dyDescent="0.25">
      <c r="A5136" s="6" t="str">
        <f>HYPERLINK("proteomic_fractions_linear_files/Yang_linear_img/13384930.jpg", "13384930")</f>
        <v>13384930</v>
      </c>
      <c r="B5136" s="7"/>
      <c r="C5136" s="6" t="str">
        <f>HYPERLINK("http://www.ncbi.nlm.nih.gov/protein/13384930","Ostc")</f>
        <v>Ostc</v>
      </c>
      <c r="D5136" s="8"/>
      <c r="E5136" s="8">
        <v>16684</v>
      </c>
      <c r="F5136" s="8"/>
      <c r="G5136" s="15">
        <v>1.3593866691010261</v>
      </c>
      <c r="H5136" s="15">
        <v>352.53529411764708</v>
      </c>
      <c r="I5136" s="15">
        <v>17.751960272735221</v>
      </c>
      <c r="J5136" s="15">
        <v>17.751960272735221</v>
      </c>
      <c r="K5136" s="15">
        <v>0.98332203062394252</v>
      </c>
      <c r="L5136" s="15">
        <v>0.98332203062394252</v>
      </c>
      <c r="M5136" s="15">
        <v>0.93690834018716329</v>
      </c>
      <c r="N5136" s="15">
        <v>0.93690834018716329</v>
      </c>
      <c r="O5136" s="15" t="s">
        <v>10</v>
      </c>
      <c r="P5136" s="15" t="s">
        <v>10</v>
      </c>
      <c r="Q5136" s="8"/>
      <c r="R5136" s="9" t="s">
        <v>4677</v>
      </c>
    </row>
    <row r="5137" spans="1:18" x14ac:dyDescent="0.25">
      <c r="A5137" s="6" t="str">
        <f>HYPERLINK("proteomic_fractions_linear_files/Yang_linear_img/22267440.jpg", "22267440")</f>
        <v>22267440</v>
      </c>
      <c r="B5137" s="7"/>
      <c r="C5137" s="6" t="str">
        <f>HYPERLINK("http://www.ncbi.nlm.nih.gov/protein/22267440","Ostf1")</f>
        <v>Ostf1</v>
      </c>
      <c r="D5137" s="8"/>
      <c r="E5137" s="8">
        <v>23652</v>
      </c>
      <c r="F5137" s="8"/>
      <c r="G5137" s="15">
        <v>1.4397240221031327</v>
      </c>
      <c r="H5137" s="15">
        <v>1.4397240221031327</v>
      </c>
      <c r="I5137" s="15">
        <v>1.0231175255532048</v>
      </c>
      <c r="J5137" s="15">
        <v>1.0231175255532048</v>
      </c>
      <c r="K5137" s="15">
        <v>1.0231175255532048</v>
      </c>
      <c r="L5137" s="15">
        <v>1.0231175255532048</v>
      </c>
      <c r="M5137" s="15" t="s">
        <v>10</v>
      </c>
      <c r="N5137" s="15" t="s">
        <v>10</v>
      </c>
      <c r="O5137" s="15">
        <v>0.90815592794494793</v>
      </c>
      <c r="P5137" s="15">
        <v>0.90815592794494793</v>
      </c>
      <c r="Q5137" s="8"/>
      <c r="R5137" s="9" t="s">
        <v>4678</v>
      </c>
    </row>
    <row r="5138" spans="1:18" x14ac:dyDescent="0.25">
      <c r="A5138" s="6" t="str">
        <f>HYPERLINK("proteomic_fractions_linear_files/Yang_linear_img/19527388.jpg", "19527388")</f>
        <v>19527388</v>
      </c>
      <c r="B5138" s="7"/>
      <c r="C5138" s="6" t="str">
        <f>HYPERLINK("http://www.ncbi.nlm.nih.gov/protein/19527388","Otub1")</f>
        <v>Otub1</v>
      </c>
      <c r="D5138" s="8"/>
      <c r="E5138" s="8">
        <v>31139</v>
      </c>
      <c r="F5138" s="8"/>
      <c r="G5138" s="15">
        <v>1.3066876839749273</v>
      </c>
      <c r="H5138" s="15">
        <v>1.3066876839749273</v>
      </c>
      <c r="I5138" s="15">
        <v>1.0349700921204383</v>
      </c>
      <c r="J5138" s="15">
        <v>1.0349700921204383</v>
      </c>
      <c r="K5138" s="15">
        <v>1.0349700921204383</v>
      </c>
      <c r="L5138" s="15">
        <v>1.0349700921204383</v>
      </c>
      <c r="M5138" s="15">
        <v>1.0349700921204383</v>
      </c>
      <c r="N5138" s="15">
        <v>1.0349700921204383</v>
      </c>
      <c r="O5138" s="15">
        <v>0.90058746121555033</v>
      </c>
      <c r="P5138" s="15">
        <v>0.90058746121555033</v>
      </c>
      <c r="Q5138" s="8"/>
      <c r="R5138" s="9" t="s">
        <v>4679</v>
      </c>
    </row>
    <row r="5139" spans="1:18" x14ac:dyDescent="0.25">
      <c r="A5139" s="6" t="str">
        <f>HYPERLINK("proteomic_fractions_linear_files/Yang_linear_img/124487191.jpg", "124487191")</f>
        <v>124487191</v>
      </c>
      <c r="B5139" s="7"/>
      <c r="C5139" s="6" t="str">
        <f>HYPERLINK("http://www.ncbi.nlm.nih.gov/protein/124487191","Otud4")</f>
        <v>Otud4</v>
      </c>
      <c r="D5139" s="8"/>
      <c r="E5139" s="8">
        <v>122797</v>
      </c>
      <c r="F5139" s="8"/>
      <c r="G5139" s="15" t="s">
        <v>10</v>
      </c>
      <c r="H5139" s="15" t="s">
        <v>10</v>
      </c>
      <c r="I5139" s="15" t="s">
        <v>10</v>
      </c>
      <c r="J5139" s="15" t="s">
        <v>10</v>
      </c>
      <c r="K5139" s="15">
        <v>1.5184213954466697</v>
      </c>
      <c r="L5139" s="15">
        <v>1.5184213954466697</v>
      </c>
      <c r="M5139" s="15">
        <v>1.5184213954466697</v>
      </c>
      <c r="N5139" s="15">
        <v>1.5184213954466697</v>
      </c>
      <c r="O5139" s="15" t="s">
        <v>10</v>
      </c>
      <c r="P5139" s="15" t="s">
        <v>10</v>
      </c>
      <c r="Q5139" s="8"/>
      <c r="R5139" s="9" t="s">
        <v>4680</v>
      </c>
    </row>
    <row r="5140" spans="1:18" x14ac:dyDescent="0.25">
      <c r="A5140" s="6" t="str">
        <f>HYPERLINK("proteomic_fractions_linear_files/Yang_linear_img/365733608.jpg", "365733608")</f>
        <v>365733608</v>
      </c>
      <c r="B5140" s="7"/>
      <c r="C5140" s="6" t="str">
        <f>HYPERLINK("http://www.ncbi.nlm.nih.gov/protein/365733608","Otud4")</f>
        <v>Otud4</v>
      </c>
      <c r="D5140" s="8"/>
      <c r="E5140" s="8">
        <v>122925</v>
      </c>
      <c r="F5140" s="8"/>
      <c r="G5140" s="15" t="s">
        <v>10</v>
      </c>
      <c r="H5140" s="15" t="s">
        <v>10</v>
      </c>
      <c r="I5140" s="15" t="s">
        <v>10</v>
      </c>
      <c r="J5140" s="15" t="s">
        <v>10</v>
      </c>
      <c r="K5140" s="15">
        <v>1.5184213954466697</v>
      </c>
      <c r="L5140" s="15">
        <v>1.5184213954466697</v>
      </c>
      <c r="M5140" s="15">
        <v>1.5184213954466697</v>
      </c>
      <c r="N5140" s="15">
        <v>1.5184213954466697</v>
      </c>
      <c r="O5140" s="15" t="s">
        <v>10</v>
      </c>
      <c r="P5140" s="15" t="s">
        <v>10</v>
      </c>
      <c r="Q5140" s="8"/>
      <c r="R5140" s="9" t="s">
        <v>4681</v>
      </c>
    </row>
    <row r="5141" spans="1:18" x14ac:dyDescent="0.25">
      <c r="A5141" s="6" t="str">
        <f>HYPERLINK("proteomic_fractions_linear_files/Yang_linear_img/31560768.jpg", "31560768")</f>
        <v>31560768</v>
      </c>
      <c r="B5141" s="7"/>
      <c r="C5141" s="6" t="str">
        <f>HYPERLINK("http://www.ncbi.nlm.nih.gov/protein/31560768","Otud5")</f>
        <v>Otud5</v>
      </c>
      <c r="D5141" s="8"/>
      <c r="E5141" s="8">
        <v>60175</v>
      </c>
      <c r="F5141" s="8"/>
      <c r="G5141" s="15" t="s">
        <v>10</v>
      </c>
      <c r="H5141" s="15" t="s">
        <v>10</v>
      </c>
      <c r="I5141" s="15" t="s">
        <v>10</v>
      </c>
      <c r="J5141" s="15" t="s">
        <v>10</v>
      </c>
      <c r="K5141" s="15" t="s">
        <v>10</v>
      </c>
      <c r="L5141" s="15" t="s">
        <v>10</v>
      </c>
      <c r="M5141" s="15" t="s">
        <v>10</v>
      </c>
      <c r="N5141" s="15" t="s">
        <v>10</v>
      </c>
      <c r="O5141" s="15">
        <v>1.2239360040280374</v>
      </c>
      <c r="P5141" s="15">
        <v>1.2239360040280374</v>
      </c>
      <c r="Q5141" s="8"/>
      <c r="R5141" s="9" t="s">
        <v>4682</v>
      </c>
    </row>
    <row r="5142" spans="1:18" x14ac:dyDescent="0.25">
      <c r="A5142" s="6" t="str">
        <f>HYPERLINK("proteomic_fractions_linear_files/Yang_linear_img/157364966.jpg", "157364966")</f>
        <v>157364966</v>
      </c>
      <c r="B5142" s="7"/>
      <c r="C5142" s="6" t="str">
        <f>HYPERLINK("http://www.ncbi.nlm.nih.gov/protein/157364966","Otud6b")</f>
        <v>Otud6b</v>
      </c>
      <c r="D5142" s="8"/>
      <c r="E5142" s="8">
        <v>37056</v>
      </c>
      <c r="F5142" s="8"/>
      <c r="G5142" s="15" t="s">
        <v>10</v>
      </c>
      <c r="H5142" s="15" t="s">
        <v>10</v>
      </c>
      <c r="I5142" s="15" t="s">
        <v>10</v>
      </c>
      <c r="J5142" s="15" t="s">
        <v>10</v>
      </c>
      <c r="K5142" s="15">
        <v>0.93387504136419419</v>
      </c>
      <c r="L5142" s="15">
        <v>0.93387504136419419</v>
      </c>
      <c r="M5142" s="15">
        <v>0.86713710420901591</v>
      </c>
      <c r="N5142" s="15">
        <v>0.86713710420901591</v>
      </c>
      <c r="O5142" s="15" t="s">
        <v>10</v>
      </c>
      <c r="P5142" s="15" t="s">
        <v>10</v>
      </c>
      <c r="Q5142" s="8"/>
      <c r="R5142" s="9" t="s">
        <v>4683</v>
      </c>
    </row>
    <row r="5143" spans="1:18" x14ac:dyDescent="0.25">
      <c r="A5143" s="6" t="str">
        <f>HYPERLINK("proteomic_fractions_linear_files/Yang_linear_img/18700018.jpg", "18700018")</f>
        <v>18700018</v>
      </c>
      <c r="B5143" s="7"/>
      <c r="C5143" s="6" t="str">
        <f>HYPERLINK("http://www.ncbi.nlm.nih.gov/protein/18700018","Otud7a")</f>
        <v>Otud7a</v>
      </c>
      <c r="D5143" s="8"/>
      <c r="E5143" s="8">
        <v>100666</v>
      </c>
      <c r="F5143" s="8"/>
      <c r="G5143" s="15" t="s">
        <v>10</v>
      </c>
      <c r="H5143" s="15" t="s">
        <v>10</v>
      </c>
      <c r="I5143" s="15" t="s">
        <v>10</v>
      </c>
      <c r="J5143" s="15" t="s">
        <v>10</v>
      </c>
      <c r="K5143" s="15">
        <v>1.5193353577845727</v>
      </c>
      <c r="L5143" s="15">
        <v>1.5193353577845727</v>
      </c>
      <c r="M5143" s="15" t="s">
        <v>10</v>
      </c>
      <c r="N5143" s="15" t="s">
        <v>10</v>
      </c>
      <c r="O5143" s="15" t="s">
        <v>10</v>
      </c>
      <c r="P5143" s="15" t="s">
        <v>10</v>
      </c>
      <c r="Q5143" s="8"/>
      <c r="R5143" s="9" t="s">
        <v>4684</v>
      </c>
    </row>
    <row r="5144" spans="1:18" x14ac:dyDescent="0.25">
      <c r="A5144" s="6" t="str">
        <f>HYPERLINK("proteomic_fractions_linear_files/Yang_linear_img/71043959.jpg", "71043959")</f>
        <v>71043959</v>
      </c>
      <c r="B5144" s="7"/>
      <c r="C5144" s="6" t="str">
        <f>HYPERLINK("http://www.ncbi.nlm.nih.gov/protein/71043959","Otud7b")</f>
        <v>Otud7b</v>
      </c>
      <c r="D5144" s="8"/>
      <c r="E5144" s="8">
        <v>91853</v>
      </c>
      <c r="F5144" s="8"/>
      <c r="G5144" s="15" t="s">
        <v>10</v>
      </c>
      <c r="H5144" s="15" t="s">
        <v>10</v>
      </c>
      <c r="I5144" s="15" t="s">
        <v>10</v>
      </c>
      <c r="J5144" s="15" t="s">
        <v>10</v>
      </c>
      <c r="K5144" s="15">
        <v>1.193495258925342</v>
      </c>
      <c r="L5144" s="15">
        <v>1.193495258925342</v>
      </c>
      <c r="M5144" s="15">
        <v>1.193495258925342</v>
      </c>
      <c r="N5144" s="15">
        <v>1.193495258925342</v>
      </c>
      <c r="O5144" s="15" t="s">
        <v>10</v>
      </c>
      <c r="P5144" s="15" t="s">
        <v>10</v>
      </c>
      <c r="Q5144" s="8"/>
      <c r="R5144" s="9" t="s">
        <v>4685</v>
      </c>
    </row>
    <row r="5145" spans="1:18" x14ac:dyDescent="0.25">
      <c r="A5145" s="6" t="str">
        <f>HYPERLINK("proteomic_fractions_linear_files/Yang_linear_img/18158418.jpg", "18158418")</f>
        <v>18158418</v>
      </c>
      <c r="B5145" s="7"/>
      <c r="C5145" s="6" t="str">
        <f>HYPERLINK("http://www.ncbi.nlm.nih.gov/protein/18158418","Ovca2")</f>
        <v>Ovca2</v>
      </c>
      <c r="D5145" s="8"/>
      <c r="E5145" s="8">
        <v>24115</v>
      </c>
      <c r="F5145" s="8"/>
      <c r="G5145" s="15" t="s">
        <v>10</v>
      </c>
      <c r="H5145" s="15" t="s">
        <v>10</v>
      </c>
      <c r="I5145" s="15">
        <v>1.0895940881427084</v>
      </c>
      <c r="J5145" s="15">
        <v>1.0895940881427084</v>
      </c>
      <c r="K5145" s="15">
        <v>1.1632588040700858</v>
      </c>
      <c r="L5145" s="15">
        <v>1.1632588040700858</v>
      </c>
      <c r="M5145" s="15">
        <v>1.0895940881427084</v>
      </c>
      <c r="N5145" s="15">
        <v>1.0895940881427084</v>
      </c>
      <c r="O5145" s="15">
        <v>1.0231175255532048</v>
      </c>
      <c r="P5145" s="15">
        <v>1.0231175255532048</v>
      </c>
      <c r="Q5145" s="8"/>
      <c r="R5145" s="9" t="s">
        <v>4686</v>
      </c>
    </row>
    <row r="5146" spans="1:18" x14ac:dyDescent="0.25">
      <c r="A5146" s="6" t="str">
        <f>HYPERLINK("proteomic_fractions_linear_files/Yang_linear_img/23308705.jpg", "23308705")</f>
        <v>23308705</v>
      </c>
      <c r="B5146" s="7"/>
      <c r="C5146" s="6" t="str">
        <f>HYPERLINK("http://www.ncbi.nlm.nih.gov/protein/23308705","Ovol2")</f>
        <v>Ovol2</v>
      </c>
      <c r="D5146" s="8"/>
      <c r="E5146" s="8">
        <v>30554</v>
      </c>
      <c r="F5146" s="8"/>
      <c r="G5146" s="15" t="s">
        <v>10</v>
      </c>
      <c r="H5146" s="15" t="s">
        <v>10</v>
      </c>
      <c r="I5146" s="15">
        <v>0.62906934929146041</v>
      </c>
      <c r="J5146" s="15">
        <v>0.62906934929146041</v>
      </c>
      <c r="K5146" s="15" t="s">
        <v>10</v>
      </c>
      <c r="L5146" s="15" t="s">
        <v>10</v>
      </c>
      <c r="M5146" s="15" t="s">
        <v>10</v>
      </c>
      <c r="N5146" s="15" t="s">
        <v>10</v>
      </c>
      <c r="O5146" s="15" t="s">
        <v>10</v>
      </c>
      <c r="P5146" s="15" t="s">
        <v>10</v>
      </c>
      <c r="Q5146" s="8"/>
      <c r="R5146" s="9" t="s">
        <v>4687</v>
      </c>
    </row>
    <row r="5147" spans="1:18" x14ac:dyDescent="0.25">
      <c r="A5147" s="6" t="str">
        <f>HYPERLINK("proteomic_fractions_linear_files/Yang_linear_img/18266680.jpg", "18266680")</f>
        <v>18266680</v>
      </c>
      <c r="B5147" s="7"/>
      <c r="C5147" s="6" t="str">
        <f>HYPERLINK("http://www.ncbi.nlm.nih.gov/protein/18266680","Oxct1")</f>
        <v>Oxct1</v>
      </c>
      <c r="D5147" s="8"/>
      <c r="E5147" s="8">
        <v>51877</v>
      </c>
      <c r="F5147" s="8"/>
      <c r="G5147" s="15">
        <v>1.2587166025104679</v>
      </c>
      <c r="H5147" s="15">
        <v>1.2587166025104679</v>
      </c>
      <c r="I5147" s="15">
        <v>1.0215494159615592</v>
      </c>
      <c r="J5147" s="15">
        <v>1.0215494159615592</v>
      </c>
      <c r="K5147" s="15">
        <v>1.1302539920306509</v>
      </c>
      <c r="L5147" s="15">
        <v>1.1302539920306509</v>
      </c>
      <c r="M5147" s="15" t="s">
        <v>10</v>
      </c>
      <c r="N5147" s="15" t="s">
        <v>10</v>
      </c>
      <c r="O5147" s="15">
        <v>1.0215494159615592</v>
      </c>
      <c r="P5147" s="15">
        <v>1.0215494159615592</v>
      </c>
      <c r="Q5147" s="8"/>
      <c r="R5147" s="9" t="s">
        <v>4688</v>
      </c>
    </row>
    <row r="5148" spans="1:18" x14ac:dyDescent="0.25">
      <c r="A5148" s="6" t="str">
        <f>HYPERLINK("proteomic_fractions_linear_files/Yang_linear_img/170932556.jpg", "170932556")</f>
        <v>170932556</v>
      </c>
      <c r="B5148" s="7"/>
      <c r="C5148" s="6" t="str">
        <f>HYPERLINK("http://www.ncbi.nlm.nih.gov/protein/170932556","Oxnad1")</f>
        <v>Oxnad1</v>
      </c>
      <c r="D5148" s="8"/>
      <c r="E5148" s="8">
        <v>33180</v>
      </c>
      <c r="F5148" s="8"/>
      <c r="G5148" s="15" t="s">
        <v>10</v>
      </c>
      <c r="H5148" s="15" t="s">
        <v>10</v>
      </c>
      <c r="I5148" s="15">
        <v>0.79243206410378786</v>
      </c>
      <c r="J5148" s="15">
        <v>0.79243206410378786</v>
      </c>
      <c r="K5148" s="15" t="s">
        <v>10</v>
      </c>
      <c r="L5148" s="15" t="s">
        <v>10</v>
      </c>
      <c r="M5148" s="15" t="s">
        <v>10</v>
      </c>
      <c r="N5148" s="15" t="s">
        <v>10</v>
      </c>
      <c r="O5148" s="15" t="s">
        <v>10</v>
      </c>
      <c r="P5148" s="15" t="s">
        <v>10</v>
      </c>
      <c r="Q5148" s="8"/>
      <c r="R5148" s="9" t="s">
        <v>4689</v>
      </c>
    </row>
    <row r="5149" spans="1:18" x14ac:dyDescent="0.25">
      <c r="A5149" s="6" t="str">
        <f>HYPERLINK("proteomic_fractions_linear_files/Yang_linear_img/194328704.jpg", "194328704")</f>
        <v>194328704</v>
      </c>
      <c r="B5149" s="7"/>
      <c r="C5149" s="6" t="str">
        <f>HYPERLINK("http://www.ncbi.nlm.nih.gov/protein/194328704","Oxr1")</f>
        <v>Oxr1</v>
      </c>
      <c r="D5149" s="8"/>
      <c r="E5149" s="8">
        <v>24316</v>
      </c>
      <c r="F5149" s="8"/>
      <c r="G5149" s="15" t="s">
        <v>10</v>
      </c>
      <c r="H5149" s="15" t="s">
        <v>10</v>
      </c>
      <c r="I5149" s="15" t="s">
        <v>10</v>
      </c>
      <c r="J5149" s="15" t="s">
        <v>10</v>
      </c>
      <c r="K5149" s="15">
        <v>6.3938696306767433</v>
      </c>
      <c r="L5149" s="15">
        <v>6.3938696306767433</v>
      </c>
      <c r="M5149" s="15" t="s">
        <v>10</v>
      </c>
      <c r="N5149" s="15" t="s">
        <v>10</v>
      </c>
      <c r="O5149" s="15">
        <v>5.3634011727132069</v>
      </c>
      <c r="P5149" s="15">
        <v>5.3634011727132069</v>
      </c>
      <c r="Q5149" s="8"/>
      <c r="R5149" s="9" t="s">
        <v>4690</v>
      </c>
    </row>
    <row r="5150" spans="1:18" x14ac:dyDescent="0.25">
      <c r="A5150" s="6" t="str">
        <f>HYPERLINK("proteomic_fractions_linear_files/Yang_linear_img/18700026.jpg", "18700026")</f>
        <v>18700026</v>
      </c>
      <c r="B5150" s="7"/>
      <c r="C5150" s="6" t="str">
        <f>HYPERLINK("http://www.ncbi.nlm.nih.gov/protein/18700026","Oxr1")</f>
        <v>Oxr1</v>
      </c>
      <c r="D5150" s="8"/>
      <c r="E5150" s="8">
        <v>86109</v>
      </c>
      <c r="F5150" s="8"/>
      <c r="G5150" s="15" t="s">
        <v>10</v>
      </c>
      <c r="H5150" s="15" t="s">
        <v>10</v>
      </c>
      <c r="I5150" s="15">
        <v>1.4967631179664764</v>
      </c>
      <c r="J5150" s="15">
        <v>1.4967631179664764</v>
      </c>
      <c r="K5150" s="15">
        <v>1.784335710886533</v>
      </c>
      <c r="L5150" s="15">
        <v>1.784335710886533</v>
      </c>
      <c r="M5150" s="15">
        <v>1.784335710886533</v>
      </c>
      <c r="N5150" s="15">
        <v>1.784335710886533</v>
      </c>
      <c r="O5150" s="15">
        <v>1.4967631179664764</v>
      </c>
      <c r="P5150" s="15">
        <v>1.4967631179664764</v>
      </c>
      <c r="Q5150" s="8"/>
      <c r="R5150" s="9" t="s">
        <v>4691</v>
      </c>
    </row>
    <row r="5151" spans="1:18" x14ac:dyDescent="0.25">
      <c r="A5151" s="6" t="str">
        <f>HYPERLINK("proteomic_fractions_linear_files/Yang_linear_img/194328702.jpg", "194328702")</f>
        <v>194328702</v>
      </c>
      <c r="B5151" s="7"/>
      <c r="C5151" s="6" t="str">
        <f>HYPERLINK("http://www.ncbi.nlm.nih.gov/protein/194328702","Oxr1")</f>
        <v>Oxr1</v>
      </c>
      <c r="D5151" s="8"/>
      <c r="E5151" s="8">
        <v>82885</v>
      </c>
      <c r="F5151" s="8"/>
      <c r="G5151" s="15" t="s">
        <v>10</v>
      </c>
      <c r="H5151" s="15" t="s">
        <v>10</v>
      </c>
      <c r="I5151" s="15">
        <v>1.5508629897002044</v>
      </c>
      <c r="J5151" s="15">
        <v>1.5508629897002044</v>
      </c>
      <c r="K5151" s="15">
        <v>1.8488297727258054</v>
      </c>
      <c r="L5151" s="15">
        <v>1.8488297727258054</v>
      </c>
      <c r="M5151" s="15">
        <v>1.8488297727258054</v>
      </c>
      <c r="N5151" s="15">
        <v>1.8488297727258054</v>
      </c>
      <c r="O5151" s="15">
        <v>1.5508629897002044</v>
      </c>
      <c r="P5151" s="15">
        <v>1.5508629897002044</v>
      </c>
      <c r="Q5151" s="8"/>
      <c r="R5151" s="9" t="s">
        <v>4692</v>
      </c>
    </row>
    <row r="5152" spans="1:18" x14ac:dyDescent="0.25">
      <c r="A5152" s="6" t="str">
        <f>HYPERLINK("proteomic_fractions_linear_files/Yang_linear_img/194328706.jpg", "194328706")</f>
        <v>194328706</v>
      </c>
      <c r="B5152" s="7"/>
      <c r="C5152" s="6" t="str">
        <f>HYPERLINK("http://www.ncbi.nlm.nih.gov/protein/194328706","Oxr1")</f>
        <v>Oxr1</v>
      </c>
      <c r="D5152" s="8"/>
      <c r="E5152" s="8">
        <v>91611</v>
      </c>
      <c r="F5152" s="8"/>
      <c r="G5152" s="15" t="s">
        <v>10</v>
      </c>
      <c r="H5152" s="15" t="s">
        <v>10</v>
      </c>
      <c r="I5152" s="15">
        <v>1.3991481320121408</v>
      </c>
      <c r="J5152" s="15">
        <v>1.3991481320121408</v>
      </c>
      <c r="K5152" s="15">
        <v>1.6679659906113244</v>
      </c>
      <c r="L5152" s="15">
        <v>1.6679659906113244</v>
      </c>
      <c r="M5152" s="15">
        <v>1.6679659906113244</v>
      </c>
      <c r="N5152" s="15">
        <v>1.6679659906113244</v>
      </c>
      <c r="O5152" s="15">
        <v>1.3991481320121408</v>
      </c>
      <c r="P5152" s="15">
        <v>1.3991481320121408</v>
      </c>
      <c r="Q5152" s="8"/>
      <c r="R5152" s="9" t="s">
        <v>4693</v>
      </c>
    </row>
    <row r="5153" spans="1:18" x14ac:dyDescent="0.25">
      <c r="A5153" s="6" t="str">
        <f>HYPERLINK("proteomic_fractions_linear_files/Yang_linear_img/194328708.jpg", "194328708")</f>
        <v>194328708</v>
      </c>
      <c r="B5153" s="7"/>
      <c r="C5153" s="6" t="str">
        <f>HYPERLINK("http://www.ncbi.nlm.nih.gov/protein/194328708","Oxr1")</f>
        <v>Oxr1</v>
      </c>
      <c r="D5153" s="8"/>
      <c r="E5153" s="8">
        <v>95781</v>
      </c>
      <c r="F5153" s="8"/>
      <c r="G5153" s="15" t="s">
        <v>10</v>
      </c>
      <c r="H5153" s="15" t="s">
        <v>10</v>
      </c>
      <c r="I5153" s="15">
        <v>1.3408502931783017</v>
      </c>
      <c r="J5153" s="15">
        <v>1.3408502931783017</v>
      </c>
      <c r="K5153" s="15">
        <v>1.5984674076691858</v>
      </c>
      <c r="L5153" s="15">
        <v>1.5984674076691858</v>
      </c>
      <c r="M5153" s="15">
        <v>1.5984674076691858</v>
      </c>
      <c r="N5153" s="15">
        <v>1.5984674076691858</v>
      </c>
      <c r="O5153" s="15">
        <v>1.3408502931783017</v>
      </c>
      <c r="P5153" s="15">
        <v>1.3408502931783017</v>
      </c>
      <c r="Q5153" s="8"/>
      <c r="R5153" s="9" t="s">
        <v>4694</v>
      </c>
    </row>
    <row r="5154" spans="1:18" x14ac:dyDescent="0.25">
      <c r="A5154" s="6" t="str">
        <f>HYPERLINK("proteomic_fractions_linear_files/Yang_linear_img/58037235.jpg", "58037235")</f>
        <v>58037235</v>
      </c>
      <c r="B5154" s="7"/>
      <c r="C5154" s="6" t="str">
        <f>HYPERLINK("http://www.ncbi.nlm.nih.gov/protein/58037235","Oxsm")</f>
        <v>Oxsm</v>
      </c>
      <c r="D5154" s="8"/>
      <c r="E5154" s="8">
        <v>45523</v>
      </c>
      <c r="F5154" s="8"/>
      <c r="G5154" s="15" t="s">
        <v>10</v>
      </c>
      <c r="H5154" s="15" t="s">
        <v>10</v>
      </c>
      <c r="I5154" s="15">
        <v>0.95925194015142323</v>
      </c>
      <c r="J5154" s="15">
        <v>0.95925194015142323</v>
      </c>
      <c r="K5154" s="15" t="s">
        <v>10</v>
      </c>
      <c r="L5154" s="15" t="s">
        <v>10</v>
      </c>
      <c r="M5154" s="15" t="s">
        <v>10</v>
      </c>
      <c r="N5154" s="15" t="s">
        <v>10</v>
      </c>
      <c r="O5154" s="15" t="s">
        <v>10</v>
      </c>
      <c r="P5154" s="15" t="s">
        <v>10</v>
      </c>
      <c r="Q5154" s="8"/>
      <c r="R5154" s="9" t="s">
        <v>4695</v>
      </c>
    </row>
    <row r="5155" spans="1:18" x14ac:dyDescent="0.25">
      <c r="A5155" s="6" t="str">
        <f>HYPERLINK("proteomic_fractions_linear_files/Yang_linear_img/365777424.jpg", "365777424")</f>
        <v>365777424</v>
      </c>
      <c r="B5155" s="7"/>
      <c r="C5155" s="6" t="str">
        <f>HYPERLINK("http://www.ncbi.nlm.nih.gov/protein/365777424","Oxsr1")</f>
        <v>Oxsr1</v>
      </c>
      <c r="D5155" s="8"/>
      <c r="E5155" s="8">
        <v>58083</v>
      </c>
      <c r="F5155" s="8"/>
      <c r="G5155" s="15" t="s">
        <v>10</v>
      </c>
      <c r="H5155" s="15" t="s">
        <v>10</v>
      </c>
      <c r="I5155" s="15">
        <v>1.0133311652688595</v>
      </c>
      <c r="J5155" s="15">
        <v>1.0133311652688595</v>
      </c>
      <c r="K5155" s="15">
        <v>1.1285045401817988</v>
      </c>
      <c r="L5155" s="15">
        <v>1.1285045401817988</v>
      </c>
      <c r="M5155" s="15">
        <v>1.1285045401817988</v>
      </c>
      <c r="N5155" s="15">
        <v>1.1285045401817988</v>
      </c>
      <c r="O5155" s="15">
        <v>0.91587189017243242</v>
      </c>
      <c r="P5155" s="15">
        <v>0.91587189017243242</v>
      </c>
      <c r="Q5155" s="8"/>
      <c r="R5155" s="9" t="s">
        <v>4696</v>
      </c>
    </row>
    <row r="5156" spans="1:18" x14ac:dyDescent="0.25">
      <c r="A5156" s="6" t="str">
        <f>HYPERLINK("proteomic_fractions_linear_files/Yang_linear_img/117676374.jpg", "117676374")</f>
        <v>117676374</v>
      </c>
      <c r="B5156" s="7"/>
      <c r="C5156" s="6" t="str">
        <f>HYPERLINK("http://www.ncbi.nlm.nih.gov/protein/117676374","P2rx4")</f>
        <v>P2rx4</v>
      </c>
      <c r="D5156" s="8"/>
      <c r="E5156" s="8">
        <v>43361</v>
      </c>
      <c r="F5156" s="8"/>
      <c r="G5156" s="15">
        <v>0.86840294007266494</v>
      </c>
      <c r="H5156" s="15">
        <v>0.86840294007266494</v>
      </c>
      <c r="I5156" s="15">
        <v>0.57104233984364927</v>
      </c>
      <c r="J5156" s="15">
        <v>0.57104233984364927</v>
      </c>
      <c r="K5156" s="15">
        <v>0.60814553756802325</v>
      </c>
      <c r="L5156" s="15">
        <v>0.60814553756802325</v>
      </c>
      <c r="M5156" s="15">
        <v>0.57104233984364927</v>
      </c>
      <c r="N5156" s="15">
        <v>0.57104233984364927</v>
      </c>
      <c r="O5156" s="15">
        <v>0.50687772722508728</v>
      </c>
      <c r="P5156" s="15">
        <v>0.50687772722508728</v>
      </c>
      <c r="Q5156" s="8"/>
      <c r="R5156" s="9" t="s">
        <v>4697</v>
      </c>
    </row>
    <row r="5157" spans="1:18" x14ac:dyDescent="0.25">
      <c r="A5157" s="6" t="str">
        <f>HYPERLINK("proteomic_fractions_linear_files/Yang_linear_img/238624118.jpg", "238624118")</f>
        <v>238624118</v>
      </c>
      <c r="B5157" s="7"/>
      <c r="C5157" s="6" t="str">
        <f>HYPERLINK("http://www.ncbi.nlm.nih.gov/protein/238624118","P2rx5")</f>
        <v>P2rx5</v>
      </c>
      <c r="D5157" s="8"/>
      <c r="E5157" s="8">
        <v>51231</v>
      </c>
      <c r="F5157" s="8"/>
      <c r="G5157" s="15">
        <v>0.86520763229344055</v>
      </c>
      <c r="H5157" s="15">
        <v>0.86520763229344055</v>
      </c>
      <c r="I5157" s="15" t="s">
        <v>10</v>
      </c>
      <c r="J5157" s="15" t="s">
        <v>10</v>
      </c>
      <c r="K5157" s="15" t="s">
        <v>10</v>
      </c>
      <c r="L5157" s="15" t="s">
        <v>10</v>
      </c>
      <c r="M5157" s="15" t="s">
        <v>10</v>
      </c>
      <c r="N5157" s="15" t="s">
        <v>10</v>
      </c>
      <c r="O5157" s="15" t="s">
        <v>10</v>
      </c>
      <c r="P5157" s="15" t="s">
        <v>10</v>
      </c>
      <c r="Q5157" s="8"/>
      <c r="R5157" s="9" t="s">
        <v>4698</v>
      </c>
    </row>
    <row r="5158" spans="1:18" x14ac:dyDescent="0.25">
      <c r="A5158" s="6" t="str">
        <f>HYPERLINK("proteomic_fractions_linear_files/Yang_linear_img/33859596.jpg", "33859596")</f>
        <v>33859596</v>
      </c>
      <c r="B5158" s="7"/>
      <c r="C5158" s="6" t="str">
        <f>HYPERLINK("http://www.ncbi.nlm.nih.gov/protein/33859596","P4ha1")</f>
        <v>P4ha1</v>
      </c>
      <c r="D5158" s="8"/>
      <c r="E5158" s="8">
        <v>58999</v>
      </c>
      <c r="F5158" s="8"/>
      <c r="G5158" s="15">
        <v>1.4084518385278619</v>
      </c>
      <c r="H5158" s="15">
        <v>1.4084518385278619</v>
      </c>
      <c r="I5158" s="15">
        <v>1.1093773445854971</v>
      </c>
      <c r="J5158" s="15">
        <v>1.1093773445854971</v>
      </c>
      <c r="K5158" s="15">
        <v>1.1093773445854971</v>
      </c>
      <c r="L5158" s="15">
        <v>1.1093773445854971</v>
      </c>
      <c r="M5158" s="15">
        <v>1.1093773445854971</v>
      </c>
      <c r="N5158" s="15">
        <v>1.1093773445854971</v>
      </c>
      <c r="O5158" s="15" t="s">
        <v>10</v>
      </c>
      <c r="P5158" s="15" t="s">
        <v>10</v>
      </c>
      <c r="Q5158" s="8"/>
      <c r="R5158" s="9" t="s">
        <v>4699</v>
      </c>
    </row>
    <row r="5159" spans="1:18" x14ac:dyDescent="0.25">
      <c r="A5159" s="6" t="str">
        <f>HYPERLINK("proteomic_fractions_linear_files/Yang_linear_img/42415475.jpg", "42415475")</f>
        <v>42415475</v>
      </c>
      <c r="B5159" s="7"/>
      <c r="C5159" s="6" t="str">
        <f>HYPERLINK("http://www.ncbi.nlm.nih.gov/protein/42415475","P4hb")</f>
        <v>P4hb</v>
      </c>
      <c r="D5159" s="8"/>
      <c r="E5159" s="8">
        <v>55090</v>
      </c>
      <c r="F5159" s="8"/>
      <c r="G5159" s="15">
        <v>0.96582853872729235</v>
      </c>
      <c r="H5159" s="15">
        <v>0.96582853872729235</v>
      </c>
      <c r="I5159" s="15">
        <v>1.0686037742835246</v>
      </c>
      <c r="J5159" s="15">
        <v>1.0686037742835246</v>
      </c>
      <c r="K5159" s="15">
        <v>1.0686037742835246</v>
      </c>
      <c r="L5159" s="15">
        <v>1.0686037742835246</v>
      </c>
      <c r="M5159" s="15">
        <v>1.0686037742835246</v>
      </c>
      <c r="N5159" s="15">
        <v>1.0686037742835246</v>
      </c>
      <c r="O5159" s="15">
        <v>0.96582853872729235</v>
      </c>
      <c r="P5159" s="15">
        <v>0.96582853872729235</v>
      </c>
      <c r="Q5159" s="8"/>
      <c r="R5159" s="9" t="s">
        <v>4700</v>
      </c>
    </row>
    <row r="5160" spans="1:18" x14ac:dyDescent="0.25">
      <c r="A5160" s="6" t="str">
        <f>HYPERLINK("proteomic_fractions_linear_files/Yang_linear_img/6755100.jpg", "6755100")</f>
        <v>6755100</v>
      </c>
      <c r="B5160" s="7"/>
      <c r="C5160" s="6" t="str">
        <f>HYPERLINK("http://www.ncbi.nlm.nih.gov/protein/6755100","Pa2g4")</f>
        <v>Pa2g4</v>
      </c>
      <c r="D5160" s="8"/>
      <c r="E5160" s="8">
        <v>43568</v>
      </c>
      <c r="F5160" s="8"/>
      <c r="G5160" s="15">
        <v>1.3357547178544058</v>
      </c>
      <c r="H5160" s="15">
        <v>1.3357547178544058</v>
      </c>
      <c r="I5160" s="15">
        <v>1.0028543010673969</v>
      </c>
      <c r="J5160" s="15">
        <v>1.0028543010673969</v>
      </c>
      <c r="K5160" s="15">
        <v>1.0974994451003466</v>
      </c>
      <c r="L5160" s="15">
        <v>1.0974994451003466</v>
      </c>
      <c r="M5160" s="15">
        <v>1.0974994451003466</v>
      </c>
      <c r="N5160" s="15">
        <v>1.0974994451003466</v>
      </c>
      <c r="O5160" s="15">
        <v>1.0028543010673969</v>
      </c>
      <c r="P5160" s="15">
        <v>1.0028543010673969</v>
      </c>
      <c r="Q5160" s="8"/>
      <c r="R5160" s="9" t="s">
        <v>4701</v>
      </c>
    </row>
    <row r="5161" spans="1:18" x14ac:dyDescent="0.25">
      <c r="A5161" s="6" t="str">
        <f>HYPERLINK("proteomic_fractions_linear_files/Yang_linear_img/31560656.jpg", "31560656")</f>
        <v>31560656</v>
      </c>
      <c r="B5161" s="7"/>
      <c r="C5161" s="6" t="str">
        <f>HYPERLINK("http://www.ncbi.nlm.nih.gov/protein/31560656","Pabpc1")</f>
        <v>Pabpc1</v>
      </c>
      <c r="D5161" s="8"/>
      <c r="E5161" s="8">
        <v>70540</v>
      </c>
      <c r="F5161" s="8"/>
      <c r="G5161" s="15">
        <v>1.3375771997547115</v>
      </c>
      <c r="H5161" s="15">
        <v>1.3375771997547115</v>
      </c>
      <c r="I5161" s="15">
        <v>1.0343121160800317</v>
      </c>
      <c r="J5161" s="15">
        <v>1.0343121160800317</v>
      </c>
      <c r="K5161" s="15">
        <v>1.1704036404668148</v>
      </c>
      <c r="L5161" s="15">
        <v>1.1704036404668148</v>
      </c>
      <c r="M5161" s="15">
        <v>1.1704036404668148</v>
      </c>
      <c r="N5161" s="15">
        <v>1.1704036404668148</v>
      </c>
      <c r="O5161" s="15">
        <v>1.0343121160800317</v>
      </c>
      <c r="P5161" s="15">
        <v>1.0343121160800317</v>
      </c>
      <c r="Q5161" s="8"/>
      <c r="R5161" s="9" t="s">
        <v>4702</v>
      </c>
    </row>
    <row r="5162" spans="1:18" x14ac:dyDescent="0.25">
      <c r="A5162" s="6" t="str">
        <f>HYPERLINK("proteomic_fractions_linear_files/Yang_linear_img/166157896.jpg", "166157896")</f>
        <v>166157896</v>
      </c>
      <c r="B5162" s="7"/>
      <c r="C5162" s="6" t="str">
        <f>HYPERLINK("http://www.ncbi.nlm.nih.gov/protein/166157896","Pabpc1l")</f>
        <v>Pabpc1l</v>
      </c>
      <c r="D5162" s="8"/>
      <c r="E5162" s="8">
        <v>67303</v>
      </c>
      <c r="F5162" s="8"/>
      <c r="G5162" s="15">
        <v>1.4174325549639479</v>
      </c>
      <c r="H5162" s="15">
        <v>1.4174325549639479</v>
      </c>
      <c r="I5162" s="15">
        <v>1.2402784846737889</v>
      </c>
      <c r="J5162" s="15">
        <v>1.2402784846737889</v>
      </c>
      <c r="K5162" s="15">
        <v>1.2402784846737889</v>
      </c>
      <c r="L5162" s="15">
        <v>1.2402784846737889</v>
      </c>
      <c r="M5162" s="15">
        <v>1.0960620931594365</v>
      </c>
      <c r="N5162" s="15">
        <v>1.0960620931594365</v>
      </c>
      <c r="O5162" s="15">
        <v>1.0960620931594365</v>
      </c>
      <c r="P5162" s="15">
        <v>1.0960620931594365</v>
      </c>
      <c r="Q5162" s="8"/>
      <c r="R5162" s="9" t="s">
        <v>4703</v>
      </c>
    </row>
    <row r="5163" spans="1:18" x14ac:dyDescent="0.25">
      <c r="A5163" s="6" t="str">
        <f>HYPERLINK("proteomic_fractions_linear_files/Yang_linear_img/309271474.jpg", "309271474")</f>
        <v>309271474</v>
      </c>
      <c r="B5163" s="7"/>
      <c r="C5163" s="6" t="str">
        <f>HYPERLINK("http://www.ncbi.nlm.nih.gov/protein/309271474","Pabpc1l2b-ps")</f>
        <v>Pabpc1l2b-ps</v>
      </c>
      <c r="D5163" s="8"/>
      <c r="E5163" s="8">
        <v>25499</v>
      </c>
      <c r="F5163" s="8"/>
      <c r="G5163" s="15">
        <v>2.9374464096672899</v>
      </c>
      <c r="H5163" s="15">
        <v>2.9374464096672899</v>
      </c>
      <c r="I5163" s="15">
        <v>2.9374464096672899</v>
      </c>
      <c r="J5163" s="15">
        <v>2.9374464096672899</v>
      </c>
      <c r="K5163" s="15">
        <v>3.3239463389257544</v>
      </c>
      <c r="L5163" s="15">
        <v>3.3239463389257544</v>
      </c>
      <c r="M5163" s="15">
        <v>3.3239463389257544</v>
      </c>
      <c r="N5163" s="15">
        <v>3.3239463389257544</v>
      </c>
      <c r="O5163" s="15" t="s">
        <v>10</v>
      </c>
      <c r="P5163" s="15" t="s">
        <v>10</v>
      </c>
      <c r="Q5163" s="8"/>
      <c r="R5163" s="9" t="s">
        <v>8318</v>
      </c>
    </row>
    <row r="5164" spans="1:18" x14ac:dyDescent="0.25">
      <c r="A5164" s="6" t="str">
        <f>HYPERLINK("proteomic_fractions_linear_files/Yang_linear_img/6754972.jpg", "6754972")</f>
        <v>6754972</v>
      </c>
      <c r="B5164" s="7"/>
      <c r="C5164" s="6" t="str">
        <f>HYPERLINK("http://www.ncbi.nlm.nih.gov/protein/6754972","Pabpc2")</f>
        <v>Pabpc2</v>
      </c>
      <c r="D5164" s="8"/>
      <c r="E5164" s="8">
        <v>68930</v>
      </c>
      <c r="F5164" s="8"/>
      <c r="G5164" s="15">
        <v>1.3763475533707901</v>
      </c>
      <c r="H5164" s="15">
        <v>1.3763475533707901</v>
      </c>
      <c r="I5164" s="15">
        <v>1.0642921774156846</v>
      </c>
      <c r="J5164" s="15">
        <v>1.0642921774156846</v>
      </c>
      <c r="K5164" s="15">
        <v>1.2043283836687515</v>
      </c>
      <c r="L5164" s="15">
        <v>1.2043283836687515</v>
      </c>
      <c r="M5164" s="15">
        <v>1.0642921774156846</v>
      </c>
      <c r="N5164" s="15">
        <v>1.0642921774156846</v>
      </c>
      <c r="O5164" s="15">
        <v>1.0642921774156846</v>
      </c>
      <c r="P5164" s="15">
        <v>1.0642921774156846</v>
      </c>
      <c r="Q5164" s="8"/>
      <c r="R5164" s="9" t="s">
        <v>4704</v>
      </c>
    </row>
    <row r="5165" spans="1:18" x14ac:dyDescent="0.25">
      <c r="A5165" s="6" t="str">
        <f>HYPERLINK("proteomic_fractions_linear_files/Yang_linear_img/22507391.jpg", "22507391")</f>
        <v>22507391</v>
      </c>
      <c r="B5165" s="7"/>
      <c r="C5165" s="6" t="str">
        <f>HYPERLINK("http://www.ncbi.nlm.nih.gov/protein/22507391","Pabpc4")</f>
        <v>Pabpc4</v>
      </c>
      <c r="D5165" s="8"/>
      <c r="E5165" s="8">
        <v>67722</v>
      </c>
      <c r="F5165" s="8"/>
      <c r="G5165" s="15">
        <v>1.3965879585674192</v>
      </c>
      <c r="H5165" s="15">
        <v>1.3965879585674192</v>
      </c>
      <c r="I5165" s="15">
        <v>1.0799435329659153</v>
      </c>
      <c r="J5165" s="15">
        <v>1.0799435329659153</v>
      </c>
      <c r="K5165" s="15">
        <v>1.222039095193292</v>
      </c>
      <c r="L5165" s="15">
        <v>1.222039095193292</v>
      </c>
      <c r="M5165" s="15">
        <v>1.222039095193292</v>
      </c>
      <c r="N5165" s="15">
        <v>1.222039095193292</v>
      </c>
      <c r="O5165" s="15">
        <v>1.0799435329659153</v>
      </c>
      <c r="P5165" s="15">
        <v>1.0799435329659153</v>
      </c>
      <c r="Q5165" s="8"/>
      <c r="R5165" s="9" t="s">
        <v>4705</v>
      </c>
    </row>
    <row r="5166" spans="1:18" x14ac:dyDescent="0.25">
      <c r="A5166" s="6" t="str">
        <f>HYPERLINK("proteomic_fractions_linear_files/Yang_linear_img/34419622.jpg", "34419622")</f>
        <v>34419622</v>
      </c>
      <c r="B5166" s="7"/>
      <c r="C5166" s="6" t="str">
        <f>HYPERLINK("http://www.ncbi.nlm.nih.gov/protein/34419622","Pabpc4")</f>
        <v>Pabpc4</v>
      </c>
      <c r="D5166" s="8"/>
      <c r="E5166" s="8">
        <v>72112</v>
      </c>
      <c r="F5166" s="8"/>
      <c r="G5166" s="15">
        <v>1.3189997386470071</v>
      </c>
      <c r="H5166" s="15">
        <v>1.3189997386470071</v>
      </c>
      <c r="I5166" s="15">
        <v>1.0199466700233646</v>
      </c>
      <c r="J5166" s="15">
        <v>1.0199466700233646</v>
      </c>
      <c r="K5166" s="15">
        <v>1.1541480343492203</v>
      </c>
      <c r="L5166" s="15">
        <v>1.1541480343492203</v>
      </c>
      <c r="M5166" s="15">
        <v>1.1541480343492203</v>
      </c>
      <c r="N5166" s="15">
        <v>1.1541480343492203</v>
      </c>
      <c r="O5166" s="15">
        <v>1.0199466700233646</v>
      </c>
      <c r="P5166" s="15">
        <v>1.0199466700233646</v>
      </c>
      <c r="Q5166" s="8"/>
      <c r="R5166" s="9" t="s">
        <v>4706</v>
      </c>
    </row>
    <row r="5167" spans="1:18" x14ac:dyDescent="0.25">
      <c r="A5167" s="6" t="str">
        <f>HYPERLINK("proteomic_fractions_linear_files/Yang_linear_img/168229272.jpg", "168229272")</f>
        <v>168229272</v>
      </c>
      <c r="B5167" s="7"/>
      <c r="C5167" s="6" t="str">
        <f>HYPERLINK("http://www.ncbi.nlm.nih.gov/protein/168229272","Pabpc4l")</f>
        <v>Pabpc4l</v>
      </c>
      <c r="D5167" s="8"/>
      <c r="E5167" s="8">
        <v>41805</v>
      </c>
      <c r="F5167" s="8"/>
      <c r="G5167" s="15" t="s">
        <v>10</v>
      </c>
      <c r="H5167" s="15" t="s">
        <v>10</v>
      </c>
      <c r="I5167" s="15" t="s">
        <v>10</v>
      </c>
      <c r="J5167" s="15" t="s">
        <v>10</v>
      </c>
      <c r="K5167" s="15">
        <v>1.9785394874558062</v>
      </c>
      <c r="L5167" s="15">
        <v>1.9785394874558062</v>
      </c>
      <c r="M5167" s="15" t="s">
        <v>10</v>
      </c>
      <c r="N5167" s="15" t="s">
        <v>10</v>
      </c>
      <c r="O5167" s="15" t="s">
        <v>10</v>
      </c>
      <c r="P5167" s="15" t="s">
        <v>10</v>
      </c>
      <c r="Q5167" s="8"/>
      <c r="R5167" s="9" t="s">
        <v>4707</v>
      </c>
    </row>
    <row r="5168" spans="1:18" x14ac:dyDescent="0.25">
      <c r="A5168" s="6" t="str">
        <f>HYPERLINK("proteomic_fractions_linear_files/Yang_linear_img/29336045.jpg", "29336045")</f>
        <v>29336045</v>
      </c>
      <c r="B5168" s="7"/>
      <c r="C5168" s="6" t="str">
        <f>HYPERLINK("http://www.ncbi.nlm.nih.gov/protein/29336045","Pabpc5")</f>
        <v>Pabpc5</v>
      </c>
      <c r="D5168" s="8"/>
      <c r="E5168" s="8">
        <v>43219</v>
      </c>
      <c r="F5168" s="8"/>
      <c r="G5168" s="15" t="s">
        <v>10</v>
      </c>
      <c r="H5168" s="15" t="s">
        <v>10</v>
      </c>
      <c r="I5168" s="15">
        <v>1.707817680039122</v>
      </c>
      <c r="J5168" s="15">
        <v>1.707817680039122</v>
      </c>
      <c r="K5168" s="15">
        <v>1.3668187810603221</v>
      </c>
      <c r="L5168" s="15">
        <v>1.3668187810603221</v>
      </c>
      <c r="M5168" s="15">
        <v>1.3668187810603221</v>
      </c>
      <c r="N5168" s="15">
        <v>1.3668187810603221</v>
      </c>
      <c r="O5168" s="15">
        <v>1.707817680039122</v>
      </c>
      <c r="P5168" s="15">
        <v>1.707817680039122</v>
      </c>
      <c r="Q5168" s="8"/>
      <c r="R5168" s="9" t="s">
        <v>4708</v>
      </c>
    </row>
    <row r="5169" spans="1:18" x14ac:dyDescent="0.25">
      <c r="A5169" s="6" t="str">
        <f>HYPERLINK("proteomic_fractions_linear_files/Yang_linear_img/255652857.jpg", "255652857")</f>
        <v>255652857</v>
      </c>
      <c r="B5169" s="7"/>
      <c r="C5169" s="6" t="str">
        <f>HYPERLINK("http://www.ncbi.nlm.nih.gov/protein/255652857","Pabpc6")</f>
        <v>Pabpc6</v>
      </c>
      <c r="D5169" s="8"/>
      <c r="E5169" s="8">
        <v>70871</v>
      </c>
      <c r="F5169" s="8"/>
      <c r="G5169" s="15">
        <v>1.3375771997547115</v>
      </c>
      <c r="H5169" s="15">
        <v>1.3375771997547115</v>
      </c>
      <c r="I5169" s="15">
        <v>1.0343121160800317</v>
      </c>
      <c r="J5169" s="15">
        <v>1.0343121160800317</v>
      </c>
      <c r="K5169" s="15">
        <v>1.1704036404668148</v>
      </c>
      <c r="L5169" s="15">
        <v>1.1704036404668148</v>
      </c>
      <c r="M5169" s="15">
        <v>1.1704036404668148</v>
      </c>
      <c r="N5169" s="15">
        <v>1.1704036404668148</v>
      </c>
      <c r="O5169" s="15">
        <v>1.0343121160800317</v>
      </c>
      <c r="P5169" s="15">
        <v>1.0343121160800317</v>
      </c>
      <c r="Q5169" s="8"/>
      <c r="R5169" s="9" t="s">
        <v>4709</v>
      </c>
    </row>
    <row r="5170" spans="1:18" x14ac:dyDescent="0.25">
      <c r="A5170" s="6" t="str">
        <f>HYPERLINK("proteomic_fractions_linear_files/Yang_linear_img/9506945.jpg", "9506945")</f>
        <v>9506945</v>
      </c>
      <c r="B5170" s="7"/>
      <c r="C5170" s="6" t="str">
        <f>HYPERLINK("http://www.ncbi.nlm.nih.gov/protein/9506945","Pabpn1")</f>
        <v>Pabpn1</v>
      </c>
      <c r="D5170" s="8"/>
      <c r="E5170" s="8">
        <v>32166</v>
      </c>
      <c r="F5170" s="8"/>
      <c r="G5170" s="15" t="s">
        <v>10</v>
      </c>
      <c r="H5170" s="15" t="s">
        <v>10</v>
      </c>
      <c r="I5170" s="15" t="s">
        <v>10</v>
      </c>
      <c r="J5170" s="15" t="s">
        <v>10</v>
      </c>
      <c r="K5170" s="15">
        <v>1.5090617370129766</v>
      </c>
      <c r="L5170" s="15">
        <v>1.5090617370129766</v>
      </c>
      <c r="M5170" s="15">
        <v>1.5090617370129766</v>
      </c>
      <c r="N5170" s="15">
        <v>1.5090617370129766</v>
      </c>
      <c r="O5170" s="15" t="s">
        <v>10</v>
      </c>
      <c r="P5170" s="15" t="s">
        <v>10</v>
      </c>
      <c r="Q5170" s="8"/>
      <c r="R5170" s="9" t="s">
        <v>4710</v>
      </c>
    </row>
    <row r="5171" spans="1:18" x14ac:dyDescent="0.25">
      <c r="A5171" s="6" t="str">
        <f>HYPERLINK("proteomic_fractions_linear_files/Yang_linear_img/54291704.jpg", "54291704")</f>
        <v>54291704</v>
      </c>
      <c r="B5171" s="7"/>
      <c r="C5171" s="6" t="str">
        <f>HYPERLINK("http://www.ncbi.nlm.nih.gov/protein/54291704","Pacs1")</f>
        <v>Pacs1</v>
      </c>
      <c r="D5171" s="8"/>
      <c r="E5171" s="8">
        <v>104699</v>
      </c>
      <c r="F5171" s="8"/>
      <c r="G5171" s="15" t="s">
        <v>10</v>
      </c>
      <c r="H5171" s="15" t="s">
        <v>10</v>
      </c>
      <c r="I5171" s="15" t="s">
        <v>10</v>
      </c>
      <c r="J5171" s="15" t="s">
        <v>10</v>
      </c>
      <c r="K5171" s="15">
        <v>1.4614559155832556</v>
      </c>
      <c r="L5171" s="15">
        <v>1.4614559155832556</v>
      </c>
      <c r="M5171" s="15">
        <v>1.4614559155832556</v>
      </c>
      <c r="N5171" s="15">
        <v>1.4614559155832556</v>
      </c>
      <c r="O5171" s="15">
        <v>1.2259202680487331</v>
      </c>
      <c r="P5171" s="15">
        <v>1.2259202680487331</v>
      </c>
      <c r="Q5171" s="8"/>
      <c r="R5171" s="9" t="s">
        <v>4711</v>
      </c>
    </row>
    <row r="5172" spans="1:18" x14ac:dyDescent="0.25">
      <c r="A5172" s="6" t="str">
        <f>HYPERLINK("proteomic_fractions_linear_files/Yang_linear_img/7106381.jpg", "7106381")</f>
        <v>7106381</v>
      </c>
      <c r="B5172" s="7"/>
      <c r="C5172" s="6" t="str">
        <f>HYPERLINK("http://www.ncbi.nlm.nih.gov/protein/7106381","Pacsin2")</f>
        <v>Pacsin2</v>
      </c>
      <c r="D5172" s="8"/>
      <c r="E5172" s="8">
        <v>55702</v>
      </c>
      <c r="F5172" s="8"/>
      <c r="G5172" s="15" t="s">
        <v>10</v>
      </c>
      <c r="H5172" s="15" t="s">
        <v>10</v>
      </c>
      <c r="I5172" s="15">
        <v>1.1688082737597203</v>
      </c>
      <c r="J5172" s="15">
        <v>1.1688082737597203</v>
      </c>
      <c r="K5172" s="15">
        <v>1.3113600043157543</v>
      </c>
      <c r="L5172" s="15">
        <v>1.3113600043157543</v>
      </c>
      <c r="M5172" s="15">
        <v>1.3113600043157543</v>
      </c>
      <c r="N5172" s="15">
        <v>1.3113600043157543</v>
      </c>
      <c r="O5172" s="15">
        <v>1.1688082737597203</v>
      </c>
      <c r="P5172" s="15">
        <v>1.1688082737597203</v>
      </c>
      <c r="Q5172" s="8"/>
      <c r="R5172" s="9" t="s">
        <v>4712</v>
      </c>
    </row>
    <row r="5173" spans="1:18" x14ac:dyDescent="0.25">
      <c r="A5173" s="6" t="str">
        <f>HYPERLINK("proteomic_fractions_linear_files/Yang_linear_img/28077027.jpg", "28077027")</f>
        <v>28077027</v>
      </c>
      <c r="B5173" s="7"/>
      <c r="C5173" s="6" t="str">
        <f>HYPERLINK("http://www.ncbi.nlm.nih.gov/protein/28077027","Pacsin3")</f>
        <v>Pacsin3</v>
      </c>
      <c r="D5173" s="8"/>
      <c r="E5173" s="8">
        <v>48454</v>
      </c>
      <c r="F5173" s="8"/>
      <c r="G5173" s="15" t="s">
        <v>10</v>
      </c>
      <c r="H5173" s="15" t="s">
        <v>10</v>
      </c>
      <c r="I5173" s="15">
        <v>1.1066785339583558</v>
      </c>
      <c r="J5173" s="15">
        <v>1.1066785339583558</v>
      </c>
      <c r="K5173" s="15">
        <v>1.1066785339583558</v>
      </c>
      <c r="L5173" s="15">
        <v>1.1066785339583558</v>
      </c>
      <c r="M5173" s="15">
        <v>1.1066785339583558</v>
      </c>
      <c r="N5173" s="15">
        <v>1.1066785339583558</v>
      </c>
      <c r="O5173" s="15" t="s">
        <v>10</v>
      </c>
      <c r="P5173" s="15" t="s">
        <v>10</v>
      </c>
      <c r="Q5173" s="8"/>
      <c r="R5173" s="9" t="s">
        <v>4713</v>
      </c>
    </row>
    <row r="5174" spans="1:18" x14ac:dyDescent="0.25">
      <c r="A5174" s="6" t="str">
        <f>HYPERLINK("proteomic_fractions_linear_files/Yang_linear_img/171906557.jpg", "171906557")</f>
        <v>171906557</v>
      </c>
      <c r="B5174" s="7"/>
      <c r="C5174" s="6" t="str">
        <f>HYPERLINK("http://www.ncbi.nlm.nih.gov/protein/171906557","Padi2")</f>
        <v>Padi2</v>
      </c>
      <c r="D5174" s="8"/>
      <c r="E5174" s="8">
        <v>76119</v>
      </c>
      <c r="F5174" s="8"/>
      <c r="G5174" s="15" t="s">
        <v>10</v>
      </c>
      <c r="H5174" s="15" t="s">
        <v>10</v>
      </c>
      <c r="I5174" s="15">
        <v>1.0934034009624192</v>
      </c>
      <c r="J5174" s="15">
        <v>1.0934034009624192</v>
      </c>
      <c r="K5174" s="15">
        <v>1.0934034009624192</v>
      </c>
      <c r="L5174" s="15">
        <v>1.0934034009624192</v>
      </c>
      <c r="M5174" s="15">
        <v>1.0934034009624192</v>
      </c>
      <c r="N5174" s="15">
        <v>1.0934034009624192</v>
      </c>
      <c r="O5174" s="15">
        <v>1.0934034009624192</v>
      </c>
      <c r="P5174" s="15">
        <v>1.0934034009624192</v>
      </c>
      <c r="Q5174" s="8"/>
      <c r="R5174" s="9" t="s">
        <v>4714</v>
      </c>
    </row>
    <row r="5175" spans="1:18" x14ac:dyDescent="0.25">
      <c r="A5175" s="6" t="str">
        <f>HYPERLINK("proteomic_fractions_linear_files/Yang_linear_img/31980912.jpg", "31980912")</f>
        <v>31980912</v>
      </c>
      <c r="B5175" s="7"/>
      <c r="C5175" s="6" t="str">
        <f>HYPERLINK("http://www.ncbi.nlm.nih.gov/protein/31980912","Paf1")</f>
        <v>Paf1</v>
      </c>
      <c r="D5175" s="8"/>
      <c r="E5175" s="8">
        <v>60387</v>
      </c>
      <c r="F5175" s="8"/>
      <c r="G5175" s="15" t="s">
        <v>10</v>
      </c>
      <c r="H5175" s="15" t="s">
        <v>10</v>
      </c>
      <c r="I5175" s="15">
        <v>99.885000000000005</v>
      </c>
      <c r="J5175" s="15">
        <v>99.885000000000005</v>
      </c>
      <c r="K5175" s="15" t="s">
        <v>10</v>
      </c>
      <c r="L5175" s="15" t="s">
        <v>10</v>
      </c>
      <c r="M5175" s="15">
        <v>1.3849776412190642</v>
      </c>
      <c r="N5175" s="15">
        <v>1.3849776412190642</v>
      </c>
      <c r="O5175" s="15">
        <v>1.3849776412190642</v>
      </c>
      <c r="P5175" s="15">
        <v>1.3849776412190642</v>
      </c>
      <c r="Q5175" s="8"/>
      <c r="R5175" s="9" t="s">
        <v>4715</v>
      </c>
    </row>
    <row r="5176" spans="1:18" x14ac:dyDescent="0.25">
      <c r="A5176" s="6" t="str">
        <f>HYPERLINK("proteomic_fractions_linear_files/Yang_linear_img/7305363.jpg", "7305363")</f>
        <v>7305363</v>
      </c>
      <c r="B5176" s="7"/>
      <c r="C5176" s="6" t="str">
        <f>HYPERLINK("http://www.ncbi.nlm.nih.gov/protein/7305363","Pafah1b1")</f>
        <v>Pafah1b1</v>
      </c>
      <c r="D5176" s="8"/>
      <c r="E5176" s="8">
        <v>46539</v>
      </c>
      <c r="F5176" s="8"/>
      <c r="G5176" s="15" t="s">
        <v>10</v>
      </c>
      <c r="H5176" s="15" t="s">
        <v>10</v>
      </c>
      <c r="I5176" s="15">
        <v>0.93884232440352056</v>
      </c>
      <c r="J5176" s="15">
        <v>0.93884232440352056</v>
      </c>
      <c r="K5176" s="15">
        <v>1.0274462890301117</v>
      </c>
      <c r="L5176" s="15">
        <v>1.0274462890301117</v>
      </c>
      <c r="M5176" s="15">
        <v>0.93884232440352056</v>
      </c>
      <c r="N5176" s="15">
        <v>0.93884232440352056</v>
      </c>
      <c r="O5176" s="15">
        <v>0.86185783411112227</v>
      </c>
      <c r="P5176" s="15">
        <v>0.86185783411112227</v>
      </c>
      <c r="Q5176" s="8"/>
      <c r="R5176" s="9" t="s">
        <v>4716</v>
      </c>
    </row>
    <row r="5177" spans="1:18" x14ac:dyDescent="0.25">
      <c r="A5177" s="6" t="str">
        <f>HYPERLINK("proteomic_fractions_linear_files/Yang_linear_img/40254624.jpg", "40254624")</f>
        <v>40254624</v>
      </c>
      <c r="B5177" s="7"/>
      <c r="C5177" s="6" t="str">
        <f>HYPERLINK("http://www.ncbi.nlm.nih.gov/protein/40254624","Pafah1b2")</f>
        <v>Pafah1b2</v>
      </c>
      <c r="D5177" s="8"/>
      <c r="E5177" s="8">
        <v>25450</v>
      </c>
      <c r="F5177" s="8"/>
      <c r="G5177" s="15">
        <v>1.4936530569249837</v>
      </c>
      <c r="H5177" s="15">
        <v>1.4936530569249837</v>
      </c>
      <c r="I5177" s="15">
        <v>1.0460103246170001</v>
      </c>
      <c r="J5177" s="15">
        <v>1.0460103246170001</v>
      </c>
      <c r="K5177" s="15">
        <v>1.0460103246170001</v>
      </c>
      <c r="L5177" s="15">
        <v>1.0460103246170001</v>
      </c>
      <c r="M5177" s="15">
        <v>1.0460103246170001</v>
      </c>
      <c r="N5177" s="15">
        <v>1.0460103246170001</v>
      </c>
      <c r="O5177" s="15">
        <v>0.92438293498869784</v>
      </c>
      <c r="P5177" s="15">
        <v>0.92438293498869784</v>
      </c>
      <c r="Q5177" s="8"/>
      <c r="R5177" s="9" t="s">
        <v>4717</v>
      </c>
    </row>
    <row r="5178" spans="1:18" x14ac:dyDescent="0.25">
      <c r="A5178" s="6" t="str">
        <f>HYPERLINK("proteomic_fractions_linear_files/Yang_linear_img/6679201.jpg", "6679201")</f>
        <v>6679201</v>
      </c>
      <c r="B5178" s="7"/>
      <c r="C5178" s="6" t="str">
        <f>HYPERLINK("http://www.ncbi.nlm.nih.gov/protein/6679201","Pafah1b3")</f>
        <v>Pafah1b3</v>
      </c>
      <c r="D5178" s="8"/>
      <c r="E5178" s="8">
        <v>25722</v>
      </c>
      <c r="F5178" s="8"/>
      <c r="G5178" s="15">
        <v>1.3289760204028918</v>
      </c>
      <c r="H5178" s="15">
        <v>1.3289760204028918</v>
      </c>
      <c r="I5178" s="15">
        <v>0.8888297451814402</v>
      </c>
      <c r="J5178" s="15">
        <v>0.8888297451814402</v>
      </c>
      <c r="K5178" s="15">
        <v>0.8888297451814402</v>
      </c>
      <c r="L5178" s="15">
        <v>0.8888297451814402</v>
      </c>
      <c r="M5178" s="15">
        <v>0.94441617743372752</v>
      </c>
      <c r="N5178" s="15">
        <v>0.94441617743372752</v>
      </c>
      <c r="O5178" s="15">
        <v>0.83829777964149044</v>
      </c>
      <c r="P5178" s="15">
        <v>0.83829777964149044</v>
      </c>
      <c r="Q5178" s="8"/>
      <c r="R5178" s="9" t="s">
        <v>4718</v>
      </c>
    </row>
    <row r="5179" spans="1:18" x14ac:dyDescent="0.25">
      <c r="A5179" s="6" t="str">
        <f>HYPERLINK("proteomic_fractions_linear_files/Yang_linear_img/225579137.jpg", "225579137")</f>
        <v>225579137</v>
      </c>
      <c r="B5179" s="7"/>
      <c r="C5179" s="6" t="str">
        <f>HYPERLINK("http://www.ncbi.nlm.nih.gov/protein/225579137","Pafah2")</f>
        <v>Pafah2</v>
      </c>
      <c r="D5179" s="8"/>
      <c r="E5179" s="8">
        <v>43431</v>
      </c>
      <c r="F5179" s="8"/>
      <c r="G5179" s="15" t="s">
        <v>10</v>
      </c>
      <c r="H5179" s="15" t="s">
        <v>10</v>
      </c>
      <c r="I5179" s="15" t="s">
        <v>10</v>
      </c>
      <c r="J5179" s="15" t="s">
        <v>10</v>
      </c>
      <c r="K5179" s="15">
        <v>0.942030655888901</v>
      </c>
      <c r="L5179" s="15">
        <v>0.942030655888901</v>
      </c>
      <c r="M5179" s="15">
        <v>0.86840294007266494</v>
      </c>
      <c r="N5179" s="15">
        <v>0.86840294007266494</v>
      </c>
      <c r="O5179" s="15" t="s">
        <v>10</v>
      </c>
      <c r="P5179" s="15" t="s">
        <v>10</v>
      </c>
      <c r="Q5179" s="8"/>
      <c r="R5179" s="9" t="s">
        <v>4719</v>
      </c>
    </row>
    <row r="5180" spans="1:18" x14ac:dyDescent="0.25">
      <c r="A5180" s="6" t="str">
        <f>HYPERLINK("proteomic_fractions_linear_files/Yang_linear_img/13385434.jpg", "13385434")</f>
        <v>13385434</v>
      </c>
      <c r="B5180" s="7"/>
      <c r="C5180" s="6" t="str">
        <f>HYPERLINK("http://www.ncbi.nlm.nih.gov/protein/13385434","Paics")</f>
        <v>Paics</v>
      </c>
      <c r="D5180" s="8"/>
      <c r="E5180" s="8">
        <v>46875</v>
      </c>
      <c r="F5180" s="8"/>
      <c r="G5180" s="15">
        <v>1.1302248857447037</v>
      </c>
      <c r="H5180" s="15">
        <v>1.1302248857447037</v>
      </c>
      <c r="I5180" s="15">
        <v>0.93884232440352056</v>
      </c>
      <c r="J5180" s="15">
        <v>0.93884232440352056</v>
      </c>
      <c r="K5180" s="15">
        <v>0.93884232440352056</v>
      </c>
      <c r="L5180" s="15">
        <v>0.93884232440352056</v>
      </c>
      <c r="M5180" s="15">
        <v>0.93884232440352056</v>
      </c>
      <c r="N5180" s="15">
        <v>0.93884232440352056</v>
      </c>
      <c r="O5180" s="15">
        <v>0.86185783411112227</v>
      </c>
      <c r="P5180" s="15">
        <v>0.86185783411112227</v>
      </c>
      <c r="Q5180" s="8"/>
      <c r="R5180" s="9" t="s">
        <v>4720</v>
      </c>
    </row>
    <row r="5181" spans="1:18" x14ac:dyDescent="0.25">
      <c r="A5181" s="6" t="str">
        <f>HYPERLINK("proteomic_fractions_linear_files/Yang_linear_img/119943127.jpg", "119943127")</f>
        <v>119943127</v>
      </c>
      <c r="B5181" s="7"/>
      <c r="C5181" s="6" t="str">
        <f>HYPERLINK("http://www.ncbi.nlm.nih.gov/protein/119943127","Paip1")</f>
        <v>Paip1</v>
      </c>
      <c r="D5181" s="8"/>
      <c r="E5181" s="8">
        <v>41930</v>
      </c>
      <c r="F5181" s="8"/>
      <c r="G5181" s="15" t="s">
        <v>10</v>
      </c>
      <c r="H5181" s="15" t="s">
        <v>10</v>
      </c>
      <c r="I5181" s="15" t="s">
        <v>10</v>
      </c>
      <c r="J5181" s="15" t="s">
        <v>10</v>
      </c>
      <c r="K5181" s="15">
        <v>1.1497613234384585</v>
      </c>
      <c r="L5181" s="15">
        <v>1.1497613234384585</v>
      </c>
      <c r="M5181" s="15" t="s">
        <v>10</v>
      </c>
      <c r="N5181" s="15" t="s">
        <v>10</v>
      </c>
      <c r="O5181" s="15">
        <v>0.96445995721958921</v>
      </c>
      <c r="P5181" s="15">
        <v>0.96445995721958921</v>
      </c>
      <c r="Q5181" s="8"/>
      <c r="R5181" s="9" t="s">
        <v>4721</v>
      </c>
    </row>
    <row r="5182" spans="1:18" x14ac:dyDescent="0.25">
      <c r="A5182" s="6" t="str">
        <f>HYPERLINK("proteomic_fractions_linear_files/Yang_linear_img/21703908.jpg", "21703908")</f>
        <v>21703908</v>
      </c>
      <c r="B5182" s="7"/>
      <c r="C5182" s="6" t="str">
        <f>HYPERLINK("http://www.ncbi.nlm.nih.gov/protein/21703908","Paip1")</f>
        <v>Paip1</v>
      </c>
      <c r="D5182" s="8"/>
      <c r="E5182" s="8">
        <v>45571</v>
      </c>
      <c r="F5182" s="8"/>
      <c r="G5182" s="15" t="s">
        <v>10</v>
      </c>
      <c r="H5182" s="15" t="s">
        <v>10</v>
      </c>
      <c r="I5182" s="15" t="s">
        <v>10</v>
      </c>
      <c r="J5182" s="15" t="s">
        <v>10</v>
      </c>
      <c r="K5182" s="15">
        <v>1.0497820779220708</v>
      </c>
      <c r="L5182" s="15">
        <v>1.0497820779220708</v>
      </c>
      <c r="M5182" s="15" t="s">
        <v>10</v>
      </c>
      <c r="N5182" s="15" t="s">
        <v>10</v>
      </c>
      <c r="O5182" s="15">
        <v>0.88059387398310318</v>
      </c>
      <c r="P5182" s="15">
        <v>0.88059387398310318</v>
      </c>
      <c r="Q5182" s="8"/>
      <c r="R5182" s="9" t="s">
        <v>4722</v>
      </c>
    </row>
    <row r="5183" spans="1:18" x14ac:dyDescent="0.25">
      <c r="A5183" s="6" t="str">
        <f>HYPERLINK("proteomic_fractions_linear_files/Yang_linear_img/112181194.jpg", "112181194")</f>
        <v>112181194</v>
      </c>
      <c r="B5183" s="7"/>
      <c r="C5183" s="6" t="str">
        <f>HYPERLINK("http://www.ncbi.nlm.nih.gov/protein/112181194","Pak1")</f>
        <v>Pak1</v>
      </c>
      <c r="D5183" s="8"/>
      <c r="E5183" s="8">
        <v>60477</v>
      </c>
      <c r="F5183" s="8"/>
      <c r="G5183" s="15" t="s">
        <v>10</v>
      </c>
      <c r="H5183" s="15" t="s">
        <v>10</v>
      </c>
      <c r="I5183" s="15">
        <v>0.97955345975989749</v>
      </c>
      <c r="J5183" s="15">
        <v>0.97955345975989749</v>
      </c>
      <c r="K5183" s="15">
        <v>1.0908877221757389</v>
      </c>
      <c r="L5183" s="15">
        <v>1.0908877221757389</v>
      </c>
      <c r="M5183" s="15">
        <v>1.0908877221757389</v>
      </c>
      <c r="N5183" s="15">
        <v>1.0908877221757389</v>
      </c>
      <c r="O5183" s="15">
        <v>0.97955345975989749</v>
      </c>
      <c r="P5183" s="15">
        <v>0.97955345975989749</v>
      </c>
      <c r="Q5183" s="8"/>
      <c r="R5183" s="9" t="s">
        <v>4723</v>
      </c>
    </row>
    <row r="5184" spans="1:18" x14ac:dyDescent="0.25">
      <c r="A5184" s="6" t="str">
        <f>HYPERLINK("proteomic_fractions_linear_files/Yang_linear_img/145046259.jpg", "145046259")</f>
        <v>145046259</v>
      </c>
      <c r="B5184" s="7"/>
      <c r="C5184" s="6" t="str">
        <f>HYPERLINK("http://www.ncbi.nlm.nih.gov/protein/145046259","Pak1ip1")</f>
        <v>Pak1ip1</v>
      </c>
      <c r="D5184" s="8"/>
      <c r="E5184" s="8">
        <v>41985</v>
      </c>
      <c r="F5184" s="8"/>
      <c r="G5184" s="15" t="s">
        <v>10</v>
      </c>
      <c r="H5184" s="15" t="s">
        <v>10</v>
      </c>
      <c r="I5184" s="15">
        <v>1.1497613234384585</v>
      </c>
      <c r="J5184" s="15">
        <v>1.1497613234384585</v>
      </c>
      <c r="K5184" s="15">
        <v>1.2647754673809781</v>
      </c>
      <c r="L5184" s="15">
        <v>1.2647754673809781</v>
      </c>
      <c r="M5184" s="15">
        <v>1.1497613234384585</v>
      </c>
      <c r="N5184" s="15">
        <v>1.1497613234384585</v>
      </c>
      <c r="O5184" s="15" t="s">
        <v>10</v>
      </c>
      <c r="P5184" s="15" t="s">
        <v>10</v>
      </c>
      <c r="Q5184" s="8"/>
      <c r="R5184" s="9" t="s">
        <v>4724</v>
      </c>
    </row>
    <row r="5185" spans="1:18" x14ac:dyDescent="0.25">
      <c r="A5185" s="6" t="str">
        <f>HYPERLINK("proteomic_fractions_linear_files/Yang_linear_img/46559406.jpg", "46559406")</f>
        <v>46559406</v>
      </c>
      <c r="B5185" s="7"/>
      <c r="C5185" s="6" t="str">
        <f>HYPERLINK("http://www.ncbi.nlm.nih.gov/protein/46559406","Pak2")</f>
        <v>Pak2</v>
      </c>
      <c r="D5185" s="8"/>
      <c r="E5185" s="8">
        <v>57799</v>
      </c>
      <c r="F5185" s="8"/>
      <c r="G5185" s="15" t="s">
        <v>10</v>
      </c>
      <c r="H5185" s="15" t="s">
        <v>10</v>
      </c>
      <c r="I5185" s="15">
        <v>1.0133311652688595</v>
      </c>
      <c r="J5185" s="15">
        <v>1.0133311652688595</v>
      </c>
      <c r="K5185" s="15">
        <v>1.1285045401817988</v>
      </c>
      <c r="L5185" s="15">
        <v>1.1285045401817988</v>
      </c>
      <c r="M5185" s="15">
        <v>1.1285045401817988</v>
      </c>
      <c r="N5185" s="15">
        <v>1.1285045401817988</v>
      </c>
      <c r="O5185" s="15">
        <v>1.0133311652688595</v>
      </c>
      <c r="P5185" s="15">
        <v>1.0133311652688595</v>
      </c>
      <c r="Q5185" s="8"/>
      <c r="R5185" s="9" t="s">
        <v>4725</v>
      </c>
    </row>
    <row r="5186" spans="1:18" x14ac:dyDescent="0.25">
      <c r="A5186" s="6" t="str">
        <f>HYPERLINK("proteomic_fractions_linear_files/Yang_linear_img/304307781.jpg", "304307781")</f>
        <v>304307781</v>
      </c>
      <c r="B5186" s="7"/>
      <c r="C5186" s="6" t="str">
        <f>HYPERLINK("http://www.ncbi.nlm.nih.gov/protein/304307781","Pak3")</f>
        <v>Pak3</v>
      </c>
      <c r="D5186" s="8"/>
      <c r="E5186" s="8">
        <v>64487</v>
      </c>
      <c r="F5186" s="8"/>
      <c r="G5186" s="15" t="s">
        <v>10</v>
      </c>
      <c r="H5186" s="15" t="s">
        <v>10</v>
      </c>
      <c r="I5186" s="15">
        <v>0.91833136852490393</v>
      </c>
      <c r="J5186" s="15">
        <v>1.0227072395397552</v>
      </c>
      <c r="K5186" s="15">
        <v>1.0227072395397552</v>
      </c>
      <c r="L5186" s="15">
        <v>1.0227072395397552</v>
      </c>
      <c r="M5186" s="15">
        <v>1.0227072395397552</v>
      </c>
      <c r="N5186" s="15">
        <v>1.0227072395397552</v>
      </c>
      <c r="O5186" s="15">
        <v>0.91833136852490393</v>
      </c>
      <c r="P5186" s="15">
        <v>0.91833136852490393</v>
      </c>
      <c r="Q5186" s="8"/>
      <c r="R5186" s="9" t="s">
        <v>4726</v>
      </c>
    </row>
    <row r="5187" spans="1:18" x14ac:dyDescent="0.25">
      <c r="A5187" s="6" t="str">
        <f>HYPERLINK("proteomic_fractions_linear_files/Yang_linear_img/304307783.jpg", "304307783")</f>
        <v>304307783</v>
      </c>
      <c r="B5187" s="7"/>
      <c r="C5187" s="6" t="str">
        <f>HYPERLINK("http://www.ncbi.nlm.nih.gov/protein/304307783","Pak3")</f>
        <v>Pak3</v>
      </c>
      <c r="D5187" s="8"/>
      <c r="E5187" s="8">
        <v>62870</v>
      </c>
      <c r="F5187" s="8"/>
      <c r="G5187" s="15" t="s">
        <v>10</v>
      </c>
      <c r="H5187" s="15" t="s">
        <v>10</v>
      </c>
      <c r="I5187" s="15">
        <v>0.9329080569141881</v>
      </c>
      <c r="J5187" s="15">
        <v>1.038940687786418</v>
      </c>
      <c r="K5187" s="15">
        <v>1.038940687786418</v>
      </c>
      <c r="L5187" s="15">
        <v>1.038940687786418</v>
      </c>
      <c r="M5187" s="15">
        <v>1.038940687786418</v>
      </c>
      <c r="N5187" s="15">
        <v>1.038940687786418</v>
      </c>
      <c r="O5187" s="15">
        <v>0.9329080569141881</v>
      </c>
      <c r="P5187" s="15">
        <v>0.9329080569141881</v>
      </c>
      <c r="Q5187" s="8"/>
      <c r="R5187" s="9" t="s">
        <v>4727</v>
      </c>
    </row>
    <row r="5188" spans="1:18" x14ac:dyDescent="0.25">
      <c r="A5188" s="6" t="str">
        <f>HYPERLINK("proteomic_fractions_linear_files/Yang_linear_img/304307785.jpg", "304307785")</f>
        <v>304307785</v>
      </c>
      <c r="B5188" s="7"/>
      <c r="C5188" s="6" t="str">
        <f>HYPERLINK("http://www.ncbi.nlm.nih.gov/protein/304307785","Pak3")</f>
        <v>Pak3</v>
      </c>
      <c r="D5188" s="8"/>
      <c r="E5188" s="8">
        <v>62267</v>
      </c>
      <c r="F5188" s="8"/>
      <c r="G5188" s="15" t="s">
        <v>10</v>
      </c>
      <c r="H5188" s="15" t="s">
        <v>10</v>
      </c>
      <c r="I5188" s="15">
        <v>0.9479549610579654</v>
      </c>
      <c r="J5188" s="15">
        <v>1.0556977956539408</v>
      </c>
      <c r="K5188" s="15">
        <v>1.0556977956539408</v>
      </c>
      <c r="L5188" s="15">
        <v>1.0556977956539408</v>
      </c>
      <c r="M5188" s="15">
        <v>1.0556977956539408</v>
      </c>
      <c r="N5188" s="15">
        <v>1.0556977956539408</v>
      </c>
      <c r="O5188" s="15">
        <v>0.9479549610579654</v>
      </c>
      <c r="P5188" s="15">
        <v>0.9479549610579654</v>
      </c>
      <c r="Q5188" s="8"/>
      <c r="R5188" s="9" t="s">
        <v>4728</v>
      </c>
    </row>
    <row r="5189" spans="1:18" x14ac:dyDescent="0.25">
      <c r="A5189" s="6" t="str">
        <f>HYPERLINK("proteomic_fractions_linear_files/Yang_linear_img/304307788.jpg", "304307788")</f>
        <v>304307788</v>
      </c>
      <c r="B5189" s="7"/>
      <c r="C5189" s="6" t="str">
        <f>HYPERLINK("http://www.ncbi.nlm.nih.gov/protein/304307788","Pak3")</f>
        <v>Pak3</v>
      </c>
      <c r="D5189" s="8"/>
      <c r="E5189" s="8">
        <v>60650</v>
      </c>
      <c r="F5189" s="8"/>
      <c r="G5189" s="15" t="s">
        <v>10</v>
      </c>
      <c r="H5189" s="15" t="s">
        <v>10</v>
      </c>
      <c r="I5189" s="15">
        <v>0.96349520632121066</v>
      </c>
      <c r="J5189" s="15">
        <v>1.0730043168941694</v>
      </c>
      <c r="K5189" s="15">
        <v>1.0730043168941694</v>
      </c>
      <c r="L5189" s="15">
        <v>1.0730043168941694</v>
      </c>
      <c r="M5189" s="15">
        <v>1.0730043168941694</v>
      </c>
      <c r="N5189" s="15">
        <v>1.0730043168941694</v>
      </c>
      <c r="O5189" s="15">
        <v>0.96349520632121066</v>
      </c>
      <c r="P5189" s="15">
        <v>0.96349520632121066</v>
      </c>
      <c r="Q5189" s="8"/>
      <c r="R5189" s="9" t="s">
        <v>4729</v>
      </c>
    </row>
    <row r="5190" spans="1:18" x14ac:dyDescent="0.25">
      <c r="A5190" s="6" t="str">
        <f>HYPERLINK("proteomic_fractions_linear_files/Yang_linear_img/29336032.jpg", "29336032")</f>
        <v>29336032</v>
      </c>
      <c r="B5190" s="7"/>
      <c r="C5190" s="6" t="str">
        <f>HYPERLINK("http://www.ncbi.nlm.nih.gov/protein/29336032","Pak4")</f>
        <v>Pak4</v>
      </c>
      <c r="D5190" s="8"/>
      <c r="E5190" s="8">
        <v>64492</v>
      </c>
      <c r="F5190" s="8"/>
      <c r="G5190" s="15" t="s">
        <v>10</v>
      </c>
      <c r="H5190" s="15" t="s">
        <v>10</v>
      </c>
      <c r="I5190" s="15" t="s">
        <v>10</v>
      </c>
      <c r="J5190" s="15" t="s">
        <v>10</v>
      </c>
      <c r="K5190" s="15">
        <v>1.1474400037762851</v>
      </c>
      <c r="L5190" s="15">
        <v>1.1474400037762851</v>
      </c>
      <c r="M5190" s="15" t="s">
        <v>10</v>
      </c>
      <c r="N5190" s="15" t="s">
        <v>10</v>
      </c>
      <c r="O5190" s="15" t="s">
        <v>10</v>
      </c>
      <c r="P5190" s="15" t="s">
        <v>10</v>
      </c>
      <c r="Q5190" s="8"/>
      <c r="R5190" s="9" t="s">
        <v>4730</v>
      </c>
    </row>
    <row r="5191" spans="1:18" x14ac:dyDescent="0.25">
      <c r="A5191" s="6" t="str">
        <f>HYPERLINK("proteomic_fractions_linear_files/Yang_linear_img/171846274.jpg", "171846274")</f>
        <v>171846274</v>
      </c>
      <c r="B5191" s="7"/>
      <c r="C5191" s="6" t="str">
        <f>HYPERLINK("http://www.ncbi.nlm.nih.gov/protein/171846274","Pald1")</f>
        <v>Pald1</v>
      </c>
      <c r="D5191" s="8"/>
      <c r="E5191" s="8">
        <v>96633</v>
      </c>
      <c r="F5191" s="8"/>
      <c r="G5191" s="15" t="s">
        <v>10</v>
      </c>
      <c r="H5191" s="15" t="s">
        <v>10</v>
      </c>
      <c r="I5191" s="15">
        <v>0.97905135239777841</v>
      </c>
      <c r="J5191" s="15">
        <v>0.97905135239777841</v>
      </c>
      <c r="K5191" s="15">
        <v>1.1319748847539326</v>
      </c>
      <c r="L5191" s="15">
        <v>1.1319748847539326</v>
      </c>
      <c r="M5191" s="15">
        <v>1.1319748847539326</v>
      </c>
      <c r="N5191" s="15">
        <v>1.1319748847539326</v>
      </c>
      <c r="O5191" s="15">
        <v>0.97905135239777841</v>
      </c>
      <c r="P5191" s="15">
        <v>0.97905135239777841</v>
      </c>
      <c r="Q5191" s="8"/>
      <c r="R5191" s="9" t="s">
        <v>4731</v>
      </c>
    </row>
    <row r="5192" spans="1:18" x14ac:dyDescent="0.25">
      <c r="A5192" s="6" t="str">
        <f>HYPERLINK("proteomic_fractions_linear_files/Yang_linear_img/124487061.jpg", "124487061")</f>
        <v>124487061</v>
      </c>
      <c r="B5192" s="7"/>
      <c r="C5192" s="6" t="str">
        <f>HYPERLINK("http://www.ncbi.nlm.nih.gov/protein/124487061","Palld")</f>
        <v>Palld</v>
      </c>
      <c r="D5192" s="8"/>
      <c r="E5192" s="8">
        <v>121960</v>
      </c>
      <c r="F5192" s="8"/>
      <c r="G5192" s="15" t="s">
        <v>10</v>
      </c>
      <c r="H5192" s="15" t="s">
        <v>10</v>
      </c>
      <c r="I5192" s="15" t="s">
        <v>10</v>
      </c>
      <c r="J5192" s="15" t="s">
        <v>10</v>
      </c>
      <c r="K5192" s="15">
        <v>0.2288377975219841</v>
      </c>
      <c r="L5192" s="15">
        <v>0.2288377975219841</v>
      </c>
      <c r="M5192" s="15" t="s">
        <v>10</v>
      </c>
      <c r="N5192" s="15" t="s">
        <v>10</v>
      </c>
      <c r="O5192" s="15">
        <v>0.68113654486183495</v>
      </c>
      <c r="P5192" s="15">
        <v>0.68113654486183495</v>
      </c>
      <c r="Q5192" s="8"/>
      <c r="R5192" s="9" t="s">
        <v>4732</v>
      </c>
    </row>
    <row r="5193" spans="1:18" x14ac:dyDescent="0.25">
      <c r="A5193" s="6" t="str">
        <f>HYPERLINK("proteomic_fractions_linear_files/Yang_linear_img/239985639.jpg", "239985639")</f>
        <v>239985639</v>
      </c>
      <c r="B5193" s="7"/>
      <c r="C5193" s="6" t="str">
        <f>HYPERLINK("http://www.ncbi.nlm.nih.gov/protein/239985639","Palm")</f>
        <v>Palm</v>
      </c>
      <c r="D5193" s="8"/>
      <c r="E5193" s="8">
        <v>41483</v>
      </c>
      <c r="F5193" s="8"/>
      <c r="G5193" s="15" t="s">
        <v>10</v>
      </c>
      <c r="H5193" s="15" t="s">
        <v>10</v>
      </c>
      <c r="I5193" s="15" t="s">
        <v>10</v>
      </c>
      <c r="J5193" s="15" t="s">
        <v>10</v>
      </c>
      <c r="K5193" s="15">
        <v>1.2956236495122215</v>
      </c>
      <c r="L5193" s="15">
        <v>1.2956236495122215</v>
      </c>
      <c r="M5193" s="15" t="s">
        <v>10</v>
      </c>
      <c r="N5193" s="15" t="s">
        <v>10</v>
      </c>
      <c r="O5193" s="15" t="s">
        <v>10</v>
      </c>
      <c r="P5193" s="15" t="s">
        <v>10</v>
      </c>
      <c r="Q5193" s="8"/>
      <c r="R5193" s="9" t="s">
        <v>4733</v>
      </c>
    </row>
    <row r="5194" spans="1:18" x14ac:dyDescent="0.25">
      <c r="A5194" s="6" t="str">
        <f>HYPERLINK("proteomic_fractions_linear_files/Yang_linear_img/239985643.jpg", "239985643")</f>
        <v>239985643</v>
      </c>
      <c r="B5194" s="7"/>
      <c r="C5194" s="6" t="str">
        <f>HYPERLINK("http://www.ncbi.nlm.nih.gov/protein/239985643","Palm")</f>
        <v>Palm</v>
      </c>
      <c r="D5194" s="8"/>
      <c r="E5194" s="8">
        <v>36591</v>
      </c>
      <c r="F5194" s="8"/>
      <c r="G5194" s="15" t="s">
        <v>10</v>
      </c>
      <c r="H5194" s="15" t="s">
        <v>10</v>
      </c>
      <c r="I5194" s="15" t="s">
        <v>10</v>
      </c>
      <c r="J5194" s="15" t="s">
        <v>10</v>
      </c>
      <c r="K5194" s="15">
        <v>1.4356910710811102</v>
      </c>
      <c r="L5194" s="15">
        <v>1.4356910710811102</v>
      </c>
      <c r="M5194" s="15" t="s">
        <v>10</v>
      </c>
      <c r="N5194" s="15" t="s">
        <v>10</v>
      </c>
      <c r="O5194" s="15" t="s">
        <v>10</v>
      </c>
      <c r="P5194" s="15" t="s">
        <v>10</v>
      </c>
      <c r="Q5194" s="8"/>
      <c r="R5194" s="9" t="s">
        <v>4734</v>
      </c>
    </row>
    <row r="5195" spans="1:18" x14ac:dyDescent="0.25">
      <c r="A5195" s="6" t="str">
        <f>HYPERLINK("proteomic_fractions_linear_files/Yang_linear_img/124430707.jpg", "124430707")</f>
        <v>124430707</v>
      </c>
      <c r="B5195" s="7"/>
      <c r="C5195" s="6" t="str">
        <f>HYPERLINK("http://www.ncbi.nlm.nih.gov/protein/124430707","Palm3")</f>
        <v>Palm3</v>
      </c>
      <c r="D5195" s="8"/>
      <c r="E5195" s="8">
        <v>78657</v>
      </c>
      <c r="F5195" s="8"/>
      <c r="G5195" s="15" t="s">
        <v>10</v>
      </c>
      <c r="H5195" s="15" t="s">
        <v>10</v>
      </c>
      <c r="I5195" s="15">
        <v>1.9424414067878715</v>
      </c>
      <c r="J5195" s="15">
        <v>1.9424414067878715</v>
      </c>
      <c r="K5195" s="15">
        <v>2.3641244511384856</v>
      </c>
      <c r="L5195" s="15">
        <v>2.3641244511384856</v>
      </c>
      <c r="M5195" s="15" t="s">
        <v>10</v>
      </c>
      <c r="N5195" s="15" t="s">
        <v>10</v>
      </c>
      <c r="O5195" s="15" t="s">
        <v>10</v>
      </c>
      <c r="P5195" s="15" t="s">
        <v>10</v>
      </c>
      <c r="Q5195" s="8"/>
      <c r="R5195" s="9" t="s">
        <v>4735</v>
      </c>
    </row>
    <row r="5196" spans="1:18" x14ac:dyDescent="0.25">
      <c r="A5196" s="6" t="str">
        <f>HYPERLINK("proteomic_fractions_linear_files/Yang_linear_img/153792657.jpg", "153792657")</f>
        <v>153792657</v>
      </c>
      <c r="B5196" s="7"/>
      <c r="C5196" s="6" t="str">
        <f>HYPERLINK("http://www.ncbi.nlm.nih.gov/protein/153792657","Pam")</f>
        <v>Pam</v>
      </c>
      <c r="D5196" s="8"/>
      <c r="E5196" s="8">
        <v>106325</v>
      </c>
      <c r="F5196" s="8"/>
      <c r="G5196" s="15" t="s">
        <v>10</v>
      </c>
      <c r="H5196" s="15" t="s">
        <v>10</v>
      </c>
      <c r="I5196" s="15" t="s">
        <v>10</v>
      </c>
      <c r="J5196" s="15" t="s">
        <v>10</v>
      </c>
      <c r="K5196" s="15">
        <v>1.4476685956249231</v>
      </c>
      <c r="L5196" s="15">
        <v>1.4476685956249231</v>
      </c>
      <c r="M5196" s="15" t="s">
        <v>10</v>
      </c>
      <c r="N5196" s="15" t="s">
        <v>10</v>
      </c>
      <c r="O5196" s="15" t="s">
        <v>10</v>
      </c>
      <c r="P5196" s="15" t="s">
        <v>10</v>
      </c>
      <c r="Q5196" s="8"/>
      <c r="R5196" s="9" t="s">
        <v>4736</v>
      </c>
    </row>
    <row r="5197" spans="1:18" x14ac:dyDescent="0.25">
      <c r="A5197" s="6" t="str">
        <f>HYPERLINK("proteomic_fractions_linear_files/Yang_linear_img/13385012.jpg", "13385012")</f>
        <v>13385012</v>
      </c>
      <c r="B5197" s="7"/>
      <c r="C5197" s="6" t="str">
        <f>HYPERLINK("http://www.ncbi.nlm.nih.gov/protein/13385012","Pam16")</f>
        <v>Pam16</v>
      </c>
      <c r="D5197" s="8"/>
      <c r="E5197" s="8">
        <v>13654</v>
      </c>
      <c r="F5197" s="8"/>
      <c r="G5197" s="15">
        <v>0.99184646428118928</v>
      </c>
      <c r="H5197" s="15">
        <v>1.4712457990468766</v>
      </c>
      <c r="I5197" s="15">
        <v>0.99184646428118928</v>
      </c>
      <c r="J5197" s="15">
        <v>0.99184646428118928</v>
      </c>
      <c r="K5197" s="15">
        <v>1.085452735272449</v>
      </c>
      <c r="L5197" s="15">
        <v>1.085452735272449</v>
      </c>
      <c r="M5197" s="15" t="s">
        <v>10</v>
      </c>
      <c r="N5197" s="15" t="s">
        <v>10</v>
      </c>
      <c r="O5197" s="15" t="s">
        <v>10</v>
      </c>
      <c r="P5197" s="15" t="s">
        <v>10</v>
      </c>
      <c r="Q5197" s="8"/>
      <c r="R5197" s="9" t="s">
        <v>4737</v>
      </c>
    </row>
    <row r="5198" spans="1:18" x14ac:dyDescent="0.25">
      <c r="A5198" s="6" t="str">
        <f>HYPERLINK("proteomic_fractions_linear_files/Yang_linear_img/29789349.jpg", "29789349")</f>
        <v>29789349</v>
      </c>
      <c r="B5198" s="7"/>
      <c r="C5198" s="6" t="str">
        <f>HYPERLINK("http://www.ncbi.nlm.nih.gov/protein/29789349","Pan2")</f>
        <v>Pan2</v>
      </c>
      <c r="D5198" s="8"/>
      <c r="E5198" s="8">
        <v>135123</v>
      </c>
      <c r="F5198" s="8"/>
      <c r="G5198" s="15" t="s">
        <v>10</v>
      </c>
      <c r="H5198" s="15" t="s">
        <v>10</v>
      </c>
      <c r="I5198" s="15" t="s">
        <v>10</v>
      </c>
      <c r="J5198" s="15" t="s">
        <v>10</v>
      </c>
      <c r="K5198" s="15">
        <v>1.1366879343425322</v>
      </c>
      <c r="L5198" s="15">
        <v>1.1366879343425322</v>
      </c>
      <c r="M5198" s="15" t="s">
        <v>10</v>
      </c>
      <c r="N5198" s="15" t="s">
        <v>10</v>
      </c>
      <c r="O5198" s="15" t="s">
        <v>10</v>
      </c>
      <c r="P5198" s="15" t="s">
        <v>10</v>
      </c>
      <c r="Q5198" s="8"/>
      <c r="R5198" s="9" t="s">
        <v>4738</v>
      </c>
    </row>
    <row r="5199" spans="1:18" x14ac:dyDescent="0.25">
      <c r="A5199" s="6" t="str">
        <f>HYPERLINK("proteomic_fractions_linear_files/Yang_linear_img/356640187.jpg", "356640187")</f>
        <v>356640187</v>
      </c>
      <c r="B5199" s="7"/>
      <c r="C5199" s="6" t="str">
        <f>HYPERLINK("http://www.ncbi.nlm.nih.gov/protein/356640187","Pan2")</f>
        <v>Pan2</v>
      </c>
      <c r="D5199" s="8"/>
      <c r="E5199" s="8">
        <v>134282</v>
      </c>
      <c r="F5199" s="8"/>
      <c r="G5199" s="15" t="s">
        <v>10</v>
      </c>
      <c r="H5199" s="15" t="s">
        <v>10</v>
      </c>
      <c r="I5199" s="15" t="s">
        <v>10</v>
      </c>
      <c r="J5199" s="15" t="s">
        <v>10</v>
      </c>
      <c r="K5199" s="15">
        <v>1.1451706801212078</v>
      </c>
      <c r="L5199" s="15">
        <v>1.1451706801212078</v>
      </c>
      <c r="M5199" s="15" t="s">
        <v>10</v>
      </c>
      <c r="N5199" s="15" t="s">
        <v>10</v>
      </c>
      <c r="O5199" s="15" t="s">
        <v>10</v>
      </c>
      <c r="P5199" s="15" t="s">
        <v>10</v>
      </c>
      <c r="Q5199" s="8"/>
      <c r="R5199" s="9" t="s">
        <v>4739</v>
      </c>
    </row>
    <row r="5200" spans="1:18" x14ac:dyDescent="0.25">
      <c r="A5200" s="6" t="str">
        <f>HYPERLINK("proteomic_fractions_linear_files/Yang_linear_img/356640190.jpg", "356640190")</f>
        <v>356640190</v>
      </c>
      <c r="B5200" s="7"/>
      <c r="C5200" s="6" t="str">
        <f>HYPERLINK("http://www.ncbi.nlm.nih.gov/protein/356640190","Pan2")</f>
        <v>Pan2</v>
      </c>
      <c r="D5200" s="8"/>
      <c r="E5200" s="8">
        <v>132298</v>
      </c>
      <c r="F5200" s="8"/>
      <c r="G5200" s="15" t="s">
        <v>10</v>
      </c>
      <c r="H5200" s="15" t="s">
        <v>10</v>
      </c>
      <c r="I5200" s="15" t="s">
        <v>10</v>
      </c>
      <c r="J5200" s="15" t="s">
        <v>10</v>
      </c>
      <c r="K5200" s="15">
        <v>1.1625217510321351</v>
      </c>
      <c r="L5200" s="15">
        <v>1.1625217510321351</v>
      </c>
      <c r="M5200" s="15" t="s">
        <v>10</v>
      </c>
      <c r="N5200" s="15" t="s">
        <v>10</v>
      </c>
      <c r="O5200" s="15" t="s">
        <v>10</v>
      </c>
      <c r="P5200" s="15" t="s">
        <v>10</v>
      </c>
      <c r="Q5200" s="8"/>
      <c r="R5200" s="9" t="s">
        <v>4740</v>
      </c>
    </row>
    <row r="5201" spans="1:18" x14ac:dyDescent="0.25">
      <c r="A5201" s="6" t="str">
        <f>HYPERLINK("proteomic_fractions_linear_files/Yang_linear_img/270265830.jpg", "270265830")</f>
        <v>270265830</v>
      </c>
      <c r="B5201" s="7"/>
      <c r="C5201" s="6" t="str">
        <f>HYPERLINK("http://www.ncbi.nlm.nih.gov/protein/270265830","Pan3")</f>
        <v>Pan3</v>
      </c>
      <c r="D5201" s="8"/>
      <c r="E5201" s="8">
        <v>89614</v>
      </c>
      <c r="F5201" s="8"/>
      <c r="G5201" s="15" t="s">
        <v>10</v>
      </c>
      <c r="H5201" s="15" t="s">
        <v>10</v>
      </c>
      <c r="I5201" s="15" t="s">
        <v>10</v>
      </c>
      <c r="J5201" s="15" t="s">
        <v>10</v>
      </c>
      <c r="K5201" s="15">
        <v>1.2200173757903496</v>
      </c>
      <c r="L5201" s="15">
        <v>1.2200173757903496</v>
      </c>
      <c r="M5201" s="15" t="s">
        <v>10</v>
      </c>
      <c r="N5201" s="15" t="s">
        <v>10</v>
      </c>
      <c r="O5201" s="15" t="s">
        <v>10</v>
      </c>
      <c r="P5201" s="15" t="s">
        <v>10</v>
      </c>
      <c r="Q5201" s="8"/>
      <c r="R5201" s="9" t="s">
        <v>4741</v>
      </c>
    </row>
    <row r="5202" spans="1:18" x14ac:dyDescent="0.25">
      <c r="A5202" s="6" t="str">
        <f>HYPERLINK("proteomic_fractions_linear_files/Yang_linear_img/12963829.jpg", "12963829")</f>
        <v>12963829</v>
      </c>
      <c r="B5202" s="7"/>
      <c r="C5202" s="6" t="str">
        <f>HYPERLINK("http://www.ncbi.nlm.nih.gov/protein/12963829","Pank1")</f>
        <v>Pank1</v>
      </c>
      <c r="D5202" s="8"/>
      <c r="E5202" s="8">
        <v>41511</v>
      </c>
      <c r="F5202" s="8"/>
      <c r="G5202" s="15" t="s">
        <v>10</v>
      </c>
      <c r="H5202" s="15" t="s">
        <v>10</v>
      </c>
      <c r="I5202" s="15" t="s">
        <v>10</v>
      </c>
      <c r="J5202" s="15" t="s">
        <v>10</v>
      </c>
      <c r="K5202" s="15" t="s">
        <v>10</v>
      </c>
      <c r="L5202" s="15" t="s">
        <v>10</v>
      </c>
      <c r="M5202" s="15" t="s">
        <v>10</v>
      </c>
      <c r="N5202" s="15" t="s">
        <v>10</v>
      </c>
      <c r="O5202" s="15">
        <v>0.82269944120179006</v>
      </c>
      <c r="P5202" s="15">
        <v>0.82269944120179006</v>
      </c>
      <c r="Q5202" s="8"/>
      <c r="R5202" s="9" t="s">
        <v>4742</v>
      </c>
    </row>
    <row r="5203" spans="1:18" x14ac:dyDescent="0.25">
      <c r="A5203" s="6" t="str">
        <f>HYPERLINK("proteomic_fractions_linear_files/Yang_linear_img/167234376.jpg", "167234376")</f>
        <v>167234376</v>
      </c>
      <c r="B5203" s="7"/>
      <c r="C5203" s="6" t="str">
        <f>HYPERLINK("http://www.ncbi.nlm.nih.gov/protein/167234376","Pank1")</f>
        <v>Pank1</v>
      </c>
      <c r="D5203" s="8"/>
      <c r="E5203" s="8">
        <v>59961</v>
      </c>
      <c r="F5203" s="8"/>
      <c r="G5203" s="15" t="s">
        <v>10</v>
      </c>
      <c r="H5203" s="15" t="s">
        <v>10</v>
      </c>
      <c r="I5203" s="15" t="s">
        <v>10</v>
      </c>
      <c r="J5203" s="15" t="s">
        <v>10</v>
      </c>
      <c r="K5203" s="15" t="s">
        <v>10</v>
      </c>
      <c r="L5203" s="15" t="s">
        <v>10</v>
      </c>
      <c r="M5203" s="15" t="s">
        <v>10</v>
      </c>
      <c r="N5203" s="15" t="s">
        <v>10</v>
      </c>
      <c r="O5203" s="15">
        <v>0.57588960884125306</v>
      </c>
      <c r="P5203" s="15">
        <v>0.57588960884125306</v>
      </c>
      <c r="Q5203" s="8"/>
      <c r="R5203" s="9" t="s">
        <v>4743</v>
      </c>
    </row>
    <row r="5204" spans="1:18" x14ac:dyDescent="0.25">
      <c r="A5204" s="6" t="str">
        <f>HYPERLINK("proteomic_fractions_linear_files/Yang_linear_img/51571537.jpg", "51571537")</f>
        <v>51571537</v>
      </c>
      <c r="B5204" s="7"/>
      <c r="C5204" s="6" t="str">
        <f>HYPERLINK("http://www.ncbi.nlm.nih.gov/protein/51571537","Pank2")</f>
        <v>Pank2</v>
      </c>
      <c r="D5204" s="8"/>
      <c r="E5204" s="8">
        <v>48501</v>
      </c>
      <c r="F5204" s="8"/>
      <c r="G5204" s="15" t="s">
        <v>10</v>
      </c>
      <c r="H5204" s="15" t="s">
        <v>10</v>
      </c>
      <c r="I5204" s="15">
        <v>0.9855097058043929</v>
      </c>
      <c r="J5204" s="15">
        <v>0.9855097058043929</v>
      </c>
      <c r="K5204" s="15">
        <v>1.0840932577551241</v>
      </c>
      <c r="L5204" s="15">
        <v>1.0840932577551241</v>
      </c>
      <c r="M5204" s="15">
        <v>0.9855097058043929</v>
      </c>
      <c r="N5204" s="15">
        <v>0.9855097058043929</v>
      </c>
      <c r="O5204" s="15">
        <v>0.9855097058043929</v>
      </c>
      <c r="P5204" s="15">
        <v>0.9855097058043929</v>
      </c>
      <c r="Q5204" s="8"/>
      <c r="R5204" s="9" t="s">
        <v>4744</v>
      </c>
    </row>
    <row r="5205" spans="1:18" x14ac:dyDescent="0.25">
      <c r="A5205" s="6" t="str">
        <f>HYPERLINK("proteomic_fractions_linear_files/Yang_linear_img/22122397.jpg", "22122397")</f>
        <v>22122397</v>
      </c>
      <c r="B5205" s="7"/>
      <c r="C5205" s="6" t="str">
        <f>HYPERLINK("http://www.ncbi.nlm.nih.gov/protein/22122397","Pank3")</f>
        <v>Pank3</v>
      </c>
      <c r="D5205" s="8"/>
      <c r="E5205" s="8">
        <v>40989</v>
      </c>
      <c r="F5205" s="8"/>
      <c r="G5205" s="15" t="s">
        <v>10</v>
      </c>
      <c r="H5205" s="15" t="s">
        <v>10</v>
      </c>
      <c r="I5205" s="15" t="s">
        <v>10</v>
      </c>
      <c r="J5205" s="15" t="s">
        <v>10</v>
      </c>
      <c r="K5205" s="15" t="s">
        <v>10</v>
      </c>
      <c r="L5205" s="15" t="s">
        <v>10</v>
      </c>
      <c r="M5205" s="15" t="s">
        <v>10</v>
      </c>
      <c r="N5205" s="15" t="s">
        <v>10</v>
      </c>
      <c r="O5205" s="15">
        <v>0.84276528123110206</v>
      </c>
      <c r="P5205" s="15">
        <v>0.84276528123110206</v>
      </c>
      <c r="Q5205" s="8"/>
      <c r="R5205" s="9" t="s">
        <v>4745</v>
      </c>
    </row>
    <row r="5206" spans="1:18" x14ac:dyDescent="0.25">
      <c r="A5206" s="6" t="str">
        <f>HYPERLINK("proteomic_fractions_linear_files/Yang_linear_img/240255614.jpg", "240255614")</f>
        <v>240255614</v>
      </c>
      <c r="B5206" s="7"/>
      <c r="C5206" s="6" t="str">
        <f>HYPERLINK("http://www.ncbi.nlm.nih.gov/protein/240255614","Pank4")</f>
        <v>Pank4</v>
      </c>
      <c r="D5206" s="8"/>
      <c r="E5206" s="8">
        <v>86235</v>
      </c>
      <c r="F5206" s="8"/>
      <c r="G5206" s="15" t="s">
        <v>10</v>
      </c>
      <c r="H5206" s="15" t="s">
        <v>10</v>
      </c>
      <c r="I5206" s="15" t="s">
        <v>10</v>
      </c>
      <c r="J5206" s="15" t="s">
        <v>10</v>
      </c>
      <c r="K5206" s="15">
        <v>1.104278850960285</v>
      </c>
      <c r="L5206" s="15">
        <v>1.104278850960285</v>
      </c>
      <c r="M5206" s="15" t="s">
        <v>10</v>
      </c>
      <c r="N5206" s="15" t="s">
        <v>10</v>
      </c>
      <c r="O5206" s="15">
        <v>0.96626347061795181</v>
      </c>
      <c r="P5206" s="15">
        <v>0.96626347061795181</v>
      </c>
      <c r="Q5206" s="8"/>
      <c r="R5206" s="9" t="s">
        <v>4746</v>
      </c>
    </row>
    <row r="5207" spans="1:18" x14ac:dyDescent="0.25">
      <c r="A5207" s="6" t="str">
        <f>HYPERLINK("proteomic_fractions_linear_files/Yang_linear_img/28173566.jpg", "28173566")</f>
        <v>28173566</v>
      </c>
      <c r="B5207" s="7"/>
      <c r="C5207" s="6" t="str">
        <f>HYPERLINK("http://www.ncbi.nlm.nih.gov/protein/28173566","Paox")</f>
        <v>Paox</v>
      </c>
      <c r="D5207" s="8"/>
      <c r="E5207" s="8">
        <v>55316</v>
      </c>
      <c r="F5207" s="8"/>
      <c r="G5207" s="15" t="s">
        <v>10</v>
      </c>
      <c r="H5207" s="15" t="s">
        <v>10</v>
      </c>
      <c r="I5207" s="15" t="s">
        <v>10</v>
      </c>
      <c r="J5207" s="15" t="s">
        <v>10</v>
      </c>
      <c r="K5207" s="15" t="s">
        <v>10</v>
      </c>
      <c r="L5207" s="15" t="s">
        <v>10</v>
      </c>
      <c r="M5207" s="15" t="s">
        <v>10</v>
      </c>
      <c r="N5207" s="15" t="s">
        <v>10</v>
      </c>
      <c r="O5207" s="15">
        <v>0.96582853872729235</v>
      </c>
      <c r="P5207" s="15">
        <v>0.96582853872729235</v>
      </c>
      <c r="Q5207" s="8"/>
      <c r="R5207" s="9" t="s">
        <v>4747</v>
      </c>
    </row>
    <row r="5208" spans="1:18" x14ac:dyDescent="0.25">
      <c r="A5208" s="6" t="str">
        <f>HYPERLINK("proteomic_fractions_linear_files/Yang_linear_img/21914853.jpg", "21914853")</f>
        <v>21914853</v>
      </c>
      <c r="B5208" s="7"/>
      <c r="C5208" s="6" t="str">
        <f>HYPERLINK("http://www.ncbi.nlm.nih.gov/protein/21914853","Papola")</f>
        <v>Papola</v>
      </c>
      <c r="D5208" s="8"/>
      <c r="E5208" s="8">
        <v>82178</v>
      </c>
      <c r="F5208" s="8"/>
      <c r="G5208" s="15" t="s">
        <v>10</v>
      </c>
      <c r="H5208" s="15" t="s">
        <v>10</v>
      </c>
      <c r="I5208" s="15" t="s">
        <v>10</v>
      </c>
      <c r="J5208" s="15" t="s">
        <v>10</v>
      </c>
      <c r="K5208" s="15" t="s">
        <v>10</v>
      </c>
      <c r="L5208" s="15" t="s">
        <v>10</v>
      </c>
      <c r="M5208" s="15" t="s">
        <v>10</v>
      </c>
      <c r="N5208" s="15" t="s">
        <v>10</v>
      </c>
      <c r="O5208" s="15">
        <v>1.3390434612333106</v>
      </c>
      <c r="P5208" s="15">
        <v>1.3390434612333106</v>
      </c>
      <c r="Q5208" s="8"/>
      <c r="R5208" s="9" t="s">
        <v>4748</v>
      </c>
    </row>
    <row r="5209" spans="1:18" x14ac:dyDescent="0.25">
      <c r="A5209" s="6" t="str">
        <f>HYPERLINK("proteomic_fractions_linear_files/Yang_linear_img/9910588.jpg", "9910588")</f>
        <v>9910588</v>
      </c>
      <c r="B5209" s="7"/>
      <c r="C5209" s="6" t="str">
        <f>HYPERLINK("http://www.ncbi.nlm.nih.gov/protein/9910588","Papolb")</f>
        <v>Papolb</v>
      </c>
      <c r="D5209" s="8"/>
      <c r="E5209" s="8">
        <v>72199</v>
      </c>
      <c r="F5209" s="8"/>
      <c r="G5209" s="15" t="s">
        <v>10</v>
      </c>
      <c r="H5209" s="15" t="s">
        <v>10</v>
      </c>
      <c r="I5209" s="15" t="s">
        <v>10</v>
      </c>
      <c r="J5209" s="15" t="s">
        <v>10</v>
      </c>
      <c r="K5209" s="15" t="s">
        <v>10</v>
      </c>
      <c r="L5209" s="15" t="s">
        <v>10</v>
      </c>
      <c r="M5209" s="15" t="s">
        <v>10</v>
      </c>
      <c r="N5209" s="15" t="s">
        <v>10</v>
      </c>
      <c r="O5209" s="15">
        <v>1.525021719737937</v>
      </c>
      <c r="P5209" s="15">
        <v>1.525021719737937</v>
      </c>
      <c r="Q5209" s="8"/>
      <c r="R5209" s="9" t="s">
        <v>4749</v>
      </c>
    </row>
    <row r="5210" spans="1:18" x14ac:dyDescent="0.25">
      <c r="A5210" s="6" t="str">
        <f>HYPERLINK("proteomic_fractions_linear_files/Yang_linear_img/226494207.jpg", "226494207")</f>
        <v>226494207</v>
      </c>
      <c r="B5210" s="7"/>
      <c r="C5210" s="6" t="str">
        <f>HYPERLINK("http://www.ncbi.nlm.nih.gov/protein/226494207","Papolg")</f>
        <v>Papolg</v>
      </c>
      <c r="D5210" s="8"/>
      <c r="E5210" s="8">
        <v>82826</v>
      </c>
      <c r="F5210" s="8"/>
      <c r="G5210" s="15" t="s">
        <v>10</v>
      </c>
      <c r="H5210" s="15" t="s">
        <v>10</v>
      </c>
      <c r="I5210" s="15" t="s">
        <v>10</v>
      </c>
      <c r="J5210" s="15" t="s">
        <v>10</v>
      </c>
      <c r="K5210" s="15" t="s">
        <v>10</v>
      </c>
      <c r="L5210" s="15" t="s">
        <v>10</v>
      </c>
      <c r="M5210" s="15" t="s">
        <v>10</v>
      </c>
      <c r="N5210" s="15" t="s">
        <v>10</v>
      </c>
      <c r="O5210" s="15">
        <v>1.3229104074835116</v>
      </c>
      <c r="P5210" s="15">
        <v>1.3229104074835116</v>
      </c>
      <c r="Q5210" s="8"/>
      <c r="R5210" s="9" t="s">
        <v>4750</v>
      </c>
    </row>
    <row r="5211" spans="1:18" x14ac:dyDescent="0.25">
      <c r="A5211" s="6" t="str">
        <f>HYPERLINK("proteomic_fractions_linear_files/Yang_linear_img/6754982.jpg", "6754982")</f>
        <v>6754982</v>
      </c>
      <c r="B5211" s="7"/>
      <c r="C5211" s="6" t="str">
        <f>HYPERLINK("http://www.ncbi.nlm.nih.gov/protein/6754982","Papss1")</f>
        <v>Papss1</v>
      </c>
      <c r="D5211" s="8"/>
      <c r="E5211" s="8">
        <v>70663</v>
      </c>
      <c r="F5211" s="8"/>
      <c r="G5211" s="15">
        <v>0.1795383005906708</v>
      </c>
      <c r="H5211" s="15">
        <v>0.1795383005906708</v>
      </c>
      <c r="I5211" s="15">
        <v>1.0343121160800317</v>
      </c>
      <c r="J5211" s="15">
        <v>1.0343121160800317</v>
      </c>
      <c r="K5211" s="15">
        <v>1.0343121160800317</v>
      </c>
      <c r="L5211" s="15">
        <v>1.0343121160800317</v>
      </c>
      <c r="M5211" s="15">
        <v>1.0343121160800317</v>
      </c>
      <c r="N5211" s="15">
        <v>1.0343121160800317</v>
      </c>
      <c r="O5211" s="15">
        <v>1.0343121160800317</v>
      </c>
      <c r="P5211" s="15">
        <v>1.0343121160800317</v>
      </c>
      <c r="Q5211" s="8"/>
      <c r="R5211" s="9" t="s">
        <v>4751</v>
      </c>
    </row>
    <row r="5212" spans="1:18" x14ac:dyDescent="0.25">
      <c r="A5212" s="6" t="str">
        <f>HYPERLINK("proteomic_fractions_linear_files/Yang_linear_img/319918850.jpg", "319918850")</f>
        <v>319918850</v>
      </c>
      <c r="B5212" s="7"/>
      <c r="C5212" s="6" t="str">
        <f>HYPERLINK("http://www.ncbi.nlm.nih.gov/protein/319918850","Papss2")</f>
        <v>Papss2</v>
      </c>
      <c r="D5212" s="8"/>
      <c r="E5212" s="8">
        <v>69354</v>
      </c>
      <c r="F5212" s="8"/>
      <c r="G5212" s="15">
        <v>0.18474230930344385</v>
      </c>
      <c r="H5212" s="15">
        <v>0.18474230930344385</v>
      </c>
      <c r="I5212" s="15">
        <v>1.0642921774156846</v>
      </c>
      <c r="J5212" s="15">
        <v>1.0642921774156846</v>
      </c>
      <c r="K5212" s="15">
        <v>1.0642921774156846</v>
      </c>
      <c r="L5212" s="15">
        <v>1.0642921774156846</v>
      </c>
      <c r="M5212" s="15">
        <v>1.0642921774156846</v>
      </c>
      <c r="N5212" s="15">
        <v>1.0642921774156846</v>
      </c>
      <c r="O5212" s="15">
        <v>0.94859801928325116</v>
      </c>
      <c r="P5212" s="15">
        <v>0.94859801928325116</v>
      </c>
      <c r="Q5212" s="8"/>
      <c r="R5212" s="9" t="s">
        <v>4752</v>
      </c>
    </row>
    <row r="5213" spans="1:18" x14ac:dyDescent="0.25">
      <c r="A5213" s="6" t="str">
        <f>HYPERLINK("proteomic_fractions_linear_files/Yang_linear_img/61098088.jpg", "61098088")</f>
        <v>61098088</v>
      </c>
      <c r="B5213" s="7"/>
      <c r="C5213" s="6" t="str">
        <f>HYPERLINK("http://www.ncbi.nlm.nih.gov/protein/61098088","Papss2")</f>
        <v>Papss2</v>
      </c>
      <c r="D5213" s="8"/>
      <c r="E5213" s="8">
        <v>70220</v>
      </c>
      <c r="F5213" s="8"/>
      <c r="G5213" s="15">
        <v>0.18210313345625181</v>
      </c>
      <c r="H5213" s="15">
        <v>0.18210313345625181</v>
      </c>
      <c r="I5213" s="15">
        <v>1.0490880034526036</v>
      </c>
      <c r="J5213" s="15">
        <v>1.0490880034526036</v>
      </c>
      <c r="K5213" s="15">
        <v>1.0490880034526036</v>
      </c>
      <c r="L5213" s="15">
        <v>1.0490880034526036</v>
      </c>
      <c r="M5213" s="15">
        <v>1.0490880034526036</v>
      </c>
      <c r="N5213" s="15">
        <v>1.0490880034526036</v>
      </c>
      <c r="O5213" s="15">
        <v>0.93504661900777619</v>
      </c>
      <c r="P5213" s="15">
        <v>0.93504661900777619</v>
      </c>
      <c r="Q5213" s="8"/>
      <c r="R5213" s="9" t="s">
        <v>4753</v>
      </c>
    </row>
    <row r="5214" spans="1:18" x14ac:dyDescent="0.25">
      <c r="A5214" s="6" t="str">
        <f>HYPERLINK("proteomic_fractions_linear_files/Yang_linear_img/12963841.jpg", "12963841")</f>
        <v>12963841</v>
      </c>
      <c r="B5214" s="7"/>
      <c r="C5214" s="6" t="str">
        <f>HYPERLINK("http://www.ncbi.nlm.nih.gov/protein/12963841","Paqr4")</f>
        <v>Paqr4</v>
      </c>
      <c r="D5214" s="8"/>
      <c r="E5214" s="8">
        <v>29084</v>
      </c>
      <c r="F5214" s="8"/>
      <c r="G5214" s="15" t="s">
        <v>10</v>
      </c>
      <c r="H5214" s="15" t="s">
        <v>10</v>
      </c>
      <c r="I5214" s="15">
        <v>0.79688184050749811</v>
      </c>
      <c r="J5214" s="15">
        <v>0.79688184050749811</v>
      </c>
      <c r="K5214" s="15" t="s">
        <v>10</v>
      </c>
      <c r="L5214" s="15" t="s">
        <v>10</v>
      </c>
      <c r="M5214" s="15" t="s">
        <v>10</v>
      </c>
      <c r="N5214" s="15" t="s">
        <v>10</v>
      </c>
      <c r="O5214" s="15" t="s">
        <v>10</v>
      </c>
      <c r="P5214" s="15" t="s">
        <v>10</v>
      </c>
      <c r="Q5214" s="8"/>
      <c r="R5214" s="9" t="s">
        <v>4754</v>
      </c>
    </row>
    <row r="5215" spans="1:18" x14ac:dyDescent="0.25">
      <c r="A5215" s="6" t="str">
        <f>HYPERLINK("proteomic_fractions_linear_files/Yang_linear_img/171184413.jpg", "171184413")</f>
        <v>171184413</v>
      </c>
      <c r="B5215" s="7"/>
      <c r="C5215" s="6" t="str">
        <f>HYPERLINK("http://www.ncbi.nlm.nih.gov/protein/171184413","Pard3")</f>
        <v>Pard3</v>
      </c>
      <c r="D5215" s="8"/>
      <c r="E5215" s="8">
        <v>148884</v>
      </c>
      <c r="F5215" s="8"/>
      <c r="G5215" s="15" t="s">
        <v>10</v>
      </c>
      <c r="H5215" s="15" t="s">
        <v>10</v>
      </c>
      <c r="I5215" s="15" t="s">
        <v>10</v>
      </c>
      <c r="J5215" s="15" t="s">
        <v>10</v>
      </c>
      <c r="K5215" s="15">
        <v>1.0298850411828311</v>
      </c>
      <c r="L5215" s="15">
        <v>1.0298850411828311</v>
      </c>
      <c r="M5215" s="15" t="s">
        <v>10</v>
      </c>
      <c r="N5215" s="15" t="s">
        <v>10</v>
      </c>
      <c r="O5215" s="15" t="s">
        <v>10</v>
      </c>
      <c r="P5215" s="15" t="s">
        <v>10</v>
      </c>
      <c r="Q5215" s="8"/>
      <c r="R5215" s="9" t="s">
        <v>4755</v>
      </c>
    </row>
    <row r="5216" spans="1:18" x14ac:dyDescent="0.25">
      <c r="A5216" s="6" t="str">
        <f>HYPERLINK("proteomic_fractions_linear_files/Yang_linear_img/171184415.jpg", "171184415")</f>
        <v>171184415</v>
      </c>
      <c r="B5216" s="7"/>
      <c r="C5216" s="6" t="str">
        <f>HYPERLINK("http://www.ncbi.nlm.nih.gov/protein/171184415","Pard3")</f>
        <v>Pard3</v>
      </c>
      <c r="D5216" s="8"/>
      <c r="E5216" s="8">
        <v>81196</v>
      </c>
      <c r="F5216" s="8"/>
      <c r="G5216" s="15" t="s">
        <v>10</v>
      </c>
      <c r="H5216" s="15" t="s">
        <v>10</v>
      </c>
      <c r="I5216" s="15" t="s">
        <v>10</v>
      </c>
      <c r="J5216" s="15" t="s">
        <v>10</v>
      </c>
      <c r="K5216" s="15">
        <v>1.8944798905708868</v>
      </c>
      <c r="L5216" s="15">
        <v>1.8944798905708868</v>
      </c>
      <c r="M5216" s="15" t="s">
        <v>10</v>
      </c>
      <c r="N5216" s="15" t="s">
        <v>10</v>
      </c>
      <c r="O5216" s="15" t="s">
        <v>10</v>
      </c>
      <c r="P5216" s="15" t="s">
        <v>10</v>
      </c>
      <c r="Q5216" s="8"/>
      <c r="R5216" s="9" t="s">
        <v>4756</v>
      </c>
    </row>
    <row r="5217" spans="1:18" x14ac:dyDescent="0.25">
      <c r="A5217" s="6" t="str">
        <f>HYPERLINK("proteomic_fractions_linear_files/Yang_linear_img/61888842.jpg", "61888842")</f>
        <v>61888842</v>
      </c>
      <c r="B5217" s="7"/>
      <c r="C5217" s="6" t="str">
        <f>HYPERLINK("http://www.ncbi.nlm.nih.gov/protein/61888842","Pard3")</f>
        <v>Pard3</v>
      </c>
      <c r="D5217" s="8"/>
      <c r="E5217" s="8">
        <v>66478</v>
      </c>
      <c r="F5217" s="8"/>
      <c r="G5217" s="15" t="s">
        <v>10</v>
      </c>
      <c r="H5217" s="15" t="s">
        <v>10</v>
      </c>
      <c r="I5217" s="15" t="s">
        <v>10</v>
      </c>
      <c r="J5217" s="15" t="s">
        <v>10</v>
      </c>
      <c r="K5217" s="15">
        <v>2.3250435020642701</v>
      </c>
      <c r="L5217" s="15">
        <v>2.3250435020642701</v>
      </c>
      <c r="M5217" s="15" t="s">
        <v>10</v>
      </c>
      <c r="N5217" s="15" t="s">
        <v>10</v>
      </c>
      <c r="O5217" s="15" t="s">
        <v>10</v>
      </c>
      <c r="P5217" s="15" t="s">
        <v>10</v>
      </c>
      <c r="Q5217" s="8"/>
      <c r="R5217" s="9" t="s">
        <v>4757</v>
      </c>
    </row>
    <row r="5218" spans="1:18" x14ac:dyDescent="0.25">
      <c r="A5218" s="6" t="str">
        <f>HYPERLINK("proteomic_fractions_linear_files/Yang_linear_img/61888844.jpg", "61888844")</f>
        <v>61888844</v>
      </c>
      <c r="B5218" s="7"/>
      <c r="C5218" s="6" t="str">
        <f>HYPERLINK("http://www.ncbi.nlm.nih.gov/protein/61888844","Pard3")</f>
        <v>Pard3</v>
      </c>
      <c r="D5218" s="8"/>
      <c r="E5218" s="8">
        <v>98678</v>
      </c>
      <c r="F5218" s="8"/>
      <c r="G5218" s="15" t="s">
        <v>10</v>
      </c>
      <c r="H5218" s="15" t="s">
        <v>10</v>
      </c>
      <c r="I5218" s="15" t="s">
        <v>10</v>
      </c>
      <c r="J5218" s="15" t="s">
        <v>10</v>
      </c>
      <c r="K5218" s="15">
        <v>1.5500290013761802</v>
      </c>
      <c r="L5218" s="15">
        <v>1.5500290013761802</v>
      </c>
      <c r="M5218" s="15" t="s">
        <v>10</v>
      </c>
      <c r="N5218" s="15" t="s">
        <v>10</v>
      </c>
      <c r="O5218" s="15" t="s">
        <v>10</v>
      </c>
      <c r="P5218" s="15" t="s">
        <v>10</v>
      </c>
      <c r="Q5218" s="8"/>
      <c r="R5218" s="9" t="s">
        <v>4758</v>
      </c>
    </row>
    <row r="5219" spans="1:18" x14ac:dyDescent="0.25">
      <c r="A5219" s="6" t="str">
        <f>HYPERLINK("proteomic_fractions_linear_files/Yang_linear_img/163310767.jpg", "163310767")</f>
        <v>163310767</v>
      </c>
      <c r="B5219" s="7"/>
      <c r="C5219" s="6" t="str">
        <f>HYPERLINK("http://www.ncbi.nlm.nih.gov/protein/163310767","Pard3b")</f>
        <v>Pard3b</v>
      </c>
      <c r="D5219" s="8"/>
      <c r="E5219" s="8">
        <v>132649</v>
      </c>
      <c r="F5219" s="8"/>
      <c r="G5219" s="15" t="s">
        <v>10</v>
      </c>
      <c r="H5219" s="15" t="s">
        <v>10</v>
      </c>
      <c r="I5219" s="15">
        <v>0.62480194340709672</v>
      </c>
      <c r="J5219" s="15">
        <v>0.62480194340709672</v>
      </c>
      <c r="K5219" s="15" t="s">
        <v>10</v>
      </c>
      <c r="L5219" s="15" t="s">
        <v>10</v>
      </c>
      <c r="M5219" s="15" t="s">
        <v>10</v>
      </c>
      <c r="N5219" s="15" t="s">
        <v>10</v>
      </c>
      <c r="O5219" s="15" t="s">
        <v>10</v>
      </c>
      <c r="P5219" s="15" t="s">
        <v>10</v>
      </c>
      <c r="Q5219" s="8"/>
      <c r="R5219" s="9" t="s">
        <v>4759</v>
      </c>
    </row>
    <row r="5220" spans="1:18" x14ac:dyDescent="0.25">
      <c r="A5220" s="6" t="str">
        <f>HYPERLINK("proteomic_fractions_linear_files/Yang_linear_img/114145495.jpg", "114145495")</f>
        <v>114145495</v>
      </c>
      <c r="B5220" s="7"/>
      <c r="C5220" s="6" t="str">
        <f>HYPERLINK("http://www.ncbi.nlm.nih.gov/protein/114145495","Pard6a")</f>
        <v>Pard6a</v>
      </c>
      <c r="D5220" s="8"/>
      <c r="E5220" s="8">
        <v>37202</v>
      </c>
      <c r="F5220" s="8"/>
      <c r="G5220" s="15" t="s">
        <v>10</v>
      </c>
      <c r="H5220" s="15" t="s">
        <v>10</v>
      </c>
      <c r="I5220" s="15">
        <v>1.3051344752544662</v>
      </c>
      <c r="J5220" s="15">
        <v>1.3051344752544662</v>
      </c>
      <c r="K5220" s="15">
        <v>1.3051344752544662</v>
      </c>
      <c r="L5220" s="15">
        <v>1.3051344752544662</v>
      </c>
      <c r="M5220" s="15">
        <v>1.3051344752544662</v>
      </c>
      <c r="N5220" s="15">
        <v>1.3051344752544662</v>
      </c>
      <c r="O5220" s="15">
        <v>1.1925834931612289</v>
      </c>
      <c r="P5220" s="15">
        <v>1.1925834931612289</v>
      </c>
      <c r="Q5220" s="8"/>
      <c r="R5220" s="9" t="s">
        <v>4760</v>
      </c>
    </row>
    <row r="5221" spans="1:18" x14ac:dyDescent="0.25">
      <c r="A5221" s="6" t="str">
        <f>HYPERLINK("proteomic_fractions_linear_files/Yang_linear_img/114145499.jpg", "114145499")</f>
        <v>114145499</v>
      </c>
      <c r="B5221" s="7"/>
      <c r="C5221" s="6" t="str">
        <f>HYPERLINK("http://www.ncbi.nlm.nih.gov/protein/114145499","Pard6a")</f>
        <v>Pard6a</v>
      </c>
      <c r="D5221" s="8"/>
      <c r="E5221" s="8">
        <v>37131</v>
      </c>
      <c r="F5221" s="8"/>
      <c r="G5221" s="15" t="s">
        <v>10</v>
      </c>
      <c r="H5221" s="15" t="s">
        <v>10</v>
      </c>
      <c r="I5221" s="15">
        <v>1.3051344752544662</v>
      </c>
      <c r="J5221" s="15">
        <v>1.3051344752544662</v>
      </c>
      <c r="K5221" s="15">
        <v>1.3051344752544662</v>
      </c>
      <c r="L5221" s="15">
        <v>1.3051344752544662</v>
      </c>
      <c r="M5221" s="15">
        <v>1.3051344752544662</v>
      </c>
      <c r="N5221" s="15">
        <v>1.3051344752544662</v>
      </c>
      <c r="O5221" s="15">
        <v>1.1925834931612289</v>
      </c>
      <c r="P5221" s="15">
        <v>1.1925834931612289</v>
      </c>
      <c r="Q5221" s="8"/>
      <c r="R5221" s="9" t="s">
        <v>4761</v>
      </c>
    </row>
    <row r="5222" spans="1:18" x14ac:dyDescent="0.25">
      <c r="A5222" s="6" t="str">
        <f>HYPERLINK("proteomic_fractions_linear_files/Yang_linear_img/114145501.jpg", "114145501")</f>
        <v>114145501</v>
      </c>
      <c r="B5222" s="7"/>
      <c r="C5222" s="6" t="str">
        <f>HYPERLINK("http://www.ncbi.nlm.nih.gov/protein/114145501","Pard6a")</f>
        <v>Pard6a</v>
      </c>
      <c r="D5222" s="8"/>
      <c r="E5222" s="8">
        <v>35466</v>
      </c>
      <c r="F5222" s="8"/>
      <c r="G5222" s="15" t="s">
        <v>10</v>
      </c>
      <c r="H5222" s="15" t="s">
        <v>10</v>
      </c>
      <c r="I5222" s="15">
        <v>1.37971358812615</v>
      </c>
      <c r="J5222" s="15">
        <v>1.37971358812615</v>
      </c>
      <c r="K5222" s="15">
        <v>1.37971358812615</v>
      </c>
      <c r="L5222" s="15">
        <v>1.37971358812615</v>
      </c>
      <c r="M5222" s="15">
        <v>1.37971358812615</v>
      </c>
      <c r="N5222" s="15">
        <v>1.37971358812615</v>
      </c>
      <c r="O5222" s="15">
        <v>1.2607311213418706</v>
      </c>
      <c r="P5222" s="15">
        <v>1.2607311213418706</v>
      </c>
      <c r="Q5222" s="8"/>
      <c r="R5222" s="9" t="s">
        <v>4762</v>
      </c>
    </row>
    <row r="5223" spans="1:18" x14ac:dyDescent="0.25">
      <c r="A5223" s="6" t="str">
        <f>HYPERLINK("proteomic_fractions_linear_files/Yang_linear_img/253314520.jpg", "253314520")</f>
        <v>253314520</v>
      </c>
      <c r="B5223" s="7"/>
      <c r="C5223" s="6" t="str">
        <f>HYPERLINK("http://www.ncbi.nlm.nih.gov/protein/253314520","Pard6b")</f>
        <v>Pard6b</v>
      </c>
      <c r="D5223" s="8"/>
      <c r="E5223" s="8">
        <v>40936</v>
      </c>
      <c r="F5223" s="8"/>
      <c r="G5223" s="15" t="s">
        <v>10</v>
      </c>
      <c r="H5223" s="15" t="s">
        <v>10</v>
      </c>
      <c r="I5223" s="15">
        <v>1.1778042825467134</v>
      </c>
      <c r="J5223" s="15">
        <v>1.1778042825467134</v>
      </c>
      <c r="K5223" s="15">
        <v>1.2956236495122215</v>
      </c>
      <c r="L5223" s="15">
        <v>1.2956236495122215</v>
      </c>
      <c r="M5223" s="15">
        <v>1.1778042825467134</v>
      </c>
      <c r="N5223" s="15">
        <v>1.1778042825467134</v>
      </c>
      <c r="O5223" s="15">
        <v>1.0762338840723285</v>
      </c>
      <c r="P5223" s="15">
        <v>1.0762338840723285</v>
      </c>
      <c r="Q5223" s="8"/>
      <c r="R5223" s="9" t="s">
        <v>4763</v>
      </c>
    </row>
    <row r="5224" spans="1:18" x14ac:dyDescent="0.25">
      <c r="A5224" s="6" t="str">
        <f>HYPERLINK("proteomic_fractions_linear_files/Yang_linear_img/238550190.jpg", "238550190")</f>
        <v>238550190</v>
      </c>
      <c r="B5224" s="7"/>
      <c r="C5224" s="6" t="str">
        <f>HYPERLINK("http://www.ncbi.nlm.nih.gov/protein/238550190","Pard6g")</f>
        <v>Pard6g</v>
      </c>
      <c r="D5224" s="8"/>
      <c r="E5224" s="8">
        <v>42210</v>
      </c>
      <c r="F5224" s="8"/>
      <c r="G5224" s="15" t="s">
        <v>10</v>
      </c>
      <c r="H5224" s="15" t="s">
        <v>10</v>
      </c>
      <c r="I5224" s="15">
        <v>1.1497613234384585</v>
      </c>
      <c r="J5224" s="15">
        <v>1.1497613234384585</v>
      </c>
      <c r="K5224" s="15">
        <v>1.1497613234384585</v>
      </c>
      <c r="L5224" s="15">
        <v>1.2647754673809781</v>
      </c>
      <c r="M5224" s="15">
        <v>1.1497613234384585</v>
      </c>
      <c r="N5224" s="15">
        <v>1.1497613234384585</v>
      </c>
      <c r="O5224" s="15">
        <v>1.0506092677848922</v>
      </c>
      <c r="P5224" s="15">
        <v>1.0506092677848922</v>
      </c>
      <c r="Q5224" s="8"/>
      <c r="R5224" s="9" t="s">
        <v>4764</v>
      </c>
    </row>
    <row r="5225" spans="1:18" x14ac:dyDescent="0.25">
      <c r="A5225" s="6" t="str">
        <f>HYPERLINK("proteomic_fractions_linear_files/Yang_linear_img/120444912.jpg", "120444912")</f>
        <v>120444912</v>
      </c>
      <c r="B5225" s="7"/>
      <c r="C5225" s="6" t="str">
        <f>HYPERLINK("http://www.ncbi.nlm.nih.gov/protein/120444912","Parg")</f>
        <v>Parg</v>
      </c>
      <c r="D5225" s="8"/>
      <c r="E5225" s="8">
        <v>108422</v>
      </c>
      <c r="F5225" s="8"/>
      <c r="G5225" s="15" t="s">
        <v>10</v>
      </c>
      <c r="H5225" s="15" t="s">
        <v>10</v>
      </c>
      <c r="I5225" s="15" t="s">
        <v>10</v>
      </c>
      <c r="J5225" s="15" t="s">
        <v>10</v>
      </c>
      <c r="K5225" s="15">
        <v>1.1918669272696016</v>
      </c>
      <c r="L5225" s="15">
        <v>1.1918669272696016</v>
      </c>
      <c r="M5225" s="15">
        <v>0.60604873454207719</v>
      </c>
      <c r="N5225" s="15">
        <v>0.60604873454207719</v>
      </c>
      <c r="O5225" s="15" t="s">
        <v>10</v>
      </c>
      <c r="P5225" s="15" t="s">
        <v>10</v>
      </c>
      <c r="Q5225" s="8"/>
      <c r="R5225" s="9" t="s">
        <v>4765</v>
      </c>
    </row>
    <row r="5226" spans="1:18" x14ac:dyDescent="0.25">
      <c r="A5226" s="6" t="str">
        <f>HYPERLINK("proteomic_fractions_linear_files/Yang_linear_img/55741460.jpg", "55741460")</f>
        <v>55741460</v>
      </c>
      <c r="B5226" s="7"/>
      <c r="C5226" s="6" t="str">
        <f>HYPERLINK("http://www.ncbi.nlm.nih.gov/protein/55741460","Park7")</f>
        <v>Park7</v>
      </c>
      <c r="D5226" s="8"/>
      <c r="E5226" s="8">
        <v>19890</v>
      </c>
      <c r="F5226" s="8"/>
      <c r="G5226" s="15" t="s">
        <v>10</v>
      </c>
      <c r="H5226" s="15" t="s">
        <v>10</v>
      </c>
      <c r="I5226" s="15">
        <v>1.0897871135339376</v>
      </c>
      <c r="J5226" s="15">
        <v>1.0897871135339376</v>
      </c>
      <c r="K5226" s="15">
        <v>1.0897871135339376</v>
      </c>
      <c r="L5226" s="15">
        <v>1.0897871135339376</v>
      </c>
      <c r="M5226" s="15">
        <v>1.0897871135339376</v>
      </c>
      <c r="N5226" s="15">
        <v>1.0897871135339376</v>
      </c>
      <c r="O5226" s="15">
        <v>1.0897871135339376</v>
      </c>
      <c r="P5226" s="15">
        <v>1.0897871135339376</v>
      </c>
      <c r="Q5226" s="8"/>
      <c r="R5226" s="9" t="s">
        <v>4766</v>
      </c>
    </row>
    <row r="5227" spans="1:18" x14ac:dyDescent="0.25">
      <c r="A5227" s="6" t="str">
        <f>HYPERLINK("proteomic_fractions_linear_files/Yang_linear_img/21311877.jpg", "21311877")</f>
        <v>21311877</v>
      </c>
      <c r="B5227" s="7"/>
      <c r="C5227" s="6" t="str">
        <f>HYPERLINK("http://www.ncbi.nlm.nih.gov/protein/21311877","Parn")</f>
        <v>Parn</v>
      </c>
      <c r="D5227" s="8"/>
      <c r="E5227" s="8">
        <v>71458</v>
      </c>
      <c r="F5227" s="8"/>
      <c r="G5227" s="15" t="s">
        <v>10</v>
      </c>
      <c r="H5227" s="15" t="s">
        <v>10</v>
      </c>
      <c r="I5227" s="15">
        <v>1.1704036404668148</v>
      </c>
      <c r="J5227" s="15">
        <v>1.1704036404668148</v>
      </c>
      <c r="K5227" s="15">
        <v>1.1704036404668148</v>
      </c>
      <c r="L5227" s="15">
        <v>1.1704036404668148</v>
      </c>
      <c r="M5227" s="15">
        <v>1.1704036404668148</v>
      </c>
      <c r="N5227" s="15">
        <v>1.1704036404668148</v>
      </c>
      <c r="O5227" s="15">
        <v>1.1704036404668148</v>
      </c>
      <c r="P5227" s="15">
        <v>1.1704036404668148</v>
      </c>
      <c r="Q5227" s="8"/>
      <c r="R5227" s="9" t="s">
        <v>4767</v>
      </c>
    </row>
    <row r="5228" spans="1:18" x14ac:dyDescent="0.25">
      <c r="A5228" s="6" t="str">
        <f>HYPERLINK("proteomic_fractions_linear_files/Yang_linear_img/20806109.jpg", "20806109")</f>
        <v>20806109</v>
      </c>
      <c r="B5228" s="7"/>
      <c r="C5228" s="6" t="str">
        <f>HYPERLINK("http://www.ncbi.nlm.nih.gov/protein/20806109","Parp1")</f>
        <v>Parp1</v>
      </c>
      <c r="D5228" s="8"/>
      <c r="E5228" s="8">
        <v>112591</v>
      </c>
      <c r="F5228" s="8"/>
      <c r="G5228" s="15">
        <v>2.6706488905884846</v>
      </c>
      <c r="H5228" s="15">
        <v>2.6706488905884846</v>
      </c>
      <c r="I5228" s="15">
        <v>2.0651402444942395</v>
      </c>
      <c r="J5228" s="15">
        <v>2.0651402444942395</v>
      </c>
      <c r="K5228" s="15">
        <v>1.1391294526116547</v>
      </c>
      <c r="L5228" s="15">
        <v>1.3579900100552376</v>
      </c>
      <c r="M5228" s="15">
        <v>1.3579900100552376</v>
      </c>
      <c r="N5228" s="15">
        <v>1.3579900100552376</v>
      </c>
      <c r="O5228" s="15">
        <v>1.3579900100552376</v>
      </c>
      <c r="P5228" s="15">
        <v>1.3579900100552376</v>
      </c>
      <c r="Q5228" s="8"/>
      <c r="R5228" s="9" t="s">
        <v>4768</v>
      </c>
    </row>
    <row r="5229" spans="1:18" x14ac:dyDescent="0.25">
      <c r="A5229" s="6" t="str">
        <f>HYPERLINK("proteomic_fractions_linear_files/Yang_linear_img/254675288.jpg", "254675288")</f>
        <v>254675288</v>
      </c>
      <c r="B5229" s="7"/>
      <c r="C5229" s="6" t="str">
        <f>HYPERLINK("http://www.ncbi.nlm.nih.gov/protein/254675288","Parp10")</f>
        <v>Parp10</v>
      </c>
      <c r="D5229" s="8"/>
      <c r="E5229" s="8">
        <v>103548</v>
      </c>
      <c r="F5229" s="8"/>
      <c r="G5229" s="15" t="s">
        <v>10</v>
      </c>
      <c r="H5229" s="15" t="s">
        <v>10</v>
      </c>
      <c r="I5229" s="15" t="s">
        <v>10</v>
      </c>
      <c r="J5229" s="15" t="s">
        <v>10</v>
      </c>
      <c r="K5229" s="15" t="s">
        <v>10</v>
      </c>
      <c r="L5229" s="15" t="s">
        <v>10</v>
      </c>
      <c r="M5229" s="15" t="s">
        <v>10</v>
      </c>
      <c r="N5229" s="15" t="s">
        <v>10</v>
      </c>
      <c r="O5229" s="15">
        <v>1.237707962933817</v>
      </c>
      <c r="P5229" s="15">
        <v>1.4755083763100176</v>
      </c>
      <c r="Q5229" s="8"/>
      <c r="R5229" s="9" t="s">
        <v>4769</v>
      </c>
    </row>
    <row r="5230" spans="1:18" x14ac:dyDescent="0.25">
      <c r="A5230" s="6" t="str">
        <f>HYPERLINK("proteomic_fractions_linear_files/Yang_linear_img/171543897.jpg", "171543897")</f>
        <v>171543897</v>
      </c>
      <c r="B5230" s="7"/>
      <c r="C5230" s="6" t="str">
        <f>HYPERLINK("http://www.ncbi.nlm.nih.gov/protein/171543897","Parp12")</f>
        <v>Parp12</v>
      </c>
      <c r="D5230" s="8"/>
      <c r="E5230" s="8">
        <v>79786</v>
      </c>
      <c r="F5230" s="8"/>
      <c r="G5230" s="15" t="s">
        <v>10</v>
      </c>
      <c r="H5230" s="15" t="s">
        <v>10</v>
      </c>
      <c r="I5230" s="15" t="s">
        <v>10</v>
      </c>
      <c r="J5230" s="15" t="s">
        <v>10</v>
      </c>
      <c r="K5230" s="15">
        <v>1.0387332309142983</v>
      </c>
      <c r="L5230" s="15">
        <v>1.0387332309142983</v>
      </c>
      <c r="M5230" s="15">
        <v>1.0387332309142983</v>
      </c>
      <c r="N5230" s="15">
        <v>1.0387332309142983</v>
      </c>
      <c r="O5230" s="15" t="s">
        <v>10</v>
      </c>
      <c r="P5230" s="15" t="s">
        <v>10</v>
      </c>
      <c r="Q5230" s="8"/>
      <c r="R5230" s="9" t="s">
        <v>4770</v>
      </c>
    </row>
    <row r="5231" spans="1:18" x14ac:dyDescent="0.25">
      <c r="A5231" s="6" t="str">
        <f>HYPERLINK("proteomic_fractions_linear_files/Yang_linear_img/25014095.jpg", "25014095")</f>
        <v>25014095</v>
      </c>
      <c r="B5231" s="7"/>
      <c r="C5231" s="6" t="str">
        <f>HYPERLINK("http://www.ncbi.nlm.nih.gov/protein/25014095","Parp3")</f>
        <v>Parp3</v>
      </c>
      <c r="D5231" s="8"/>
      <c r="E5231" s="8">
        <v>59322</v>
      </c>
      <c r="F5231" s="8"/>
      <c r="G5231" s="15">
        <v>1.4084518385278619</v>
      </c>
      <c r="H5231" s="15">
        <v>1.4084518385278619</v>
      </c>
      <c r="I5231" s="15">
        <v>1.1093773445854971</v>
      </c>
      <c r="J5231" s="15">
        <v>1.1093773445854971</v>
      </c>
      <c r="K5231" s="15">
        <v>1.1093773445854971</v>
      </c>
      <c r="L5231" s="15">
        <v>1.1093773445854971</v>
      </c>
      <c r="M5231" s="15">
        <v>1.1093773445854971</v>
      </c>
      <c r="N5231" s="15">
        <v>1.1093773445854971</v>
      </c>
      <c r="O5231" s="15">
        <v>0.99615606077277719</v>
      </c>
      <c r="P5231" s="15">
        <v>0.99615606077277719</v>
      </c>
      <c r="Q5231" s="8"/>
      <c r="R5231" s="9" t="s">
        <v>4771</v>
      </c>
    </row>
    <row r="5232" spans="1:18" x14ac:dyDescent="0.25">
      <c r="A5232" s="6" t="str">
        <f>HYPERLINK("proteomic_fractions_linear_files/Yang_linear_img/281485553.jpg", "281485553")</f>
        <v>281485553</v>
      </c>
      <c r="B5232" s="7"/>
      <c r="C5232" s="6" t="str">
        <f>HYPERLINK("http://www.ncbi.nlm.nih.gov/protein/281485553","Parp4")</f>
        <v>Parp4</v>
      </c>
      <c r="D5232" s="8"/>
      <c r="E5232" s="8">
        <v>216003</v>
      </c>
      <c r="F5232" s="8"/>
      <c r="G5232" s="15" t="s">
        <v>10</v>
      </c>
      <c r="H5232" s="15" t="s">
        <v>10</v>
      </c>
      <c r="I5232" s="15" t="s">
        <v>10</v>
      </c>
      <c r="J5232" s="15" t="s">
        <v>10</v>
      </c>
      <c r="K5232" s="15">
        <v>1.0803742945733754</v>
      </c>
      <c r="L5232" s="15">
        <v>1.0803742945733754</v>
      </c>
      <c r="M5232" s="15" t="s">
        <v>10</v>
      </c>
      <c r="N5232" s="15" t="s">
        <v>10</v>
      </c>
      <c r="O5232" s="15" t="s">
        <v>10</v>
      </c>
      <c r="P5232" s="15" t="s">
        <v>10</v>
      </c>
      <c r="Q5232" s="8"/>
      <c r="R5232" s="9" t="s">
        <v>4772</v>
      </c>
    </row>
    <row r="5233" spans="1:18" x14ac:dyDescent="0.25">
      <c r="A5233" s="6" t="str">
        <f>HYPERLINK("proteomic_fractions_linear_files/Yang_linear_img/13384918.jpg", "13384918")</f>
        <v>13384918</v>
      </c>
      <c r="B5233" s="7"/>
      <c r="C5233" s="6" t="str">
        <f>HYPERLINK("http://www.ncbi.nlm.nih.gov/protein/13384918","Parp9")</f>
        <v>Parp9</v>
      </c>
      <c r="D5233" s="8"/>
      <c r="E5233" s="8">
        <v>92538</v>
      </c>
      <c r="F5233" s="8"/>
      <c r="G5233" s="15" t="s">
        <v>10</v>
      </c>
      <c r="H5233" s="15" t="s">
        <v>10</v>
      </c>
      <c r="I5233" s="15" t="s">
        <v>10</v>
      </c>
      <c r="J5233" s="15" t="s">
        <v>10</v>
      </c>
      <c r="K5233" s="15">
        <v>1.180661976571306</v>
      </c>
      <c r="L5233" s="15">
        <v>1.180661976571306</v>
      </c>
      <c r="M5233" s="15">
        <v>1.0211610879847797</v>
      </c>
      <c r="N5233" s="15">
        <v>1.0211610879847797</v>
      </c>
      <c r="O5233" s="15" t="s">
        <v>10</v>
      </c>
      <c r="P5233" s="15" t="s">
        <v>10</v>
      </c>
      <c r="Q5233" s="8"/>
      <c r="R5233" s="9" t="s">
        <v>4773</v>
      </c>
    </row>
    <row r="5234" spans="1:18" x14ac:dyDescent="0.25">
      <c r="A5234" s="6" t="str">
        <f>HYPERLINK("proteomic_fractions_linear_files/Yang_linear_img/139948347.jpg", "139948347")</f>
        <v>139948347</v>
      </c>
      <c r="B5234" s="7"/>
      <c r="C5234" s="6" t="str">
        <f>HYPERLINK("http://www.ncbi.nlm.nih.gov/protein/139948347","Pars2")</f>
        <v>Pars2</v>
      </c>
      <c r="D5234" s="8"/>
      <c r="E5234" s="8">
        <v>50216</v>
      </c>
      <c r="F5234" s="8"/>
      <c r="G5234" s="15" t="s">
        <v>10</v>
      </c>
      <c r="H5234" s="15" t="s">
        <v>10</v>
      </c>
      <c r="I5234" s="15">
        <v>0.96579951168830502</v>
      </c>
      <c r="J5234" s="15">
        <v>0.96579951168830502</v>
      </c>
      <c r="K5234" s="15" t="s">
        <v>10</v>
      </c>
      <c r="L5234" s="15" t="s">
        <v>10</v>
      </c>
      <c r="M5234" s="15" t="s">
        <v>10</v>
      </c>
      <c r="N5234" s="15" t="s">
        <v>10</v>
      </c>
      <c r="O5234" s="15" t="s">
        <v>10</v>
      </c>
      <c r="P5234" s="15" t="s">
        <v>10</v>
      </c>
      <c r="Q5234" s="8"/>
      <c r="R5234" s="9" t="s">
        <v>4774</v>
      </c>
    </row>
    <row r="5235" spans="1:18" x14ac:dyDescent="0.25">
      <c r="A5235" s="6" t="str">
        <f>HYPERLINK("proteomic_fractions_linear_files/Yang_linear_img/139948914.jpg", "139948914")</f>
        <v>139948914</v>
      </c>
      <c r="B5235" s="7"/>
      <c r="C5235" s="6" t="str">
        <f>HYPERLINK("http://www.ncbi.nlm.nih.gov/protein/139948914","Pars2")</f>
        <v>Pars2</v>
      </c>
      <c r="D5235" s="8"/>
      <c r="E5235" s="8">
        <v>57605</v>
      </c>
      <c r="F5235" s="8"/>
      <c r="G5235" s="15" t="s">
        <v>10</v>
      </c>
      <c r="H5235" s="15" t="s">
        <v>10</v>
      </c>
      <c r="I5235" s="15">
        <v>0.83258578593819399</v>
      </c>
      <c r="J5235" s="15">
        <v>0.83258578593819399</v>
      </c>
      <c r="K5235" s="15" t="s">
        <v>10</v>
      </c>
      <c r="L5235" s="15" t="s">
        <v>10</v>
      </c>
      <c r="M5235" s="15" t="s">
        <v>10</v>
      </c>
      <c r="N5235" s="15" t="s">
        <v>10</v>
      </c>
      <c r="O5235" s="15" t="s">
        <v>10</v>
      </c>
      <c r="P5235" s="15" t="s">
        <v>10</v>
      </c>
      <c r="Q5235" s="8"/>
      <c r="R5235" s="9" t="s">
        <v>4775</v>
      </c>
    </row>
    <row r="5236" spans="1:18" x14ac:dyDescent="0.25">
      <c r="A5236" s="6" t="str">
        <f>HYPERLINK("proteomic_fractions_linear_files/Yang_linear_img/31982526.jpg", "31982526")</f>
        <v>31982526</v>
      </c>
      <c r="B5236" s="7"/>
      <c r="C5236" s="6" t="str">
        <f>HYPERLINK("http://www.ncbi.nlm.nih.gov/protein/31982526","Parva")</f>
        <v>Parva</v>
      </c>
      <c r="D5236" s="8"/>
      <c r="E5236" s="8">
        <v>42199</v>
      </c>
      <c r="F5236" s="8"/>
      <c r="G5236" s="15">
        <v>1.2647754673809781</v>
      </c>
      <c r="H5236" s="15">
        <v>1.2647754673809781</v>
      </c>
      <c r="I5236" s="15">
        <v>1.0506092677848922</v>
      </c>
      <c r="J5236" s="15">
        <v>1.0506092677848922</v>
      </c>
      <c r="K5236" s="15">
        <v>1.0506092677848922</v>
      </c>
      <c r="L5236" s="15">
        <v>1.0506092677848922</v>
      </c>
      <c r="M5236" s="15">
        <v>1.0506092677848922</v>
      </c>
      <c r="N5236" s="15">
        <v>1.0506092677848922</v>
      </c>
      <c r="O5236" s="15">
        <v>0.96445995721958921</v>
      </c>
      <c r="P5236" s="15">
        <v>0.96445995721958921</v>
      </c>
      <c r="Q5236" s="8"/>
      <c r="R5236" s="9" t="s">
        <v>4776</v>
      </c>
    </row>
    <row r="5237" spans="1:18" x14ac:dyDescent="0.25">
      <c r="A5237" s="6" t="str">
        <f>HYPERLINK("proteomic_fractions_linear_files/Yang_linear_img/18860551.jpg", "18860551")</f>
        <v>18860551</v>
      </c>
      <c r="B5237" s="7"/>
      <c r="C5237" s="6" t="str">
        <f>HYPERLINK("http://www.ncbi.nlm.nih.gov/protein/18860551","Parvb")</f>
        <v>Parvb</v>
      </c>
      <c r="D5237" s="8"/>
      <c r="E5237" s="8">
        <v>41538</v>
      </c>
      <c r="F5237" s="8"/>
      <c r="G5237" s="15" t="s">
        <v>10</v>
      </c>
      <c r="H5237" s="15" t="s">
        <v>10</v>
      </c>
      <c r="I5237" s="15">
        <v>1.0506092677848922</v>
      </c>
      <c r="J5237" s="15">
        <v>1.0506092677848922</v>
      </c>
      <c r="K5237" s="15">
        <v>1.0506092677848922</v>
      </c>
      <c r="L5237" s="15">
        <v>1.0506092677848922</v>
      </c>
      <c r="M5237" s="15">
        <v>1.0506092677848922</v>
      </c>
      <c r="N5237" s="15">
        <v>1.0506092677848922</v>
      </c>
      <c r="O5237" s="15">
        <v>0.96445995721958921</v>
      </c>
      <c r="P5237" s="15">
        <v>0.96445995721958921</v>
      </c>
      <c r="Q5237" s="8"/>
      <c r="R5237" s="9" t="s">
        <v>4777</v>
      </c>
    </row>
    <row r="5238" spans="1:18" x14ac:dyDescent="0.25">
      <c r="A5238" s="6" t="str">
        <f>HYPERLINK("proteomic_fractions_linear_files/Yang_linear_img/194328775.jpg", "194328775")</f>
        <v>194328775</v>
      </c>
      <c r="B5238" s="7"/>
      <c r="C5238" s="6" t="str">
        <f>HYPERLINK("http://www.ncbi.nlm.nih.gov/protein/194328775","Pask")</f>
        <v>Pask</v>
      </c>
      <c r="D5238" s="8"/>
      <c r="E5238" s="8">
        <v>151119</v>
      </c>
      <c r="F5238" s="8"/>
      <c r="G5238" s="15" t="s">
        <v>10</v>
      </c>
      <c r="H5238" s="15" t="s">
        <v>10</v>
      </c>
      <c r="I5238" s="15" t="s">
        <v>10</v>
      </c>
      <c r="J5238" s="15" t="s">
        <v>10</v>
      </c>
      <c r="K5238" s="15" t="s">
        <v>10</v>
      </c>
      <c r="L5238" s="15" t="s">
        <v>10</v>
      </c>
      <c r="M5238" s="15" t="s">
        <v>10</v>
      </c>
      <c r="N5238" s="15" t="s">
        <v>10</v>
      </c>
      <c r="O5238" s="15">
        <v>1.2368598121850354</v>
      </c>
      <c r="P5238" s="15">
        <v>1.2368598121850354</v>
      </c>
      <c r="Q5238" s="8"/>
      <c r="R5238" s="9" t="s">
        <v>4778</v>
      </c>
    </row>
    <row r="5239" spans="1:18" x14ac:dyDescent="0.25">
      <c r="A5239" s="6" t="str">
        <f>HYPERLINK("proteomic_fractions_linear_files/Yang_linear_img/255522964.jpg", "255522964")</f>
        <v>255522964</v>
      </c>
      <c r="B5239" s="7"/>
      <c r="C5239" s="6" t="str">
        <f>HYPERLINK("http://www.ncbi.nlm.nih.gov/protein/255522964","Patl1")</f>
        <v>Patl1</v>
      </c>
      <c r="D5239" s="8"/>
      <c r="E5239" s="8">
        <v>86639</v>
      </c>
      <c r="F5239" s="8"/>
      <c r="G5239" s="15" t="s">
        <v>10</v>
      </c>
      <c r="H5239" s="15" t="s">
        <v>10</v>
      </c>
      <c r="I5239" s="15" t="s">
        <v>10</v>
      </c>
      <c r="J5239" s="15" t="s">
        <v>10</v>
      </c>
      <c r="K5239" s="15">
        <v>1.2620869404727755</v>
      </c>
      <c r="L5239" s="15">
        <v>1.2620869404727755</v>
      </c>
      <c r="M5239" s="15">
        <v>1.2620869404727755</v>
      </c>
      <c r="N5239" s="15">
        <v>1.2620869404727755</v>
      </c>
      <c r="O5239" s="15" t="s">
        <v>10</v>
      </c>
      <c r="P5239" s="15" t="s">
        <v>10</v>
      </c>
      <c r="Q5239" s="8"/>
      <c r="R5239" s="9" t="s">
        <v>4779</v>
      </c>
    </row>
    <row r="5240" spans="1:18" x14ac:dyDescent="0.25">
      <c r="A5240" s="6" t="str">
        <f>HYPERLINK("proteomic_fractions_linear_files/Yang_linear_img/87196490.jpg", "87196490")</f>
        <v>87196490</v>
      </c>
      <c r="B5240" s="7"/>
      <c r="C5240" s="6" t="str">
        <f>HYPERLINK("http://www.ncbi.nlm.nih.gov/protein/87196490","Pawr")</f>
        <v>Pawr</v>
      </c>
      <c r="D5240" s="8"/>
      <c r="E5240" s="8">
        <v>35777</v>
      </c>
      <c r="F5240" s="8"/>
      <c r="G5240" s="15">
        <v>1.4755713786111411</v>
      </c>
      <c r="H5240" s="15">
        <v>1.4755713786111411</v>
      </c>
      <c r="I5240" s="15">
        <v>1.125203283422854</v>
      </c>
      <c r="J5240" s="15">
        <v>1.125203283422854</v>
      </c>
      <c r="K5240" s="15">
        <v>1.2257108124157075</v>
      </c>
      <c r="L5240" s="15">
        <v>1.2257108124157075</v>
      </c>
      <c r="M5240" s="15">
        <v>0.35408942616493405</v>
      </c>
      <c r="N5240" s="15">
        <v>0.35408942616493405</v>
      </c>
      <c r="O5240" s="15">
        <v>1.0372590673090165</v>
      </c>
      <c r="P5240" s="15">
        <v>1.0372590673090165</v>
      </c>
      <c r="Q5240" s="8"/>
      <c r="R5240" s="9" t="s">
        <v>4780</v>
      </c>
    </row>
    <row r="5241" spans="1:18" x14ac:dyDescent="0.25">
      <c r="A5241" s="6" t="str">
        <f>HYPERLINK("proteomic_fractions_linear_files/Yang_linear_img/226437608.jpg", "226437608")</f>
        <v>226437608</v>
      </c>
      <c r="B5241" s="7"/>
      <c r="C5241" s="6" t="str">
        <f>HYPERLINK("http://www.ncbi.nlm.nih.gov/protein/226437608","Paxbp1")</f>
        <v>Paxbp1</v>
      </c>
      <c r="D5241" s="8"/>
      <c r="E5241" s="8">
        <v>104705</v>
      </c>
      <c r="F5241" s="8"/>
      <c r="G5241" s="15">
        <v>1.4614559155832556</v>
      </c>
      <c r="H5241" s="15">
        <v>1.4614559155832556</v>
      </c>
      <c r="I5241" s="15" t="s">
        <v>10</v>
      </c>
      <c r="J5241" s="15" t="s">
        <v>10</v>
      </c>
      <c r="K5241" s="15">
        <v>1.4614559155832556</v>
      </c>
      <c r="L5241" s="15">
        <v>1.4614559155832556</v>
      </c>
      <c r="M5241" s="15" t="s">
        <v>10</v>
      </c>
      <c r="N5241" s="15" t="s">
        <v>10</v>
      </c>
      <c r="O5241" s="15" t="s">
        <v>10</v>
      </c>
      <c r="P5241" s="15" t="s">
        <v>10</v>
      </c>
      <c r="Q5241" s="8"/>
      <c r="R5241" s="9" t="s">
        <v>4781</v>
      </c>
    </row>
    <row r="5242" spans="1:18" x14ac:dyDescent="0.25">
      <c r="A5242" s="6" t="str">
        <f>HYPERLINK("proteomic_fractions_linear_files/Yang_linear_img/13385810.jpg", "13385810")</f>
        <v>13385810</v>
      </c>
      <c r="B5242" s="7"/>
      <c r="C5242" s="6" t="str">
        <f>HYPERLINK("http://www.ncbi.nlm.nih.gov/protein/13385810","Pbdc1")</f>
        <v>Pbdc1</v>
      </c>
      <c r="D5242" s="8"/>
      <c r="E5242" s="8">
        <v>22092</v>
      </c>
      <c r="F5242" s="8"/>
      <c r="G5242" s="15" t="s">
        <v>10</v>
      </c>
      <c r="H5242" s="15" t="s">
        <v>10</v>
      </c>
      <c r="I5242" s="15">
        <v>1.1161282096944054</v>
      </c>
      <c r="J5242" s="15">
        <v>1.1161282096944054</v>
      </c>
      <c r="K5242" s="15">
        <v>1.1161282096944054</v>
      </c>
      <c r="L5242" s="15">
        <v>1.1161282096944054</v>
      </c>
      <c r="M5242" s="15">
        <v>1.1161282096944054</v>
      </c>
      <c r="N5242" s="15">
        <v>1.1161282096944054</v>
      </c>
      <c r="O5242" s="15">
        <v>0.99071555775812503</v>
      </c>
      <c r="P5242" s="15">
        <v>0.99071555775812503</v>
      </c>
      <c r="Q5242" s="8"/>
      <c r="R5242" s="9" t="s">
        <v>4782</v>
      </c>
    </row>
    <row r="5243" spans="1:18" x14ac:dyDescent="0.25">
      <c r="A5243" s="6" t="str">
        <f>HYPERLINK("proteomic_fractions_linear_files/Yang_linear_img/12963575.jpg", "12963575")</f>
        <v>12963575</v>
      </c>
      <c r="B5243" s="7"/>
      <c r="C5243" s="6" t="str">
        <f>HYPERLINK("http://www.ncbi.nlm.nih.gov/protein/12963575","Pbk")</f>
        <v>Pbk</v>
      </c>
      <c r="D5243" s="8"/>
      <c r="E5243" s="8">
        <v>36614</v>
      </c>
      <c r="F5243" s="8"/>
      <c r="G5243" s="15" t="s">
        <v>10</v>
      </c>
      <c r="H5243" s="15" t="s">
        <v>10</v>
      </c>
      <c r="I5243" s="15" t="s">
        <v>10</v>
      </c>
      <c r="J5243" s="15" t="s">
        <v>10</v>
      </c>
      <c r="K5243" s="15">
        <v>1.0092250384628267</v>
      </c>
      <c r="L5243" s="15">
        <v>1.0092250384628267</v>
      </c>
      <c r="M5243" s="15" t="s">
        <v>10</v>
      </c>
      <c r="N5243" s="15" t="s">
        <v>10</v>
      </c>
      <c r="O5243" s="15">
        <v>0.86713710420901591</v>
      </c>
      <c r="P5243" s="15">
        <v>0.86713710420901591</v>
      </c>
      <c r="Q5243" s="8"/>
      <c r="R5243" s="9" t="s">
        <v>4783</v>
      </c>
    </row>
    <row r="5244" spans="1:18" x14ac:dyDescent="0.25">
      <c r="A5244" s="6" t="str">
        <f>HYPERLINK("proteomic_fractions_linear_files/Yang_linear_img/31560132.jpg", "31560132")</f>
        <v>31560132</v>
      </c>
      <c r="B5244" s="7"/>
      <c r="C5244" s="6" t="str">
        <f>HYPERLINK("http://www.ncbi.nlm.nih.gov/protein/31560132","Pbld1")</f>
        <v>Pbld1</v>
      </c>
      <c r="D5244" s="8"/>
      <c r="E5244" s="8">
        <v>31917</v>
      </c>
      <c r="F5244" s="8"/>
      <c r="G5244" s="15" t="s">
        <v>10</v>
      </c>
      <c r="H5244" s="15" t="s">
        <v>10</v>
      </c>
      <c r="I5244" s="15" t="s">
        <v>10</v>
      </c>
      <c r="J5244" s="15" t="s">
        <v>10</v>
      </c>
      <c r="K5244" s="15" t="s">
        <v>10</v>
      </c>
      <c r="L5244" s="15" t="s">
        <v>10</v>
      </c>
      <c r="M5244" s="15" t="s">
        <v>10</v>
      </c>
      <c r="N5244" s="15" t="s">
        <v>10</v>
      </c>
      <c r="O5244" s="15">
        <v>0.76733814416490365</v>
      </c>
      <c r="P5244" s="15">
        <v>0.76733814416490365</v>
      </c>
      <c r="Q5244" s="8"/>
      <c r="R5244" s="9" t="s">
        <v>4784</v>
      </c>
    </row>
    <row r="5245" spans="1:18" x14ac:dyDescent="0.25">
      <c r="A5245" s="6" t="str">
        <f>HYPERLINK("proteomic_fractions_linear_files/Yang_linear_img/13385584.jpg", "13385584")</f>
        <v>13385584</v>
      </c>
      <c r="B5245" s="7"/>
      <c r="C5245" s="6" t="str">
        <f>HYPERLINK("http://www.ncbi.nlm.nih.gov/protein/13385584","Pbld2")</f>
        <v>Pbld2</v>
      </c>
      <c r="D5245" s="8"/>
      <c r="E5245" s="8">
        <v>31852</v>
      </c>
      <c r="F5245" s="8"/>
      <c r="G5245" s="15" t="s">
        <v>10</v>
      </c>
      <c r="H5245" s="15" t="s">
        <v>10</v>
      </c>
      <c r="I5245" s="15" t="s">
        <v>10</v>
      </c>
      <c r="J5245" s="15" t="s">
        <v>10</v>
      </c>
      <c r="K5245" s="15" t="s">
        <v>10</v>
      </c>
      <c r="L5245" s="15" t="s">
        <v>10</v>
      </c>
      <c r="M5245" s="15" t="s">
        <v>10</v>
      </c>
      <c r="N5245" s="15" t="s">
        <v>10</v>
      </c>
      <c r="O5245" s="15">
        <v>0.76733814416490365</v>
      </c>
      <c r="P5245" s="15">
        <v>0.76733814416490365</v>
      </c>
      <c r="Q5245" s="8"/>
      <c r="R5245" s="9" t="s">
        <v>4785</v>
      </c>
    </row>
    <row r="5246" spans="1:18" x14ac:dyDescent="0.25">
      <c r="A5246" s="6" t="str">
        <f>HYPERLINK("proteomic_fractions_linear_files/Yang_linear_img/22122651.jpg", "22122651")</f>
        <v>22122651</v>
      </c>
      <c r="B5246" s="7"/>
      <c r="C5246" s="6" t="str">
        <f>HYPERLINK("http://www.ncbi.nlm.nih.gov/protein/22122651","Pbxip1")</f>
        <v>Pbxip1</v>
      </c>
      <c r="D5246" s="8"/>
      <c r="E5246" s="8">
        <v>81034</v>
      </c>
      <c r="F5246" s="8"/>
      <c r="G5246" s="15">
        <v>1.8944798905708868</v>
      </c>
      <c r="H5246" s="15">
        <v>1.5891559030261353</v>
      </c>
      <c r="I5246" s="15">
        <v>1.3555748619892773</v>
      </c>
      <c r="J5246" s="15">
        <v>1.3555748619892773</v>
      </c>
      <c r="K5246" s="15">
        <v>1.5891559030261353</v>
      </c>
      <c r="L5246" s="15">
        <v>1.5891559030261353</v>
      </c>
      <c r="M5246" s="15" t="s">
        <v>10</v>
      </c>
      <c r="N5246" s="15" t="s">
        <v>10</v>
      </c>
      <c r="O5246" s="15" t="s">
        <v>10</v>
      </c>
      <c r="P5246" s="15" t="s">
        <v>10</v>
      </c>
      <c r="Q5246" s="8"/>
      <c r="R5246" s="9" t="s">
        <v>4786</v>
      </c>
    </row>
    <row r="5247" spans="1:18" x14ac:dyDescent="0.25">
      <c r="A5247" s="6" t="str">
        <f>HYPERLINK("proteomic_fractions_linear_files/Yang_linear_img/13384608.jpg", "13384608")</f>
        <v>13384608</v>
      </c>
      <c r="B5247" s="7"/>
      <c r="C5247" s="6" t="str">
        <f>HYPERLINK("http://www.ncbi.nlm.nih.gov/protein/13384608","Pcbd1")</f>
        <v>Pcbd1</v>
      </c>
      <c r="D5247" s="8"/>
      <c r="E5247" s="8">
        <v>11854</v>
      </c>
      <c r="F5247" s="8"/>
      <c r="G5247" s="15">
        <v>1.0622682784948021</v>
      </c>
      <c r="H5247" s="15">
        <v>1.0622682784948021</v>
      </c>
      <c r="I5247" s="15">
        <v>1.0622682784948021</v>
      </c>
      <c r="J5247" s="15">
        <v>1.0622682784948021</v>
      </c>
      <c r="K5247" s="15">
        <v>1.1571542083280542</v>
      </c>
      <c r="L5247" s="15">
        <v>1.1571542083280542</v>
      </c>
      <c r="M5247" s="15">
        <v>1.0622682784948021</v>
      </c>
      <c r="N5247" s="15">
        <v>1.0622682784948021</v>
      </c>
      <c r="O5247" s="15">
        <v>1.0194051076942798</v>
      </c>
      <c r="P5247" s="15">
        <v>1.0194051076942798</v>
      </c>
      <c r="Q5247" s="8"/>
      <c r="R5247" s="9" t="s">
        <v>4787</v>
      </c>
    </row>
    <row r="5248" spans="1:18" x14ac:dyDescent="0.25">
      <c r="A5248" s="6" t="str">
        <f>HYPERLINK("proteomic_fractions_linear_files/Yang_linear_img/52421794.jpg", "52421794")</f>
        <v>52421794</v>
      </c>
      <c r="B5248" s="7"/>
      <c r="C5248" s="6" t="str">
        <f>HYPERLINK("http://www.ncbi.nlm.nih.gov/protein/52421794","Pcbd2")</f>
        <v>Pcbd2</v>
      </c>
      <c r="D5248" s="8"/>
      <c r="E5248" s="8">
        <v>14699</v>
      </c>
      <c r="F5248" s="8"/>
      <c r="G5248" s="15">
        <v>0.84981462279584175</v>
      </c>
      <c r="H5248" s="15">
        <v>0.84981462279584175</v>
      </c>
      <c r="I5248" s="15">
        <v>0.84981462279584175</v>
      </c>
      <c r="J5248" s="15">
        <v>0.84981462279584175</v>
      </c>
      <c r="K5248" s="15">
        <v>0.84981462279584175</v>
      </c>
      <c r="L5248" s="15">
        <v>0.84981462279584175</v>
      </c>
      <c r="M5248" s="15" t="s">
        <v>10</v>
      </c>
      <c r="N5248" s="15" t="s">
        <v>10</v>
      </c>
      <c r="O5248" s="15">
        <v>0.81552408615542382</v>
      </c>
      <c r="P5248" s="15">
        <v>0.81552408615542382</v>
      </c>
      <c r="Q5248" s="8"/>
      <c r="R5248" s="9" t="s">
        <v>4788</v>
      </c>
    </row>
    <row r="5249" spans="1:18" x14ac:dyDescent="0.25">
      <c r="A5249" s="6" t="str">
        <f>HYPERLINK("proteomic_fractions_linear_files/Yang_linear_img/6754994.jpg", "6754994")</f>
        <v>6754994</v>
      </c>
      <c r="B5249" s="7"/>
      <c r="C5249" s="6" t="str">
        <f>HYPERLINK("http://www.ncbi.nlm.nih.gov/protein/6754994","Pcbp1")</f>
        <v>Pcbp1</v>
      </c>
      <c r="D5249" s="8"/>
      <c r="E5249" s="8">
        <v>37367</v>
      </c>
      <c r="F5249" s="8"/>
      <c r="G5249" s="15">
        <v>1.4356910710811102</v>
      </c>
      <c r="H5249" s="15">
        <v>1.4356910710811102</v>
      </c>
      <c r="I5249" s="15">
        <v>1.0947923838708851</v>
      </c>
      <c r="J5249" s="15">
        <v>1.0947923838708851</v>
      </c>
      <c r="K5249" s="15">
        <v>1.0947923838708851</v>
      </c>
      <c r="L5249" s="15">
        <v>1.0947923838708851</v>
      </c>
      <c r="M5249" s="15">
        <v>1.0092250384628267</v>
      </c>
      <c r="N5249" s="15">
        <v>1.0092250384628267</v>
      </c>
      <c r="O5249" s="15">
        <v>0.93387504136419419</v>
      </c>
      <c r="P5249" s="15">
        <v>0.93387504136419419</v>
      </c>
      <c r="Q5249" s="8"/>
      <c r="R5249" s="9" t="s">
        <v>4789</v>
      </c>
    </row>
    <row r="5250" spans="1:18" x14ac:dyDescent="0.25">
      <c r="A5250" s="6" t="str">
        <f>HYPERLINK("proteomic_fractions_linear_files/Yang_linear_img/157041229.jpg", "157041229")</f>
        <v>157041229</v>
      </c>
      <c r="B5250" s="7"/>
      <c r="C5250" s="6" t="str">
        <f>HYPERLINK("http://www.ncbi.nlm.nih.gov/protein/157041229","Pcbp2")</f>
        <v>Pcbp2</v>
      </c>
      <c r="D5250" s="8"/>
      <c r="E5250" s="8">
        <v>38091</v>
      </c>
      <c r="F5250" s="8"/>
      <c r="G5250" s="15">
        <v>1.2707888311688225</v>
      </c>
      <c r="H5250" s="15">
        <v>1.2707888311688225</v>
      </c>
      <c r="I5250" s="15">
        <v>1.0659820579795458</v>
      </c>
      <c r="J5250" s="15">
        <v>1.0659820579795458</v>
      </c>
      <c r="K5250" s="15">
        <v>1.0659820579795458</v>
      </c>
      <c r="L5250" s="15">
        <v>1.0659820579795458</v>
      </c>
      <c r="M5250" s="15">
        <v>0.98266648481906815</v>
      </c>
      <c r="N5250" s="15">
        <v>0.98266648481906815</v>
      </c>
      <c r="O5250" s="15">
        <v>0.90929938238092589</v>
      </c>
      <c r="P5250" s="15">
        <v>0.90929938238092589</v>
      </c>
      <c r="Q5250" s="8"/>
      <c r="R5250" s="9" t="s">
        <v>4790</v>
      </c>
    </row>
    <row r="5251" spans="1:18" x14ac:dyDescent="0.25">
      <c r="A5251" s="6" t="str">
        <f>HYPERLINK("proteomic_fractions_linear_files/Yang_linear_img/157042772.jpg", "157042772")</f>
        <v>157042772</v>
      </c>
      <c r="B5251" s="7"/>
      <c r="C5251" s="6" t="str">
        <f>HYPERLINK("http://www.ncbi.nlm.nih.gov/protein/157042772","Pcbp2")</f>
        <v>Pcbp2</v>
      </c>
      <c r="D5251" s="8"/>
      <c r="E5251" s="8">
        <v>34786</v>
      </c>
      <c r="F5251" s="8"/>
      <c r="G5251" s="15">
        <v>1.37971358812615</v>
      </c>
      <c r="H5251" s="15">
        <v>1.37971358812615</v>
      </c>
      <c r="I5251" s="15">
        <v>1.1573519486635071</v>
      </c>
      <c r="J5251" s="15">
        <v>1.1573519486635071</v>
      </c>
      <c r="K5251" s="15">
        <v>1.1573519486635071</v>
      </c>
      <c r="L5251" s="15">
        <v>1.1573519486635071</v>
      </c>
      <c r="M5251" s="15">
        <v>1.0668950406607027</v>
      </c>
      <c r="N5251" s="15">
        <v>1.0668950406607027</v>
      </c>
      <c r="O5251" s="15">
        <v>0.98723932944214809</v>
      </c>
      <c r="P5251" s="15">
        <v>0.98723932944214809</v>
      </c>
      <c r="Q5251" s="8"/>
      <c r="R5251" s="9" t="s">
        <v>4791</v>
      </c>
    </row>
    <row r="5252" spans="1:18" x14ac:dyDescent="0.25">
      <c r="A5252" s="6" t="str">
        <f>HYPERLINK("proteomic_fractions_linear_files/Yang_linear_img/157057549.jpg", "157057549")</f>
        <v>157057549</v>
      </c>
      <c r="B5252" s="7"/>
      <c r="C5252" s="6" t="str">
        <f>HYPERLINK("http://www.ncbi.nlm.nih.gov/protein/157057549","Pcbp2")</f>
        <v>Pcbp2</v>
      </c>
      <c r="D5252" s="8"/>
      <c r="E5252" s="8">
        <v>36670</v>
      </c>
      <c r="F5252" s="8"/>
      <c r="G5252" s="15">
        <v>1.3051344752544662</v>
      </c>
      <c r="H5252" s="15">
        <v>1.3051344752544662</v>
      </c>
      <c r="I5252" s="15">
        <v>1.0947923838708851</v>
      </c>
      <c r="J5252" s="15">
        <v>1.0947923838708851</v>
      </c>
      <c r="K5252" s="15">
        <v>1.0947923838708851</v>
      </c>
      <c r="L5252" s="15">
        <v>1.0947923838708851</v>
      </c>
      <c r="M5252" s="15">
        <v>1.0092250384628267</v>
      </c>
      <c r="N5252" s="15">
        <v>1.0092250384628267</v>
      </c>
      <c r="O5252" s="15">
        <v>0.93387504136419419</v>
      </c>
      <c r="P5252" s="15">
        <v>0.93387504136419419</v>
      </c>
      <c r="Q5252" s="8"/>
      <c r="R5252" s="9" t="s">
        <v>4792</v>
      </c>
    </row>
    <row r="5253" spans="1:18" x14ac:dyDescent="0.25">
      <c r="A5253" s="6" t="str">
        <f>HYPERLINK("proteomic_fractions_linear_files/Yang_linear_img/291327528.jpg", "291327528")</f>
        <v>291327528</v>
      </c>
      <c r="B5253" s="7"/>
      <c r="C5253" s="6" t="str">
        <f>HYPERLINK("http://www.ncbi.nlm.nih.gov/protein/291327528","Pcbp2")</f>
        <v>Pcbp2</v>
      </c>
      <c r="D5253" s="8"/>
      <c r="E5253" s="8">
        <v>33795</v>
      </c>
      <c r="F5253" s="8"/>
      <c r="G5253" s="15">
        <v>1.4202933995416251</v>
      </c>
      <c r="H5253" s="15">
        <v>1.4202933995416251</v>
      </c>
      <c r="I5253" s="15">
        <v>1.1913917118594926</v>
      </c>
      <c r="J5253" s="15">
        <v>1.1913917118594926</v>
      </c>
      <c r="K5253" s="15">
        <v>1.1913917118594926</v>
      </c>
      <c r="L5253" s="15">
        <v>1.1913917118594926</v>
      </c>
      <c r="M5253" s="15">
        <v>1.098274306562488</v>
      </c>
      <c r="N5253" s="15">
        <v>1.098274306562488</v>
      </c>
      <c r="O5253" s="15">
        <v>1.0162757803080937</v>
      </c>
      <c r="P5253" s="15">
        <v>1.0162757803080937</v>
      </c>
      <c r="Q5253" s="8"/>
      <c r="R5253" s="9" t="s">
        <v>4793</v>
      </c>
    </row>
    <row r="5254" spans="1:18" x14ac:dyDescent="0.25">
      <c r="A5254" s="6" t="str">
        <f>HYPERLINK("proteomic_fractions_linear_files/Yang_linear_img/171906586.jpg", "171906586")</f>
        <v>171906586</v>
      </c>
      <c r="B5254" s="7"/>
      <c r="C5254" s="6" t="str">
        <f>HYPERLINK("http://www.ncbi.nlm.nih.gov/protein/171906586","Pcbp3")</f>
        <v>Pcbp3</v>
      </c>
      <c r="D5254" s="8"/>
      <c r="E5254" s="8">
        <v>39163</v>
      </c>
      <c r="F5254" s="8"/>
      <c r="G5254" s="15">
        <v>1.2382045021644936</v>
      </c>
      <c r="H5254" s="15">
        <v>1.2382045021644936</v>
      </c>
      <c r="I5254" s="15">
        <v>0.8859840136019278</v>
      </c>
      <c r="J5254" s="15">
        <v>0.8859840136019278</v>
      </c>
      <c r="K5254" s="15">
        <v>1.038649184698019</v>
      </c>
      <c r="L5254" s="15">
        <v>1.038649184698019</v>
      </c>
      <c r="M5254" s="15">
        <v>0.95746990828524592</v>
      </c>
      <c r="N5254" s="15">
        <v>0.95746990828524592</v>
      </c>
      <c r="O5254" s="15">
        <v>0.8859840136019278</v>
      </c>
      <c r="P5254" s="15">
        <v>0.8859840136019278</v>
      </c>
      <c r="Q5254" s="8"/>
      <c r="R5254" s="9" t="s">
        <v>4794</v>
      </c>
    </row>
    <row r="5255" spans="1:18" x14ac:dyDescent="0.25">
      <c r="A5255" s="6" t="str">
        <f>HYPERLINK("proteomic_fractions_linear_files/Yang_linear_img/227497228.jpg", "227497228")</f>
        <v>227497228</v>
      </c>
      <c r="B5255" s="7"/>
      <c r="C5255" s="6" t="str">
        <f>HYPERLINK("http://www.ncbi.nlm.nih.gov/protein/227497228","Pcbp4")</f>
        <v>Pcbp4</v>
      </c>
      <c r="D5255" s="8"/>
      <c r="E5255" s="8">
        <v>41250</v>
      </c>
      <c r="F5255" s="8"/>
      <c r="G5255" s="15" t="s">
        <v>10</v>
      </c>
      <c r="H5255" s="15" t="s">
        <v>10</v>
      </c>
      <c r="I5255" s="15" t="s">
        <v>10</v>
      </c>
      <c r="J5255" s="15" t="s">
        <v>10</v>
      </c>
      <c r="K5255" s="15">
        <v>1.0762338840723285</v>
      </c>
      <c r="L5255" s="15">
        <v>1.0762338840723285</v>
      </c>
      <c r="M5255" s="15" t="s">
        <v>10</v>
      </c>
      <c r="N5255" s="15" t="s">
        <v>10</v>
      </c>
      <c r="O5255" s="15" t="s">
        <v>10</v>
      </c>
      <c r="P5255" s="15" t="s">
        <v>10</v>
      </c>
      <c r="Q5255" s="8"/>
      <c r="R5255" s="9" t="s">
        <v>4795</v>
      </c>
    </row>
    <row r="5256" spans="1:18" x14ac:dyDescent="0.25">
      <c r="A5256" s="6" t="str">
        <f>HYPERLINK("proteomic_fractions_linear_files/Yang_linear_img/254540162.jpg", "254540162")</f>
        <v>254540162</v>
      </c>
      <c r="B5256" s="7"/>
      <c r="C5256" s="6" t="str">
        <f>HYPERLINK("http://www.ncbi.nlm.nih.gov/protein/254540162","Pcca")</f>
        <v>Pcca</v>
      </c>
      <c r="D5256" s="8"/>
      <c r="E5256" s="8">
        <v>74430</v>
      </c>
      <c r="F5256" s="8"/>
      <c r="G5256" s="15">
        <v>1.2833510970619528</v>
      </c>
      <c r="H5256" s="15">
        <v>1.2833510970619528</v>
      </c>
      <c r="I5256" s="15">
        <v>0.99238054380651686</v>
      </c>
      <c r="J5256" s="15">
        <v>0.99238054380651686</v>
      </c>
      <c r="K5256" s="15" t="s">
        <v>10</v>
      </c>
      <c r="L5256" s="15" t="s">
        <v>10</v>
      </c>
      <c r="M5256" s="15">
        <v>1.1229548442316737</v>
      </c>
      <c r="N5256" s="15">
        <v>1.1229548442316737</v>
      </c>
      <c r="O5256" s="15" t="s">
        <v>10</v>
      </c>
      <c r="P5256" s="15" t="s">
        <v>10</v>
      </c>
      <c r="Q5256" s="8"/>
      <c r="R5256" s="9" t="s">
        <v>4796</v>
      </c>
    </row>
    <row r="5257" spans="1:18" x14ac:dyDescent="0.25">
      <c r="A5257" s="6" t="str">
        <f>HYPERLINK("proteomic_fractions_linear_files/Yang_linear_img/13385310.jpg", "13385310")</f>
        <v>13385310</v>
      </c>
      <c r="B5257" s="7"/>
      <c r="C5257" s="6" t="str">
        <f>HYPERLINK("http://www.ncbi.nlm.nih.gov/protein/13385310","Pccb")</f>
        <v>Pccb</v>
      </c>
      <c r="D5257" s="8"/>
      <c r="E5257" s="8">
        <v>55601</v>
      </c>
      <c r="F5257" s="8"/>
      <c r="G5257" s="15">
        <v>1.3113600043157543</v>
      </c>
      <c r="H5257" s="15">
        <v>1.3113600043157543</v>
      </c>
      <c r="I5257" s="15">
        <v>1.0495215640284616</v>
      </c>
      <c r="J5257" s="15">
        <v>1.0495215640284616</v>
      </c>
      <c r="K5257" s="15">
        <v>1.0495215640284616</v>
      </c>
      <c r="L5257" s="15">
        <v>1.0495215640284616</v>
      </c>
      <c r="M5257" s="15">
        <v>1.0495215640284616</v>
      </c>
      <c r="N5257" s="15">
        <v>1.0495215640284616</v>
      </c>
      <c r="O5257" s="15" t="s">
        <v>10</v>
      </c>
      <c r="P5257" s="15" t="s">
        <v>10</v>
      </c>
      <c r="Q5257" s="8"/>
      <c r="R5257" s="9" t="s">
        <v>4797</v>
      </c>
    </row>
    <row r="5258" spans="1:18" x14ac:dyDescent="0.25">
      <c r="A5258" s="6" t="str">
        <f>HYPERLINK("proteomic_fractions_linear_files/Yang_linear_img/34328319.jpg", "34328319")</f>
        <v>34328319</v>
      </c>
      <c r="B5258" s="7"/>
      <c r="C5258" s="6" t="str">
        <f>HYPERLINK("http://www.ncbi.nlm.nih.gov/protein/34328319","Pcdh1")</f>
        <v>Pcdh1</v>
      </c>
      <c r="D5258" s="8"/>
      <c r="E5258" s="8">
        <v>109099</v>
      </c>
      <c r="F5258" s="8"/>
      <c r="G5258" s="15" t="s">
        <v>10</v>
      </c>
      <c r="H5258" s="15" t="s">
        <v>10</v>
      </c>
      <c r="I5258" s="15">
        <v>0.13941594764967236</v>
      </c>
      <c r="J5258" s="15">
        <v>0.13941594764967236</v>
      </c>
      <c r="K5258" s="15" t="s">
        <v>10</v>
      </c>
      <c r="L5258" s="15" t="s">
        <v>10</v>
      </c>
      <c r="M5258" s="15" t="s">
        <v>10</v>
      </c>
      <c r="N5258" s="15" t="s">
        <v>10</v>
      </c>
      <c r="O5258" s="15" t="s">
        <v>10</v>
      </c>
      <c r="P5258" s="15" t="s">
        <v>10</v>
      </c>
      <c r="Q5258" s="8"/>
      <c r="R5258" s="9" t="s">
        <v>4798</v>
      </c>
    </row>
    <row r="5259" spans="1:18" x14ac:dyDescent="0.25">
      <c r="A5259" s="6" t="str">
        <f>HYPERLINK("proteomic_fractions_linear_files/Yang_linear_img/6681021.jpg", "6681021")</f>
        <v>6681021</v>
      </c>
      <c r="B5259" s="7"/>
      <c r="C5259" s="6" t="str">
        <f>HYPERLINK("http://www.ncbi.nlm.nih.gov/protein/6681021","Pcdha4")</f>
        <v>Pcdha4</v>
      </c>
      <c r="D5259" s="8"/>
      <c r="E5259" s="8">
        <v>99891</v>
      </c>
      <c r="F5259" s="8"/>
      <c r="G5259" s="15" t="s">
        <v>10</v>
      </c>
      <c r="H5259" s="15" t="s">
        <v>10</v>
      </c>
      <c r="I5259" s="15" t="s">
        <v>10</v>
      </c>
      <c r="J5259" s="15" t="s">
        <v>10</v>
      </c>
      <c r="K5259" s="15">
        <v>3.017833246364988</v>
      </c>
      <c r="L5259" s="15">
        <v>3.017833246364988</v>
      </c>
      <c r="M5259" s="15" t="s">
        <v>10</v>
      </c>
      <c r="N5259" s="15" t="s">
        <v>10</v>
      </c>
      <c r="O5259" s="15">
        <v>3.017833246364988</v>
      </c>
      <c r="P5259" s="15">
        <v>3.017833246364988</v>
      </c>
      <c r="Q5259" s="8"/>
      <c r="R5259" s="9" t="s">
        <v>4799</v>
      </c>
    </row>
    <row r="5260" spans="1:18" x14ac:dyDescent="0.25">
      <c r="A5260" s="6" t="str">
        <f>HYPERLINK("proteomic_fractions_linear_files/Yang_linear_img/292658765.jpg", "292658765")</f>
        <v>292658765</v>
      </c>
      <c r="B5260" s="7"/>
      <c r="C5260" s="6" t="str">
        <f>HYPERLINK("http://www.ncbi.nlm.nih.gov/protein/292658765","Pcdha4-g")</f>
        <v>Pcdha4-g</v>
      </c>
      <c r="D5260" s="8"/>
      <c r="E5260" s="8">
        <v>96414</v>
      </c>
      <c r="F5260" s="8"/>
      <c r="G5260" s="15" t="s">
        <v>10</v>
      </c>
      <c r="H5260" s="15" t="s">
        <v>10</v>
      </c>
      <c r="I5260" s="15" t="s">
        <v>10</v>
      </c>
      <c r="J5260" s="15" t="s">
        <v>10</v>
      </c>
      <c r="K5260" s="15">
        <v>3.1435762982968622</v>
      </c>
      <c r="L5260" s="15">
        <v>3.1435762982968622</v>
      </c>
      <c r="M5260" s="15" t="s">
        <v>10</v>
      </c>
      <c r="N5260" s="15" t="s">
        <v>10</v>
      </c>
      <c r="O5260" s="15">
        <v>3.1435762982968622</v>
      </c>
      <c r="P5260" s="15">
        <v>3.1435762982968622</v>
      </c>
      <c r="Q5260" s="8"/>
      <c r="R5260" s="9" t="s">
        <v>4800</v>
      </c>
    </row>
    <row r="5261" spans="1:18" x14ac:dyDescent="0.25">
      <c r="A5261" s="6" t="str">
        <f>HYPERLINK("proteomic_fractions_linear_files/Yang_linear_img/119372296.jpg", "119372296")</f>
        <v>119372296</v>
      </c>
      <c r="B5261" s="7"/>
      <c r="C5261" s="6" t="str">
        <f>HYPERLINK("http://www.ncbi.nlm.nih.gov/protein/119372296","Pcid2")</f>
        <v>Pcid2</v>
      </c>
      <c r="D5261" s="8"/>
      <c r="E5261" s="8">
        <v>46001</v>
      </c>
      <c r="F5261" s="8"/>
      <c r="G5261" s="15">
        <v>0.81176796572009979</v>
      </c>
      <c r="H5261" s="15">
        <v>0.81176796572009979</v>
      </c>
      <c r="I5261" s="15">
        <v>0.88059387398310318</v>
      </c>
      <c r="J5261" s="15">
        <v>0.88059387398310318</v>
      </c>
      <c r="K5261" s="15">
        <v>0.88059387398310318</v>
      </c>
      <c r="L5261" s="15">
        <v>0.88059387398310318</v>
      </c>
      <c r="M5261" s="15">
        <v>0.88059387398310318</v>
      </c>
      <c r="N5261" s="15">
        <v>0.88059387398310318</v>
      </c>
      <c r="O5261" s="15" t="s">
        <v>10</v>
      </c>
      <c r="P5261" s="15" t="s">
        <v>10</v>
      </c>
      <c r="Q5261" s="8"/>
      <c r="R5261" s="9" t="s">
        <v>4801</v>
      </c>
    </row>
    <row r="5262" spans="1:18" x14ac:dyDescent="0.25">
      <c r="A5262" s="6" t="str">
        <f>HYPERLINK("proteomic_fractions_linear_files/Yang_linear_img/22122647.jpg", "22122647")</f>
        <v>22122647</v>
      </c>
      <c r="B5262" s="7"/>
      <c r="C5262" s="6" t="str">
        <f>HYPERLINK("http://www.ncbi.nlm.nih.gov/protein/22122647","Pcif1")</f>
        <v>Pcif1</v>
      </c>
      <c r="D5262" s="8"/>
      <c r="E5262" s="8">
        <v>80374</v>
      </c>
      <c r="F5262" s="8"/>
      <c r="G5262" s="15" t="s">
        <v>10</v>
      </c>
      <c r="H5262" s="15" t="s">
        <v>10</v>
      </c>
      <c r="I5262" s="15" t="s">
        <v>10</v>
      </c>
      <c r="J5262" s="15" t="s">
        <v>10</v>
      </c>
      <c r="K5262" s="15" t="s">
        <v>10</v>
      </c>
      <c r="L5262" s="15" t="s">
        <v>10</v>
      </c>
      <c r="M5262" s="15" t="s">
        <v>10</v>
      </c>
      <c r="N5262" s="15" t="s">
        <v>10</v>
      </c>
      <c r="O5262" s="15">
        <v>1.0387332309142983</v>
      </c>
      <c r="P5262" s="15">
        <v>1.0387332309142983</v>
      </c>
      <c r="Q5262" s="8"/>
      <c r="R5262" s="9" t="s">
        <v>4802</v>
      </c>
    </row>
    <row r="5263" spans="1:18" x14ac:dyDescent="0.25">
      <c r="A5263" s="6" t="str">
        <f>HYPERLINK("proteomic_fractions_linear_files/Yang_linear_img/28077029.jpg", "28077029")</f>
        <v>28077029</v>
      </c>
      <c r="B5263" s="7"/>
      <c r="C5263" s="6" t="str">
        <f>HYPERLINK("http://www.ncbi.nlm.nih.gov/protein/28077029","Pck2")</f>
        <v>Pck2</v>
      </c>
      <c r="D5263" s="8"/>
      <c r="E5263" s="8">
        <v>73288</v>
      </c>
      <c r="F5263" s="8"/>
      <c r="G5263" s="15">
        <v>1.1383377873033405</v>
      </c>
      <c r="H5263" s="15">
        <v>1.1383377873033405</v>
      </c>
      <c r="I5263" s="15">
        <v>1.0059747978312636</v>
      </c>
      <c r="J5263" s="15">
        <v>1.0059747978312636</v>
      </c>
      <c r="K5263" s="15">
        <v>1.0059747978312636</v>
      </c>
      <c r="L5263" s="15">
        <v>1.0059747978312636</v>
      </c>
      <c r="M5263" s="15" t="s">
        <v>10</v>
      </c>
      <c r="N5263" s="15" t="s">
        <v>10</v>
      </c>
      <c r="O5263" s="15">
        <v>0.89662004562389497</v>
      </c>
      <c r="P5263" s="15">
        <v>0.89662004562389497</v>
      </c>
      <c r="Q5263" s="8"/>
      <c r="R5263" s="9" t="s">
        <v>4803</v>
      </c>
    </row>
    <row r="5264" spans="1:18" x14ac:dyDescent="0.25">
      <c r="A5264" s="6" t="str">
        <f>HYPERLINK("proteomic_fractions_linear_files/Yang_linear_img/170763496.jpg", "170763496")</f>
        <v>170763496</v>
      </c>
      <c r="B5264" s="7"/>
      <c r="C5264" s="6" t="str">
        <f>HYPERLINK("http://www.ncbi.nlm.nih.gov/protein/170763496","Pcm1")</f>
        <v>Pcm1</v>
      </c>
      <c r="D5264" s="8"/>
      <c r="E5264" s="8">
        <v>228717</v>
      </c>
      <c r="F5264" s="8"/>
      <c r="G5264" s="15" t="s">
        <v>10</v>
      </c>
      <c r="H5264" s="15" t="s">
        <v>10</v>
      </c>
      <c r="I5264" s="15">
        <v>1.019043002741699</v>
      </c>
      <c r="J5264" s="15">
        <v>1.019043002741699</v>
      </c>
      <c r="K5264" s="15">
        <v>1.3178311119497763</v>
      </c>
      <c r="L5264" s="15">
        <v>1.3178311119497763</v>
      </c>
      <c r="M5264" s="15">
        <v>0.6700998739573879</v>
      </c>
      <c r="N5264" s="15">
        <v>0.6700998739573879</v>
      </c>
      <c r="O5264" s="15" t="s">
        <v>10</v>
      </c>
      <c r="P5264" s="15" t="s">
        <v>10</v>
      </c>
      <c r="Q5264" s="8"/>
      <c r="R5264" s="9" t="s">
        <v>4804</v>
      </c>
    </row>
    <row r="5265" spans="1:18" x14ac:dyDescent="0.25">
      <c r="A5265" s="6" t="str">
        <f>HYPERLINK("proteomic_fractions_linear_files/Yang_linear_img/226530884.jpg", "226530884")</f>
        <v>226530884</v>
      </c>
      <c r="B5265" s="7"/>
      <c r="C5265" s="6" t="str">
        <f>HYPERLINK("http://www.ncbi.nlm.nih.gov/protein/226530884","Pcmt1")</f>
        <v>Pcmt1</v>
      </c>
      <c r="D5265" s="8"/>
      <c r="E5265" s="8">
        <v>30267</v>
      </c>
      <c r="F5265" s="8"/>
      <c r="G5265" s="15" t="s">
        <v>10</v>
      </c>
      <c r="H5265" s="15" t="s">
        <v>10</v>
      </c>
      <c r="I5265" s="15">
        <v>0.77031911249058149</v>
      </c>
      <c r="J5265" s="15">
        <v>0.77031911249058149</v>
      </c>
      <c r="K5265" s="15">
        <v>0.77031911249058149</v>
      </c>
      <c r="L5265" s="15">
        <v>0.77031911249058149</v>
      </c>
      <c r="M5265" s="15">
        <v>0.77031911249058149</v>
      </c>
      <c r="N5265" s="15">
        <v>0.77031911249058149</v>
      </c>
      <c r="O5265" s="15">
        <v>0.68658137288854237</v>
      </c>
      <c r="P5265" s="15">
        <v>0.68658137288854237</v>
      </c>
      <c r="Q5265" s="8"/>
      <c r="R5265" s="9" t="s">
        <v>4805</v>
      </c>
    </row>
    <row r="5266" spans="1:18" x14ac:dyDescent="0.25">
      <c r="A5266" s="6" t="str">
        <f>HYPERLINK("proteomic_fractions_linear_files/Yang_linear_img/33942104.jpg", "33942104")</f>
        <v>33942104</v>
      </c>
      <c r="B5266" s="7"/>
      <c r="C5266" s="6" t="str">
        <f>HYPERLINK("http://www.ncbi.nlm.nih.gov/protein/33942104","Pcmtd1")</f>
        <v>Pcmtd1</v>
      </c>
      <c r="D5266" s="8"/>
      <c r="E5266" s="8">
        <v>40562</v>
      </c>
      <c r="F5266" s="8"/>
      <c r="G5266" s="15" t="s">
        <v>10</v>
      </c>
      <c r="H5266" s="15" t="s">
        <v>10</v>
      </c>
      <c r="I5266" s="15" t="s">
        <v>10</v>
      </c>
      <c r="J5266" s="15" t="s">
        <v>10</v>
      </c>
      <c r="K5266" s="15">
        <v>1.0762338840723285</v>
      </c>
      <c r="L5266" s="15">
        <v>1.0762338840723285</v>
      </c>
      <c r="M5266" s="15">
        <v>0.98798337081031085</v>
      </c>
      <c r="N5266" s="15">
        <v>0.98798337081031085</v>
      </c>
      <c r="O5266" s="15">
        <v>0.91076405910059977</v>
      </c>
      <c r="P5266" s="15">
        <v>0.91076405910059977</v>
      </c>
      <c r="Q5266" s="8"/>
      <c r="R5266" s="9" t="s">
        <v>4806</v>
      </c>
    </row>
    <row r="5267" spans="1:18" x14ac:dyDescent="0.25">
      <c r="A5267" s="6" t="str">
        <f>HYPERLINK("proteomic_fractions_linear_files/Yang_linear_img/23956398.jpg", "23956398")</f>
        <v>23956398</v>
      </c>
      <c r="B5267" s="7"/>
      <c r="C5267" s="6" t="str">
        <f>HYPERLINK("http://www.ncbi.nlm.nih.gov/protein/23956398","Pcmtd2")</f>
        <v>Pcmtd2</v>
      </c>
      <c r="D5267" s="8"/>
      <c r="E5267" s="8">
        <v>40625</v>
      </c>
      <c r="F5267" s="8"/>
      <c r="G5267" s="15" t="s">
        <v>10</v>
      </c>
      <c r="H5267" s="15" t="s">
        <v>10</v>
      </c>
      <c r="I5267" s="15" t="s">
        <v>10</v>
      </c>
      <c r="J5267" s="15" t="s">
        <v>10</v>
      </c>
      <c r="K5267" s="15">
        <v>0.98798337081031085</v>
      </c>
      <c r="L5267" s="15">
        <v>0.98798337081031085</v>
      </c>
      <c r="M5267" s="15">
        <v>0.91076405910059977</v>
      </c>
      <c r="N5267" s="15">
        <v>0.91076405910059977</v>
      </c>
      <c r="O5267" s="15">
        <v>0.84276528123110206</v>
      </c>
      <c r="P5267" s="15">
        <v>0.84276528123110206</v>
      </c>
      <c r="Q5267" s="8"/>
      <c r="R5267" s="9" t="s">
        <v>4807</v>
      </c>
    </row>
    <row r="5268" spans="1:18" x14ac:dyDescent="0.25">
      <c r="A5268" s="6" t="str">
        <f>HYPERLINK("proteomic_fractions_linear_files/Yang_linear_img/7242171.jpg", "7242171")</f>
        <v>7242171</v>
      </c>
      <c r="B5268" s="7"/>
      <c r="C5268" s="6" t="str">
        <f>HYPERLINK("http://www.ncbi.nlm.nih.gov/protein/7242171","Pcna")</f>
        <v>Pcna</v>
      </c>
      <c r="D5268" s="8"/>
      <c r="E5268" s="8">
        <v>28654</v>
      </c>
      <c r="F5268" s="8"/>
      <c r="G5268" s="15">
        <v>1.3968040759731981</v>
      </c>
      <c r="H5268" s="15">
        <v>1.3968040759731981</v>
      </c>
      <c r="I5268" s="15">
        <v>1.0305312721280391</v>
      </c>
      <c r="J5268" s="15">
        <v>1.0305312721280391</v>
      </c>
      <c r="K5268" s="15">
        <v>1.1063473398528822</v>
      </c>
      <c r="L5268" s="15">
        <v>1.1063473398528822</v>
      </c>
      <c r="M5268" s="15">
        <v>1.0305312721280391</v>
      </c>
      <c r="N5268" s="15">
        <v>1.0305312721280391</v>
      </c>
      <c r="O5268" s="15">
        <v>0.96269694129938133</v>
      </c>
      <c r="P5268" s="15">
        <v>0.96269694129938133</v>
      </c>
      <c r="Q5268" s="8"/>
      <c r="R5268" s="9" t="s">
        <v>4808</v>
      </c>
    </row>
    <row r="5269" spans="1:18" x14ac:dyDescent="0.25">
      <c r="A5269" s="6" t="str">
        <f>HYPERLINK("proteomic_fractions_linear_files/Yang_linear_img/71480098.jpg", "71480098")</f>
        <v>71480098</v>
      </c>
      <c r="B5269" s="7"/>
      <c r="C5269" s="6" t="str">
        <f>HYPERLINK("http://www.ncbi.nlm.nih.gov/protein/71480098","Pcnp")</f>
        <v>Pcnp</v>
      </c>
      <c r="D5269" s="8"/>
      <c r="E5269" s="8">
        <v>18832</v>
      </c>
      <c r="F5269" s="8"/>
      <c r="G5269" s="15" t="s">
        <v>10</v>
      </c>
      <c r="H5269" s="15" t="s">
        <v>10</v>
      </c>
      <c r="I5269" s="15">
        <v>1.1471443300357238</v>
      </c>
      <c r="J5269" s="15">
        <v>1.1471443300357238</v>
      </c>
      <c r="K5269" s="15">
        <v>1.1471443300357238</v>
      </c>
      <c r="L5269" s="15">
        <v>1.1471443300357238</v>
      </c>
      <c r="M5269" s="15">
        <v>1.2162933355114445</v>
      </c>
      <c r="N5269" s="15">
        <v>1.2162933355114445</v>
      </c>
      <c r="O5269" s="15">
        <v>1.1471443300357238</v>
      </c>
      <c r="P5269" s="15">
        <v>1.1471443300357238</v>
      </c>
      <c r="Q5269" s="8"/>
      <c r="R5269" s="9" t="s">
        <v>4809</v>
      </c>
    </row>
    <row r="5270" spans="1:18" x14ac:dyDescent="0.25">
      <c r="A5270" s="6" t="str">
        <f>HYPERLINK("proteomic_fractions_linear_files/Yang_linear_img/93004085.jpg", "93004085")</f>
        <v>93004085</v>
      </c>
      <c r="B5270" s="7"/>
      <c r="C5270" s="6" t="str">
        <f>HYPERLINK("http://www.ncbi.nlm.nih.gov/protein/93004085","Pcnt")</f>
        <v>Pcnt</v>
      </c>
      <c r="D5270" s="8"/>
      <c r="E5270" s="8">
        <v>331208</v>
      </c>
      <c r="F5270" s="8"/>
      <c r="G5270" s="15" t="s">
        <v>10</v>
      </c>
      <c r="H5270" s="15" t="s">
        <v>10</v>
      </c>
      <c r="I5270" s="15">
        <v>0.70501766654939291</v>
      </c>
      <c r="J5270" s="15">
        <v>0.70501766654939291</v>
      </c>
      <c r="K5270" s="15">
        <v>0.91173209859969417</v>
      </c>
      <c r="L5270" s="15">
        <v>0.91173209859969417</v>
      </c>
      <c r="M5270" s="15" t="s">
        <v>10</v>
      </c>
      <c r="N5270" s="15" t="s">
        <v>10</v>
      </c>
      <c r="O5270" s="15" t="s">
        <v>10</v>
      </c>
      <c r="P5270" s="15" t="s">
        <v>10</v>
      </c>
      <c r="Q5270" s="8"/>
      <c r="R5270" s="9" t="s">
        <v>4810</v>
      </c>
    </row>
    <row r="5271" spans="1:18" x14ac:dyDescent="0.25">
      <c r="A5271" s="6" t="str">
        <f>HYPERLINK("proteomic_fractions_linear_files/Yang_linear_img/126352572.jpg", "126352572")</f>
        <v>126352572</v>
      </c>
      <c r="B5271" s="7"/>
      <c r="C5271" s="6" t="str">
        <f>HYPERLINK("http://www.ncbi.nlm.nih.gov/protein/126352572","Pcnxl2")</f>
        <v>Pcnxl2</v>
      </c>
      <c r="D5271" s="8"/>
      <c r="E5271" s="8">
        <v>233998</v>
      </c>
      <c r="F5271" s="8"/>
      <c r="G5271" s="15" t="s">
        <v>10</v>
      </c>
      <c r="H5271" s="15" t="s">
        <v>10</v>
      </c>
      <c r="I5271" s="15" t="s">
        <v>10</v>
      </c>
      <c r="J5271" s="15" t="s">
        <v>10</v>
      </c>
      <c r="K5271" s="15" t="s">
        <v>10</v>
      </c>
      <c r="L5271" s="15" t="s">
        <v>10</v>
      </c>
      <c r="M5271" s="15" t="s">
        <v>10</v>
      </c>
      <c r="N5271" s="15" t="s">
        <v>10</v>
      </c>
      <c r="O5271" s="15">
        <v>0.46923745222705754</v>
      </c>
      <c r="P5271" s="15">
        <v>0.46923745222705754</v>
      </c>
      <c r="Q5271" s="8"/>
      <c r="R5271" s="9" t="s">
        <v>4811</v>
      </c>
    </row>
    <row r="5272" spans="1:18" x14ac:dyDescent="0.25">
      <c r="A5272" s="6" t="str">
        <f>HYPERLINK("proteomic_fractions_linear_files/Yang_linear_img/157743254.jpg", "157743254")</f>
        <v>157743254</v>
      </c>
      <c r="B5272" s="7"/>
      <c r="C5272" s="6" t="str">
        <f>HYPERLINK("http://www.ncbi.nlm.nih.gov/protein/157743254","Pcnxl3")</f>
        <v>Pcnxl3</v>
      </c>
      <c r="D5272" s="8"/>
      <c r="E5272" s="8">
        <v>221443</v>
      </c>
      <c r="F5272" s="8"/>
      <c r="G5272" s="15" t="s">
        <v>10</v>
      </c>
      <c r="H5272" s="15" t="s">
        <v>10</v>
      </c>
      <c r="I5272" s="15">
        <v>1.0559314372300863</v>
      </c>
      <c r="J5272" s="15">
        <v>1.0559314372300863</v>
      </c>
      <c r="K5272" s="15">
        <v>1.3655354055950171</v>
      </c>
      <c r="L5272" s="15">
        <v>1.3655354055950171</v>
      </c>
      <c r="M5272" s="15" t="s">
        <v>10</v>
      </c>
      <c r="N5272" s="15" t="s">
        <v>10</v>
      </c>
      <c r="O5272" s="15" t="s">
        <v>10</v>
      </c>
      <c r="P5272" s="15" t="s">
        <v>10</v>
      </c>
      <c r="Q5272" s="8"/>
      <c r="R5272" s="9" t="s">
        <v>4812</v>
      </c>
    </row>
    <row r="5273" spans="1:18" x14ac:dyDescent="0.25">
      <c r="A5273" s="6" t="str">
        <f>HYPERLINK("proteomic_fractions_linear_files/Yang_linear_img/253314509.jpg", "253314509")</f>
        <v>253314509</v>
      </c>
      <c r="B5273" s="7"/>
      <c r="C5273" s="6" t="str">
        <f>HYPERLINK("http://www.ncbi.nlm.nih.gov/protein/253314509","Pcsk5")</f>
        <v>Pcsk5</v>
      </c>
      <c r="D5273" s="8"/>
      <c r="E5273" s="8">
        <v>97647</v>
      </c>
      <c r="F5273" s="8"/>
      <c r="G5273" s="15" t="s">
        <v>10</v>
      </c>
      <c r="H5273" s="15" t="s">
        <v>10</v>
      </c>
      <c r="I5273" s="15" t="s">
        <v>10</v>
      </c>
      <c r="J5273" s="15" t="s">
        <v>10</v>
      </c>
      <c r="K5273" s="15" t="s">
        <v>10</v>
      </c>
      <c r="L5273" s="15" t="s">
        <v>10</v>
      </c>
      <c r="M5273" s="15" t="s">
        <v>10</v>
      </c>
      <c r="N5273" s="15" t="s">
        <v>10</v>
      </c>
      <c r="O5273" s="15">
        <v>0.54204662887756205</v>
      </c>
      <c r="P5273" s="15">
        <v>0.54204662887756205</v>
      </c>
      <c r="Q5273" s="8"/>
      <c r="R5273" s="9" t="s">
        <v>4813</v>
      </c>
    </row>
    <row r="5274" spans="1:18" x14ac:dyDescent="0.25">
      <c r="A5274" s="6" t="str">
        <f>HYPERLINK("proteomic_fractions_linear_files/Yang_linear_img/299523019.jpg", "299523019")</f>
        <v>299523019</v>
      </c>
      <c r="B5274" s="7"/>
      <c r="C5274" s="6" t="str">
        <f>HYPERLINK("http://www.ncbi.nlm.nih.gov/protein/299523019","Pcsk5")</f>
        <v>Pcsk5</v>
      </c>
      <c r="D5274" s="8"/>
      <c r="E5274" s="8">
        <v>195890</v>
      </c>
      <c r="F5274" s="8"/>
      <c r="G5274" s="15" t="s">
        <v>10</v>
      </c>
      <c r="H5274" s="15" t="s">
        <v>10</v>
      </c>
      <c r="I5274" s="15" t="s">
        <v>10</v>
      </c>
      <c r="J5274" s="15" t="s">
        <v>10</v>
      </c>
      <c r="K5274" s="15" t="s">
        <v>10</v>
      </c>
      <c r="L5274" s="15" t="s">
        <v>10</v>
      </c>
      <c r="M5274" s="15" t="s">
        <v>10</v>
      </c>
      <c r="N5274" s="15" t="s">
        <v>10</v>
      </c>
      <c r="O5274" s="15">
        <v>0.27102331443878103</v>
      </c>
      <c r="P5274" s="15">
        <v>0.27102331443878103</v>
      </c>
      <c r="Q5274" s="8"/>
      <c r="R5274" s="9" t="s">
        <v>4814</v>
      </c>
    </row>
    <row r="5275" spans="1:18" x14ac:dyDescent="0.25">
      <c r="A5275" s="6" t="str">
        <f>HYPERLINK("proteomic_fractions_linear_files/Yang_linear_img/117320552.jpg", "117320552")</f>
        <v>117320552</v>
      </c>
      <c r="B5275" s="7"/>
      <c r="C5275" s="6" t="str">
        <f>HYPERLINK("http://www.ncbi.nlm.nih.gov/protein/117320552","Pctp")</f>
        <v>Pctp</v>
      </c>
      <c r="D5275" s="8"/>
      <c r="E5275" s="8">
        <v>24525</v>
      </c>
      <c r="F5275" s="8"/>
      <c r="G5275" s="15" t="s">
        <v>10</v>
      </c>
      <c r="H5275" s="15" t="s">
        <v>10</v>
      </c>
      <c r="I5275" s="15" t="s">
        <v>10</v>
      </c>
      <c r="J5275" s="15" t="s">
        <v>10</v>
      </c>
      <c r="K5275" s="15">
        <v>0.92438293498869784</v>
      </c>
      <c r="L5275" s="15">
        <v>0.92438293498869784</v>
      </c>
      <c r="M5275" s="15" t="s">
        <v>10</v>
      </c>
      <c r="N5275" s="15" t="s">
        <v>10</v>
      </c>
      <c r="O5275" s="15">
        <v>0.82389764746625094</v>
      </c>
      <c r="P5275" s="15">
        <v>0.82389764746625094</v>
      </c>
      <c r="Q5275" s="8"/>
      <c r="R5275" s="9" t="s">
        <v>4815</v>
      </c>
    </row>
    <row r="5276" spans="1:18" x14ac:dyDescent="0.25">
      <c r="A5276" s="6" t="str">
        <f>HYPERLINK("proteomic_fractions_linear_files/Yang_linear_img/251823978.jpg", "251823978")</f>
        <v>251823978</v>
      </c>
      <c r="B5276" s="7"/>
      <c r="C5276" s="6" t="str">
        <f>HYPERLINK("http://www.ncbi.nlm.nih.gov/protein/251823978","Pcx")</f>
        <v>Pcx</v>
      </c>
      <c r="D5276" s="8"/>
      <c r="E5276" s="8">
        <v>127444</v>
      </c>
      <c r="F5276" s="8"/>
      <c r="G5276" s="15">
        <v>1.2082903239074161</v>
      </c>
      <c r="H5276" s="15">
        <v>1.2082903239074161</v>
      </c>
      <c r="I5276" s="15">
        <v>1.2082903239074161</v>
      </c>
      <c r="J5276" s="15">
        <v>1.2082903239074161</v>
      </c>
      <c r="K5276" s="15" t="s">
        <v>10</v>
      </c>
      <c r="L5276" s="15" t="s">
        <v>10</v>
      </c>
      <c r="M5276" s="15" t="s">
        <v>10</v>
      </c>
      <c r="N5276" s="15" t="s">
        <v>10</v>
      </c>
      <c r="O5276" s="15">
        <v>1.2082903239074161</v>
      </c>
      <c r="P5276" s="15">
        <v>1.2082903239074161</v>
      </c>
      <c r="Q5276" s="8"/>
      <c r="R5276" s="9" t="s">
        <v>4816</v>
      </c>
    </row>
    <row r="5277" spans="1:18" x14ac:dyDescent="0.25">
      <c r="A5277" s="6" t="str">
        <f>HYPERLINK("proteomic_fractions_linear_files/Yang_linear_img/251823980.jpg", "251823980")</f>
        <v>251823980</v>
      </c>
      <c r="B5277" s="7"/>
      <c r="C5277" s="6" t="str">
        <f>HYPERLINK("http://www.ncbi.nlm.nih.gov/protein/251823980","Pcx")</f>
        <v>Pcx</v>
      </c>
      <c r="D5277" s="8"/>
      <c r="E5277" s="8">
        <v>129701</v>
      </c>
      <c r="F5277" s="8"/>
      <c r="G5277" s="15">
        <v>1.1804067010480142</v>
      </c>
      <c r="H5277" s="15">
        <v>1.1804067010480142</v>
      </c>
      <c r="I5277" s="15">
        <v>1.1804067010480142</v>
      </c>
      <c r="J5277" s="15">
        <v>1.1804067010480142</v>
      </c>
      <c r="K5277" s="15" t="s">
        <v>10</v>
      </c>
      <c r="L5277" s="15" t="s">
        <v>10</v>
      </c>
      <c r="M5277" s="15" t="s">
        <v>10</v>
      </c>
      <c r="N5277" s="15" t="s">
        <v>10</v>
      </c>
      <c r="O5277" s="15">
        <v>1.1804067010480142</v>
      </c>
      <c r="P5277" s="15">
        <v>1.1804067010480142</v>
      </c>
      <c r="Q5277" s="8"/>
      <c r="R5277" s="9" t="s">
        <v>4817</v>
      </c>
    </row>
    <row r="5278" spans="1:18" x14ac:dyDescent="0.25">
      <c r="A5278" s="6" t="str">
        <f>HYPERLINK("proteomic_fractions_linear_files/Yang_linear_img/13385294.jpg", "13385294")</f>
        <v>13385294</v>
      </c>
      <c r="B5278" s="7"/>
      <c r="C5278" s="6" t="str">
        <f>HYPERLINK("http://www.ncbi.nlm.nih.gov/protein/13385294","Pcyox1")</f>
        <v>Pcyox1</v>
      </c>
      <c r="D5278" s="8"/>
      <c r="E5278" s="8">
        <v>53718</v>
      </c>
      <c r="F5278" s="8"/>
      <c r="G5278" s="15">
        <v>1.359928893364486</v>
      </c>
      <c r="H5278" s="15">
        <v>1.359928893364486</v>
      </c>
      <c r="I5278" s="15">
        <v>0.98371425240742738</v>
      </c>
      <c r="J5278" s="15">
        <v>0.98371425240742738</v>
      </c>
      <c r="K5278" s="15">
        <v>1.0883927330665528</v>
      </c>
      <c r="L5278" s="15">
        <v>1.0883927330665528</v>
      </c>
      <c r="M5278" s="15">
        <v>0.48426403917453703</v>
      </c>
      <c r="N5278" s="15">
        <v>0.48426403917453703</v>
      </c>
      <c r="O5278" s="15" t="s">
        <v>10</v>
      </c>
      <c r="P5278" s="15" t="s">
        <v>10</v>
      </c>
      <c r="Q5278" s="8"/>
      <c r="R5278" s="9" t="s">
        <v>4818</v>
      </c>
    </row>
    <row r="5279" spans="1:18" x14ac:dyDescent="0.25">
      <c r="A5279" s="6" t="str">
        <f>HYPERLINK("proteomic_fractions_linear_files/Yang_linear_img/27370248.jpg", "27370248")</f>
        <v>27370248</v>
      </c>
      <c r="B5279" s="7"/>
      <c r="C5279" s="6" t="str">
        <f>HYPERLINK("http://www.ncbi.nlm.nih.gov/protein/27370248","Pcyox1l")</f>
        <v>Pcyox1l</v>
      </c>
      <c r="D5279" s="8"/>
      <c r="E5279" s="8">
        <v>52854</v>
      </c>
      <c r="F5279" s="8"/>
      <c r="G5279" s="15" t="s">
        <v>10</v>
      </c>
      <c r="H5279" s="15" t="s">
        <v>10</v>
      </c>
      <c r="I5279" s="15">
        <v>1.1089284450112047</v>
      </c>
      <c r="J5279" s="15">
        <v>1.1089284450112047</v>
      </c>
      <c r="K5279" s="15" t="s">
        <v>10</v>
      </c>
      <c r="L5279" s="15" t="s">
        <v>10</v>
      </c>
      <c r="M5279" s="15" t="s">
        <v>10</v>
      </c>
      <c r="N5279" s="15" t="s">
        <v>10</v>
      </c>
      <c r="O5279" s="15" t="s">
        <v>10</v>
      </c>
      <c r="P5279" s="15" t="s">
        <v>10</v>
      </c>
      <c r="Q5279" s="8"/>
      <c r="R5279" s="9" t="s">
        <v>4819</v>
      </c>
    </row>
    <row r="5280" spans="1:18" x14ac:dyDescent="0.25">
      <c r="A5280" s="6" t="str">
        <f>HYPERLINK("proteomic_fractions_linear_files/Yang_linear_img/6753552.jpg", "6753552")</f>
        <v>6753552</v>
      </c>
      <c r="B5280" s="7"/>
      <c r="C5280" s="6" t="str">
        <f>HYPERLINK("http://www.ncbi.nlm.nih.gov/protein/6753552","Pcyt1a")</f>
        <v>Pcyt1a</v>
      </c>
      <c r="D5280" s="8"/>
      <c r="E5280" s="8">
        <v>41536</v>
      </c>
      <c r="F5280" s="8"/>
      <c r="G5280" s="15" t="s">
        <v>10</v>
      </c>
      <c r="H5280" s="15" t="s">
        <v>10</v>
      </c>
      <c r="I5280" s="15">
        <v>142.69285714285715</v>
      </c>
      <c r="J5280" s="15">
        <v>142.69285714285715</v>
      </c>
      <c r="K5280" s="15">
        <v>0.96445995721958921</v>
      </c>
      <c r="L5280" s="15">
        <v>0.96445995721958921</v>
      </c>
      <c r="M5280" s="15">
        <v>0.88907920055058554</v>
      </c>
      <c r="N5280" s="15">
        <v>0.88907920055058554</v>
      </c>
      <c r="O5280" s="15">
        <v>0.82269944120179006</v>
      </c>
      <c r="P5280" s="15">
        <v>0.82269944120179006</v>
      </c>
      <c r="Q5280" s="8"/>
      <c r="R5280" s="9" t="s">
        <v>4820</v>
      </c>
    </row>
    <row r="5281" spans="1:18" x14ac:dyDescent="0.25">
      <c r="A5281" s="6" t="str">
        <f>HYPERLINK("proteomic_fractions_linear_files/Yang_linear_img/29164513.jpg", "29164513")</f>
        <v>29164513</v>
      </c>
      <c r="B5281" s="7"/>
      <c r="C5281" s="6" t="str">
        <f>HYPERLINK("http://www.ncbi.nlm.nih.gov/protein/29164513","Pcyt1b")</f>
        <v>Pcyt1b</v>
      </c>
      <c r="D5281" s="8"/>
      <c r="E5281" s="8">
        <v>38629</v>
      </c>
      <c r="F5281" s="8"/>
      <c r="G5281" s="15" t="s">
        <v>10</v>
      </c>
      <c r="H5281" s="15" t="s">
        <v>10</v>
      </c>
      <c r="I5281" s="15">
        <v>153.66923076923078</v>
      </c>
      <c r="J5281" s="15">
        <v>153.66923076923078</v>
      </c>
      <c r="K5281" s="15">
        <v>1.038649184698019</v>
      </c>
      <c r="L5281" s="15">
        <v>1.038649184698019</v>
      </c>
      <c r="M5281" s="15">
        <v>0.95746990828524592</v>
      </c>
      <c r="N5281" s="15">
        <v>0.95746990828524592</v>
      </c>
      <c r="O5281" s="15">
        <v>0.8859840136019278</v>
      </c>
      <c r="P5281" s="15">
        <v>0.8859840136019278</v>
      </c>
      <c r="Q5281" s="8"/>
      <c r="R5281" s="9" t="s">
        <v>4821</v>
      </c>
    </row>
    <row r="5282" spans="1:18" x14ac:dyDescent="0.25">
      <c r="A5282" s="6" t="str">
        <f>HYPERLINK("proteomic_fractions_linear_files/Yang_linear_img/46877071.jpg", "46877071")</f>
        <v>46877071</v>
      </c>
      <c r="B5282" s="7"/>
      <c r="C5282" s="6" t="str">
        <f>HYPERLINK("http://www.ncbi.nlm.nih.gov/protein/46877071","Pcyt1b")</f>
        <v>Pcyt1b</v>
      </c>
      <c r="D5282" s="8"/>
      <c r="E5282" s="8">
        <v>41769</v>
      </c>
      <c r="F5282" s="8"/>
      <c r="G5282" s="15" t="s">
        <v>10</v>
      </c>
      <c r="H5282" s="15" t="s">
        <v>10</v>
      </c>
      <c r="I5282" s="15">
        <v>142.69285714285715</v>
      </c>
      <c r="J5282" s="15">
        <v>142.69285714285715</v>
      </c>
      <c r="K5282" s="15">
        <v>0.96445995721958921</v>
      </c>
      <c r="L5282" s="15">
        <v>0.96445995721958921</v>
      </c>
      <c r="M5282" s="15">
        <v>0.88907920055058554</v>
      </c>
      <c r="N5282" s="15">
        <v>0.88907920055058554</v>
      </c>
      <c r="O5282" s="15">
        <v>0.82269944120179006</v>
      </c>
      <c r="P5282" s="15">
        <v>0.82269944120179006</v>
      </c>
      <c r="Q5282" s="8"/>
      <c r="R5282" s="9" t="s">
        <v>4822</v>
      </c>
    </row>
    <row r="5283" spans="1:18" x14ac:dyDescent="0.25">
      <c r="A5283" s="6" t="str">
        <f>HYPERLINK("proteomic_fractions_linear_files/Yang_linear_img/31980842.jpg", "31980842")</f>
        <v>31980842</v>
      </c>
      <c r="B5283" s="7"/>
      <c r="C5283" s="6" t="str">
        <f>HYPERLINK("http://www.ncbi.nlm.nih.gov/protein/31980842","Pcyt2")</f>
        <v>Pcyt2</v>
      </c>
      <c r="D5283" s="8"/>
      <c r="E5283" s="8">
        <v>45104</v>
      </c>
      <c r="F5283" s="8"/>
      <c r="G5283" s="15" t="s">
        <v>10</v>
      </c>
      <c r="H5283" s="15" t="s">
        <v>10</v>
      </c>
      <c r="I5283" s="15" t="s">
        <v>10</v>
      </c>
      <c r="J5283" s="15" t="s">
        <v>10</v>
      </c>
      <c r="K5283" s="15" t="s">
        <v>10</v>
      </c>
      <c r="L5283" s="15" t="s">
        <v>10</v>
      </c>
      <c r="M5283" s="15" t="s">
        <v>10</v>
      </c>
      <c r="N5283" s="15" t="s">
        <v>10</v>
      </c>
      <c r="O5283" s="15">
        <v>0.98056864993256598</v>
      </c>
      <c r="P5283" s="15">
        <v>0.98056864993256598</v>
      </c>
      <c r="Q5283" s="8"/>
      <c r="R5283" s="9" t="s">
        <v>4823</v>
      </c>
    </row>
    <row r="5284" spans="1:18" x14ac:dyDescent="0.25">
      <c r="A5284" s="6" t="str">
        <f>HYPERLINK("proteomic_fractions_linear_files/Yang_linear_img/84781781.jpg", "84781781")</f>
        <v>84781781</v>
      </c>
      <c r="B5284" s="7"/>
      <c r="C5284" s="6" t="str">
        <f>HYPERLINK("http://www.ncbi.nlm.nih.gov/protein/84781781","Pdap1")</f>
        <v>Pdap1</v>
      </c>
      <c r="D5284" s="8"/>
      <c r="E5284" s="8">
        <v>20474</v>
      </c>
      <c r="F5284" s="8"/>
      <c r="G5284" s="15">
        <v>1.7276688265237592</v>
      </c>
      <c r="H5284" s="15">
        <v>1.7276688265237592</v>
      </c>
      <c r="I5284" s="15">
        <v>1.2277410306638459</v>
      </c>
      <c r="J5284" s="15">
        <v>1.2277410306638459</v>
      </c>
      <c r="K5284" s="15">
        <v>1.2277410306638459</v>
      </c>
      <c r="L5284" s="15">
        <v>1.2277410306638459</v>
      </c>
      <c r="M5284" s="15">
        <v>1.2277410306638459</v>
      </c>
      <c r="N5284" s="15">
        <v>1.2277410306638459</v>
      </c>
      <c r="O5284" s="15">
        <v>0.75981691469071433</v>
      </c>
      <c r="P5284" s="15">
        <v>0.75981691469071433</v>
      </c>
      <c r="Q5284" s="8"/>
      <c r="R5284" s="9" t="s">
        <v>4824</v>
      </c>
    </row>
    <row r="5285" spans="1:18" x14ac:dyDescent="0.25">
      <c r="A5285" s="6" t="str">
        <f>HYPERLINK("proteomic_fractions_linear_files/Yang_linear_img/31560391.jpg", "31560391")</f>
        <v>31560391</v>
      </c>
      <c r="B5285" s="7"/>
      <c r="C5285" s="6" t="str">
        <f>HYPERLINK("http://www.ncbi.nlm.nih.gov/protein/31560391","Pdcd10")</f>
        <v>Pdcd10</v>
      </c>
      <c r="D5285" s="8"/>
      <c r="E5285" s="8">
        <v>24585</v>
      </c>
      <c r="F5285" s="8"/>
      <c r="G5285" s="15">
        <v>1.3821350612190073</v>
      </c>
      <c r="H5285" s="15">
        <v>1.3821350612190073</v>
      </c>
      <c r="I5285" s="15">
        <v>0.9821928245310767</v>
      </c>
      <c r="J5285" s="15">
        <v>0.9821928245310767</v>
      </c>
      <c r="K5285" s="15">
        <v>1.0460103246170001</v>
      </c>
      <c r="L5285" s="15">
        <v>1.0460103246170001</v>
      </c>
      <c r="M5285" s="15">
        <v>0.9821928245310767</v>
      </c>
      <c r="N5285" s="15">
        <v>0.9821928245310767</v>
      </c>
      <c r="O5285" s="15">
        <v>0.87182969082715001</v>
      </c>
      <c r="P5285" s="15">
        <v>0.87182969082715001</v>
      </c>
      <c r="Q5285" s="8"/>
      <c r="R5285" s="9" t="s">
        <v>4825</v>
      </c>
    </row>
    <row r="5286" spans="1:18" x14ac:dyDescent="0.25">
      <c r="A5286" s="6" t="str">
        <f>HYPERLINK("proteomic_fractions_linear_files/Yang_linear_img/54607128.jpg", "54607128")</f>
        <v>54607128</v>
      </c>
      <c r="B5286" s="7"/>
      <c r="C5286" s="6" t="str">
        <f>HYPERLINK("http://www.ncbi.nlm.nih.gov/protein/54607128","Pdcd11")</f>
        <v>Pdcd11</v>
      </c>
      <c r="D5286" s="8"/>
      <c r="E5286" s="8">
        <v>207649</v>
      </c>
      <c r="F5286" s="8"/>
      <c r="G5286" s="15">
        <v>1.1219271520569667</v>
      </c>
      <c r="H5286" s="15">
        <v>1.1219271520569667</v>
      </c>
      <c r="I5286" s="15" t="s">
        <v>10</v>
      </c>
      <c r="J5286" s="15" t="s">
        <v>10</v>
      </c>
      <c r="K5286" s="15" t="s">
        <v>10</v>
      </c>
      <c r="L5286" s="15" t="s">
        <v>10</v>
      </c>
      <c r="M5286" s="15" t="s">
        <v>10</v>
      </c>
      <c r="N5286" s="15" t="s">
        <v>10</v>
      </c>
      <c r="O5286" s="15" t="s">
        <v>10</v>
      </c>
      <c r="P5286" s="15" t="s">
        <v>10</v>
      </c>
      <c r="Q5286" s="8"/>
      <c r="R5286" s="9" t="s">
        <v>4826</v>
      </c>
    </row>
    <row r="5287" spans="1:18" x14ac:dyDescent="0.25">
      <c r="A5287" s="6" t="str">
        <f>HYPERLINK("proteomic_fractions_linear_files/Yang_linear_img/120407033.jpg", "120407033")</f>
        <v>120407033</v>
      </c>
      <c r="B5287" s="7"/>
      <c r="C5287" s="6" t="str">
        <f>HYPERLINK("http://www.ncbi.nlm.nih.gov/protein/120407033","Pdcd2")</f>
        <v>Pdcd2</v>
      </c>
      <c r="D5287" s="8"/>
      <c r="E5287" s="8">
        <v>38195</v>
      </c>
      <c r="F5287" s="8"/>
      <c r="G5287" s="15" t="s">
        <v>10</v>
      </c>
      <c r="H5287" s="15" t="s">
        <v>10</v>
      </c>
      <c r="I5287" s="15" t="s">
        <v>10</v>
      </c>
      <c r="J5287" s="15" t="s">
        <v>10</v>
      </c>
      <c r="K5287" s="15">
        <v>1.1611997170254071</v>
      </c>
      <c r="L5287" s="15">
        <v>1.1611997170254071</v>
      </c>
      <c r="M5287" s="15" t="s">
        <v>10</v>
      </c>
      <c r="N5287" s="15" t="s">
        <v>10</v>
      </c>
      <c r="O5287" s="15">
        <v>1.0659820579795458</v>
      </c>
      <c r="P5287" s="15">
        <v>1.0659820579795458</v>
      </c>
      <c r="Q5287" s="8"/>
      <c r="R5287" s="9" t="s">
        <v>4827</v>
      </c>
    </row>
    <row r="5288" spans="1:18" x14ac:dyDescent="0.25">
      <c r="A5288" s="6" t="str">
        <f>HYPERLINK("proteomic_fractions_linear_files/Yang_linear_img/110625656.jpg", "110625656")</f>
        <v>110625656</v>
      </c>
      <c r="B5288" s="7"/>
      <c r="C5288" s="6" t="str">
        <f>HYPERLINK("http://www.ncbi.nlm.nih.gov/protein/110625656","Pdcd4")</f>
        <v>Pdcd4</v>
      </c>
      <c r="D5288" s="8"/>
      <c r="E5288" s="8">
        <v>51571</v>
      </c>
      <c r="F5288" s="8"/>
      <c r="G5288" s="15">
        <v>1.4122338508015817</v>
      </c>
      <c r="H5288" s="15">
        <v>1.4122338508015817</v>
      </c>
      <c r="I5288" s="15">
        <v>1.1302539920306509</v>
      </c>
      <c r="J5288" s="15">
        <v>1.1302539920306509</v>
      </c>
      <c r="K5288" s="15">
        <v>1.2587166025104679</v>
      </c>
      <c r="L5288" s="15">
        <v>1.2587166025104679</v>
      </c>
      <c r="M5288" s="15">
        <v>1.1302539920306509</v>
      </c>
      <c r="N5288" s="15">
        <v>1.1302539920306509</v>
      </c>
      <c r="O5288" s="15">
        <v>1.0215494159615592</v>
      </c>
      <c r="P5288" s="15">
        <v>1.0215494159615592</v>
      </c>
      <c r="Q5288" s="8"/>
      <c r="R5288" s="9" t="s">
        <v>4828</v>
      </c>
    </row>
    <row r="5289" spans="1:18" x14ac:dyDescent="0.25">
      <c r="A5289" s="6" t="str">
        <f>HYPERLINK("proteomic_fractions_linear_files/Yang_linear_img/6755000.jpg", "6755000")</f>
        <v>6755000</v>
      </c>
      <c r="B5289" s="7"/>
      <c r="C5289" s="6" t="str">
        <f>HYPERLINK("http://www.ncbi.nlm.nih.gov/protein/6755000","Pdcd6")</f>
        <v>Pdcd6</v>
      </c>
      <c r="D5289" s="8"/>
      <c r="E5289" s="8">
        <v>21736</v>
      </c>
      <c r="F5289" s="8"/>
      <c r="G5289" s="15">
        <v>1.2690096044400936</v>
      </c>
      <c r="H5289" s="15">
        <v>1.2690096044400936</v>
      </c>
      <c r="I5289" s="15">
        <v>0.88641590127433068</v>
      </c>
      <c r="J5289" s="15">
        <v>0.88641590127433068</v>
      </c>
      <c r="K5289" s="15">
        <v>0.8406954165710947</v>
      </c>
      <c r="L5289" s="15">
        <v>0.8406954165710947</v>
      </c>
      <c r="M5289" s="15">
        <v>0.88641590127433068</v>
      </c>
      <c r="N5289" s="15">
        <v>0.88641590127433068</v>
      </c>
      <c r="O5289" s="15">
        <v>0.88641590127433068</v>
      </c>
      <c r="P5289" s="15">
        <v>0.88641590127433068</v>
      </c>
      <c r="Q5289" s="8"/>
      <c r="R5289" s="9" t="s">
        <v>4829</v>
      </c>
    </row>
    <row r="5290" spans="1:18" x14ac:dyDescent="0.25">
      <c r="A5290" s="6" t="str">
        <f>HYPERLINK("proteomic_fractions_linear_files/Yang_linear_img/258547152.jpg", "258547152")</f>
        <v>258547152</v>
      </c>
      <c r="B5290" s="7"/>
      <c r="C5290" s="6" t="str">
        <f>HYPERLINK("http://www.ncbi.nlm.nih.gov/protein/258547152","Pdcd6ip")</f>
        <v>Pdcd6ip</v>
      </c>
      <c r="D5290" s="8"/>
      <c r="E5290" s="8">
        <v>96642</v>
      </c>
      <c r="F5290" s="8"/>
      <c r="G5290" s="15">
        <v>1.3270270942795563</v>
      </c>
      <c r="H5290" s="15">
        <v>1.3270270942795563</v>
      </c>
      <c r="I5290" s="15">
        <v>1.1319748847539326</v>
      </c>
      <c r="J5290" s="15">
        <v>1.1319748847539326</v>
      </c>
      <c r="K5290" s="15">
        <v>1.1319748847539326</v>
      </c>
      <c r="L5290" s="15">
        <v>1.1319748847539326</v>
      </c>
      <c r="M5290" s="15">
        <v>1.1319748847539326</v>
      </c>
      <c r="N5290" s="15">
        <v>1.1319748847539326</v>
      </c>
      <c r="O5290" s="15">
        <v>1.1319748847539326</v>
      </c>
      <c r="P5290" s="15">
        <v>1.1319748847539326</v>
      </c>
      <c r="Q5290" s="8"/>
      <c r="R5290" s="9" t="s">
        <v>4830</v>
      </c>
    </row>
    <row r="5291" spans="1:18" x14ac:dyDescent="0.25">
      <c r="A5291" s="6" t="str">
        <f>HYPERLINK("proteomic_fractions_linear_files/Yang_linear_img/258547154.jpg", "258547154")</f>
        <v>258547154</v>
      </c>
      <c r="B5291" s="7"/>
      <c r="C5291" s="6" t="str">
        <f>HYPERLINK("http://www.ncbi.nlm.nih.gov/protein/258547154","Pdcd6ip")</f>
        <v>Pdcd6ip</v>
      </c>
      <c r="D5291" s="8"/>
      <c r="E5291" s="8">
        <v>96181</v>
      </c>
      <c r="F5291" s="8"/>
      <c r="G5291" s="15">
        <v>1.3408502931783017</v>
      </c>
      <c r="H5291" s="15">
        <v>1.3408502931783017</v>
      </c>
      <c r="I5291" s="15">
        <v>1.1437662898034529</v>
      </c>
      <c r="J5291" s="15">
        <v>1.1437662898034529</v>
      </c>
      <c r="K5291" s="15">
        <v>1.1437662898034529</v>
      </c>
      <c r="L5291" s="15">
        <v>1.1437662898034529</v>
      </c>
      <c r="M5291" s="15">
        <v>1.1437662898034529</v>
      </c>
      <c r="N5291" s="15">
        <v>1.1437662898034529</v>
      </c>
      <c r="O5291" s="15">
        <v>1.1437662898034529</v>
      </c>
      <c r="P5291" s="15">
        <v>1.1437662898034529</v>
      </c>
      <c r="Q5291" s="8"/>
      <c r="R5291" s="9" t="s">
        <v>4831</v>
      </c>
    </row>
    <row r="5292" spans="1:18" x14ac:dyDescent="0.25">
      <c r="A5292" s="6" t="str">
        <f>HYPERLINK("proteomic_fractions_linear_files/Yang_linear_img/258547156.jpg", "258547156")</f>
        <v>258547156</v>
      </c>
      <c r="B5292" s="7"/>
      <c r="C5292" s="6" t="str">
        <f>HYPERLINK("http://www.ncbi.nlm.nih.gov/protein/258547156","Pdcd6ip")</f>
        <v>Pdcd6ip</v>
      </c>
      <c r="D5292" s="8"/>
      <c r="E5292" s="8">
        <v>95893</v>
      </c>
      <c r="F5292" s="8"/>
      <c r="G5292" s="15">
        <v>1.3408502931783017</v>
      </c>
      <c r="H5292" s="15">
        <v>1.3408502931783017</v>
      </c>
      <c r="I5292" s="15">
        <v>1.1437662898034529</v>
      </c>
      <c r="J5292" s="15">
        <v>1.1437662898034529</v>
      </c>
      <c r="K5292" s="15">
        <v>1.1437662898034529</v>
      </c>
      <c r="L5292" s="15">
        <v>1.1437662898034529</v>
      </c>
      <c r="M5292" s="15">
        <v>1.1437662898034529</v>
      </c>
      <c r="N5292" s="15">
        <v>1.1437662898034529</v>
      </c>
      <c r="O5292" s="15">
        <v>1.1437662898034529</v>
      </c>
      <c r="P5292" s="15">
        <v>1.1437662898034529</v>
      </c>
      <c r="Q5292" s="8"/>
      <c r="R5292" s="9" t="s">
        <v>4832</v>
      </c>
    </row>
    <row r="5293" spans="1:18" x14ac:dyDescent="0.25">
      <c r="A5293" s="6" t="str">
        <f>HYPERLINK("proteomic_fractions_linear_files/Yang_linear_img/165932326.jpg", "165932326")</f>
        <v>165932326</v>
      </c>
      <c r="B5293" s="7"/>
      <c r="C5293" s="6" t="str">
        <f>HYPERLINK("http://www.ncbi.nlm.nih.gov/protein/165932326","Pdcl")</f>
        <v>Pdcl</v>
      </c>
      <c r="D5293" s="8"/>
      <c r="E5293" s="8">
        <v>34276</v>
      </c>
      <c r="F5293" s="8"/>
      <c r="G5293" s="15" t="s">
        <v>10</v>
      </c>
      <c r="H5293" s="15" t="s">
        <v>10</v>
      </c>
      <c r="I5293" s="15" t="s">
        <v>10</v>
      </c>
      <c r="J5293" s="15" t="s">
        <v>10</v>
      </c>
      <c r="K5293" s="15" t="s">
        <v>10</v>
      </c>
      <c r="L5293" s="15" t="s">
        <v>10</v>
      </c>
      <c r="M5293" s="15">
        <v>1.098274306562488</v>
      </c>
      <c r="N5293" s="15">
        <v>1.098274306562488</v>
      </c>
      <c r="O5293" s="15" t="s">
        <v>10</v>
      </c>
      <c r="P5293" s="15" t="s">
        <v>10</v>
      </c>
      <c r="Q5293" s="8"/>
      <c r="R5293" s="9" t="s">
        <v>4833</v>
      </c>
    </row>
    <row r="5294" spans="1:18" x14ac:dyDescent="0.25">
      <c r="A5294" s="6" t="str">
        <f>HYPERLINK("proteomic_fractions_linear_files/Yang_linear_img/31560120.jpg", "31560120")</f>
        <v>31560120</v>
      </c>
      <c r="B5294" s="7"/>
      <c r="C5294" s="6" t="str">
        <f>HYPERLINK("http://www.ncbi.nlm.nih.gov/protein/31560120","Pdcl3")</f>
        <v>Pdcl3</v>
      </c>
      <c r="D5294" s="8"/>
      <c r="E5294" s="8">
        <v>27450</v>
      </c>
      <c r="F5294" s="8"/>
      <c r="G5294" s="15" t="s">
        <v>10</v>
      </c>
      <c r="H5294" s="15" t="s">
        <v>10</v>
      </c>
      <c r="I5294" s="15">
        <v>1.1882989946567994</v>
      </c>
      <c r="J5294" s="15">
        <v>1.1882989946567994</v>
      </c>
      <c r="K5294" s="15">
        <v>1.1882989946567994</v>
      </c>
      <c r="L5294" s="15">
        <v>1.1882989946567994</v>
      </c>
      <c r="M5294" s="15">
        <v>1.1882989946567994</v>
      </c>
      <c r="N5294" s="15">
        <v>1.1882989946567994</v>
      </c>
      <c r="O5294" s="15">
        <v>1.0340078258400762</v>
      </c>
      <c r="P5294" s="15">
        <v>1.0340078258400762</v>
      </c>
      <c r="Q5294" s="8"/>
      <c r="R5294" s="9" t="s">
        <v>4834</v>
      </c>
    </row>
    <row r="5295" spans="1:18" x14ac:dyDescent="0.25">
      <c r="A5295" s="6" t="str">
        <f>HYPERLINK("proteomic_fractions_linear_files/Yang_linear_img/157841170.jpg", "157841170")</f>
        <v>157841170</v>
      </c>
      <c r="B5295" s="7"/>
      <c r="C5295" s="6" t="str">
        <f>HYPERLINK("http://www.ncbi.nlm.nih.gov/protein/157841170","Pddc1")</f>
        <v>Pddc1</v>
      </c>
      <c r="D5295" s="8"/>
      <c r="E5295" s="8">
        <v>19701</v>
      </c>
      <c r="F5295" s="8"/>
      <c r="G5295" s="15" t="s">
        <v>10</v>
      </c>
      <c r="H5295" s="15" t="s">
        <v>10</v>
      </c>
      <c r="I5295" s="15">
        <v>1.0897871135339376</v>
      </c>
      <c r="J5295" s="15">
        <v>1.0897871135339376</v>
      </c>
      <c r="K5295" s="15">
        <v>1.0897871135339376</v>
      </c>
      <c r="L5295" s="15">
        <v>1.0897871135339376</v>
      </c>
      <c r="M5295" s="15">
        <v>1.0897871135339376</v>
      </c>
      <c r="N5295" s="15">
        <v>1.0897871135339376</v>
      </c>
      <c r="O5295" s="15">
        <v>1.0897871135339376</v>
      </c>
      <c r="P5295" s="15">
        <v>1.0897871135339376</v>
      </c>
      <c r="Q5295" s="8"/>
      <c r="R5295" s="9" t="s">
        <v>4835</v>
      </c>
    </row>
    <row r="5296" spans="1:18" x14ac:dyDescent="0.25">
      <c r="A5296" s="6" t="str">
        <f>HYPERLINK("proteomic_fractions_linear_files/Yang_linear_img/40538842.jpg", "40538842")</f>
        <v>40538842</v>
      </c>
      <c r="B5296" s="7"/>
      <c r="C5296" s="6" t="str">
        <f>HYPERLINK("http://www.ncbi.nlm.nih.gov/protein/40538842","Pde12")</f>
        <v>Pde12</v>
      </c>
      <c r="D5296" s="8"/>
      <c r="E5296" s="8">
        <v>65691</v>
      </c>
      <c r="F5296" s="8"/>
      <c r="G5296" s="15" t="s">
        <v>10</v>
      </c>
      <c r="H5296" s="15" t="s">
        <v>10</v>
      </c>
      <c r="I5296" s="15">
        <v>1.1126690945709432</v>
      </c>
      <c r="J5296" s="15">
        <v>1.1126690945709432</v>
      </c>
      <c r="K5296" s="15" t="s">
        <v>10</v>
      </c>
      <c r="L5296" s="15" t="s">
        <v>10</v>
      </c>
      <c r="M5296" s="15">
        <v>1.1126690945709432</v>
      </c>
      <c r="N5296" s="15">
        <v>1.1126690945709432</v>
      </c>
      <c r="O5296" s="15">
        <v>1.1126690945709432</v>
      </c>
      <c r="P5296" s="15">
        <v>1.1126690945709432</v>
      </c>
      <c r="Q5296" s="8"/>
      <c r="R5296" s="9" t="s">
        <v>4836</v>
      </c>
    </row>
    <row r="5297" spans="1:18" x14ac:dyDescent="0.25">
      <c r="A5297" s="6" t="str">
        <f>HYPERLINK("proteomic_fractions_linear_files/Yang_linear_img/42475542.jpg", "42475542")</f>
        <v>42475542</v>
      </c>
      <c r="B5297" s="7"/>
      <c r="C5297" s="6" t="str">
        <f>HYPERLINK("http://www.ncbi.nlm.nih.gov/protein/42475542","Pde4c")</f>
        <v>Pde4c</v>
      </c>
      <c r="D5297" s="8"/>
      <c r="E5297" s="8">
        <v>71975</v>
      </c>
      <c r="F5297" s="8"/>
      <c r="G5297" s="15" t="s">
        <v>10</v>
      </c>
      <c r="H5297" s="15" t="s">
        <v>10</v>
      </c>
      <c r="I5297" s="15" t="s">
        <v>10</v>
      </c>
      <c r="J5297" s="15" t="s">
        <v>10</v>
      </c>
      <c r="K5297" s="15" t="s">
        <v>10</v>
      </c>
      <c r="L5297" s="15" t="s">
        <v>10</v>
      </c>
      <c r="M5297" s="15">
        <v>1.1541480343492203</v>
      </c>
      <c r="N5297" s="15">
        <v>1.1541480343492203</v>
      </c>
      <c r="O5297" s="15">
        <v>1.1541480343492203</v>
      </c>
      <c r="P5297" s="15">
        <v>1.1541480343492203</v>
      </c>
      <c r="Q5297" s="8"/>
      <c r="R5297" s="9" t="s">
        <v>4837</v>
      </c>
    </row>
    <row r="5298" spans="1:18" x14ac:dyDescent="0.25">
      <c r="A5298" s="6" t="str">
        <f>HYPERLINK("proteomic_fractions_linear_files/Yang_linear_img/158749578.jpg", "158749578")</f>
        <v>158749578</v>
      </c>
      <c r="B5298" s="7"/>
      <c r="C5298" s="6" t="str">
        <f>HYPERLINK("http://www.ncbi.nlm.nih.gov/protein/158749578","Pde4dip")</f>
        <v>Pde4dip</v>
      </c>
      <c r="D5298" s="8"/>
      <c r="E5298" s="8">
        <v>275632</v>
      </c>
      <c r="F5298" s="8"/>
      <c r="G5298" s="15" t="s">
        <v>10</v>
      </c>
      <c r="H5298" s="15" t="s">
        <v>10</v>
      </c>
      <c r="I5298" s="15" t="s">
        <v>10</v>
      </c>
      <c r="J5298" s="15" t="s">
        <v>10</v>
      </c>
      <c r="K5298" s="15" t="s">
        <v>10</v>
      </c>
      <c r="L5298" s="15" t="s">
        <v>10</v>
      </c>
      <c r="M5298" s="15" t="s">
        <v>10</v>
      </c>
      <c r="N5298" s="15" t="s">
        <v>10</v>
      </c>
      <c r="O5298" s="15">
        <v>0.55598866353710807</v>
      </c>
      <c r="P5298" s="15">
        <v>0.55598866353710807</v>
      </c>
      <c r="Q5298" s="8"/>
      <c r="R5298" s="9" t="s">
        <v>4838</v>
      </c>
    </row>
    <row r="5299" spans="1:18" x14ac:dyDescent="0.25">
      <c r="A5299" s="6" t="str">
        <f>HYPERLINK("proteomic_fractions_linear_files/Yang_linear_img/158749580.jpg", "158749580")</f>
        <v>158749580</v>
      </c>
      <c r="B5299" s="7"/>
      <c r="C5299" s="6" t="str">
        <f>HYPERLINK("http://www.ncbi.nlm.nih.gov/protein/158749580","Pde4dip")</f>
        <v>Pde4dip</v>
      </c>
      <c r="D5299" s="8"/>
      <c r="E5299" s="8">
        <v>262219</v>
      </c>
      <c r="F5299" s="8"/>
      <c r="G5299" s="15" t="s">
        <v>10</v>
      </c>
      <c r="H5299" s="15" t="s">
        <v>10</v>
      </c>
      <c r="I5299" s="15" t="s">
        <v>10</v>
      </c>
      <c r="J5299" s="15" t="s">
        <v>10</v>
      </c>
      <c r="K5299" s="15" t="s">
        <v>10</v>
      </c>
      <c r="L5299" s="15" t="s">
        <v>10</v>
      </c>
      <c r="M5299" s="15" t="s">
        <v>10</v>
      </c>
      <c r="N5299" s="15" t="s">
        <v>10</v>
      </c>
      <c r="O5299" s="15">
        <v>0.58569798143603757</v>
      </c>
      <c r="P5299" s="15">
        <v>0.58569798143603757</v>
      </c>
      <c r="Q5299" s="8"/>
      <c r="R5299" s="9" t="s">
        <v>4839</v>
      </c>
    </row>
    <row r="5300" spans="1:18" x14ac:dyDescent="0.25">
      <c r="A5300" s="6" t="str">
        <f>HYPERLINK("proteomic_fractions_linear_files/Yang_linear_img/31542051.jpg", "31542051")</f>
        <v>31542051</v>
      </c>
      <c r="B5300" s="7"/>
      <c r="C5300" s="6" t="str">
        <f>HYPERLINK("http://www.ncbi.nlm.nih.gov/protein/31542051","Pde4dip")</f>
        <v>Pde4dip</v>
      </c>
      <c r="D5300" s="8"/>
      <c r="E5300" s="8">
        <v>126484</v>
      </c>
      <c r="F5300" s="8"/>
      <c r="G5300" s="15" t="s">
        <v>10</v>
      </c>
      <c r="H5300" s="15" t="s">
        <v>10</v>
      </c>
      <c r="I5300" s="15" t="s">
        <v>10</v>
      </c>
      <c r="J5300" s="15" t="s">
        <v>10</v>
      </c>
      <c r="K5300" s="15" t="s">
        <v>10</v>
      </c>
      <c r="L5300" s="15" t="s">
        <v>10</v>
      </c>
      <c r="M5300" s="15" t="s">
        <v>10</v>
      </c>
      <c r="N5300" s="15" t="s">
        <v>10</v>
      </c>
      <c r="O5300" s="15">
        <v>1.217879929652713</v>
      </c>
      <c r="P5300" s="15">
        <v>1.217879929652713</v>
      </c>
      <c r="Q5300" s="8"/>
      <c r="R5300" s="9" t="s">
        <v>4840</v>
      </c>
    </row>
    <row r="5301" spans="1:18" x14ac:dyDescent="0.25">
      <c r="A5301" s="6" t="str">
        <f>HYPERLINK("proteomic_fractions_linear_files/Yang_linear_img/6679245.jpg", "6679245")</f>
        <v>6679245</v>
      </c>
      <c r="B5301" s="7"/>
      <c r="C5301" s="6" t="str">
        <f>HYPERLINK("http://www.ncbi.nlm.nih.gov/protein/6679245","Pde6d")</f>
        <v>Pde6d</v>
      </c>
      <c r="D5301" s="8"/>
      <c r="E5301" s="8">
        <v>17217</v>
      </c>
      <c r="F5301" s="8"/>
      <c r="G5301" s="15" t="s">
        <v>10</v>
      </c>
      <c r="H5301" s="15" t="s">
        <v>10</v>
      </c>
      <c r="I5301" s="15">
        <v>0.89390225257731093</v>
      </c>
      <c r="J5301" s="15">
        <v>0.89390225257731093</v>
      </c>
      <c r="K5301" s="15">
        <v>0.93690834018716329</v>
      </c>
      <c r="L5301" s="15">
        <v>0.93690834018716329</v>
      </c>
      <c r="M5301" s="15">
        <v>0.93690834018716329</v>
      </c>
      <c r="N5301" s="15">
        <v>0.93690834018716329</v>
      </c>
      <c r="O5301" s="15">
        <v>0.85396904246296157</v>
      </c>
      <c r="P5301" s="15">
        <v>0.85396904246296157</v>
      </c>
      <c r="Q5301" s="8"/>
      <c r="R5301" s="9" t="s">
        <v>4841</v>
      </c>
    </row>
    <row r="5302" spans="1:18" x14ac:dyDescent="0.25">
      <c r="A5302" s="6" t="str">
        <f>HYPERLINK("proteomic_fractions_linear_files/Yang_linear_img/170295853.jpg", "170295853")</f>
        <v>170295853</v>
      </c>
      <c r="B5302" s="7"/>
      <c r="C5302" s="6" t="str">
        <f>HYPERLINK("http://www.ncbi.nlm.nih.gov/protein/170295853","Pde7a")</f>
        <v>Pde7a</v>
      </c>
      <c r="D5302" s="8"/>
      <c r="E5302" s="8">
        <v>50329</v>
      </c>
      <c r="F5302" s="8"/>
      <c r="G5302" s="15" t="s">
        <v>10</v>
      </c>
      <c r="H5302" s="15" t="s">
        <v>10</v>
      </c>
      <c r="I5302" s="15" t="s">
        <v>10</v>
      </c>
      <c r="J5302" s="15" t="s">
        <v>10</v>
      </c>
      <c r="K5302" s="15" t="s">
        <v>10</v>
      </c>
      <c r="L5302" s="15" t="s">
        <v>10</v>
      </c>
      <c r="M5302" s="15">
        <v>1.0624113926000216</v>
      </c>
      <c r="N5302" s="15">
        <v>1.0624113926000216</v>
      </c>
      <c r="O5302" s="15" t="s">
        <v>10</v>
      </c>
      <c r="P5302" s="15" t="s">
        <v>10</v>
      </c>
      <c r="Q5302" s="8"/>
      <c r="R5302" s="9" t="s">
        <v>4842</v>
      </c>
    </row>
    <row r="5303" spans="1:18" x14ac:dyDescent="0.25">
      <c r="A5303" s="6" t="str">
        <f>HYPERLINK("proteomic_fractions_linear_files/Yang_linear_img/170295857.jpg", "170295857")</f>
        <v>170295857</v>
      </c>
      <c r="B5303" s="7"/>
      <c r="C5303" s="6" t="str">
        <f>HYPERLINK("http://www.ncbi.nlm.nih.gov/protein/170295857","Pde7a")</f>
        <v>Pde7a</v>
      </c>
      <c r="D5303" s="8"/>
      <c r="E5303" s="8">
        <v>55158</v>
      </c>
      <c r="F5303" s="8"/>
      <c r="G5303" s="15" t="s">
        <v>10</v>
      </c>
      <c r="H5303" s="15" t="s">
        <v>10</v>
      </c>
      <c r="I5303" s="15" t="s">
        <v>10</v>
      </c>
      <c r="J5303" s="15" t="s">
        <v>10</v>
      </c>
      <c r="K5303" s="15" t="s">
        <v>10</v>
      </c>
      <c r="L5303" s="15" t="s">
        <v>10</v>
      </c>
      <c r="M5303" s="15">
        <v>0.96582853872729235</v>
      </c>
      <c r="N5303" s="15">
        <v>0.96582853872729235</v>
      </c>
      <c r="O5303" s="15" t="s">
        <v>10</v>
      </c>
      <c r="P5303" s="15" t="s">
        <v>10</v>
      </c>
      <c r="Q5303" s="8"/>
      <c r="R5303" s="9" t="s">
        <v>4843</v>
      </c>
    </row>
    <row r="5304" spans="1:18" x14ac:dyDescent="0.25">
      <c r="A5304" s="6" t="str">
        <f>HYPERLINK("proteomic_fractions_linear_files/Yang_linear_img/255003823.jpg", "255003823")</f>
        <v>255003823</v>
      </c>
      <c r="B5304" s="7"/>
      <c r="C5304" s="6" t="str">
        <f>HYPERLINK("http://www.ncbi.nlm.nih.gov/protein/255003823","Pdf")</f>
        <v>Pdf</v>
      </c>
      <c r="D5304" s="8"/>
      <c r="E5304" s="8">
        <v>25648</v>
      </c>
      <c r="F5304" s="8"/>
      <c r="G5304" s="15" t="s">
        <v>10</v>
      </c>
      <c r="H5304" s="15" t="s">
        <v>10</v>
      </c>
      <c r="I5304" s="15">
        <v>0.79220927640985661</v>
      </c>
      <c r="J5304" s="15">
        <v>0.79220927640985661</v>
      </c>
      <c r="K5304" s="15" t="s">
        <v>10</v>
      </c>
      <c r="L5304" s="15" t="s">
        <v>10</v>
      </c>
      <c r="M5304" s="15" t="s">
        <v>10</v>
      </c>
      <c r="N5304" s="15" t="s">
        <v>10</v>
      </c>
      <c r="O5304" s="15" t="s">
        <v>10</v>
      </c>
      <c r="P5304" s="15" t="s">
        <v>10</v>
      </c>
      <c r="Q5304" s="8"/>
      <c r="R5304" s="9" t="s">
        <v>4844</v>
      </c>
    </row>
    <row r="5305" spans="1:18" x14ac:dyDescent="0.25">
      <c r="A5305" s="6" t="str">
        <f>HYPERLINK("proteomic_fractions_linear_files/Yang_linear_img/134032050.jpg", "134032050")</f>
        <v>134032050</v>
      </c>
      <c r="B5305" s="7"/>
      <c r="C5305" s="6" t="str">
        <f>HYPERLINK("http://www.ncbi.nlm.nih.gov/protein/134032050","Pdgfra")</f>
        <v>Pdgfra</v>
      </c>
      <c r="D5305" s="8"/>
      <c r="E5305" s="8">
        <v>120197</v>
      </c>
      <c r="F5305" s="8"/>
      <c r="G5305" s="15" t="s">
        <v>10</v>
      </c>
      <c r="H5305" s="15" t="s">
        <v>10</v>
      </c>
      <c r="I5305" s="15">
        <v>0.31117772019270495</v>
      </c>
      <c r="J5305" s="15">
        <v>0.31117772019270495</v>
      </c>
      <c r="K5305" s="15">
        <v>0.33756098502685622</v>
      </c>
      <c r="L5305" s="15">
        <v>0.33756098502685622</v>
      </c>
      <c r="M5305" s="15">
        <v>0.31117772019270495</v>
      </c>
      <c r="N5305" s="15">
        <v>0.31117772019270495</v>
      </c>
      <c r="O5305" s="15">
        <v>0.28794480442062653</v>
      </c>
      <c r="P5305" s="15">
        <v>0.28794480442062653</v>
      </c>
      <c r="Q5305" s="8"/>
      <c r="R5305" s="9" t="s">
        <v>4845</v>
      </c>
    </row>
    <row r="5306" spans="1:18" x14ac:dyDescent="0.25">
      <c r="A5306" s="6" t="str">
        <f>HYPERLINK("proteomic_fractions_linear_files/Yang_linear_img/226342982.jpg", "226342982")</f>
        <v>226342982</v>
      </c>
      <c r="B5306" s="7"/>
      <c r="C5306" s="6" t="str">
        <f>HYPERLINK("http://www.ncbi.nlm.nih.gov/protein/226342982","Pdgfrb")</f>
        <v>Pdgfrb</v>
      </c>
      <c r="D5306" s="8"/>
      <c r="E5306" s="8">
        <v>119639</v>
      </c>
      <c r="F5306" s="8"/>
      <c r="G5306" s="15" t="s">
        <v>10</v>
      </c>
      <c r="H5306" s="15" t="s">
        <v>10</v>
      </c>
      <c r="I5306" s="15">
        <v>0.31117772019270495</v>
      </c>
      <c r="J5306" s="15">
        <v>0.31117772019270495</v>
      </c>
      <c r="K5306" s="15">
        <v>0.33756098502685622</v>
      </c>
      <c r="L5306" s="15">
        <v>0.33756098502685622</v>
      </c>
      <c r="M5306" s="15">
        <v>0.31117772019270495</v>
      </c>
      <c r="N5306" s="15">
        <v>0.31117772019270495</v>
      </c>
      <c r="O5306" s="15">
        <v>0.28794480442062653</v>
      </c>
      <c r="P5306" s="15">
        <v>0.28794480442062653</v>
      </c>
      <c r="Q5306" s="8"/>
      <c r="R5306" s="9" t="s">
        <v>4846</v>
      </c>
    </row>
    <row r="5307" spans="1:18" x14ac:dyDescent="0.25">
      <c r="A5307" s="6" t="str">
        <f>HYPERLINK("proteomic_fractions_linear_files/Yang_linear_img/226371752.jpg", "226371752")</f>
        <v>226371752</v>
      </c>
      <c r="B5307" s="7"/>
      <c r="C5307" s="6" t="str">
        <f>HYPERLINK("http://www.ncbi.nlm.nih.gov/protein/226371752","Pdgfrb")</f>
        <v>Pdgfrb</v>
      </c>
      <c r="D5307" s="8"/>
      <c r="E5307" s="8">
        <v>119552</v>
      </c>
      <c r="F5307" s="8"/>
      <c r="G5307" s="15" t="s">
        <v>10</v>
      </c>
      <c r="H5307" s="15" t="s">
        <v>10</v>
      </c>
      <c r="I5307" s="15">
        <v>0.31117772019270495</v>
      </c>
      <c r="J5307" s="15">
        <v>0.31117772019270495</v>
      </c>
      <c r="K5307" s="15">
        <v>0.33756098502685622</v>
      </c>
      <c r="L5307" s="15">
        <v>0.33756098502685622</v>
      </c>
      <c r="M5307" s="15">
        <v>0.31117772019270495</v>
      </c>
      <c r="N5307" s="15">
        <v>0.31117772019270495</v>
      </c>
      <c r="O5307" s="15">
        <v>0.28794480442062653</v>
      </c>
      <c r="P5307" s="15">
        <v>0.28794480442062653</v>
      </c>
      <c r="Q5307" s="8"/>
      <c r="R5307" s="9" t="s">
        <v>4847</v>
      </c>
    </row>
    <row r="5308" spans="1:18" x14ac:dyDescent="0.25">
      <c r="A5308" s="6" t="str">
        <f>HYPERLINK("proteomic_fractions_linear_files/Yang_linear_img/6679261.jpg", "6679261")</f>
        <v>6679261</v>
      </c>
      <c r="B5308" s="7"/>
      <c r="C5308" s="6" t="str">
        <f>HYPERLINK("http://www.ncbi.nlm.nih.gov/protein/6679261","Pdha1")</f>
        <v>Pdha1</v>
      </c>
      <c r="D5308" s="8"/>
      <c r="E5308" s="8">
        <v>40181</v>
      </c>
      <c r="F5308" s="8"/>
      <c r="G5308" s="15">
        <v>1.4693301896398463</v>
      </c>
      <c r="H5308" s="15">
        <v>1.4693301896398463</v>
      </c>
      <c r="I5308" s="15">
        <v>1.1031397311741367</v>
      </c>
      <c r="J5308" s="15">
        <v>1.1031397311741367</v>
      </c>
      <c r="K5308" s="15">
        <v>1.1031397311741367</v>
      </c>
      <c r="L5308" s="15">
        <v>1.1031397311741367</v>
      </c>
      <c r="M5308" s="15">
        <v>1.0126829550805687</v>
      </c>
      <c r="N5308" s="15">
        <v>1.0126829550805687</v>
      </c>
      <c r="O5308" s="15" t="s">
        <v>10</v>
      </c>
      <c r="P5308" s="15" t="s">
        <v>10</v>
      </c>
      <c r="Q5308" s="8"/>
      <c r="R5308" s="9" t="s">
        <v>4848</v>
      </c>
    </row>
    <row r="5309" spans="1:18" x14ac:dyDescent="0.25">
      <c r="A5309" s="6" t="str">
        <f>HYPERLINK("proteomic_fractions_linear_files/Yang_linear_img/6679263.jpg", "6679263")</f>
        <v>6679263</v>
      </c>
      <c r="B5309" s="7"/>
      <c r="C5309" s="6" t="str">
        <f>HYPERLINK("http://www.ncbi.nlm.nih.gov/protein/6679263","Pdha2")</f>
        <v>Pdha2</v>
      </c>
      <c r="D5309" s="8"/>
      <c r="E5309" s="8">
        <v>40131</v>
      </c>
      <c r="F5309" s="8"/>
      <c r="G5309" s="15">
        <v>149.82750000000001</v>
      </c>
      <c r="H5309" s="15">
        <v>149.82750000000001</v>
      </c>
      <c r="I5309" s="15">
        <v>1.1031397311741367</v>
      </c>
      <c r="J5309" s="15">
        <v>1.1031397311741367</v>
      </c>
      <c r="K5309" s="15" t="s">
        <v>10</v>
      </c>
      <c r="L5309" s="15" t="s">
        <v>10</v>
      </c>
      <c r="M5309" s="15" t="s">
        <v>10</v>
      </c>
      <c r="N5309" s="15" t="s">
        <v>10</v>
      </c>
      <c r="O5309" s="15" t="s">
        <v>10</v>
      </c>
      <c r="P5309" s="15" t="s">
        <v>10</v>
      </c>
      <c r="Q5309" s="8"/>
      <c r="R5309" s="9" t="s">
        <v>4849</v>
      </c>
    </row>
    <row r="5310" spans="1:18" x14ac:dyDescent="0.25">
      <c r="A5310" s="6" t="str">
        <f>HYPERLINK("proteomic_fractions_linear_files/Yang_linear_img/18152793.jpg", "18152793")</f>
        <v>18152793</v>
      </c>
      <c r="B5310" s="7"/>
      <c r="C5310" s="6" t="str">
        <f>HYPERLINK("http://www.ncbi.nlm.nih.gov/protein/18152793","Pdhb")</f>
        <v>Pdhb</v>
      </c>
      <c r="D5310" s="8"/>
      <c r="E5310" s="8">
        <v>35768</v>
      </c>
      <c r="F5310" s="8"/>
      <c r="G5310" s="15">
        <v>1.3413882106782014</v>
      </c>
      <c r="H5310" s="15">
        <v>1.3413882106782014</v>
      </c>
      <c r="I5310" s="15">
        <v>0.95981601473542177</v>
      </c>
      <c r="J5310" s="15">
        <v>0.95981601473542177</v>
      </c>
      <c r="K5310" s="15">
        <v>0.95981601473542177</v>
      </c>
      <c r="L5310" s="15">
        <v>0.95981601473542177</v>
      </c>
      <c r="M5310" s="15">
        <v>0.89122424599259964</v>
      </c>
      <c r="N5310" s="15">
        <v>0.89122424599259964</v>
      </c>
      <c r="O5310" s="15">
        <v>0.83015019143647584</v>
      </c>
      <c r="P5310" s="15">
        <v>0.83015019143647584</v>
      </c>
      <c r="Q5310" s="8"/>
      <c r="R5310" s="9" t="s">
        <v>4850</v>
      </c>
    </row>
    <row r="5311" spans="1:18" x14ac:dyDescent="0.25">
      <c r="A5311" s="6" t="str">
        <f>HYPERLINK("proteomic_fractions_linear_files/Yang_linear_img/28201978.jpg", "28201978")</f>
        <v>28201978</v>
      </c>
      <c r="B5311" s="7"/>
      <c r="C5311" s="6" t="str">
        <f>HYPERLINK("http://www.ncbi.nlm.nih.gov/protein/28201978","Pdhx")</f>
        <v>Pdhx</v>
      </c>
      <c r="D5311" s="8"/>
      <c r="E5311" s="8">
        <v>47948</v>
      </c>
      <c r="F5311" s="8"/>
      <c r="G5311" s="15">
        <v>1.3636096527196735</v>
      </c>
      <c r="H5311" s="15">
        <v>1.3636096527196735</v>
      </c>
      <c r="I5311" s="15">
        <v>1.1066785339583558</v>
      </c>
      <c r="J5311" s="15">
        <v>1.1066785339583558</v>
      </c>
      <c r="K5311" s="15" t="s">
        <v>10</v>
      </c>
      <c r="L5311" s="15" t="s">
        <v>10</v>
      </c>
      <c r="M5311" s="15" t="s">
        <v>10</v>
      </c>
      <c r="N5311" s="15" t="s">
        <v>10</v>
      </c>
      <c r="O5311" s="15" t="s">
        <v>10</v>
      </c>
      <c r="P5311" s="15" t="s">
        <v>10</v>
      </c>
      <c r="Q5311" s="8"/>
      <c r="R5311" s="9" t="s">
        <v>4851</v>
      </c>
    </row>
    <row r="5312" spans="1:18" x14ac:dyDescent="0.25">
      <c r="A5312" s="6" t="str">
        <f>HYPERLINK("proteomic_fractions_linear_files/Yang_linear_img/112293264.jpg", "112293264")</f>
        <v>112293264</v>
      </c>
      <c r="B5312" s="7"/>
      <c r="C5312" s="6" t="str">
        <f>HYPERLINK("http://www.ncbi.nlm.nih.gov/protein/112293264","Pdia3")</f>
        <v>Pdia3</v>
      </c>
      <c r="D5312" s="8"/>
      <c r="E5312" s="8">
        <v>54268</v>
      </c>
      <c r="F5312" s="8"/>
      <c r="G5312" s="15">
        <v>1.359928893364486</v>
      </c>
      <c r="H5312" s="15">
        <v>1.359928893364486</v>
      </c>
      <c r="I5312" s="15">
        <v>1.0883927330665528</v>
      </c>
      <c r="J5312" s="15">
        <v>1.0883927330665528</v>
      </c>
      <c r="K5312" s="15">
        <v>1.0883927330665528</v>
      </c>
      <c r="L5312" s="15">
        <v>1.0883927330665528</v>
      </c>
      <c r="M5312" s="15">
        <v>1.0883927330665528</v>
      </c>
      <c r="N5312" s="15">
        <v>1.0883927330665528</v>
      </c>
      <c r="O5312" s="15">
        <v>0.98371425240742738</v>
      </c>
      <c r="P5312" s="15">
        <v>0.98371425240742738</v>
      </c>
      <c r="Q5312" s="8"/>
      <c r="R5312" s="9" t="s">
        <v>4852</v>
      </c>
    </row>
    <row r="5313" spans="1:18" x14ac:dyDescent="0.25">
      <c r="A5313" s="6" t="str">
        <f>HYPERLINK("proteomic_fractions_linear_files/Yang_linear_img/86198316.jpg", "86198316")</f>
        <v>86198316</v>
      </c>
      <c r="B5313" s="7"/>
      <c r="C5313" s="6" t="str">
        <f>HYPERLINK("http://www.ncbi.nlm.nih.gov/protein/86198316","Pdia4")</f>
        <v>Pdia4</v>
      </c>
      <c r="D5313" s="8"/>
      <c r="E5313" s="8">
        <v>70009</v>
      </c>
      <c r="F5313" s="8"/>
      <c r="G5313" s="15">
        <v>1.3566854454654931</v>
      </c>
      <c r="H5313" s="15">
        <v>1.3566854454654931</v>
      </c>
      <c r="I5313" s="15">
        <v>1.0490880034526036</v>
      </c>
      <c r="J5313" s="15">
        <v>1.0490880034526036</v>
      </c>
      <c r="K5313" s="15">
        <v>1.1871236924734836</v>
      </c>
      <c r="L5313" s="15">
        <v>1.1871236924734836</v>
      </c>
      <c r="M5313" s="15" t="s">
        <v>10</v>
      </c>
      <c r="N5313" s="15" t="s">
        <v>10</v>
      </c>
      <c r="O5313" s="15">
        <v>1.0490880034526036</v>
      </c>
      <c r="P5313" s="15">
        <v>1.0490880034526036</v>
      </c>
      <c r="Q5313" s="8"/>
      <c r="R5313" s="9" t="s">
        <v>4853</v>
      </c>
    </row>
    <row r="5314" spans="1:18" x14ac:dyDescent="0.25">
      <c r="A5314" s="6" t="str">
        <f>HYPERLINK("proteomic_fractions_linear_files/Yang_linear_img/30794140.jpg", "30794140")</f>
        <v>30794140</v>
      </c>
      <c r="B5314" s="7"/>
      <c r="C5314" s="6" t="str">
        <f>HYPERLINK("http://www.ncbi.nlm.nih.gov/protein/30794140","Pdia5")</f>
        <v>Pdia5</v>
      </c>
      <c r="D5314" s="8"/>
      <c r="E5314" s="8">
        <v>57031</v>
      </c>
      <c r="F5314" s="8"/>
      <c r="G5314" s="15" t="s">
        <v>10</v>
      </c>
      <c r="H5314" s="15" t="s">
        <v>10</v>
      </c>
      <c r="I5314" s="15">
        <v>1.0311089050104185</v>
      </c>
      <c r="J5314" s="15">
        <v>1.0311089050104185</v>
      </c>
      <c r="K5314" s="15">
        <v>1.1483028654481462</v>
      </c>
      <c r="L5314" s="15">
        <v>1.1483028654481462</v>
      </c>
      <c r="M5314" s="15" t="s">
        <v>10</v>
      </c>
      <c r="N5314" s="15" t="s">
        <v>10</v>
      </c>
      <c r="O5314" s="15" t="s">
        <v>10</v>
      </c>
      <c r="P5314" s="15" t="s">
        <v>10</v>
      </c>
      <c r="Q5314" s="8"/>
      <c r="R5314" s="9" t="s">
        <v>4854</v>
      </c>
    </row>
    <row r="5315" spans="1:18" x14ac:dyDescent="0.25">
      <c r="A5315" s="6" t="str">
        <f>HYPERLINK("proteomic_fractions_linear_files/Yang_linear_img/377833208.jpg", "377833208")</f>
        <v>377833208</v>
      </c>
      <c r="B5315" s="7"/>
      <c r="C5315" s="6" t="str">
        <f>HYPERLINK("http://www.ncbi.nlm.nih.gov/protein/377833208","Pdia6")</f>
        <v>Pdia6</v>
      </c>
      <c r="D5315" s="8"/>
      <c r="E5315" s="8">
        <v>42727</v>
      </c>
      <c r="F5315" s="8"/>
      <c r="G5315" s="15">
        <v>1.3668187810603221</v>
      </c>
      <c r="H5315" s="15">
        <v>1.3668187810603221</v>
      </c>
      <c r="I5315" s="15">
        <v>1.123022688009657</v>
      </c>
      <c r="J5315" s="15">
        <v>1.123022688009657</v>
      </c>
      <c r="K5315" s="15">
        <v>1.2353620844186297</v>
      </c>
      <c r="L5315" s="15">
        <v>1.2353620844186297</v>
      </c>
      <c r="M5315" s="15">
        <v>1.123022688009657</v>
      </c>
      <c r="N5315" s="15">
        <v>1.123022688009657</v>
      </c>
      <c r="O5315" s="15">
        <v>1.0261764941154761</v>
      </c>
      <c r="P5315" s="15">
        <v>1.0261764941154761</v>
      </c>
      <c r="Q5315" s="8"/>
      <c r="R5315" s="9" t="s">
        <v>8319</v>
      </c>
    </row>
    <row r="5316" spans="1:18" x14ac:dyDescent="0.25">
      <c r="A5316" s="6" t="str">
        <f>HYPERLINK("proteomic_fractions_linear_files/Yang_linear_img/58037267.jpg", "58037267")</f>
        <v>58037267</v>
      </c>
      <c r="B5316" s="7"/>
      <c r="C5316" s="6" t="str">
        <f>HYPERLINK("http://www.ncbi.nlm.nih.gov/protein/58037267","Pdia6")</f>
        <v>Pdia6</v>
      </c>
      <c r="D5316" s="8"/>
      <c r="E5316" s="8">
        <v>46166</v>
      </c>
      <c r="F5316" s="8"/>
      <c r="G5316" s="15">
        <v>1.2776784257737794</v>
      </c>
      <c r="H5316" s="15">
        <v>1.2776784257737794</v>
      </c>
      <c r="I5316" s="15">
        <v>1.0497820779220708</v>
      </c>
      <c r="J5316" s="15">
        <v>1.0497820779220708</v>
      </c>
      <c r="K5316" s="15">
        <v>1.1547949919565452</v>
      </c>
      <c r="L5316" s="15">
        <v>1.1547949919565452</v>
      </c>
      <c r="M5316" s="15">
        <v>1.0497820779220708</v>
      </c>
      <c r="N5316" s="15">
        <v>1.0497820779220708</v>
      </c>
      <c r="O5316" s="15">
        <v>0.95925194015142323</v>
      </c>
      <c r="P5316" s="15">
        <v>0.95925194015142323</v>
      </c>
      <c r="Q5316" s="8"/>
      <c r="R5316" s="9" t="s">
        <v>4855</v>
      </c>
    </row>
    <row r="5317" spans="1:18" x14ac:dyDescent="0.25">
      <c r="A5317" s="6" t="str">
        <f>HYPERLINK("proteomic_fractions_linear_files/Yang_linear_img/110625975.jpg", "110625975")</f>
        <v>110625975</v>
      </c>
      <c r="B5317" s="7"/>
      <c r="C5317" s="6" t="str">
        <f>HYPERLINK("http://www.ncbi.nlm.nih.gov/protein/110625975","Pdk1")</f>
        <v>Pdk1</v>
      </c>
      <c r="D5317" s="8"/>
      <c r="E5317" s="8">
        <v>46229</v>
      </c>
      <c r="F5317" s="8"/>
      <c r="G5317" s="15">
        <v>1.2776784257737794</v>
      </c>
      <c r="H5317" s="15">
        <v>0.88059387398310318</v>
      </c>
      <c r="I5317" s="15">
        <v>0.95925194015142323</v>
      </c>
      <c r="J5317" s="15">
        <v>0.95925194015142323</v>
      </c>
      <c r="K5317" s="15">
        <v>0.95925194015142323</v>
      </c>
      <c r="L5317" s="15">
        <v>0.95925194015142323</v>
      </c>
      <c r="M5317" s="15" t="s">
        <v>10</v>
      </c>
      <c r="N5317" s="15" t="s">
        <v>10</v>
      </c>
      <c r="O5317" s="15" t="s">
        <v>10</v>
      </c>
      <c r="P5317" s="15" t="s">
        <v>10</v>
      </c>
      <c r="Q5317" s="8"/>
      <c r="R5317" s="9" t="s">
        <v>4856</v>
      </c>
    </row>
    <row r="5318" spans="1:18" x14ac:dyDescent="0.25">
      <c r="A5318" s="6" t="str">
        <f>HYPERLINK("proteomic_fractions_linear_files/Yang_linear_img/226958643.jpg", "226958643")</f>
        <v>226958643</v>
      </c>
      <c r="B5318" s="7"/>
      <c r="C5318" s="6" t="str">
        <f>HYPERLINK("http://www.ncbi.nlm.nih.gov/protein/226958643","Pdk2")</f>
        <v>Pdk2</v>
      </c>
      <c r="D5318" s="8"/>
      <c r="E5318" s="8">
        <v>45910</v>
      </c>
      <c r="F5318" s="8"/>
      <c r="G5318" s="15" t="s">
        <v>10</v>
      </c>
      <c r="H5318" s="15" t="s">
        <v>10</v>
      </c>
      <c r="I5318" s="15">
        <v>0.95925194015142323</v>
      </c>
      <c r="J5318" s="15">
        <v>0.95925194015142323</v>
      </c>
      <c r="K5318" s="15" t="s">
        <v>10</v>
      </c>
      <c r="L5318" s="15" t="s">
        <v>10</v>
      </c>
      <c r="M5318" s="15" t="s">
        <v>10</v>
      </c>
      <c r="N5318" s="15" t="s">
        <v>10</v>
      </c>
      <c r="O5318" s="15" t="s">
        <v>10</v>
      </c>
      <c r="P5318" s="15" t="s">
        <v>10</v>
      </c>
      <c r="Q5318" s="8"/>
      <c r="R5318" s="9" t="s">
        <v>4857</v>
      </c>
    </row>
    <row r="5319" spans="1:18" x14ac:dyDescent="0.25">
      <c r="A5319" s="6" t="str">
        <f>HYPERLINK("proteomic_fractions_linear_files/Yang_linear_img/21704122.jpg", "21704122")</f>
        <v>21704122</v>
      </c>
      <c r="B5319" s="7"/>
      <c r="C5319" s="6" t="str">
        <f>HYPERLINK("http://www.ncbi.nlm.nih.gov/protein/21704122","Pdk3")</f>
        <v>Pdk3</v>
      </c>
      <c r="D5319" s="8"/>
      <c r="E5319" s="8">
        <v>47792</v>
      </c>
      <c r="F5319" s="8"/>
      <c r="G5319" s="15">
        <v>1.2244418246998718</v>
      </c>
      <c r="H5319" s="15">
        <v>1.2244418246998718</v>
      </c>
      <c r="I5319" s="15">
        <v>0.91928310931178059</v>
      </c>
      <c r="J5319" s="15">
        <v>0.91928310931178059</v>
      </c>
      <c r="K5319" s="15" t="s">
        <v>10</v>
      </c>
      <c r="L5319" s="15" t="s">
        <v>10</v>
      </c>
      <c r="M5319" s="15" t="s">
        <v>10</v>
      </c>
      <c r="N5319" s="15" t="s">
        <v>10</v>
      </c>
      <c r="O5319" s="15" t="s">
        <v>10</v>
      </c>
      <c r="P5319" s="15" t="s">
        <v>10</v>
      </c>
      <c r="Q5319" s="8"/>
      <c r="R5319" s="9" t="s">
        <v>4858</v>
      </c>
    </row>
    <row r="5320" spans="1:18" x14ac:dyDescent="0.25">
      <c r="A5320" s="6" t="str">
        <f>HYPERLINK("proteomic_fractions_linear_files/Yang_linear_img/158635992.jpg", "158635992")</f>
        <v>158635992</v>
      </c>
      <c r="B5320" s="7"/>
      <c r="C5320" s="6" t="str">
        <f>HYPERLINK("http://www.ncbi.nlm.nih.gov/protein/158635992","Pdlim1")</f>
        <v>Pdlim1</v>
      </c>
      <c r="D5320" s="8"/>
      <c r="E5320" s="8">
        <v>35643</v>
      </c>
      <c r="F5320" s="8"/>
      <c r="G5320" s="15" t="s">
        <v>10</v>
      </c>
      <c r="H5320" s="15" t="s">
        <v>10</v>
      </c>
      <c r="I5320" s="15">
        <v>0.33980170256475994</v>
      </c>
      <c r="J5320" s="15">
        <v>0.33980170256475994</v>
      </c>
      <c r="K5320" s="15">
        <v>0.95981601473542177</v>
      </c>
      <c r="L5320" s="15">
        <v>0.95981601473542177</v>
      </c>
      <c r="M5320" s="15" t="s">
        <v>10</v>
      </c>
      <c r="N5320" s="15" t="s">
        <v>10</v>
      </c>
      <c r="O5320" s="15">
        <v>0.83015019143647584</v>
      </c>
      <c r="P5320" s="15">
        <v>0.83015019143647584</v>
      </c>
      <c r="Q5320" s="8"/>
      <c r="R5320" s="9" t="s">
        <v>4859</v>
      </c>
    </row>
    <row r="5321" spans="1:18" x14ac:dyDescent="0.25">
      <c r="A5321" s="6" t="str">
        <f>HYPERLINK("proteomic_fractions_linear_files/Yang_linear_img/22122423.jpg", "22122423")</f>
        <v>22122423</v>
      </c>
      <c r="B5321" s="7"/>
      <c r="C5321" s="6" t="str">
        <f>HYPERLINK("http://www.ncbi.nlm.nih.gov/protein/22122423","Pdlim2")</f>
        <v>Pdlim2</v>
      </c>
      <c r="D5321" s="8"/>
      <c r="E5321" s="8">
        <v>37572</v>
      </c>
      <c r="F5321" s="8"/>
      <c r="G5321" s="15" t="s">
        <v>10</v>
      </c>
      <c r="H5321" s="15" t="s">
        <v>10</v>
      </c>
      <c r="I5321" s="15" t="s">
        <v>10</v>
      </c>
      <c r="J5321" s="15" t="s">
        <v>10</v>
      </c>
      <c r="K5321" s="15" t="s">
        <v>10</v>
      </c>
      <c r="L5321" s="15" t="s">
        <v>10</v>
      </c>
      <c r="M5321" s="15" t="s">
        <v>10</v>
      </c>
      <c r="N5321" s="15" t="s">
        <v>10</v>
      </c>
      <c r="O5321" s="15">
        <v>0.90929938238092589</v>
      </c>
      <c r="P5321" s="15">
        <v>0.90929938238092589</v>
      </c>
      <c r="Q5321" s="8"/>
      <c r="R5321" s="9" t="s">
        <v>4860</v>
      </c>
    </row>
    <row r="5322" spans="1:18" x14ac:dyDescent="0.25">
      <c r="A5322" s="6" t="str">
        <f>HYPERLINK("proteomic_fractions_linear_files/Yang_linear_img/170650625.jpg", "170650625")</f>
        <v>170650625</v>
      </c>
      <c r="B5322" s="7"/>
      <c r="C5322" s="6" t="str">
        <f>HYPERLINK("http://www.ncbi.nlm.nih.gov/protein/170650625","Pdlim5")</f>
        <v>Pdlim5</v>
      </c>
      <c r="D5322" s="8"/>
      <c r="E5322" s="8">
        <v>26225</v>
      </c>
      <c r="F5322" s="8"/>
      <c r="G5322" s="15" t="s">
        <v>10</v>
      </c>
      <c r="H5322" s="15" t="s">
        <v>10</v>
      </c>
      <c r="I5322" s="15">
        <v>2.8244677016031634</v>
      </c>
      <c r="J5322" s="15">
        <v>2.8244677016031634</v>
      </c>
      <c r="K5322" s="15">
        <v>3.1961022489670716</v>
      </c>
      <c r="L5322" s="15">
        <v>3.1961022489670716</v>
      </c>
      <c r="M5322" s="15" t="s">
        <v>10</v>
      </c>
      <c r="N5322" s="15" t="s">
        <v>10</v>
      </c>
      <c r="O5322" s="15">
        <v>2.8244677016031634</v>
      </c>
      <c r="P5322" s="15">
        <v>2.8244677016031634</v>
      </c>
      <c r="Q5322" s="8"/>
      <c r="R5322" s="9" t="s">
        <v>4861</v>
      </c>
    </row>
    <row r="5323" spans="1:18" x14ac:dyDescent="0.25">
      <c r="A5323" s="6" t="str">
        <f>HYPERLINK("proteomic_fractions_linear_files/Yang_linear_img/170650627.jpg", "170650627")</f>
        <v>170650627</v>
      </c>
      <c r="B5323" s="7"/>
      <c r="C5323" s="6" t="str">
        <f>HYPERLINK("http://www.ncbi.nlm.nih.gov/protein/170650627","Pdlim5")</f>
        <v>Pdlim5</v>
      </c>
      <c r="D5323" s="8"/>
      <c r="E5323" s="8">
        <v>35939</v>
      </c>
      <c r="F5323" s="8"/>
      <c r="G5323" s="15" t="s">
        <v>10</v>
      </c>
      <c r="H5323" s="15" t="s">
        <v>10</v>
      </c>
      <c r="I5323" s="15">
        <v>2.0398933400467292</v>
      </c>
      <c r="J5323" s="15">
        <v>2.0398933400467292</v>
      </c>
      <c r="K5323" s="15">
        <v>2.3082960686984406</v>
      </c>
      <c r="L5323" s="15">
        <v>2.3082960686984406</v>
      </c>
      <c r="M5323" s="15" t="s">
        <v>10</v>
      </c>
      <c r="N5323" s="15" t="s">
        <v>10</v>
      </c>
      <c r="O5323" s="15">
        <v>2.0398933400467292</v>
      </c>
      <c r="P5323" s="15">
        <v>2.0398933400467292</v>
      </c>
      <c r="Q5323" s="8"/>
      <c r="R5323" s="9" t="s">
        <v>4862</v>
      </c>
    </row>
    <row r="5324" spans="1:18" x14ac:dyDescent="0.25">
      <c r="A5324" s="6" t="str">
        <f>HYPERLINK("proteomic_fractions_linear_files/Yang_linear_img/300069034.jpg", "300069034")</f>
        <v>300069034</v>
      </c>
      <c r="B5324" s="7"/>
      <c r="C5324" s="6" t="str">
        <f>HYPERLINK("http://www.ncbi.nlm.nih.gov/protein/300069034","Pdlim5")</f>
        <v>Pdlim5</v>
      </c>
      <c r="D5324" s="8"/>
      <c r="E5324" s="8">
        <v>23662</v>
      </c>
      <c r="F5324" s="8"/>
      <c r="G5324" s="15" t="s">
        <v>10</v>
      </c>
      <c r="H5324" s="15" t="s">
        <v>10</v>
      </c>
      <c r="I5324" s="15">
        <v>3.0598400100700935</v>
      </c>
      <c r="J5324" s="15">
        <v>3.0598400100700935</v>
      </c>
      <c r="K5324" s="15">
        <v>3.4624441030476607</v>
      </c>
      <c r="L5324" s="15">
        <v>3.4624441030476607</v>
      </c>
      <c r="M5324" s="15" t="s">
        <v>10</v>
      </c>
      <c r="N5324" s="15" t="s">
        <v>10</v>
      </c>
      <c r="O5324" s="15">
        <v>3.0598400100700935</v>
      </c>
      <c r="P5324" s="15">
        <v>3.0598400100700935</v>
      </c>
      <c r="Q5324" s="8"/>
      <c r="R5324" s="9" t="s">
        <v>4863</v>
      </c>
    </row>
    <row r="5325" spans="1:18" x14ac:dyDescent="0.25">
      <c r="A5325" s="6" t="str">
        <f>HYPERLINK("proteomic_fractions_linear_files/Yang_linear_img/300069043.jpg", "300069043")</f>
        <v>300069043</v>
      </c>
      <c r="B5325" s="7"/>
      <c r="C5325" s="6" t="str">
        <f>HYPERLINK("http://www.ncbi.nlm.nih.gov/protein/300069043","Pdlim5")</f>
        <v>Pdlim5</v>
      </c>
      <c r="D5325" s="8"/>
      <c r="E5325" s="8">
        <v>25756</v>
      </c>
      <c r="F5325" s="8"/>
      <c r="G5325" s="15" t="s">
        <v>10</v>
      </c>
      <c r="H5325" s="15" t="s">
        <v>10</v>
      </c>
      <c r="I5325" s="15">
        <v>2.8244677016031634</v>
      </c>
      <c r="J5325" s="15">
        <v>2.8244677016031634</v>
      </c>
      <c r="K5325" s="15">
        <v>3.1961022489670716</v>
      </c>
      <c r="L5325" s="15">
        <v>3.1961022489670716</v>
      </c>
      <c r="M5325" s="15" t="s">
        <v>10</v>
      </c>
      <c r="N5325" s="15" t="s">
        <v>10</v>
      </c>
      <c r="O5325" s="15">
        <v>2.8244677016031634</v>
      </c>
      <c r="P5325" s="15">
        <v>2.8244677016031634</v>
      </c>
      <c r="Q5325" s="8"/>
      <c r="R5325" s="9" t="s">
        <v>4864</v>
      </c>
    </row>
    <row r="5326" spans="1:18" x14ac:dyDescent="0.25">
      <c r="A5326" s="6" t="str">
        <f>HYPERLINK("proteomic_fractions_linear_files/Yang_linear_img/170650623.jpg", "170650623")</f>
        <v>170650623</v>
      </c>
      <c r="B5326" s="7"/>
      <c r="C5326" s="6" t="str">
        <f>HYPERLINK("http://www.ncbi.nlm.nih.gov/protein/170650623","Pdlim5")</f>
        <v>Pdlim5</v>
      </c>
      <c r="D5326" s="8"/>
      <c r="E5326" s="8">
        <v>63168</v>
      </c>
      <c r="F5326" s="8"/>
      <c r="G5326" s="15">
        <v>1.5074282727394366</v>
      </c>
      <c r="H5326" s="15">
        <v>1.5074282727394366</v>
      </c>
      <c r="I5326" s="15">
        <v>1.1656533371695594</v>
      </c>
      <c r="J5326" s="15">
        <v>1.1656533371695594</v>
      </c>
      <c r="K5326" s="15">
        <v>1.3190263249705374</v>
      </c>
      <c r="L5326" s="15">
        <v>1.3190263249705374</v>
      </c>
      <c r="M5326" s="15" t="s">
        <v>10</v>
      </c>
      <c r="N5326" s="15" t="s">
        <v>10</v>
      </c>
      <c r="O5326" s="15">
        <v>0.84318364492065201</v>
      </c>
      <c r="P5326" s="15">
        <v>0.84318364492065201</v>
      </c>
      <c r="Q5326" s="8"/>
      <c r="R5326" s="9" t="s">
        <v>4865</v>
      </c>
    </row>
    <row r="5327" spans="1:18" x14ac:dyDescent="0.25">
      <c r="A5327" s="6" t="str">
        <f>HYPERLINK("proteomic_fractions_linear_files/Yang_linear_img/300069024.jpg", "300069024")</f>
        <v>300069024</v>
      </c>
      <c r="B5327" s="7"/>
      <c r="C5327" s="6" t="str">
        <f>HYPERLINK("http://www.ncbi.nlm.nih.gov/protein/300069024","Pdlim5")</f>
        <v>Pdlim5</v>
      </c>
      <c r="D5327" s="8"/>
      <c r="E5327" s="8">
        <v>65966</v>
      </c>
      <c r="F5327" s="8"/>
      <c r="G5327" s="15">
        <v>1.438908805796735</v>
      </c>
      <c r="H5327" s="15">
        <v>1.438908805796735</v>
      </c>
      <c r="I5327" s="15">
        <v>1.1126690945709432</v>
      </c>
      <c r="J5327" s="15">
        <v>1.1126690945709432</v>
      </c>
      <c r="K5327" s="15">
        <v>1.2590705829264222</v>
      </c>
      <c r="L5327" s="15">
        <v>1.2590705829264222</v>
      </c>
      <c r="M5327" s="15" t="s">
        <v>10</v>
      </c>
      <c r="N5327" s="15" t="s">
        <v>10</v>
      </c>
      <c r="O5327" s="15">
        <v>0.80485711560607698</v>
      </c>
      <c r="P5327" s="15">
        <v>0.80485711560607698</v>
      </c>
      <c r="Q5327" s="8"/>
      <c r="R5327" s="9" t="s">
        <v>4866</v>
      </c>
    </row>
    <row r="5328" spans="1:18" x14ac:dyDescent="0.25">
      <c r="A5328" s="6" t="str">
        <f>HYPERLINK("proteomic_fractions_linear_files/Yang_linear_img/300069036.jpg", "300069036")</f>
        <v>300069036</v>
      </c>
      <c r="B5328" s="7"/>
      <c r="C5328" s="6" t="str">
        <f>HYPERLINK("http://www.ncbi.nlm.nih.gov/protein/300069036","Pdlim5")</f>
        <v>Pdlim5</v>
      </c>
      <c r="D5328" s="8"/>
      <c r="E5328" s="8">
        <v>52266</v>
      </c>
      <c r="F5328" s="8"/>
      <c r="G5328" s="15">
        <v>1.8263073304343176</v>
      </c>
      <c r="H5328" s="15">
        <v>1.8263073304343176</v>
      </c>
      <c r="I5328" s="15">
        <v>1.4122338508015817</v>
      </c>
      <c r="J5328" s="15">
        <v>1.4122338508015817</v>
      </c>
      <c r="K5328" s="15">
        <v>1.5980511244835358</v>
      </c>
      <c r="L5328" s="15">
        <v>1.5980511244835358</v>
      </c>
      <c r="M5328" s="15" t="s">
        <v>10</v>
      </c>
      <c r="N5328" s="15" t="s">
        <v>10</v>
      </c>
      <c r="O5328" s="15">
        <v>1.0215494159615592</v>
      </c>
      <c r="P5328" s="15">
        <v>1.0215494159615592</v>
      </c>
      <c r="Q5328" s="8"/>
      <c r="R5328" s="9" t="s">
        <v>4867</v>
      </c>
    </row>
    <row r="5329" spans="1:18" x14ac:dyDescent="0.25">
      <c r="A5329" s="6" t="str">
        <f>HYPERLINK("proteomic_fractions_linear_files/Yang_linear_img/300069038.jpg", "300069038")</f>
        <v>300069038</v>
      </c>
      <c r="B5329" s="7"/>
      <c r="C5329" s="6" t="str">
        <f>HYPERLINK("http://www.ncbi.nlm.nih.gov/protein/300069038","Pdlim5")</f>
        <v>Pdlim5</v>
      </c>
      <c r="D5329" s="8"/>
      <c r="E5329" s="8">
        <v>56837</v>
      </c>
      <c r="F5329" s="8"/>
      <c r="G5329" s="15">
        <v>1.6661049330277984</v>
      </c>
      <c r="H5329" s="15">
        <v>1.6661049330277984</v>
      </c>
      <c r="I5329" s="15">
        <v>1.2883536884505657</v>
      </c>
      <c r="J5329" s="15">
        <v>1.2883536884505657</v>
      </c>
      <c r="K5329" s="15">
        <v>1.4578712012832256</v>
      </c>
      <c r="L5329" s="15">
        <v>1.4578712012832256</v>
      </c>
      <c r="M5329" s="15" t="s">
        <v>10</v>
      </c>
      <c r="N5329" s="15" t="s">
        <v>10</v>
      </c>
      <c r="O5329" s="15">
        <v>0.93193981807019433</v>
      </c>
      <c r="P5329" s="15">
        <v>0.93193981807019433</v>
      </c>
      <c r="Q5329" s="8"/>
      <c r="R5329" s="9" t="s">
        <v>4868</v>
      </c>
    </row>
    <row r="5330" spans="1:18" x14ac:dyDescent="0.25">
      <c r="A5330" s="6" t="str">
        <f>HYPERLINK("proteomic_fractions_linear_files/Yang_linear_img/300069041.jpg", "300069041")</f>
        <v>300069041</v>
      </c>
      <c r="B5330" s="7"/>
      <c r="C5330" s="6" t="str">
        <f>HYPERLINK("http://www.ncbi.nlm.nih.gov/protein/300069041","Pdlim5")</f>
        <v>Pdlim5</v>
      </c>
      <c r="D5330" s="8"/>
      <c r="E5330" s="8">
        <v>61691</v>
      </c>
      <c r="F5330" s="8"/>
      <c r="G5330" s="15">
        <v>1.5317416319771695</v>
      </c>
      <c r="H5330" s="15">
        <v>1.5317416319771695</v>
      </c>
      <c r="I5330" s="15">
        <v>1.1844541974464877</v>
      </c>
      <c r="J5330" s="15">
        <v>1.1844541974464877</v>
      </c>
      <c r="K5330" s="15">
        <v>1.3403009431152235</v>
      </c>
      <c r="L5330" s="15">
        <v>1.3403009431152235</v>
      </c>
      <c r="M5330" s="15" t="s">
        <v>10</v>
      </c>
      <c r="N5330" s="15" t="s">
        <v>10</v>
      </c>
      <c r="O5330" s="15">
        <v>0.85678338112904961</v>
      </c>
      <c r="P5330" s="15">
        <v>0.85678338112904961</v>
      </c>
      <c r="Q5330" s="8"/>
      <c r="R5330" s="9" t="s">
        <v>4869</v>
      </c>
    </row>
    <row r="5331" spans="1:18" x14ac:dyDescent="0.25">
      <c r="A5331" s="6" t="str">
        <f>HYPERLINK("proteomic_fractions_linear_files/Yang_linear_img/166197677.jpg", "166197677")</f>
        <v>166197677</v>
      </c>
      <c r="B5331" s="7"/>
      <c r="C5331" s="6" t="str">
        <f>HYPERLINK("http://www.ncbi.nlm.nih.gov/protein/166197677","Pdlim7")</f>
        <v>Pdlim7</v>
      </c>
      <c r="D5331" s="8"/>
      <c r="E5331" s="8">
        <v>21024</v>
      </c>
      <c r="F5331" s="8"/>
      <c r="G5331" s="15" t="s">
        <v>10</v>
      </c>
      <c r="H5331" s="15" t="s">
        <v>10</v>
      </c>
      <c r="I5331" s="15" t="s">
        <v>10</v>
      </c>
      <c r="J5331" s="15" t="s">
        <v>10</v>
      </c>
      <c r="K5331" s="15">
        <v>2.7987241707425645</v>
      </c>
      <c r="L5331" s="15">
        <v>2.7987241707425645</v>
      </c>
      <c r="M5331" s="15" t="s">
        <v>10</v>
      </c>
      <c r="N5331" s="15" t="s">
        <v>10</v>
      </c>
      <c r="O5331" s="15" t="s">
        <v>10</v>
      </c>
      <c r="P5331" s="15" t="s">
        <v>10</v>
      </c>
      <c r="Q5331" s="8"/>
      <c r="R5331" s="9" t="s">
        <v>4870</v>
      </c>
    </row>
    <row r="5332" spans="1:18" x14ac:dyDescent="0.25">
      <c r="A5332" s="6" t="str">
        <f>HYPERLINK("proteomic_fractions_linear_files/Yang_linear_img/166197679.jpg", "166197679")</f>
        <v>166197679</v>
      </c>
      <c r="B5332" s="7"/>
      <c r="C5332" s="6" t="str">
        <f>HYPERLINK("http://www.ncbi.nlm.nih.gov/protein/166197679","Pdlim7")</f>
        <v>Pdlim7</v>
      </c>
      <c r="D5332" s="8"/>
      <c r="E5332" s="8">
        <v>24527</v>
      </c>
      <c r="F5332" s="8"/>
      <c r="G5332" s="15" t="s">
        <v>10</v>
      </c>
      <c r="H5332" s="15" t="s">
        <v>10</v>
      </c>
      <c r="I5332" s="15" t="s">
        <v>10</v>
      </c>
      <c r="J5332" s="15" t="s">
        <v>10</v>
      </c>
      <c r="K5332" s="15">
        <v>2.3509283034237543</v>
      </c>
      <c r="L5332" s="15">
        <v>2.3509283034237543</v>
      </c>
      <c r="M5332" s="15" t="s">
        <v>10</v>
      </c>
      <c r="N5332" s="15" t="s">
        <v>10</v>
      </c>
      <c r="O5332" s="15" t="s">
        <v>10</v>
      </c>
      <c r="P5332" s="15" t="s">
        <v>10</v>
      </c>
      <c r="Q5332" s="8"/>
      <c r="R5332" s="9" t="s">
        <v>4871</v>
      </c>
    </row>
    <row r="5333" spans="1:18" x14ac:dyDescent="0.25">
      <c r="A5333" s="6" t="str">
        <f>HYPERLINK("proteomic_fractions_linear_files/Yang_linear_img/166197681.jpg", "166197681")</f>
        <v>166197681</v>
      </c>
      <c r="B5333" s="7"/>
      <c r="C5333" s="6" t="str">
        <f>HYPERLINK("http://www.ncbi.nlm.nih.gov/protein/166197681","Pdlim7")</f>
        <v>Pdlim7</v>
      </c>
      <c r="D5333" s="8"/>
      <c r="E5333" s="8">
        <v>49988</v>
      </c>
      <c r="F5333" s="8"/>
      <c r="G5333" s="15" t="s">
        <v>10</v>
      </c>
      <c r="H5333" s="15" t="s">
        <v>10</v>
      </c>
      <c r="I5333" s="15">
        <v>0.41194882373312547</v>
      </c>
      <c r="J5333" s="15">
        <v>0.41194882373312547</v>
      </c>
      <c r="K5333" s="15">
        <v>0.39002299656070549</v>
      </c>
      <c r="L5333" s="15">
        <v>0.39002299656070549</v>
      </c>
      <c r="M5333" s="15">
        <v>0.41194882373312547</v>
      </c>
      <c r="N5333" s="15">
        <v>0.41194882373312547</v>
      </c>
      <c r="O5333" s="15">
        <v>0.39002299656070549</v>
      </c>
      <c r="P5333" s="15">
        <v>0.39002299656070549</v>
      </c>
      <c r="Q5333" s="8"/>
      <c r="R5333" s="9" t="s">
        <v>4872</v>
      </c>
    </row>
    <row r="5334" spans="1:18" x14ac:dyDescent="0.25">
      <c r="A5334" s="6" t="str">
        <f>HYPERLINK("proteomic_fractions_linear_files/Yang_linear_img/148277602.jpg", "148277602")</f>
        <v>148277602</v>
      </c>
      <c r="B5334" s="7"/>
      <c r="C5334" s="6" t="str">
        <f>HYPERLINK("http://www.ncbi.nlm.nih.gov/protein/148277602","Pdp1")</f>
        <v>Pdp1</v>
      </c>
      <c r="D5334" s="8"/>
      <c r="E5334" s="8">
        <v>63705</v>
      </c>
      <c r="F5334" s="8"/>
      <c r="G5334" s="15" t="s">
        <v>10</v>
      </c>
      <c r="H5334" s="15" t="s">
        <v>10</v>
      </c>
      <c r="I5334" s="15">
        <v>0.83000890046876685</v>
      </c>
      <c r="J5334" s="15">
        <v>0.83000890046876685</v>
      </c>
      <c r="K5334" s="15" t="s">
        <v>10</v>
      </c>
      <c r="L5334" s="15" t="s">
        <v>10</v>
      </c>
      <c r="M5334" s="15" t="s">
        <v>10</v>
      </c>
      <c r="N5334" s="15" t="s">
        <v>10</v>
      </c>
      <c r="O5334" s="15" t="s">
        <v>10</v>
      </c>
      <c r="P5334" s="15" t="s">
        <v>10</v>
      </c>
      <c r="Q5334" s="8"/>
      <c r="R5334" s="9" t="s">
        <v>4873</v>
      </c>
    </row>
    <row r="5335" spans="1:18" x14ac:dyDescent="0.25">
      <c r="A5335" s="6" t="str">
        <f>HYPERLINK("proteomic_fractions_linear_files/Yang_linear_img/148277650.jpg", "148277650")</f>
        <v>148277650</v>
      </c>
      <c r="B5335" s="7"/>
      <c r="C5335" s="6" t="str">
        <f>HYPERLINK("http://www.ncbi.nlm.nih.gov/protein/148277650","Pdp1")</f>
        <v>Pdp1</v>
      </c>
      <c r="D5335" s="8"/>
      <c r="E5335" s="8">
        <v>64953</v>
      </c>
      <c r="F5335" s="8"/>
      <c r="G5335" s="15" t="s">
        <v>10</v>
      </c>
      <c r="H5335" s="15" t="s">
        <v>10</v>
      </c>
      <c r="I5335" s="15">
        <v>0.81723953276924732</v>
      </c>
      <c r="J5335" s="15">
        <v>0.81723953276924732</v>
      </c>
      <c r="K5335" s="15" t="s">
        <v>10</v>
      </c>
      <c r="L5335" s="15" t="s">
        <v>10</v>
      </c>
      <c r="M5335" s="15" t="s">
        <v>10</v>
      </c>
      <c r="N5335" s="15" t="s">
        <v>10</v>
      </c>
      <c r="O5335" s="15" t="s">
        <v>10</v>
      </c>
      <c r="P5335" s="15" t="s">
        <v>10</v>
      </c>
      <c r="Q5335" s="8"/>
      <c r="R5335" s="9" t="s">
        <v>4874</v>
      </c>
    </row>
    <row r="5336" spans="1:18" x14ac:dyDescent="0.25">
      <c r="A5336" s="6" t="str">
        <f>HYPERLINK("proteomic_fractions_linear_files/Yang_linear_img/84794625.jpg", "84794625")</f>
        <v>84794625</v>
      </c>
      <c r="B5336" s="7"/>
      <c r="C5336" s="6" t="str">
        <f>HYPERLINK("http://www.ncbi.nlm.nih.gov/protein/84794625","Pdp1")</f>
        <v>Pdp1</v>
      </c>
      <c r="D5336" s="8"/>
      <c r="E5336" s="8">
        <v>52592</v>
      </c>
      <c r="F5336" s="8"/>
      <c r="G5336" s="15" t="s">
        <v>10</v>
      </c>
      <c r="H5336" s="15" t="s">
        <v>10</v>
      </c>
      <c r="I5336" s="15">
        <v>1.0022748986792656</v>
      </c>
      <c r="J5336" s="15">
        <v>1.0022748986792656</v>
      </c>
      <c r="K5336" s="15" t="s">
        <v>10</v>
      </c>
      <c r="L5336" s="15" t="s">
        <v>10</v>
      </c>
      <c r="M5336" s="15" t="s">
        <v>10</v>
      </c>
      <c r="N5336" s="15" t="s">
        <v>10</v>
      </c>
      <c r="O5336" s="15" t="s">
        <v>10</v>
      </c>
      <c r="P5336" s="15" t="s">
        <v>10</v>
      </c>
      <c r="Q5336" s="8"/>
      <c r="R5336" s="9" t="s">
        <v>4875</v>
      </c>
    </row>
    <row r="5337" spans="1:18" x14ac:dyDescent="0.25">
      <c r="A5337" s="6" t="str">
        <f>HYPERLINK("proteomic_fractions_linear_files/Yang_linear_img/124107594.jpg", "124107594")</f>
        <v>124107594</v>
      </c>
      <c r="B5337" s="7"/>
      <c r="C5337" s="6" t="str">
        <f>HYPERLINK("http://www.ncbi.nlm.nih.gov/protein/124107594","Pdpk1")</f>
        <v>Pdpk1</v>
      </c>
      <c r="D5337" s="8"/>
      <c r="E5337" s="8">
        <v>63628</v>
      </c>
      <c r="F5337" s="8"/>
      <c r="G5337" s="15" t="s">
        <v>10</v>
      </c>
      <c r="H5337" s="15" t="s">
        <v>10</v>
      </c>
      <c r="I5337" s="15" t="s">
        <v>10</v>
      </c>
      <c r="J5337" s="15" t="s">
        <v>10</v>
      </c>
      <c r="K5337" s="15" t="s">
        <v>10</v>
      </c>
      <c r="L5337" s="15" t="s">
        <v>10</v>
      </c>
      <c r="M5337" s="15" t="s">
        <v>10</v>
      </c>
      <c r="N5337" s="15" t="s">
        <v>10</v>
      </c>
      <c r="O5337" s="15">
        <v>0.91833136852490393</v>
      </c>
      <c r="P5337" s="15">
        <v>0.91833136852490393</v>
      </c>
      <c r="Q5337" s="8"/>
      <c r="R5337" s="9" t="s">
        <v>4876</v>
      </c>
    </row>
    <row r="5338" spans="1:18" x14ac:dyDescent="0.25">
      <c r="A5338" s="6" t="str">
        <f>HYPERLINK("proteomic_fractions_linear_files/Yang_linear_img/124107598.jpg", "124107598")</f>
        <v>124107598</v>
      </c>
      <c r="B5338" s="7"/>
      <c r="C5338" s="6" t="str">
        <f>HYPERLINK("http://www.ncbi.nlm.nih.gov/protein/124107598","Pdpk1")</f>
        <v>Pdpk1</v>
      </c>
      <c r="D5338" s="8"/>
      <c r="E5338" s="8">
        <v>59197</v>
      </c>
      <c r="F5338" s="8"/>
      <c r="G5338" s="15" t="s">
        <v>10</v>
      </c>
      <c r="H5338" s="15" t="s">
        <v>10</v>
      </c>
      <c r="I5338" s="15" t="s">
        <v>10</v>
      </c>
      <c r="J5338" s="15" t="s">
        <v>10</v>
      </c>
      <c r="K5338" s="15" t="s">
        <v>10</v>
      </c>
      <c r="L5338" s="15" t="s">
        <v>10</v>
      </c>
      <c r="M5338" s="15" t="s">
        <v>10</v>
      </c>
      <c r="N5338" s="15" t="s">
        <v>10</v>
      </c>
      <c r="O5338" s="15">
        <v>0.99615606077277719</v>
      </c>
      <c r="P5338" s="15">
        <v>0.99615606077277719</v>
      </c>
      <c r="Q5338" s="8"/>
      <c r="R5338" s="9" t="s">
        <v>4877</v>
      </c>
    </row>
    <row r="5339" spans="1:18" x14ac:dyDescent="0.25">
      <c r="A5339" s="6" t="str">
        <f>HYPERLINK("proteomic_fractions_linear_files/Yang_linear_img/38142488.jpg", "38142488")</f>
        <v>38142488</v>
      </c>
      <c r="B5339" s="7"/>
      <c r="C5339" s="6" t="str">
        <f>HYPERLINK("http://www.ncbi.nlm.nih.gov/protein/38142488","Pdpr")</f>
        <v>Pdpr</v>
      </c>
      <c r="D5339" s="8"/>
      <c r="E5339" s="8">
        <v>89260</v>
      </c>
      <c r="F5339" s="8"/>
      <c r="G5339" s="15" t="s">
        <v>10</v>
      </c>
      <c r="H5339" s="15" t="s">
        <v>10</v>
      </c>
      <c r="I5339" s="15">
        <v>1.0670559683436462</v>
      </c>
      <c r="J5339" s="15">
        <v>1.0670559683436462</v>
      </c>
      <c r="K5339" s="15" t="s">
        <v>10</v>
      </c>
      <c r="L5339" s="15" t="s">
        <v>10</v>
      </c>
      <c r="M5339" s="15" t="s">
        <v>10</v>
      </c>
      <c r="N5339" s="15" t="s">
        <v>10</v>
      </c>
      <c r="O5339" s="15" t="s">
        <v>10</v>
      </c>
      <c r="P5339" s="15" t="s">
        <v>10</v>
      </c>
      <c r="Q5339" s="8"/>
      <c r="R5339" s="9" t="s">
        <v>4878</v>
      </c>
    </row>
    <row r="5340" spans="1:18" x14ac:dyDescent="0.25">
      <c r="A5340" s="6" t="str">
        <f>HYPERLINK("proteomic_fractions_linear_files/Yang_linear_img/32490570.jpg", "32490570")</f>
        <v>32490570</v>
      </c>
      <c r="B5340" s="7"/>
      <c r="C5340" s="6" t="str">
        <f>HYPERLINK("http://www.ncbi.nlm.nih.gov/protein/32490570","Pdrg1")</f>
        <v>Pdrg1</v>
      </c>
      <c r="D5340" s="8"/>
      <c r="E5340" s="8">
        <v>15251</v>
      </c>
      <c r="F5340" s="8"/>
      <c r="G5340" s="15" t="s">
        <v>10</v>
      </c>
      <c r="H5340" s="15" t="s">
        <v>10</v>
      </c>
      <c r="I5340" s="15">
        <v>0.96783158145802317</v>
      </c>
      <c r="J5340" s="15">
        <v>0.96783158145802317</v>
      </c>
      <c r="K5340" s="15">
        <v>0.96783158145802317</v>
      </c>
      <c r="L5340" s="15">
        <v>0.96783158145802317</v>
      </c>
      <c r="M5340" s="15">
        <v>1.0130892195876191</v>
      </c>
      <c r="N5340" s="15">
        <v>1.0130892195876191</v>
      </c>
      <c r="O5340" s="15" t="s">
        <v>10</v>
      </c>
      <c r="P5340" s="15" t="s">
        <v>10</v>
      </c>
      <c r="Q5340" s="8"/>
      <c r="R5340" s="9" t="s">
        <v>4879</v>
      </c>
    </row>
    <row r="5341" spans="1:18" x14ac:dyDescent="0.25">
      <c r="A5341" s="6" t="str">
        <f>HYPERLINK("proteomic_fractions_linear_files/Yang_linear_img/124486765.jpg", "124486765")</f>
        <v>124486765</v>
      </c>
      <c r="B5341" s="7"/>
      <c r="C5341" s="6" t="str">
        <f>HYPERLINK("http://www.ncbi.nlm.nih.gov/protein/124486765","Pds5a")</f>
        <v>Pds5a</v>
      </c>
      <c r="D5341" s="8"/>
      <c r="E5341" s="8">
        <v>150092</v>
      </c>
      <c r="F5341" s="8"/>
      <c r="G5341" s="15">
        <v>2.7269570515962651</v>
      </c>
      <c r="H5341" s="15">
        <v>2.7269570515962651</v>
      </c>
      <c r="I5341" s="15">
        <v>1.0230191409082789</v>
      </c>
      <c r="J5341" s="15">
        <v>1.0230191409082789</v>
      </c>
      <c r="K5341" s="15">
        <v>1.2451055442662691</v>
      </c>
      <c r="L5341" s="15">
        <v>1.2451055442662691</v>
      </c>
      <c r="M5341" s="15">
        <v>1.2451055442662691</v>
      </c>
      <c r="N5341" s="15">
        <v>1.2451055442662691</v>
      </c>
      <c r="O5341" s="15">
        <v>1.2451055442662691</v>
      </c>
      <c r="P5341" s="15">
        <v>1.2451055442662691</v>
      </c>
      <c r="Q5341" s="8"/>
      <c r="R5341" s="9" t="s">
        <v>4880</v>
      </c>
    </row>
    <row r="5342" spans="1:18" x14ac:dyDescent="0.25">
      <c r="A5342" s="6" t="str">
        <f>HYPERLINK("proteomic_fractions_linear_files/Yang_linear_img/66955886.jpg", "66955886")</f>
        <v>66955886</v>
      </c>
      <c r="B5342" s="7"/>
      <c r="C5342" s="6" t="str">
        <f>HYPERLINK("http://www.ncbi.nlm.nih.gov/protein/66955886","Pds5b")</f>
        <v>Pds5b</v>
      </c>
      <c r="D5342" s="8"/>
      <c r="E5342" s="8">
        <v>164289</v>
      </c>
      <c r="F5342" s="8"/>
      <c r="G5342" s="15">
        <v>1.422931997730787</v>
      </c>
      <c r="H5342" s="15">
        <v>1.422931997730787</v>
      </c>
      <c r="I5342" s="15">
        <v>0.93568823863562101</v>
      </c>
      <c r="J5342" s="15">
        <v>0.93568823863562101</v>
      </c>
      <c r="K5342" s="15">
        <v>1.422931997730787</v>
      </c>
      <c r="L5342" s="15">
        <v>1.422931997730787</v>
      </c>
      <c r="M5342" s="15">
        <v>1.1388160465850021</v>
      </c>
      <c r="N5342" s="15">
        <v>1.1388160465850021</v>
      </c>
      <c r="O5342" s="15" t="s">
        <v>10</v>
      </c>
      <c r="P5342" s="15" t="s">
        <v>10</v>
      </c>
      <c r="Q5342" s="8"/>
      <c r="R5342" s="9" t="s">
        <v>4881</v>
      </c>
    </row>
    <row r="5343" spans="1:18" x14ac:dyDescent="0.25">
      <c r="A5343" s="6" t="str">
        <f>HYPERLINK("proteomic_fractions_linear_files/Yang_linear_img/88758582.jpg", "88758582")</f>
        <v>88758582</v>
      </c>
      <c r="B5343" s="7"/>
      <c r="C5343" s="6" t="str">
        <f>HYPERLINK("http://www.ncbi.nlm.nih.gov/protein/88758582","Pdxdc1")</f>
        <v>Pdxdc1</v>
      </c>
      <c r="D5343" s="8"/>
      <c r="E5343" s="8">
        <v>87205</v>
      </c>
      <c r="F5343" s="8"/>
      <c r="G5343" s="15">
        <v>1.2620869404727755</v>
      </c>
      <c r="H5343" s="15">
        <v>1.2620869404727755</v>
      </c>
      <c r="I5343" s="15">
        <v>1.0915859906044196</v>
      </c>
      <c r="J5343" s="15">
        <v>1.0915859906044196</v>
      </c>
      <c r="K5343" s="15">
        <v>1.2620869404727755</v>
      </c>
      <c r="L5343" s="15">
        <v>1.2620869404727755</v>
      </c>
      <c r="M5343" s="15">
        <v>1.0915859906044196</v>
      </c>
      <c r="N5343" s="15">
        <v>1.0915859906044196</v>
      </c>
      <c r="O5343" s="15">
        <v>1.0915859906044196</v>
      </c>
      <c r="P5343" s="15">
        <v>1.0915859906044196</v>
      </c>
      <c r="Q5343" s="8"/>
      <c r="R5343" s="9" t="s">
        <v>4882</v>
      </c>
    </row>
    <row r="5344" spans="1:18" x14ac:dyDescent="0.25">
      <c r="A5344" s="6" t="str">
        <f>HYPERLINK("proteomic_fractions_linear_files/Yang_linear_img/88758584.jpg", "88758584")</f>
        <v>88758584</v>
      </c>
      <c r="B5344" s="7"/>
      <c r="C5344" s="6" t="str">
        <f>HYPERLINK("http://www.ncbi.nlm.nih.gov/protein/88758584","Pdxdc1")</f>
        <v>Pdxdc1</v>
      </c>
      <c r="D5344" s="8"/>
      <c r="E5344" s="8">
        <v>78412</v>
      </c>
      <c r="F5344" s="8"/>
      <c r="G5344" s="15">
        <v>1.4077123566811727</v>
      </c>
      <c r="H5344" s="15">
        <v>1.4077123566811727</v>
      </c>
      <c r="I5344" s="15">
        <v>1.2175382202895451</v>
      </c>
      <c r="J5344" s="15">
        <v>1.2175382202895451</v>
      </c>
      <c r="K5344" s="15">
        <v>1.4077123566811727</v>
      </c>
      <c r="L5344" s="15">
        <v>1.4077123566811727</v>
      </c>
      <c r="M5344" s="15">
        <v>1.2175382202895451</v>
      </c>
      <c r="N5344" s="15">
        <v>1.2175382202895451</v>
      </c>
      <c r="O5344" s="15">
        <v>1.2175382202895451</v>
      </c>
      <c r="P5344" s="15">
        <v>1.2175382202895451</v>
      </c>
      <c r="Q5344" s="8"/>
      <c r="R5344" s="9" t="s">
        <v>4883</v>
      </c>
    </row>
    <row r="5345" spans="1:18" x14ac:dyDescent="0.25">
      <c r="A5345" s="6" t="str">
        <f>HYPERLINK("proteomic_fractions_linear_files/Yang_linear_img/26006861.jpg", "26006861")</f>
        <v>26006861</v>
      </c>
      <c r="B5345" s="7"/>
      <c r="C5345" s="6" t="str">
        <f>HYPERLINK("http://www.ncbi.nlm.nih.gov/protein/26006861","Pdxk")</f>
        <v>Pdxk</v>
      </c>
      <c r="D5345" s="8"/>
      <c r="E5345" s="8">
        <v>34884</v>
      </c>
      <c r="F5345" s="8"/>
      <c r="G5345" s="15" t="s">
        <v>10</v>
      </c>
      <c r="H5345" s="15" t="s">
        <v>10</v>
      </c>
      <c r="I5345" s="15">
        <v>0.98723932944214809</v>
      </c>
      <c r="J5345" s="15">
        <v>0.98723932944214809</v>
      </c>
      <c r="K5345" s="15">
        <v>0.98723932944214809</v>
      </c>
      <c r="L5345" s="15">
        <v>0.98723932944214809</v>
      </c>
      <c r="M5345" s="15">
        <v>0.98723932944214809</v>
      </c>
      <c r="N5345" s="15">
        <v>0.98723932944214809</v>
      </c>
      <c r="O5345" s="15">
        <v>0.85386876833466085</v>
      </c>
      <c r="P5345" s="15">
        <v>0.85386876833466085</v>
      </c>
      <c r="Q5345" s="8"/>
      <c r="R5345" s="9" t="s">
        <v>4884</v>
      </c>
    </row>
    <row r="5346" spans="1:18" x14ac:dyDescent="0.25">
      <c r="A5346" s="6" t="str">
        <f>HYPERLINK("proteomic_fractions_linear_files/Yang_linear_img/21312244.jpg", "21312244")</f>
        <v>21312244</v>
      </c>
      <c r="B5346" s="7"/>
      <c r="C5346" s="6" t="str">
        <f>HYPERLINK("http://www.ncbi.nlm.nih.gov/protein/21312244","Pdzd11")</f>
        <v>Pdzd11</v>
      </c>
      <c r="D5346" s="8"/>
      <c r="E5346" s="8">
        <v>16051</v>
      </c>
      <c r="F5346" s="8"/>
      <c r="G5346" s="15" t="s">
        <v>10</v>
      </c>
      <c r="H5346" s="15" t="s">
        <v>10</v>
      </c>
      <c r="I5346" s="15" t="s">
        <v>10</v>
      </c>
      <c r="J5346" s="15" t="s">
        <v>10</v>
      </c>
      <c r="K5346" s="15">
        <v>0.99546511144886096</v>
      </c>
      <c r="L5346" s="15">
        <v>0.99546511144886096</v>
      </c>
      <c r="M5346" s="15">
        <v>0.99546511144886096</v>
      </c>
      <c r="N5346" s="15">
        <v>0.99546511144886096</v>
      </c>
      <c r="O5346" s="15" t="s">
        <v>10</v>
      </c>
      <c r="P5346" s="15" t="s">
        <v>10</v>
      </c>
      <c r="Q5346" s="8"/>
      <c r="R5346" s="9" t="s">
        <v>4885</v>
      </c>
    </row>
    <row r="5347" spans="1:18" x14ac:dyDescent="0.25">
      <c r="A5347" s="6" t="str">
        <f>HYPERLINK("proteomic_fractions_linear_files/Yang_linear_img/305682586.jpg", "305682586")</f>
        <v>305682586</v>
      </c>
      <c r="B5347" s="7"/>
      <c r="C5347" s="6" t="str">
        <f>HYPERLINK("http://www.ncbi.nlm.nih.gov/protein/305682586","Pdzd7")</f>
        <v>Pdzd7</v>
      </c>
      <c r="D5347" s="8"/>
      <c r="E5347" s="8">
        <v>110563</v>
      </c>
      <c r="F5347" s="8"/>
      <c r="G5347" s="15">
        <v>0.47856369036037005</v>
      </c>
      <c r="H5347" s="15">
        <v>0.47856369036037005</v>
      </c>
      <c r="I5347" s="15" t="s">
        <v>10</v>
      </c>
      <c r="J5347" s="15" t="s">
        <v>10</v>
      </c>
      <c r="K5347" s="15">
        <v>0.36493079462362832</v>
      </c>
      <c r="L5347" s="15">
        <v>0.36493079462362832</v>
      </c>
      <c r="M5347" s="15">
        <v>0.33640834615427562</v>
      </c>
      <c r="N5347" s="15">
        <v>0.33640834615427562</v>
      </c>
      <c r="O5347" s="15" t="s">
        <v>10</v>
      </c>
      <c r="P5347" s="15" t="s">
        <v>10</v>
      </c>
      <c r="Q5347" s="8"/>
      <c r="R5347" s="9" t="s">
        <v>4886</v>
      </c>
    </row>
    <row r="5348" spans="1:18" x14ac:dyDescent="0.25">
      <c r="A5348" s="6" t="str">
        <f>HYPERLINK("proteomic_fractions_linear_files/Yang_linear_img/164698472.jpg", "164698472")</f>
        <v>164698472</v>
      </c>
      <c r="B5348" s="7"/>
      <c r="C5348" s="6" t="str">
        <f>HYPERLINK("http://www.ncbi.nlm.nih.gov/protein/164698472","Pdzd8")</f>
        <v>Pdzd8</v>
      </c>
      <c r="D5348" s="8"/>
      <c r="E5348" s="8">
        <v>127609</v>
      </c>
      <c r="F5348" s="8"/>
      <c r="G5348" s="15" t="s">
        <v>10</v>
      </c>
      <c r="H5348" s="15" t="s">
        <v>10</v>
      </c>
      <c r="I5348" s="15">
        <v>1.1988505557518894</v>
      </c>
      <c r="J5348" s="15">
        <v>1.1988505557518894</v>
      </c>
      <c r="K5348" s="15">
        <v>2.3576822237226467</v>
      </c>
      <c r="L5348" s="15">
        <v>2.3576822237226467</v>
      </c>
      <c r="M5348" s="15" t="s">
        <v>10</v>
      </c>
      <c r="N5348" s="15" t="s">
        <v>10</v>
      </c>
      <c r="O5348" s="15" t="s">
        <v>10</v>
      </c>
      <c r="P5348" s="15" t="s">
        <v>10</v>
      </c>
      <c r="Q5348" s="8"/>
      <c r="R5348" s="9" t="s">
        <v>4887</v>
      </c>
    </row>
    <row r="5349" spans="1:18" x14ac:dyDescent="0.25">
      <c r="A5349" s="6" t="str">
        <f>HYPERLINK("proteomic_fractions_linear_files/Yang_linear_img/13385522.jpg", "13385522")</f>
        <v>13385522</v>
      </c>
      <c r="B5349" s="7"/>
      <c r="C5349" s="6" t="str">
        <f>HYPERLINK("http://www.ncbi.nlm.nih.gov/protein/13385522","Pdzk1ip1")</f>
        <v>Pdzk1ip1</v>
      </c>
      <c r="D5349" s="8"/>
      <c r="E5349" s="8">
        <v>10298</v>
      </c>
      <c r="F5349" s="8"/>
      <c r="G5349" s="15">
        <v>1.3297064023001535</v>
      </c>
      <c r="H5349" s="15">
        <v>1.3297064023001535</v>
      </c>
      <c r="I5349" s="15">
        <v>1.3885850499936649</v>
      </c>
      <c r="J5349" s="15">
        <v>1.3885850499936649</v>
      </c>
      <c r="K5349" s="15">
        <v>1.3885850499936649</v>
      </c>
      <c r="L5349" s="15">
        <v>1.3885850499936649</v>
      </c>
      <c r="M5349" s="15">
        <v>1.4517473721870346</v>
      </c>
      <c r="N5349" s="15">
        <v>1.4517473721870346</v>
      </c>
      <c r="O5349" s="15" t="s">
        <v>10</v>
      </c>
      <c r="P5349" s="15" t="s">
        <v>10</v>
      </c>
      <c r="Q5349" s="8"/>
      <c r="R5349" s="9" t="s">
        <v>4888</v>
      </c>
    </row>
    <row r="5350" spans="1:18" x14ac:dyDescent="0.25">
      <c r="A5350" s="6" t="str">
        <f>HYPERLINK("proteomic_fractions_linear_files/Yang_linear_img/257095992.jpg", "257095992")</f>
        <v>257095992</v>
      </c>
      <c r="B5350" s="7"/>
      <c r="C5350" s="6" t="str">
        <f>HYPERLINK("http://www.ncbi.nlm.nih.gov/protein/257095992","Pdzk1ip1")</f>
        <v>Pdzk1ip1</v>
      </c>
      <c r="D5350" s="8"/>
      <c r="E5350" s="8">
        <v>19280</v>
      </c>
      <c r="F5350" s="8"/>
      <c r="G5350" s="15">
        <v>0.69984547489481752</v>
      </c>
      <c r="H5350" s="15">
        <v>0.69984547489481752</v>
      </c>
      <c r="I5350" s="15">
        <v>0.73083423683877102</v>
      </c>
      <c r="J5350" s="15">
        <v>0.73083423683877102</v>
      </c>
      <c r="K5350" s="15">
        <v>0.73083423683877102</v>
      </c>
      <c r="L5350" s="15">
        <v>0.73083423683877102</v>
      </c>
      <c r="M5350" s="15">
        <v>0.76407756430896567</v>
      </c>
      <c r="N5350" s="15">
        <v>0.76407756430896567</v>
      </c>
      <c r="O5350" s="15" t="s">
        <v>10</v>
      </c>
      <c r="P5350" s="15" t="s">
        <v>10</v>
      </c>
      <c r="Q5350" s="8"/>
      <c r="R5350" s="9" t="s">
        <v>4889</v>
      </c>
    </row>
    <row r="5351" spans="1:18" x14ac:dyDescent="0.25">
      <c r="A5351" s="6" t="str">
        <f>HYPERLINK("proteomic_fractions_linear_files/Yang_linear_img/21426847.jpg", "21426847")</f>
        <v>21426847</v>
      </c>
      <c r="B5351" s="7"/>
      <c r="C5351" s="6" t="str">
        <f>HYPERLINK("http://www.ncbi.nlm.nih.gov/protein/21426847","Pea15a")</f>
        <v>Pea15a</v>
      </c>
      <c r="D5351" s="8"/>
      <c r="E5351" s="8">
        <v>14923</v>
      </c>
      <c r="F5351" s="8"/>
      <c r="G5351" s="15">
        <v>0.96783158145802317</v>
      </c>
      <c r="H5351" s="15">
        <v>0.96783158145802317</v>
      </c>
      <c r="I5351" s="15">
        <v>1.0130892195876191</v>
      </c>
      <c r="J5351" s="15">
        <v>1.0130892195876191</v>
      </c>
      <c r="K5351" s="15">
        <v>1.0130892195876191</v>
      </c>
      <c r="L5351" s="15">
        <v>1.0130892195876191</v>
      </c>
      <c r="M5351" s="15" t="s">
        <v>10</v>
      </c>
      <c r="N5351" s="15" t="s">
        <v>10</v>
      </c>
      <c r="O5351" s="15">
        <v>0.92572336666244337</v>
      </c>
      <c r="P5351" s="15">
        <v>0.92572336666244337</v>
      </c>
      <c r="Q5351" s="8"/>
      <c r="R5351" s="9" t="s">
        <v>4890</v>
      </c>
    </row>
    <row r="5352" spans="1:18" x14ac:dyDescent="0.25">
      <c r="A5352" s="6" t="str">
        <f>HYPERLINK("proteomic_fractions_linear_files/Yang_linear_img/84794552.jpg", "84794552")</f>
        <v>84794552</v>
      </c>
      <c r="B5352" s="7"/>
      <c r="C5352" s="6" t="str">
        <f>HYPERLINK("http://www.ncbi.nlm.nih.gov/protein/84794552","Pebp1")</f>
        <v>Pebp1</v>
      </c>
      <c r="D5352" s="8"/>
      <c r="E5352" s="8">
        <v>20699</v>
      </c>
      <c r="F5352" s="8"/>
      <c r="G5352" s="15">
        <v>1.4231146138911015</v>
      </c>
      <c r="H5352" s="15">
        <v>1.4231146138911015</v>
      </c>
      <c r="I5352" s="15">
        <v>1.0378924890799406</v>
      </c>
      <c r="J5352" s="15">
        <v>1.0378924890799406</v>
      </c>
      <c r="K5352" s="15">
        <v>1.0378924890799406</v>
      </c>
      <c r="L5352" s="15">
        <v>1.0378924890799406</v>
      </c>
      <c r="M5352" s="15">
        <v>1.0378924890799406</v>
      </c>
      <c r="N5352" s="15">
        <v>1.0378924890799406</v>
      </c>
      <c r="O5352" s="15">
        <v>1.0378924890799406</v>
      </c>
      <c r="P5352" s="15">
        <v>1.0378924890799406</v>
      </c>
      <c r="Q5352" s="8"/>
      <c r="R5352" s="9" t="s">
        <v>4891</v>
      </c>
    </row>
    <row r="5353" spans="1:18" x14ac:dyDescent="0.25">
      <c r="A5353" s="6" t="str">
        <f>HYPERLINK("proteomic_fractions_linear_files/Yang_linear_img/227908837.jpg", "227908837")</f>
        <v>227908837</v>
      </c>
      <c r="B5353" s="7"/>
      <c r="C5353" s="6" t="str">
        <f>HYPERLINK("http://www.ncbi.nlm.nih.gov/protein/227908837","Pecr")</f>
        <v>Pecr</v>
      </c>
      <c r="D5353" s="8"/>
      <c r="E5353" s="8">
        <v>32279</v>
      </c>
      <c r="F5353" s="8"/>
      <c r="G5353" s="15" t="s">
        <v>10</v>
      </c>
      <c r="H5353" s="15" t="s">
        <v>10</v>
      </c>
      <c r="I5353" s="15">
        <v>1.0026272767416746</v>
      </c>
      <c r="J5353" s="15">
        <v>1.0026272767416746</v>
      </c>
      <c r="K5353" s="15">
        <v>1.0026272767416746</v>
      </c>
      <c r="L5353" s="15">
        <v>1.0026272767416746</v>
      </c>
      <c r="M5353" s="15" t="s">
        <v>10</v>
      </c>
      <c r="N5353" s="15" t="s">
        <v>10</v>
      </c>
      <c r="O5353" s="15" t="s">
        <v>10</v>
      </c>
      <c r="P5353" s="15" t="s">
        <v>10</v>
      </c>
      <c r="Q5353" s="8"/>
      <c r="R5353" s="9" t="s">
        <v>4892</v>
      </c>
    </row>
    <row r="5354" spans="1:18" x14ac:dyDescent="0.25">
      <c r="A5354" s="6" t="str">
        <f>HYPERLINK("proteomic_fractions_linear_files/Yang_linear_img/31980937.jpg", "31980937")</f>
        <v>31980937</v>
      </c>
      <c r="B5354" s="7"/>
      <c r="C5354" s="6" t="str">
        <f>HYPERLINK("http://www.ncbi.nlm.nih.gov/protein/31980937","Pef1")</f>
        <v>Pef1</v>
      </c>
      <c r="D5354" s="8"/>
      <c r="E5354" s="8">
        <v>29097</v>
      </c>
      <c r="F5354" s="8"/>
      <c r="G5354" s="15" t="s">
        <v>10</v>
      </c>
      <c r="H5354" s="15" t="s">
        <v>10</v>
      </c>
      <c r="I5354" s="15">
        <v>0.84671795218196266</v>
      </c>
      <c r="J5354" s="15">
        <v>0.84671795218196266</v>
      </c>
      <c r="K5354" s="15">
        <v>0.90173303846293107</v>
      </c>
      <c r="L5354" s="15">
        <v>0.90173303846293107</v>
      </c>
      <c r="M5354" s="15">
        <v>0.84671795218196266</v>
      </c>
      <c r="N5354" s="15">
        <v>0.84671795218196266</v>
      </c>
      <c r="O5354" s="15">
        <v>0.79688184050749811</v>
      </c>
      <c r="P5354" s="15">
        <v>0.79688184050749811</v>
      </c>
      <c r="Q5354" s="8"/>
      <c r="R5354" s="9" t="s">
        <v>4893</v>
      </c>
    </row>
    <row r="5355" spans="1:18" x14ac:dyDescent="0.25">
      <c r="A5355" s="6" t="str">
        <f>HYPERLINK("proteomic_fractions_linear_files/Yang_linear_img/164698448.jpg", "164698448")</f>
        <v>164698448</v>
      </c>
      <c r="B5355" s="7"/>
      <c r="C5355" s="6" t="str">
        <f>HYPERLINK("http://www.ncbi.nlm.nih.gov/protein/164698448","Pelo")</f>
        <v>Pelo</v>
      </c>
      <c r="D5355" s="8"/>
      <c r="E5355" s="8">
        <v>43218</v>
      </c>
      <c r="F5355" s="8"/>
      <c r="G5355" s="15" t="s">
        <v>10</v>
      </c>
      <c r="H5355" s="15" t="s">
        <v>10</v>
      </c>
      <c r="I5355" s="15" t="s">
        <v>10</v>
      </c>
      <c r="J5355" s="15" t="s">
        <v>10</v>
      </c>
      <c r="K5355" s="15">
        <v>1.0261764941154761</v>
      </c>
      <c r="L5355" s="15">
        <v>1.0261764941154761</v>
      </c>
      <c r="M5355" s="15">
        <v>0.942030655888901</v>
      </c>
      <c r="N5355" s="15">
        <v>0.942030655888901</v>
      </c>
      <c r="O5355" s="15">
        <v>0.86840294007266494</v>
      </c>
      <c r="P5355" s="15">
        <v>0.86840294007266494</v>
      </c>
      <c r="Q5355" s="8"/>
      <c r="R5355" s="9" t="s">
        <v>4894</v>
      </c>
    </row>
    <row r="5356" spans="1:18" x14ac:dyDescent="0.25">
      <c r="A5356" s="6" t="str">
        <f>HYPERLINK("proteomic_fractions_linear_files/Yang_linear_img/257900472.jpg", "257900472")</f>
        <v>257900472</v>
      </c>
      <c r="B5356" s="7"/>
      <c r="C5356" s="6" t="str">
        <f>HYPERLINK("http://www.ncbi.nlm.nih.gov/protein/257900472","Pelp1")</f>
        <v>Pelp1</v>
      </c>
      <c r="D5356" s="8"/>
      <c r="E5356" s="8">
        <v>117938</v>
      </c>
      <c r="F5356" s="8"/>
      <c r="G5356" s="15" t="s">
        <v>10</v>
      </c>
      <c r="H5356" s="15" t="s">
        <v>10</v>
      </c>
      <c r="I5356" s="15" t="s">
        <v>10</v>
      </c>
      <c r="J5356" s="15" t="s">
        <v>10</v>
      </c>
      <c r="K5356" s="15">
        <v>1.9776343019309244</v>
      </c>
      <c r="L5356" s="15">
        <v>1.9776343019309244</v>
      </c>
      <c r="M5356" s="15">
        <v>0.70422591926393097</v>
      </c>
      <c r="N5356" s="15">
        <v>0.70422591926393097</v>
      </c>
      <c r="O5356" s="15" t="s">
        <v>10</v>
      </c>
      <c r="P5356" s="15" t="s">
        <v>10</v>
      </c>
      <c r="Q5356" s="8"/>
      <c r="R5356" s="9" t="s">
        <v>4895</v>
      </c>
    </row>
    <row r="5357" spans="1:18" x14ac:dyDescent="0.25">
      <c r="A5357" s="6" t="str">
        <f>HYPERLINK("proteomic_fractions_linear_files/Yang_linear_img/170650724.jpg", "170650724")</f>
        <v>170650724</v>
      </c>
      <c r="B5357" s="7"/>
      <c r="C5357" s="6" t="str">
        <f>HYPERLINK("http://www.ncbi.nlm.nih.gov/protein/170650724","Pepd")</f>
        <v>Pepd</v>
      </c>
      <c r="D5357" s="8"/>
      <c r="E5357" s="8">
        <v>54898</v>
      </c>
      <c r="F5357" s="8"/>
      <c r="G5357" s="15">
        <v>1.1900593332826241</v>
      </c>
      <c r="H5357" s="15">
        <v>1.1900593332826241</v>
      </c>
      <c r="I5357" s="15">
        <v>0.96582853872729235</v>
      </c>
      <c r="J5357" s="15">
        <v>0.96582853872729235</v>
      </c>
      <c r="K5357" s="15">
        <v>1.7266905669560819</v>
      </c>
      <c r="L5357" s="15">
        <v>1.7266905669560819</v>
      </c>
      <c r="M5357" s="15">
        <v>0.96582853872729235</v>
      </c>
      <c r="N5357" s="15">
        <v>0.96582853872729235</v>
      </c>
      <c r="O5357" s="15">
        <v>1.7266905669560819</v>
      </c>
      <c r="P5357" s="15">
        <v>1.7266905669560819</v>
      </c>
      <c r="Q5357" s="8"/>
      <c r="R5357" s="9" t="s">
        <v>4896</v>
      </c>
    </row>
    <row r="5358" spans="1:18" x14ac:dyDescent="0.25">
      <c r="A5358" s="6" t="str">
        <f>HYPERLINK("proteomic_fractions_linear_files/Yang_linear_img/12584984.jpg", "12584984")</f>
        <v>12584984</v>
      </c>
      <c r="B5358" s="7"/>
      <c r="C5358" s="6" t="str">
        <f>HYPERLINK("http://www.ncbi.nlm.nih.gov/protein/12584984","Pes1")</f>
        <v>Pes1</v>
      </c>
      <c r="D5358" s="8"/>
      <c r="E5358" s="8">
        <v>67665</v>
      </c>
      <c r="F5358" s="8"/>
      <c r="G5358" s="15" t="s">
        <v>10</v>
      </c>
      <c r="H5358" s="15" t="s">
        <v>10</v>
      </c>
      <c r="I5358" s="15" t="s">
        <v>10</v>
      </c>
      <c r="J5358" s="15" t="s">
        <v>10</v>
      </c>
      <c r="K5358" s="15">
        <v>1.0799435329659153</v>
      </c>
      <c r="L5358" s="15">
        <v>1.0799435329659153</v>
      </c>
      <c r="M5358" s="15">
        <v>1.0799435329659153</v>
      </c>
      <c r="N5358" s="15">
        <v>1.0799435329659153</v>
      </c>
      <c r="O5358" s="15">
        <v>1.0799435329659153</v>
      </c>
      <c r="P5358" s="15">
        <v>1.0799435329659153</v>
      </c>
      <c r="Q5358" s="8"/>
      <c r="R5358" s="9" t="s">
        <v>4897</v>
      </c>
    </row>
    <row r="5359" spans="1:18" x14ac:dyDescent="0.25">
      <c r="A5359" s="6" t="str">
        <f>HYPERLINK("proteomic_fractions_linear_files/Yang_linear_img/21450279.jpg", "21450279")</f>
        <v>21450279</v>
      </c>
      <c r="B5359" s="7"/>
      <c r="C5359" s="6" t="str">
        <f>HYPERLINK("http://www.ncbi.nlm.nih.gov/protein/21450279","Pet112")</f>
        <v>Pet112</v>
      </c>
      <c r="D5359" s="8"/>
      <c r="E5359" s="8">
        <v>58796</v>
      </c>
      <c r="F5359" s="8"/>
      <c r="G5359" s="15" t="s">
        <v>10</v>
      </c>
      <c r="H5359" s="15" t="s">
        <v>10</v>
      </c>
      <c r="I5359" s="15">
        <v>0.90034863779662844</v>
      </c>
      <c r="J5359" s="15">
        <v>0.90034863779662844</v>
      </c>
      <c r="K5359" s="15" t="s">
        <v>10</v>
      </c>
      <c r="L5359" s="15" t="s">
        <v>10</v>
      </c>
      <c r="M5359" s="15" t="s">
        <v>10</v>
      </c>
      <c r="N5359" s="15" t="s">
        <v>10</v>
      </c>
      <c r="O5359" s="15" t="s">
        <v>10</v>
      </c>
      <c r="P5359" s="15" t="s">
        <v>10</v>
      </c>
      <c r="Q5359" s="8"/>
      <c r="R5359" s="9" t="s">
        <v>4898</v>
      </c>
    </row>
    <row r="5360" spans="1:18" x14ac:dyDescent="0.25">
      <c r="A5360" s="6" t="str">
        <f>HYPERLINK("proteomic_fractions_linear_files/Yang_linear_img/258679439.jpg", "258679439")</f>
        <v>258679439</v>
      </c>
      <c r="B5360" s="7"/>
      <c r="C5360" s="6" t="str">
        <f>HYPERLINK("http://www.ncbi.nlm.nih.gov/protein/258679439","Pet117")</f>
        <v>Pet117</v>
      </c>
      <c r="D5360" s="8"/>
      <c r="E5360" s="8">
        <v>7009</v>
      </c>
      <c r="F5360" s="8"/>
      <c r="G5360" s="15" t="s">
        <v>10</v>
      </c>
      <c r="H5360" s="15" t="s">
        <v>10</v>
      </c>
      <c r="I5360" s="15">
        <v>1.821031334562518</v>
      </c>
      <c r="J5360" s="15">
        <v>1.821031334562518</v>
      </c>
      <c r="K5360" s="15" t="s">
        <v>10</v>
      </c>
      <c r="L5360" s="15" t="s">
        <v>10</v>
      </c>
      <c r="M5360" s="15" t="s">
        <v>10</v>
      </c>
      <c r="N5360" s="15" t="s">
        <v>10</v>
      </c>
      <c r="O5360" s="15" t="s">
        <v>10</v>
      </c>
      <c r="P5360" s="15" t="s">
        <v>10</v>
      </c>
      <c r="Q5360" s="8"/>
      <c r="R5360" s="9" t="s">
        <v>4899</v>
      </c>
    </row>
    <row r="5361" spans="1:18" x14ac:dyDescent="0.25">
      <c r="A5361" s="6" t="str">
        <f>HYPERLINK("proteomic_fractions_linear_files/Yang_linear_img/61657895.jpg", "61657895")</f>
        <v>61657895</v>
      </c>
      <c r="B5361" s="7"/>
      <c r="C5361" s="6" t="str">
        <f>HYPERLINK("http://www.ncbi.nlm.nih.gov/protein/61657895","Pex1")</f>
        <v>Pex1</v>
      </c>
      <c r="D5361" s="8"/>
      <c r="E5361" s="8">
        <v>136613</v>
      </c>
      <c r="F5361" s="8"/>
      <c r="G5361" s="15" t="s">
        <v>10</v>
      </c>
      <c r="H5361" s="15" t="s">
        <v>10</v>
      </c>
      <c r="I5361" s="15">
        <v>1.1200939498995754</v>
      </c>
      <c r="J5361" s="15">
        <v>1.1200939498995754</v>
      </c>
      <c r="K5361" s="15">
        <v>1.36325424554701</v>
      </c>
      <c r="L5361" s="15">
        <v>1.36325424554701</v>
      </c>
      <c r="M5361" s="15" t="s">
        <v>10</v>
      </c>
      <c r="N5361" s="15" t="s">
        <v>10</v>
      </c>
      <c r="O5361" s="15" t="s">
        <v>10</v>
      </c>
      <c r="P5361" s="15" t="s">
        <v>10</v>
      </c>
      <c r="Q5361" s="8"/>
      <c r="R5361" s="9" t="s">
        <v>4900</v>
      </c>
    </row>
    <row r="5362" spans="1:18" x14ac:dyDescent="0.25">
      <c r="A5362" s="6" t="str">
        <f>HYPERLINK("proteomic_fractions_linear_files/Yang_linear_img/109150414.jpg", "109150414")</f>
        <v>109150414</v>
      </c>
      <c r="B5362" s="7"/>
      <c r="C5362" s="6" t="str">
        <f>HYPERLINK("http://www.ncbi.nlm.nih.gov/protein/109150414","Pex10")</f>
        <v>Pex10</v>
      </c>
      <c r="D5362" s="8"/>
      <c r="E5362" s="8">
        <v>37026</v>
      </c>
      <c r="F5362" s="8"/>
      <c r="G5362" s="15" t="s">
        <v>10</v>
      </c>
      <c r="H5362" s="15" t="s">
        <v>10</v>
      </c>
      <c r="I5362" s="15">
        <v>0.86713710420901591</v>
      </c>
      <c r="J5362" s="15">
        <v>0.86713710420901591</v>
      </c>
      <c r="K5362" s="15" t="s">
        <v>10</v>
      </c>
      <c r="L5362" s="15" t="s">
        <v>10</v>
      </c>
      <c r="M5362" s="15">
        <v>1.3051344752544662</v>
      </c>
      <c r="N5362" s="15">
        <v>1.3051344752544662</v>
      </c>
      <c r="O5362" s="15" t="s">
        <v>10</v>
      </c>
      <c r="P5362" s="15" t="s">
        <v>10</v>
      </c>
      <c r="Q5362" s="8"/>
      <c r="R5362" s="9" t="s">
        <v>4901</v>
      </c>
    </row>
    <row r="5363" spans="1:18" x14ac:dyDescent="0.25">
      <c r="A5363" s="6" t="str">
        <f>HYPERLINK("proteomic_fractions_linear_files/Yang_linear_img/241666481.jpg", "241666481")</f>
        <v>241666481</v>
      </c>
      <c r="B5363" s="7"/>
      <c r="C5363" s="6" t="str">
        <f>HYPERLINK("http://www.ncbi.nlm.nih.gov/protein/241666481","Pex11b")</f>
        <v>Pex11b</v>
      </c>
      <c r="D5363" s="8"/>
      <c r="E5363" s="8">
        <v>28579</v>
      </c>
      <c r="F5363" s="8"/>
      <c r="G5363" s="15">
        <v>1.1914957424301789</v>
      </c>
      <c r="H5363" s="15">
        <v>1.1914957424301789</v>
      </c>
      <c r="I5363" s="15">
        <v>0.79688184050749811</v>
      </c>
      <c r="J5363" s="15">
        <v>0.79688184050749811</v>
      </c>
      <c r="K5363" s="15">
        <v>0.84671795218196266</v>
      </c>
      <c r="L5363" s="15">
        <v>0.84671795218196266</v>
      </c>
      <c r="M5363" s="15" t="s">
        <v>10</v>
      </c>
      <c r="N5363" s="15" t="s">
        <v>10</v>
      </c>
      <c r="O5363" s="15" t="s">
        <v>10</v>
      </c>
      <c r="P5363" s="15" t="s">
        <v>10</v>
      </c>
      <c r="Q5363" s="8"/>
      <c r="R5363" s="9" t="s">
        <v>4902</v>
      </c>
    </row>
    <row r="5364" spans="1:18" x14ac:dyDescent="0.25">
      <c r="A5364" s="6" t="str">
        <f>HYPERLINK("proteomic_fractions_linear_files/Yang_linear_img/241666485.jpg", "241666485")</f>
        <v>241666485</v>
      </c>
      <c r="B5364" s="7"/>
      <c r="C5364" s="6" t="str">
        <f>HYPERLINK("http://www.ncbi.nlm.nih.gov/protein/241666485","Pex11b")</f>
        <v>Pex11b</v>
      </c>
      <c r="D5364" s="8"/>
      <c r="E5364" s="8">
        <v>26872</v>
      </c>
      <c r="F5364" s="8"/>
      <c r="G5364" s="15">
        <v>1.2797546863138958</v>
      </c>
      <c r="H5364" s="15">
        <v>1.2797546863138958</v>
      </c>
      <c r="I5364" s="15">
        <v>0.855910124989535</v>
      </c>
      <c r="J5364" s="15">
        <v>0.855910124989535</v>
      </c>
      <c r="K5364" s="15">
        <v>0.90943780049173761</v>
      </c>
      <c r="L5364" s="15">
        <v>0.90943780049173761</v>
      </c>
      <c r="M5364" s="15" t="s">
        <v>10</v>
      </c>
      <c r="N5364" s="15" t="s">
        <v>10</v>
      </c>
      <c r="O5364" s="15" t="s">
        <v>10</v>
      </c>
      <c r="P5364" s="15" t="s">
        <v>10</v>
      </c>
      <c r="Q5364" s="8"/>
      <c r="R5364" s="9" t="s">
        <v>4903</v>
      </c>
    </row>
    <row r="5365" spans="1:18" x14ac:dyDescent="0.25">
      <c r="A5365" s="6" t="str">
        <f>HYPERLINK("proteomic_fractions_linear_files/Yang_linear_img/21735445.jpg", "21735445")</f>
        <v>21735445</v>
      </c>
      <c r="B5365" s="7"/>
      <c r="C5365" s="6" t="str">
        <f>HYPERLINK("http://www.ncbi.nlm.nih.gov/protein/21735445","Pex11g")</f>
        <v>Pex11g</v>
      </c>
      <c r="D5365" s="8"/>
      <c r="E5365" s="8">
        <v>27021</v>
      </c>
      <c r="F5365" s="8"/>
      <c r="G5365" s="15" t="s">
        <v>10</v>
      </c>
      <c r="H5365" s="15" t="s">
        <v>10</v>
      </c>
      <c r="I5365" s="15">
        <v>0.80724971372884269</v>
      </c>
      <c r="J5365" s="15">
        <v>0.80724971372884269</v>
      </c>
      <c r="K5365" s="15">
        <v>0.855910124989535</v>
      </c>
      <c r="L5365" s="15">
        <v>0.855910124989535</v>
      </c>
      <c r="M5365" s="15" t="s">
        <v>10</v>
      </c>
      <c r="N5365" s="15" t="s">
        <v>10</v>
      </c>
      <c r="O5365" s="15" t="s">
        <v>10</v>
      </c>
      <c r="P5365" s="15" t="s">
        <v>10</v>
      </c>
      <c r="Q5365" s="8"/>
      <c r="R5365" s="9" t="s">
        <v>4904</v>
      </c>
    </row>
    <row r="5366" spans="1:18" x14ac:dyDescent="0.25">
      <c r="A5366" s="6" t="str">
        <f>HYPERLINK("proteomic_fractions_linear_files/Yang_linear_img/9790153.jpg", "9790153")</f>
        <v>9790153</v>
      </c>
      <c r="B5366" s="7"/>
      <c r="C5366" s="6" t="str">
        <f>HYPERLINK("http://www.ncbi.nlm.nih.gov/protein/9790153","Pex14")</f>
        <v>Pex14</v>
      </c>
      <c r="D5366" s="8"/>
      <c r="E5366" s="8">
        <v>41077</v>
      </c>
      <c r="F5366" s="8"/>
      <c r="G5366" s="15" t="s">
        <v>10</v>
      </c>
      <c r="H5366" s="15" t="s">
        <v>10</v>
      </c>
      <c r="I5366" s="15">
        <v>1.4334928679413135</v>
      </c>
      <c r="J5366" s="15">
        <v>1.4334928679413135</v>
      </c>
      <c r="K5366" s="15">
        <v>1.4334928679413135</v>
      </c>
      <c r="L5366" s="15">
        <v>1.4334928679413135</v>
      </c>
      <c r="M5366" s="15" t="s">
        <v>10</v>
      </c>
      <c r="N5366" s="15" t="s">
        <v>10</v>
      </c>
      <c r="O5366" s="15" t="s">
        <v>10</v>
      </c>
      <c r="P5366" s="15" t="s">
        <v>10</v>
      </c>
      <c r="Q5366" s="8"/>
      <c r="R5366" s="9" t="s">
        <v>4905</v>
      </c>
    </row>
    <row r="5367" spans="1:18" x14ac:dyDescent="0.25">
      <c r="A5367" s="6" t="str">
        <f>HYPERLINK("proteomic_fractions_linear_files/Yang_linear_img/254750742.jpg", "254750742")</f>
        <v>254750742</v>
      </c>
      <c r="B5367" s="7"/>
      <c r="C5367" s="6" t="str">
        <f>HYPERLINK("http://www.ncbi.nlm.nih.gov/protein/254750742","Pex16")</f>
        <v>Pex16</v>
      </c>
      <c r="D5367" s="8"/>
      <c r="E5367" s="8">
        <v>38546</v>
      </c>
      <c r="F5367" s="8"/>
      <c r="G5367" s="15" t="s">
        <v>10</v>
      </c>
      <c r="H5367" s="15" t="s">
        <v>10</v>
      </c>
      <c r="I5367" s="15">
        <v>0.82266853476239965</v>
      </c>
      <c r="J5367" s="15">
        <v>0.82266853476239965</v>
      </c>
      <c r="K5367" s="15">
        <v>0.8859840136019278</v>
      </c>
      <c r="L5367" s="15">
        <v>0.8859840136019278</v>
      </c>
      <c r="M5367" s="15" t="s">
        <v>10</v>
      </c>
      <c r="N5367" s="15" t="s">
        <v>10</v>
      </c>
      <c r="O5367" s="15" t="s">
        <v>10</v>
      </c>
      <c r="P5367" s="15" t="s">
        <v>10</v>
      </c>
      <c r="Q5367" s="8"/>
      <c r="R5367" s="9" t="s">
        <v>4906</v>
      </c>
    </row>
    <row r="5368" spans="1:18" x14ac:dyDescent="0.25">
      <c r="A5368" s="6" t="str">
        <f>HYPERLINK("proteomic_fractions_linear_files/Yang_linear_img/226958492.jpg", "226958492")</f>
        <v>226958492</v>
      </c>
      <c r="B5368" s="7"/>
      <c r="C5368" s="6" t="str">
        <f>HYPERLINK("http://www.ncbi.nlm.nih.gov/protein/226958492","Pex19")</f>
        <v>Pex19</v>
      </c>
      <c r="D5368" s="8"/>
      <c r="E5368" s="8">
        <v>22643</v>
      </c>
      <c r="F5368" s="8"/>
      <c r="G5368" s="15" t="s">
        <v>10</v>
      </c>
      <c r="H5368" s="15" t="s">
        <v>10</v>
      </c>
      <c r="I5368" s="15" t="s">
        <v>10</v>
      </c>
      <c r="J5368" s="15" t="s">
        <v>10</v>
      </c>
      <c r="K5368" s="15">
        <v>1.5023207187163123</v>
      </c>
      <c r="L5368" s="15">
        <v>1.5023207187163123</v>
      </c>
      <c r="M5368" s="15" t="s">
        <v>10</v>
      </c>
      <c r="N5368" s="15" t="s">
        <v>10</v>
      </c>
      <c r="O5368" s="15">
        <v>1.2993655170310057</v>
      </c>
      <c r="P5368" s="15">
        <v>1.2993655170310057</v>
      </c>
      <c r="Q5368" s="8"/>
      <c r="R5368" s="9" t="s">
        <v>4907</v>
      </c>
    </row>
    <row r="5369" spans="1:18" x14ac:dyDescent="0.25">
      <c r="A5369" s="6" t="str">
        <f>HYPERLINK("proteomic_fractions_linear_files/Yang_linear_img/226958490.jpg", "226958490")</f>
        <v>226958490</v>
      </c>
      <c r="B5369" s="7"/>
      <c r="C5369" s="6" t="str">
        <f>HYPERLINK("http://www.ncbi.nlm.nih.gov/protein/226958490","Pex19")</f>
        <v>Pex19</v>
      </c>
      <c r="D5369" s="8"/>
      <c r="E5369" s="8">
        <v>32602</v>
      </c>
      <c r="F5369" s="8"/>
      <c r="G5369" s="15" t="s">
        <v>10</v>
      </c>
      <c r="H5369" s="15" t="s">
        <v>10</v>
      </c>
      <c r="I5369" s="15">
        <v>0.9722446319919269</v>
      </c>
      <c r="J5369" s="15">
        <v>0.9722446319919269</v>
      </c>
      <c r="K5369" s="15">
        <v>1.0470720160750056</v>
      </c>
      <c r="L5369" s="15">
        <v>1.0470720160750056</v>
      </c>
      <c r="M5369" s="15" t="s">
        <v>10</v>
      </c>
      <c r="N5369" s="15" t="s">
        <v>10</v>
      </c>
      <c r="O5369" s="15">
        <v>0.90561839065797367</v>
      </c>
      <c r="P5369" s="15">
        <v>0.90561839065797367</v>
      </c>
      <c r="Q5369" s="8"/>
      <c r="R5369" s="9" t="s">
        <v>4908</v>
      </c>
    </row>
    <row r="5370" spans="1:18" x14ac:dyDescent="0.25">
      <c r="A5370" s="6" t="str">
        <f>HYPERLINK("proteomic_fractions_linear_files/Yang_linear_img/255958309.jpg", "255958309")</f>
        <v>255958309</v>
      </c>
      <c r="B5370" s="7"/>
      <c r="C5370" s="6" t="str">
        <f>HYPERLINK("http://www.ncbi.nlm.nih.gov/protein/255958309","Pex3")</f>
        <v>Pex3</v>
      </c>
      <c r="D5370" s="8"/>
      <c r="E5370" s="8">
        <v>40508</v>
      </c>
      <c r="F5370" s="8"/>
      <c r="G5370" s="15" t="s">
        <v>10</v>
      </c>
      <c r="H5370" s="15" t="s">
        <v>10</v>
      </c>
      <c r="I5370" s="15">
        <v>0.84276528123110206</v>
      </c>
      <c r="J5370" s="15">
        <v>0.84276528123110206</v>
      </c>
      <c r="K5370" s="15">
        <v>0.91076405910059977</v>
      </c>
      <c r="L5370" s="15">
        <v>0.91076405910059977</v>
      </c>
      <c r="M5370" s="15" t="s">
        <v>10</v>
      </c>
      <c r="N5370" s="15" t="s">
        <v>10</v>
      </c>
      <c r="O5370" s="15" t="s">
        <v>10</v>
      </c>
      <c r="P5370" s="15" t="s">
        <v>10</v>
      </c>
      <c r="Q5370" s="8"/>
      <c r="R5370" s="9" t="s">
        <v>4909</v>
      </c>
    </row>
    <row r="5371" spans="1:18" x14ac:dyDescent="0.25">
      <c r="A5371" s="6" t="str">
        <f>HYPERLINK("proteomic_fractions_linear_files/Yang_linear_img/9910484.jpg", "9910484")</f>
        <v>9910484</v>
      </c>
      <c r="B5371" s="7"/>
      <c r="C5371" s="6" t="str">
        <f>HYPERLINK("http://www.ncbi.nlm.nih.gov/protein/9910484","Pex3")</f>
        <v>Pex3</v>
      </c>
      <c r="D5371" s="8"/>
      <c r="E5371" s="8">
        <v>42093</v>
      </c>
      <c r="F5371" s="8"/>
      <c r="G5371" s="15" t="s">
        <v>10</v>
      </c>
      <c r="H5371" s="15" t="s">
        <v>10</v>
      </c>
      <c r="I5371" s="15">
        <v>0.82269944120179006</v>
      </c>
      <c r="J5371" s="15">
        <v>0.82269944120179006</v>
      </c>
      <c r="K5371" s="15">
        <v>0.88907920055058554</v>
      </c>
      <c r="L5371" s="15">
        <v>0.88907920055058554</v>
      </c>
      <c r="M5371" s="15" t="s">
        <v>10</v>
      </c>
      <c r="N5371" s="15" t="s">
        <v>10</v>
      </c>
      <c r="O5371" s="15" t="s">
        <v>10</v>
      </c>
      <c r="P5371" s="15" t="s">
        <v>10</v>
      </c>
      <c r="Q5371" s="8"/>
      <c r="R5371" s="9" t="s">
        <v>4910</v>
      </c>
    </row>
    <row r="5372" spans="1:18" x14ac:dyDescent="0.25">
      <c r="A5372" s="6" t="str">
        <f>HYPERLINK("proteomic_fractions_linear_files/Yang_linear_img/21703962.jpg", "21703962")</f>
        <v>21703962</v>
      </c>
      <c r="B5372" s="7"/>
      <c r="C5372" s="6" t="str">
        <f>HYPERLINK("http://www.ncbi.nlm.nih.gov/protein/21703962","Pex6")</f>
        <v>Pex6</v>
      </c>
      <c r="D5372" s="8"/>
      <c r="E5372" s="8">
        <v>104418</v>
      </c>
      <c r="F5372" s="8"/>
      <c r="G5372" s="15" t="s">
        <v>10</v>
      </c>
      <c r="H5372" s="15" t="s">
        <v>10</v>
      </c>
      <c r="I5372" s="15">
        <v>1.0557842675108795</v>
      </c>
      <c r="J5372" s="15">
        <v>1.0557842675108795</v>
      </c>
      <c r="K5372" s="15" t="s">
        <v>10</v>
      </c>
      <c r="L5372" s="15" t="s">
        <v>10</v>
      </c>
      <c r="M5372" s="15">
        <v>1.7958253042301957</v>
      </c>
      <c r="N5372" s="15">
        <v>1.7958253042301957</v>
      </c>
      <c r="O5372" s="15" t="s">
        <v>10</v>
      </c>
      <c r="P5372" s="15" t="s">
        <v>10</v>
      </c>
      <c r="Q5372" s="8"/>
      <c r="R5372" s="9" t="s">
        <v>4911</v>
      </c>
    </row>
    <row r="5373" spans="1:18" x14ac:dyDescent="0.25">
      <c r="A5373" s="6" t="str">
        <f>HYPERLINK("proteomic_fractions_linear_files/Yang_linear_img/240120097.jpg", "240120097")</f>
        <v>240120097</v>
      </c>
      <c r="B5373" s="7"/>
      <c r="C5373" s="6" t="str">
        <f>HYPERLINK("http://www.ncbi.nlm.nih.gov/protein/240120097","Pex7")</f>
        <v>Pex7</v>
      </c>
      <c r="D5373" s="8"/>
      <c r="E5373" s="8">
        <v>32435</v>
      </c>
      <c r="F5373" s="8"/>
      <c r="G5373" s="15" t="s">
        <v>10</v>
      </c>
      <c r="H5373" s="15" t="s">
        <v>10</v>
      </c>
      <c r="I5373" s="15" t="s">
        <v>10</v>
      </c>
      <c r="J5373" s="15" t="s">
        <v>10</v>
      </c>
      <c r="K5373" s="15" t="s">
        <v>10</v>
      </c>
      <c r="L5373" s="15" t="s">
        <v>10</v>
      </c>
      <c r="M5373" s="15" t="s">
        <v>10</v>
      </c>
      <c r="N5373" s="15" t="s">
        <v>10</v>
      </c>
      <c r="O5373" s="15">
        <v>1.0026272767416746</v>
      </c>
      <c r="P5373" s="15">
        <v>1.0026272767416746</v>
      </c>
      <c r="Q5373" s="8"/>
      <c r="R5373" s="9" t="s">
        <v>4912</v>
      </c>
    </row>
    <row r="5374" spans="1:18" x14ac:dyDescent="0.25">
      <c r="A5374" s="6" t="str">
        <f>HYPERLINK("proteomic_fractions_linear_files/Yang_linear_img/6679283.jpg", "6679283")</f>
        <v>6679283</v>
      </c>
      <c r="B5374" s="7"/>
      <c r="C5374" s="6" t="str">
        <f>HYPERLINK("http://www.ncbi.nlm.nih.gov/protein/6679283","Pex7")</f>
        <v>Pex7</v>
      </c>
      <c r="D5374" s="8"/>
      <c r="E5374" s="8">
        <v>35371</v>
      </c>
      <c r="F5374" s="8"/>
      <c r="G5374" s="15" t="s">
        <v>10</v>
      </c>
      <c r="H5374" s="15" t="s">
        <v>10</v>
      </c>
      <c r="I5374" s="15" t="s">
        <v>10</v>
      </c>
      <c r="J5374" s="15" t="s">
        <v>10</v>
      </c>
      <c r="K5374" s="15" t="s">
        <v>10</v>
      </c>
      <c r="L5374" s="15" t="s">
        <v>10</v>
      </c>
      <c r="M5374" s="15" t="s">
        <v>10</v>
      </c>
      <c r="N5374" s="15" t="s">
        <v>10</v>
      </c>
      <c r="O5374" s="15">
        <v>0.91668779587810256</v>
      </c>
      <c r="P5374" s="15">
        <v>0.91668779587810256</v>
      </c>
      <c r="Q5374" s="8"/>
      <c r="R5374" s="9" t="s">
        <v>4913</v>
      </c>
    </row>
    <row r="5375" spans="1:18" x14ac:dyDescent="0.25">
      <c r="A5375" s="6" t="str">
        <f>HYPERLINK("proteomic_fractions_linear_files/Yang_linear_img/226958458.jpg", "226958458")</f>
        <v>226958458</v>
      </c>
      <c r="B5375" s="7"/>
      <c r="C5375" s="6" t="str">
        <f>HYPERLINK("http://www.ncbi.nlm.nih.gov/protein/226958458","Pfas")</f>
        <v>Pfas</v>
      </c>
      <c r="D5375" s="8"/>
      <c r="E5375" s="8">
        <v>144499</v>
      </c>
      <c r="F5375" s="8"/>
      <c r="G5375" s="15">
        <v>1.2969849419440302</v>
      </c>
      <c r="H5375" s="15">
        <v>1.2969849419440302</v>
      </c>
      <c r="I5375" s="15">
        <v>1.065644938446124</v>
      </c>
      <c r="J5375" s="15">
        <v>1.065644938446124</v>
      </c>
      <c r="K5375" s="15">
        <v>1.2969849419440302</v>
      </c>
      <c r="L5375" s="15">
        <v>1.2969849419440302</v>
      </c>
      <c r="M5375" s="15">
        <v>1.2969849419440302</v>
      </c>
      <c r="N5375" s="15">
        <v>1.2969849419440302</v>
      </c>
      <c r="O5375" s="15">
        <v>1.2969849419440302</v>
      </c>
      <c r="P5375" s="15">
        <v>1.2969849419440302</v>
      </c>
      <c r="Q5375" s="8"/>
      <c r="R5375" s="9" t="s">
        <v>4914</v>
      </c>
    </row>
    <row r="5376" spans="1:18" x14ac:dyDescent="0.25">
      <c r="A5376" s="6" t="str">
        <f>HYPERLINK("proteomic_fractions_linear_files/Yang_linear_img/13385532.jpg", "13385532")</f>
        <v>13385532</v>
      </c>
      <c r="B5376" s="7"/>
      <c r="C5376" s="6" t="str">
        <f>HYPERLINK("http://www.ncbi.nlm.nih.gov/protein/13385532","Pfdn1")</f>
        <v>Pfdn1</v>
      </c>
      <c r="D5376" s="8"/>
      <c r="E5376" s="8">
        <v>14124</v>
      </c>
      <c r="F5376" s="8"/>
      <c r="G5376" s="15" t="s">
        <v>10</v>
      </c>
      <c r="H5376" s="15" t="s">
        <v>10</v>
      </c>
      <c r="I5376" s="15">
        <v>0.99184646428118928</v>
      </c>
      <c r="J5376" s="15">
        <v>0.99184646428118928</v>
      </c>
      <c r="K5376" s="15">
        <v>1.0369624087050249</v>
      </c>
      <c r="L5376" s="15">
        <v>1.0369624087050249</v>
      </c>
      <c r="M5376" s="15">
        <v>1.0369624087050249</v>
      </c>
      <c r="N5376" s="15">
        <v>1.0369624087050249</v>
      </c>
      <c r="O5376" s="15">
        <v>0.94979028735725246</v>
      </c>
      <c r="P5376" s="15">
        <v>0.94979028735725246</v>
      </c>
      <c r="Q5376" s="8"/>
      <c r="R5376" s="9" t="s">
        <v>4915</v>
      </c>
    </row>
    <row r="5377" spans="1:18" x14ac:dyDescent="0.25">
      <c r="A5377" s="6" t="str">
        <f>HYPERLINK("proteomic_fractions_linear_files/Yang_linear_img/31981577.jpg", "31981577")</f>
        <v>31981577</v>
      </c>
      <c r="B5377" s="7"/>
      <c r="C5377" s="6" t="str">
        <f>HYPERLINK("http://www.ncbi.nlm.nih.gov/protein/31981577","Pfdn2")</f>
        <v>Pfdn2</v>
      </c>
      <c r="D5377" s="8"/>
      <c r="E5377" s="8">
        <v>16403</v>
      </c>
      <c r="F5377" s="8"/>
      <c r="G5377" s="15" t="s">
        <v>10</v>
      </c>
      <c r="H5377" s="15" t="s">
        <v>10</v>
      </c>
      <c r="I5377" s="15">
        <v>1.0447796575379389</v>
      </c>
      <c r="J5377" s="15">
        <v>1.0447796575379389</v>
      </c>
      <c r="K5377" s="15">
        <v>1.0981212353349354</v>
      </c>
      <c r="L5377" s="15">
        <v>1.0981212353349354</v>
      </c>
      <c r="M5377" s="15">
        <v>1.0981212353349354</v>
      </c>
      <c r="N5377" s="15">
        <v>1.0981212353349354</v>
      </c>
      <c r="O5377" s="15">
        <v>1.0447796575379389</v>
      </c>
      <c r="P5377" s="15">
        <v>1.0447796575379389</v>
      </c>
      <c r="Q5377" s="8"/>
      <c r="R5377" s="9" t="s">
        <v>4916</v>
      </c>
    </row>
    <row r="5378" spans="1:18" x14ac:dyDescent="0.25">
      <c r="A5378" s="6" t="str">
        <f>HYPERLINK("proteomic_fractions_linear_files/Yang_linear_img/158711747.jpg", "158711747")</f>
        <v>158711747</v>
      </c>
      <c r="B5378" s="7"/>
      <c r="C5378" s="6" t="str">
        <f>HYPERLINK("http://www.ncbi.nlm.nih.gov/protein/158711747","Pfdn4")</f>
        <v>Pfdn4</v>
      </c>
      <c r="D5378" s="8"/>
      <c r="E5378" s="8">
        <v>15107</v>
      </c>
      <c r="F5378" s="8"/>
      <c r="G5378" s="15" t="s">
        <v>10</v>
      </c>
      <c r="H5378" s="15" t="s">
        <v>10</v>
      </c>
      <c r="I5378" s="15" t="s">
        <v>10</v>
      </c>
      <c r="J5378" s="15" t="s">
        <v>10</v>
      </c>
      <c r="K5378" s="15">
        <v>1.0618294522121183</v>
      </c>
      <c r="L5378" s="15">
        <v>1.0618294522121183</v>
      </c>
      <c r="M5378" s="15">
        <v>1.0618294522121183</v>
      </c>
      <c r="N5378" s="15">
        <v>1.0618294522121183</v>
      </c>
      <c r="O5378" s="15">
        <v>1.0130892195876191</v>
      </c>
      <c r="P5378" s="15">
        <v>1.0130892195876191</v>
      </c>
      <c r="Q5378" s="8"/>
      <c r="R5378" s="9" t="s">
        <v>4917</v>
      </c>
    </row>
    <row r="5379" spans="1:18" x14ac:dyDescent="0.25">
      <c r="A5379" s="6" t="str">
        <f>HYPERLINK("proteomic_fractions_linear_files/Yang_linear_img/315507139.jpg", "315507139")</f>
        <v>315507139</v>
      </c>
      <c r="B5379" s="7"/>
      <c r="C5379" s="6" t="str">
        <f>HYPERLINK("http://www.ncbi.nlm.nih.gov/protein/315507139","Pfdn4")</f>
        <v>Pfdn4</v>
      </c>
      <c r="D5379" s="8"/>
      <c r="E5379" s="8">
        <v>14600</v>
      </c>
      <c r="F5379" s="8"/>
      <c r="G5379" s="15" t="s">
        <v>10</v>
      </c>
      <c r="H5379" s="15" t="s">
        <v>10</v>
      </c>
      <c r="I5379" s="15" t="s">
        <v>10</v>
      </c>
      <c r="J5379" s="15" t="s">
        <v>10</v>
      </c>
      <c r="K5379" s="15">
        <v>1.0618294522121183</v>
      </c>
      <c r="L5379" s="15">
        <v>1.0618294522121183</v>
      </c>
      <c r="M5379" s="15">
        <v>1.0618294522121183</v>
      </c>
      <c r="N5379" s="15">
        <v>1.0618294522121183</v>
      </c>
      <c r="O5379" s="15">
        <v>1.0130892195876191</v>
      </c>
      <c r="P5379" s="15">
        <v>1.0130892195876191</v>
      </c>
      <c r="Q5379" s="8"/>
      <c r="R5379" s="9" t="s">
        <v>4918</v>
      </c>
    </row>
    <row r="5380" spans="1:18" x14ac:dyDescent="0.25">
      <c r="A5380" s="6" t="str">
        <f>HYPERLINK("proteomic_fractions_linear_files/Yang_linear_img/61656178.jpg", "61656178")</f>
        <v>61656178</v>
      </c>
      <c r="B5380" s="7"/>
      <c r="C5380" s="6" t="str">
        <f>HYPERLINK("http://www.ncbi.nlm.nih.gov/protein/61656178","Pfdn4")</f>
        <v>Pfdn4</v>
      </c>
      <c r="D5380" s="8"/>
      <c r="E5380" s="8">
        <v>8574</v>
      </c>
      <c r="F5380" s="8"/>
      <c r="G5380" s="15" t="s">
        <v>10</v>
      </c>
      <c r="H5380" s="15" t="s">
        <v>10</v>
      </c>
      <c r="I5380" s="15" t="s">
        <v>10</v>
      </c>
      <c r="J5380" s="15" t="s">
        <v>10</v>
      </c>
      <c r="K5380" s="15">
        <v>1.769715753686864</v>
      </c>
      <c r="L5380" s="15">
        <v>1.769715753686864</v>
      </c>
      <c r="M5380" s="15">
        <v>1.769715753686864</v>
      </c>
      <c r="N5380" s="15">
        <v>1.769715753686864</v>
      </c>
      <c r="O5380" s="15">
        <v>1.6884820326460317</v>
      </c>
      <c r="P5380" s="15">
        <v>1.6884820326460317</v>
      </c>
      <c r="Q5380" s="8"/>
      <c r="R5380" s="9" t="s">
        <v>4919</v>
      </c>
    </row>
    <row r="5381" spans="1:18" x14ac:dyDescent="0.25">
      <c r="A5381" s="6" t="str">
        <f>HYPERLINK("proteomic_fractions_linear_files/Yang_linear_img/55741463.jpg", "55741463")</f>
        <v>55741463</v>
      </c>
      <c r="B5381" s="7"/>
      <c r="C5381" s="6" t="str">
        <f>HYPERLINK("http://www.ncbi.nlm.nih.gov/protein/55741463","Pfdn5")</f>
        <v>Pfdn5</v>
      </c>
      <c r="D5381" s="8"/>
      <c r="E5381" s="8">
        <v>17225</v>
      </c>
      <c r="F5381" s="8"/>
      <c r="G5381" s="15" t="s">
        <v>10</v>
      </c>
      <c r="H5381" s="15" t="s">
        <v>10</v>
      </c>
      <c r="I5381" s="15">
        <v>0.93690834018716329</v>
      </c>
      <c r="J5381" s="15">
        <v>0.93690834018716329</v>
      </c>
      <c r="K5381" s="15">
        <v>0.93690834018716329</v>
      </c>
      <c r="L5381" s="15">
        <v>0.93690834018716329</v>
      </c>
      <c r="M5381" s="15">
        <v>0.98332203062394252</v>
      </c>
      <c r="N5381" s="15">
        <v>0.98332203062394252</v>
      </c>
      <c r="O5381" s="15">
        <v>0.89390225257731093</v>
      </c>
      <c r="P5381" s="15">
        <v>0.93690834018716329</v>
      </c>
      <c r="Q5381" s="8"/>
      <c r="R5381" s="9" t="s">
        <v>4920</v>
      </c>
    </row>
    <row r="5382" spans="1:18" x14ac:dyDescent="0.25">
      <c r="A5382" s="6" t="str">
        <f>HYPERLINK("proteomic_fractions_linear_files/Yang_linear_img/295293207.jpg", "295293207")</f>
        <v>295293207</v>
      </c>
      <c r="B5382" s="7"/>
      <c r="C5382" s="6" t="str">
        <f>HYPERLINK("http://www.ncbi.nlm.nih.gov/protein/295293207","Pfkfb3")</f>
        <v>Pfkfb3</v>
      </c>
      <c r="D5382" s="8"/>
      <c r="E5382" s="8">
        <v>53350</v>
      </c>
      <c r="F5382" s="8"/>
      <c r="G5382" s="15" t="s">
        <v>10</v>
      </c>
      <c r="H5382" s="15" t="s">
        <v>10</v>
      </c>
      <c r="I5382" s="15" t="s">
        <v>10</v>
      </c>
      <c r="J5382" s="15" t="s">
        <v>10</v>
      </c>
      <c r="K5382" s="15" t="s">
        <v>10</v>
      </c>
      <c r="L5382" s="15" t="s">
        <v>10</v>
      </c>
      <c r="M5382" s="15" t="s">
        <v>10</v>
      </c>
      <c r="N5382" s="15" t="s">
        <v>10</v>
      </c>
      <c r="O5382" s="15">
        <v>1.0022748986792656</v>
      </c>
      <c r="P5382" s="15">
        <v>1.0022748986792656</v>
      </c>
      <c r="Q5382" s="8"/>
      <c r="R5382" s="9" t="s">
        <v>4921</v>
      </c>
    </row>
    <row r="5383" spans="1:18" x14ac:dyDescent="0.25">
      <c r="A5383" s="6" t="str">
        <f>HYPERLINK("proteomic_fractions_linear_files/Yang_linear_img/295293209.jpg", "295293209")</f>
        <v>295293209</v>
      </c>
      <c r="B5383" s="7"/>
      <c r="C5383" s="6" t="str">
        <f>HYPERLINK("http://www.ncbi.nlm.nih.gov/protein/295293209","Pfkfb3")</f>
        <v>Pfkfb3</v>
      </c>
      <c r="D5383" s="8"/>
      <c r="E5383" s="8">
        <v>63522</v>
      </c>
      <c r="F5383" s="8"/>
      <c r="G5383" s="15" t="s">
        <v>10</v>
      </c>
      <c r="H5383" s="15" t="s">
        <v>10</v>
      </c>
      <c r="I5383" s="15" t="s">
        <v>10</v>
      </c>
      <c r="J5383" s="15" t="s">
        <v>10</v>
      </c>
      <c r="K5383" s="15" t="s">
        <v>10</v>
      </c>
      <c r="L5383" s="15" t="s">
        <v>10</v>
      </c>
      <c r="M5383" s="15" t="s">
        <v>10</v>
      </c>
      <c r="N5383" s="15" t="s">
        <v>10</v>
      </c>
      <c r="O5383" s="15">
        <v>0.83000890046876685</v>
      </c>
      <c r="P5383" s="15">
        <v>0.83000890046876685</v>
      </c>
      <c r="Q5383" s="8"/>
      <c r="R5383" s="9" t="s">
        <v>4922</v>
      </c>
    </row>
    <row r="5384" spans="1:18" x14ac:dyDescent="0.25">
      <c r="A5384" s="6" t="str">
        <f>HYPERLINK("proteomic_fractions_linear_files/Yang_linear_img/295293211.jpg", "295293211")</f>
        <v>295293211</v>
      </c>
      <c r="B5384" s="7"/>
      <c r="C5384" s="6" t="str">
        <f>HYPERLINK("http://www.ncbi.nlm.nih.gov/protein/295293211","Pfkfb3")</f>
        <v>Pfkfb3</v>
      </c>
      <c r="D5384" s="8"/>
      <c r="E5384" s="8">
        <v>62775</v>
      </c>
      <c r="F5384" s="8"/>
      <c r="G5384" s="15" t="s">
        <v>10</v>
      </c>
      <c r="H5384" s="15" t="s">
        <v>10</v>
      </c>
      <c r="I5384" s="15" t="s">
        <v>10</v>
      </c>
      <c r="J5384" s="15" t="s">
        <v>10</v>
      </c>
      <c r="K5384" s="15" t="s">
        <v>10</v>
      </c>
      <c r="L5384" s="15" t="s">
        <v>10</v>
      </c>
      <c r="M5384" s="15" t="s">
        <v>10</v>
      </c>
      <c r="N5384" s="15" t="s">
        <v>10</v>
      </c>
      <c r="O5384" s="15">
        <v>0.84318364492065201</v>
      </c>
      <c r="P5384" s="15">
        <v>0.84318364492065201</v>
      </c>
      <c r="Q5384" s="8"/>
      <c r="R5384" s="9" t="s">
        <v>4923</v>
      </c>
    </row>
    <row r="5385" spans="1:18" x14ac:dyDescent="0.25">
      <c r="A5385" s="6" t="str">
        <f>HYPERLINK("proteomic_fractions_linear_files/Yang_linear_img/295293213.jpg", "295293213")</f>
        <v>295293213</v>
      </c>
      <c r="B5385" s="7"/>
      <c r="C5385" s="6" t="str">
        <f>HYPERLINK("http://www.ncbi.nlm.nih.gov/protein/295293213","Pfkfb3")</f>
        <v>Pfkfb3</v>
      </c>
      <c r="D5385" s="8"/>
      <c r="E5385" s="8">
        <v>58836</v>
      </c>
      <c r="F5385" s="8"/>
      <c r="G5385" s="15" t="s">
        <v>10</v>
      </c>
      <c r="H5385" s="15" t="s">
        <v>10</v>
      </c>
      <c r="I5385" s="15" t="s">
        <v>10</v>
      </c>
      <c r="J5385" s="15" t="s">
        <v>10</v>
      </c>
      <c r="K5385" s="15" t="s">
        <v>10</v>
      </c>
      <c r="L5385" s="15" t="s">
        <v>10</v>
      </c>
      <c r="M5385" s="15" t="s">
        <v>10</v>
      </c>
      <c r="N5385" s="15" t="s">
        <v>10</v>
      </c>
      <c r="O5385" s="15">
        <v>0.90034863779662844</v>
      </c>
      <c r="P5385" s="15">
        <v>0.90034863779662844</v>
      </c>
      <c r="Q5385" s="8"/>
      <c r="R5385" s="9" t="s">
        <v>4924</v>
      </c>
    </row>
    <row r="5386" spans="1:18" x14ac:dyDescent="0.25">
      <c r="A5386" s="6" t="str">
        <f>HYPERLINK("proteomic_fractions_linear_files/Yang_linear_img/295293215.jpg", "295293215")</f>
        <v>295293215</v>
      </c>
      <c r="B5386" s="7"/>
      <c r="C5386" s="6" t="str">
        <f>HYPERLINK("http://www.ncbi.nlm.nih.gov/protein/295293215","Pfkfb3")</f>
        <v>Pfkfb3</v>
      </c>
      <c r="D5386" s="8"/>
      <c r="E5386" s="8">
        <v>62070</v>
      </c>
      <c r="F5386" s="8"/>
      <c r="G5386" s="15" t="s">
        <v>10</v>
      </c>
      <c r="H5386" s="15" t="s">
        <v>10</v>
      </c>
      <c r="I5386" s="15" t="s">
        <v>10</v>
      </c>
      <c r="J5386" s="15" t="s">
        <v>10</v>
      </c>
      <c r="K5386" s="15" t="s">
        <v>10</v>
      </c>
      <c r="L5386" s="15" t="s">
        <v>10</v>
      </c>
      <c r="M5386" s="15" t="s">
        <v>10</v>
      </c>
      <c r="N5386" s="15" t="s">
        <v>10</v>
      </c>
      <c r="O5386" s="15">
        <v>0.85678338112904961</v>
      </c>
      <c r="P5386" s="15">
        <v>0.85678338112904961</v>
      </c>
      <c r="Q5386" s="8"/>
      <c r="R5386" s="9" t="s">
        <v>4925</v>
      </c>
    </row>
    <row r="5387" spans="1:18" x14ac:dyDescent="0.25">
      <c r="A5387" s="6" t="str">
        <f>HYPERLINK("proteomic_fractions_linear_files/Yang_linear_img/295293217.jpg", "295293217")</f>
        <v>295293217</v>
      </c>
      <c r="B5387" s="7"/>
      <c r="C5387" s="6" t="str">
        <f>HYPERLINK("http://www.ncbi.nlm.nih.gov/protein/295293217","Pfkfb3")</f>
        <v>Pfkfb3</v>
      </c>
      <c r="D5387" s="8"/>
      <c r="E5387" s="8">
        <v>60287</v>
      </c>
      <c r="F5387" s="8"/>
      <c r="G5387" s="15" t="s">
        <v>10</v>
      </c>
      <c r="H5387" s="15" t="s">
        <v>10</v>
      </c>
      <c r="I5387" s="15" t="s">
        <v>10</v>
      </c>
      <c r="J5387" s="15" t="s">
        <v>10</v>
      </c>
      <c r="K5387" s="15" t="s">
        <v>10</v>
      </c>
      <c r="L5387" s="15" t="s">
        <v>10</v>
      </c>
      <c r="M5387" s="15" t="s">
        <v>10</v>
      </c>
      <c r="N5387" s="15" t="s">
        <v>10</v>
      </c>
      <c r="O5387" s="15">
        <v>0.88534282716668466</v>
      </c>
      <c r="P5387" s="15">
        <v>0.88534282716668466</v>
      </c>
      <c r="Q5387" s="8"/>
      <c r="R5387" s="9" t="s">
        <v>4926</v>
      </c>
    </row>
    <row r="5388" spans="1:18" x14ac:dyDescent="0.25">
      <c r="A5388" s="6" t="str">
        <f>HYPERLINK("proteomic_fractions_linear_files/Yang_linear_img/295293220.jpg", "295293220")</f>
        <v>295293220</v>
      </c>
      <c r="B5388" s="7"/>
      <c r="C5388" s="6" t="str">
        <f>HYPERLINK("http://www.ncbi.nlm.nih.gov/protein/295293220","Pfkfb3")</f>
        <v>Pfkfb3</v>
      </c>
      <c r="D5388" s="8"/>
      <c r="E5388" s="8">
        <v>57219</v>
      </c>
      <c r="F5388" s="8"/>
      <c r="G5388" s="15" t="s">
        <v>10</v>
      </c>
      <c r="H5388" s="15" t="s">
        <v>10</v>
      </c>
      <c r="I5388" s="15" t="s">
        <v>10</v>
      </c>
      <c r="J5388" s="15" t="s">
        <v>10</v>
      </c>
      <c r="K5388" s="15" t="s">
        <v>10</v>
      </c>
      <c r="L5388" s="15" t="s">
        <v>10</v>
      </c>
      <c r="M5388" s="15" t="s">
        <v>10</v>
      </c>
      <c r="N5388" s="15" t="s">
        <v>10</v>
      </c>
      <c r="O5388" s="15">
        <v>0.93193981807019433</v>
      </c>
      <c r="P5388" s="15">
        <v>0.93193981807019433</v>
      </c>
      <c r="Q5388" s="8"/>
      <c r="R5388" s="9" t="s">
        <v>4927</v>
      </c>
    </row>
    <row r="5389" spans="1:18" x14ac:dyDescent="0.25">
      <c r="A5389" s="6" t="str">
        <f>HYPERLINK("proteomic_fractions_linear_files/Yang_linear_img/87298847.jpg", "87298847")</f>
        <v>87298847</v>
      </c>
      <c r="B5389" s="7"/>
      <c r="C5389" s="6" t="str">
        <f>HYPERLINK("http://www.ncbi.nlm.nih.gov/protein/87298847","Pfkfb3")</f>
        <v>Pfkfb3</v>
      </c>
      <c r="D5389" s="8"/>
      <c r="E5389" s="8">
        <v>59540</v>
      </c>
      <c r="F5389" s="8"/>
      <c r="G5389" s="15" t="s">
        <v>10</v>
      </c>
      <c r="H5389" s="15" t="s">
        <v>10</v>
      </c>
      <c r="I5389" s="15" t="s">
        <v>10</v>
      </c>
      <c r="J5389" s="15" t="s">
        <v>10</v>
      </c>
      <c r="K5389" s="15" t="s">
        <v>10</v>
      </c>
      <c r="L5389" s="15" t="s">
        <v>10</v>
      </c>
      <c r="M5389" s="15" t="s">
        <v>10</v>
      </c>
      <c r="N5389" s="15" t="s">
        <v>10</v>
      </c>
      <c r="O5389" s="15">
        <v>0.88534282716668466</v>
      </c>
      <c r="P5389" s="15">
        <v>0.88534282716668466</v>
      </c>
      <c r="Q5389" s="8"/>
      <c r="R5389" s="9" t="s">
        <v>4928</v>
      </c>
    </row>
    <row r="5390" spans="1:18" x14ac:dyDescent="0.25">
      <c r="A5390" s="6" t="str">
        <f>HYPERLINK("proteomic_fractions_linear_files/Yang_linear_img/31560653.jpg", "31560653")</f>
        <v>31560653</v>
      </c>
      <c r="B5390" s="7"/>
      <c r="C5390" s="6" t="str">
        <f>HYPERLINK("http://www.ncbi.nlm.nih.gov/protein/31560653","Pfkl")</f>
        <v>Pfkl</v>
      </c>
      <c r="D5390" s="8"/>
      <c r="E5390" s="8">
        <v>85229</v>
      </c>
      <c r="F5390" s="8"/>
      <c r="G5390" s="15">
        <v>1.1172703668539354</v>
      </c>
      <c r="H5390" s="15">
        <v>1.1172703668539354</v>
      </c>
      <c r="I5390" s="15">
        <v>0.97763127615463363</v>
      </c>
      <c r="J5390" s="15">
        <v>0.97763127615463363</v>
      </c>
      <c r="K5390" s="15">
        <v>1.1172703668539354</v>
      </c>
      <c r="L5390" s="15">
        <v>1.1172703668539354</v>
      </c>
      <c r="M5390" s="15">
        <v>0.97763127615463363</v>
      </c>
      <c r="N5390" s="15">
        <v>0.97763127615463363</v>
      </c>
      <c r="O5390" s="15">
        <v>0.97763127615463363</v>
      </c>
      <c r="P5390" s="15">
        <v>0.97763127615463363</v>
      </c>
      <c r="Q5390" s="8"/>
      <c r="R5390" s="9" t="s">
        <v>4929</v>
      </c>
    </row>
    <row r="5391" spans="1:18" x14ac:dyDescent="0.25">
      <c r="A5391" s="6" t="str">
        <f>HYPERLINK("proteomic_fractions_linear_files/Yang_linear_img/254553348;254553344.jpg", "254553348;254553344")</f>
        <v>254553348;254553344</v>
      </c>
      <c r="B5391" s="8"/>
      <c r="C5391" s="6" t="str">
        <f>HYPERLINK("http://www.ncbi.nlm.nih.gov/protein/254553348;254553344","Pfkm")</f>
        <v>Pfkm</v>
      </c>
      <c r="D5391" s="8"/>
      <c r="E5391" s="8">
        <v>85138</v>
      </c>
      <c r="F5391" s="8"/>
      <c r="G5391" s="15">
        <v>1.1172703668539354</v>
      </c>
      <c r="H5391" s="15">
        <v>1.1172703668539354</v>
      </c>
      <c r="I5391" s="15">
        <v>0.97763127615463363</v>
      </c>
      <c r="J5391" s="15">
        <v>0.97763127615463363</v>
      </c>
      <c r="K5391" s="15">
        <v>1.1172703668539354</v>
      </c>
      <c r="L5391" s="15">
        <v>1.1172703668539354</v>
      </c>
      <c r="M5391" s="15">
        <v>1.1172703668539354</v>
      </c>
      <c r="N5391" s="15">
        <v>1.1172703668539354</v>
      </c>
      <c r="O5391" s="15">
        <v>0.97763127615463363</v>
      </c>
      <c r="P5391" s="15">
        <v>0.97763127615463363</v>
      </c>
      <c r="Q5391" s="8"/>
      <c r="R5391" s="9" t="s">
        <v>4930</v>
      </c>
    </row>
    <row r="5392" spans="1:18" x14ac:dyDescent="0.25">
      <c r="A5392" s="6" t="str">
        <f>HYPERLINK("proteomic_fractions_linear_files/Yang_linear_img/9790051.jpg", "9790051")</f>
        <v>9790051</v>
      </c>
      <c r="B5392" s="7"/>
      <c r="C5392" s="6" t="str">
        <f>HYPERLINK("http://www.ncbi.nlm.nih.gov/protein/9790051","Pfkp")</f>
        <v>Pfkp</v>
      </c>
      <c r="D5392" s="8"/>
      <c r="E5392" s="8">
        <v>85324</v>
      </c>
      <c r="F5392" s="8"/>
      <c r="G5392" s="15">
        <v>1.2917831037780172</v>
      </c>
      <c r="H5392" s="15">
        <v>1.2917831037780172</v>
      </c>
      <c r="I5392" s="15">
        <v>1.1172703668539354</v>
      </c>
      <c r="J5392" s="15">
        <v>1.1172703668539354</v>
      </c>
      <c r="K5392" s="15">
        <v>1.1172703668539354</v>
      </c>
      <c r="L5392" s="15">
        <v>1.1172703668539354</v>
      </c>
      <c r="M5392" s="15">
        <v>1.1172703668539354</v>
      </c>
      <c r="N5392" s="15">
        <v>1.1172703668539354</v>
      </c>
      <c r="O5392" s="15">
        <v>0.97763127615463363</v>
      </c>
      <c r="P5392" s="15">
        <v>0.97763127615463363</v>
      </c>
      <c r="Q5392" s="8"/>
      <c r="R5392" s="9" t="s">
        <v>4931</v>
      </c>
    </row>
    <row r="5393" spans="1:18" x14ac:dyDescent="0.25">
      <c r="A5393" s="6" t="str">
        <f>HYPERLINK("proteomic_fractions_linear_files/Yang_linear_img/6755040.jpg", "6755040")</f>
        <v>6755040</v>
      </c>
      <c r="B5393" s="7"/>
      <c r="C5393" s="6" t="str">
        <f>HYPERLINK("http://www.ncbi.nlm.nih.gov/protein/6755040","Pfn1")</f>
        <v>Pfn1</v>
      </c>
      <c r="D5393" s="8"/>
      <c r="E5393" s="8">
        <v>14826</v>
      </c>
      <c r="F5393" s="8"/>
      <c r="G5393" s="15">
        <v>1.3731627457770847</v>
      </c>
      <c r="H5393" s="15">
        <v>1.3731627457770847</v>
      </c>
      <c r="I5393" s="15">
        <v>0.92572336666244337</v>
      </c>
      <c r="J5393" s="15">
        <v>0.92572336666244337</v>
      </c>
      <c r="K5393" s="15">
        <v>0.96783158145802317</v>
      </c>
      <c r="L5393" s="15">
        <v>0.96783158145802317</v>
      </c>
      <c r="M5393" s="15">
        <v>0.96783158145802317</v>
      </c>
      <c r="N5393" s="15">
        <v>0.96783158145802317</v>
      </c>
      <c r="O5393" s="15">
        <v>0.88647093486676887</v>
      </c>
      <c r="P5393" s="15">
        <v>0.88647093486676887</v>
      </c>
      <c r="Q5393" s="8"/>
      <c r="R5393" s="9" t="s">
        <v>4932</v>
      </c>
    </row>
    <row r="5394" spans="1:18" x14ac:dyDescent="0.25">
      <c r="A5394" s="6" t="str">
        <f>HYPERLINK("proteomic_fractions_linear_files/Yang_linear_img/9506971.jpg", "9506971")</f>
        <v>9506971</v>
      </c>
      <c r="B5394" s="7"/>
      <c r="C5394" s="6" t="str">
        <f>HYPERLINK("http://www.ncbi.nlm.nih.gov/protein/9506971","Pfn2")</f>
        <v>Pfn2</v>
      </c>
      <c r="D5394" s="8"/>
      <c r="E5394" s="8">
        <v>14901</v>
      </c>
      <c r="F5394" s="8"/>
      <c r="G5394" s="15">
        <v>0.92572336666244337</v>
      </c>
      <c r="H5394" s="15">
        <v>0.92572336666244337</v>
      </c>
      <c r="I5394" s="15">
        <v>0.92572336666244337</v>
      </c>
      <c r="J5394" s="15">
        <v>0.92572336666244337</v>
      </c>
      <c r="K5394" s="15">
        <v>0.96783158145802317</v>
      </c>
      <c r="L5394" s="15">
        <v>0.96783158145802317</v>
      </c>
      <c r="M5394" s="15">
        <v>0.96783158145802317</v>
      </c>
      <c r="N5394" s="15">
        <v>0.96783158145802317</v>
      </c>
      <c r="O5394" s="15">
        <v>0.92572336666244337</v>
      </c>
      <c r="P5394" s="15">
        <v>0.92572336666244337</v>
      </c>
      <c r="Q5394" s="8"/>
      <c r="R5394" s="9" t="s">
        <v>4933</v>
      </c>
    </row>
    <row r="5395" spans="1:18" x14ac:dyDescent="0.25">
      <c r="A5395" s="6" t="str">
        <f>HYPERLINK("proteomic_fractions_linear_files/Yang_linear_img/114326546.jpg", "114326546")</f>
        <v>114326546</v>
      </c>
      <c r="B5395" s="7"/>
      <c r="C5395" s="6" t="str">
        <f>HYPERLINK("http://www.ncbi.nlm.nih.gov/protein/114326546","Pgam1")</f>
        <v>Pgam1</v>
      </c>
      <c r="D5395" s="8"/>
      <c r="E5395" s="8">
        <v>28701</v>
      </c>
      <c r="F5395" s="8"/>
      <c r="G5395" s="15">
        <v>1.1914957424301789</v>
      </c>
      <c r="H5395" s="15">
        <v>1.1914957424301789</v>
      </c>
      <c r="I5395" s="15">
        <v>0.84671795218196266</v>
      </c>
      <c r="J5395" s="15">
        <v>0.84671795218196266</v>
      </c>
      <c r="K5395" s="15">
        <v>0.90173303846293107</v>
      </c>
      <c r="L5395" s="15">
        <v>0.90173303846293107</v>
      </c>
      <c r="M5395" s="15">
        <v>0.84671795218196266</v>
      </c>
      <c r="N5395" s="15">
        <v>0.84671795218196266</v>
      </c>
      <c r="O5395" s="15">
        <v>0.75157731967857766</v>
      </c>
      <c r="P5395" s="15">
        <v>0.75157731967857766</v>
      </c>
      <c r="Q5395" s="8"/>
      <c r="R5395" s="9" t="s">
        <v>4934</v>
      </c>
    </row>
    <row r="5396" spans="1:18" x14ac:dyDescent="0.25">
      <c r="A5396" s="6" t="str">
        <f>HYPERLINK("proteomic_fractions_linear_files/Yang_linear_img/9256624.jpg", "9256624")</f>
        <v>9256624</v>
      </c>
      <c r="B5396" s="7"/>
      <c r="C5396" s="6" t="str">
        <f>HYPERLINK("http://www.ncbi.nlm.nih.gov/protein/9256624","Pgam2")</f>
        <v>Pgam2</v>
      </c>
      <c r="D5396" s="8"/>
      <c r="E5396" s="8">
        <v>28696</v>
      </c>
      <c r="F5396" s="8"/>
      <c r="G5396" s="15">
        <v>1.1914957424301789</v>
      </c>
      <c r="H5396" s="15">
        <v>1.1914957424301789</v>
      </c>
      <c r="I5396" s="15">
        <v>0.84671795218196266</v>
      </c>
      <c r="J5396" s="15">
        <v>0.84671795218196266</v>
      </c>
      <c r="K5396" s="15">
        <v>0.90173303846293107</v>
      </c>
      <c r="L5396" s="15">
        <v>0.90173303846293107</v>
      </c>
      <c r="M5396" s="15">
        <v>0.84671795218196266</v>
      </c>
      <c r="N5396" s="15">
        <v>0.84671795218196266</v>
      </c>
      <c r="O5396" s="15">
        <v>0.75157731967857766</v>
      </c>
      <c r="P5396" s="15">
        <v>0.75157731967857766</v>
      </c>
      <c r="Q5396" s="8"/>
      <c r="R5396" s="9" t="s">
        <v>4935</v>
      </c>
    </row>
    <row r="5397" spans="1:18" x14ac:dyDescent="0.25">
      <c r="A5397" s="6" t="str">
        <f>HYPERLINK("proteomic_fractions_linear_files/Yang_linear_img/254587960.jpg", "254587960")</f>
        <v>254587960</v>
      </c>
      <c r="B5397" s="7"/>
      <c r="C5397" s="6" t="str">
        <f>HYPERLINK("http://www.ncbi.nlm.nih.gov/protein/254587960","Pgam5")</f>
        <v>Pgam5</v>
      </c>
      <c r="D5397" s="8"/>
      <c r="E5397" s="8">
        <v>31735</v>
      </c>
      <c r="F5397" s="8"/>
      <c r="G5397" s="15">
        <v>1.1669164507226435</v>
      </c>
      <c r="H5397" s="15">
        <v>1.1669164507226435</v>
      </c>
      <c r="I5397" s="15">
        <v>0.81719556610703126</v>
      </c>
      <c r="J5397" s="15">
        <v>0.81719556610703126</v>
      </c>
      <c r="K5397" s="15">
        <v>0.87244410305256437</v>
      </c>
      <c r="L5397" s="15">
        <v>0.87244410305256437</v>
      </c>
      <c r="M5397" s="15" t="s">
        <v>10</v>
      </c>
      <c r="N5397" s="15" t="s">
        <v>10</v>
      </c>
      <c r="O5397" s="15" t="s">
        <v>10</v>
      </c>
      <c r="P5397" s="15" t="s">
        <v>10</v>
      </c>
      <c r="Q5397" s="8"/>
      <c r="R5397" s="9" t="s">
        <v>4936</v>
      </c>
    </row>
    <row r="5398" spans="1:18" x14ac:dyDescent="0.25">
      <c r="A5398" s="6" t="str">
        <f>HYPERLINK("proteomic_fractions_linear_files/Yang_linear_img/254587962.jpg", "254587962")</f>
        <v>254587962</v>
      </c>
      <c r="B5398" s="7"/>
      <c r="C5398" s="6" t="str">
        <f>HYPERLINK("http://www.ncbi.nlm.nih.gov/protein/254587962","Pgam5")</f>
        <v>Pgam5</v>
      </c>
      <c r="D5398" s="8"/>
      <c r="E5398" s="8">
        <v>31863</v>
      </c>
      <c r="F5398" s="8"/>
      <c r="G5398" s="15">
        <v>1.1669164507226435</v>
      </c>
      <c r="H5398" s="15">
        <v>1.1669164507226435</v>
      </c>
      <c r="I5398" s="15">
        <v>0.81719556610703126</v>
      </c>
      <c r="J5398" s="15">
        <v>0.81719556610703126</v>
      </c>
      <c r="K5398" s="15">
        <v>0.87244410305256437</v>
      </c>
      <c r="L5398" s="15">
        <v>0.87244410305256437</v>
      </c>
      <c r="M5398" s="15" t="s">
        <v>10</v>
      </c>
      <c r="N5398" s="15" t="s">
        <v>10</v>
      </c>
      <c r="O5398" s="15" t="s">
        <v>10</v>
      </c>
      <c r="P5398" s="15" t="s">
        <v>10</v>
      </c>
      <c r="Q5398" s="8"/>
      <c r="R5398" s="9" t="s">
        <v>4937</v>
      </c>
    </row>
    <row r="5399" spans="1:18" x14ac:dyDescent="0.25">
      <c r="A5399" s="6" t="str">
        <f>HYPERLINK("proteomic_fractions_linear_files/Yang_linear_img/254028203.jpg", "254028203")</f>
        <v>254028203</v>
      </c>
      <c r="B5399" s="7"/>
      <c r="C5399" s="6" t="str">
        <f>HYPERLINK("http://www.ncbi.nlm.nih.gov/protein/254028203","Pgap1")</f>
        <v>Pgap1</v>
      </c>
      <c r="D5399" s="8"/>
      <c r="E5399" s="8">
        <v>104448</v>
      </c>
      <c r="F5399" s="8"/>
      <c r="G5399" s="15">
        <v>1.0557842675108795</v>
      </c>
      <c r="H5399" s="15">
        <v>1.0557842675108795</v>
      </c>
      <c r="I5399" s="15">
        <v>0.91315366521715879</v>
      </c>
      <c r="J5399" s="15">
        <v>0.91315366521715879</v>
      </c>
      <c r="K5399" s="15">
        <v>1.0557842675108795</v>
      </c>
      <c r="L5399" s="15">
        <v>1.0557842675108795</v>
      </c>
      <c r="M5399" s="15" t="s">
        <v>10</v>
      </c>
      <c r="N5399" s="15" t="s">
        <v>10</v>
      </c>
      <c r="O5399" s="15" t="s">
        <v>10</v>
      </c>
      <c r="P5399" s="15" t="s">
        <v>10</v>
      </c>
      <c r="Q5399" s="8"/>
      <c r="R5399" s="9" t="s">
        <v>4938</v>
      </c>
    </row>
    <row r="5400" spans="1:18" x14ac:dyDescent="0.25">
      <c r="A5400" s="6" t="str">
        <f>HYPERLINK("proteomic_fractions_linear_files/Yang_linear_img/114326508.jpg", "114326508")</f>
        <v>114326508</v>
      </c>
      <c r="B5400" s="7"/>
      <c r="C5400" s="6" t="str">
        <f>HYPERLINK("http://www.ncbi.nlm.nih.gov/protein/114326508","Pgap3")</f>
        <v>Pgap3</v>
      </c>
      <c r="D5400" s="8"/>
      <c r="E5400" s="8">
        <v>34307</v>
      </c>
      <c r="F5400" s="8"/>
      <c r="G5400" s="15" t="s">
        <v>10</v>
      </c>
      <c r="H5400" s="15" t="s">
        <v>10</v>
      </c>
      <c r="I5400" s="15">
        <v>0.82112386169653118</v>
      </c>
      <c r="J5400" s="15">
        <v>0.82112386169653118</v>
      </c>
      <c r="K5400" s="15" t="s">
        <v>10</v>
      </c>
      <c r="L5400" s="15" t="s">
        <v>10</v>
      </c>
      <c r="M5400" s="15" t="s">
        <v>10</v>
      </c>
      <c r="N5400" s="15" t="s">
        <v>10</v>
      </c>
      <c r="O5400" s="15" t="s">
        <v>10</v>
      </c>
      <c r="P5400" s="15" t="s">
        <v>10</v>
      </c>
      <c r="Q5400" s="8"/>
      <c r="R5400" s="9" t="s">
        <v>4939</v>
      </c>
    </row>
    <row r="5401" spans="1:18" x14ac:dyDescent="0.25">
      <c r="A5401" s="6" t="str">
        <f>HYPERLINK("proteomic_fractions_linear_files/Yang_linear_img/124486895.jpg", "124486895")</f>
        <v>124486895</v>
      </c>
      <c r="B5401" s="7"/>
      <c r="C5401" s="6" t="str">
        <f>HYPERLINK("http://www.ncbi.nlm.nih.gov/protein/124486895","Pgd")</f>
        <v>Pgd</v>
      </c>
      <c r="D5401" s="8"/>
      <c r="E5401" s="8">
        <v>53116</v>
      </c>
      <c r="F5401" s="8"/>
      <c r="G5401" s="15">
        <v>1.1089284450112047</v>
      </c>
      <c r="H5401" s="15">
        <v>1.1089284450112047</v>
      </c>
      <c r="I5401" s="15">
        <v>0.91113161480028781</v>
      </c>
      <c r="J5401" s="15">
        <v>0.91113161480028781</v>
      </c>
      <c r="K5401" s="15">
        <v>0.91113161480028781</v>
      </c>
      <c r="L5401" s="15">
        <v>0.91113161480028781</v>
      </c>
      <c r="M5401" s="15">
        <v>0.91113161480028781</v>
      </c>
      <c r="N5401" s="15">
        <v>0.91113161480028781</v>
      </c>
      <c r="O5401" s="15">
        <v>0.83255828767859374</v>
      </c>
      <c r="P5401" s="15">
        <v>0.83255828767859374</v>
      </c>
      <c r="Q5401" s="8"/>
      <c r="R5401" s="9" t="s">
        <v>4940</v>
      </c>
    </row>
    <row r="5402" spans="1:18" x14ac:dyDescent="0.25">
      <c r="A5402" s="6" t="str">
        <f>HYPERLINK("proteomic_fractions_linear_files/Yang_linear_img/27369904.jpg", "27369904")</f>
        <v>27369904</v>
      </c>
      <c r="B5402" s="7"/>
      <c r="C5402" s="6" t="str">
        <f>HYPERLINK("http://www.ncbi.nlm.nih.gov/protein/27369904","Pggt1b")</f>
        <v>Pggt1b</v>
      </c>
      <c r="D5402" s="8"/>
      <c r="E5402" s="8">
        <v>42223</v>
      </c>
      <c r="F5402" s="8"/>
      <c r="G5402" s="15" t="s">
        <v>10</v>
      </c>
      <c r="H5402" s="15" t="s">
        <v>10</v>
      </c>
      <c r="I5402" s="15" t="s">
        <v>10</v>
      </c>
      <c r="J5402" s="15" t="s">
        <v>10</v>
      </c>
      <c r="K5402" s="15" t="s">
        <v>10</v>
      </c>
      <c r="L5402" s="15" t="s">
        <v>10</v>
      </c>
      <c r="M5402" s="15" t="s">
        <v>10</v>
      </c>
      <c r="N5402" s="15" t="s">
        <v>10</v>
      </c>
      <c r="O5402" s="15">
        <v>0.82269944120179006</v>
      </c>
      <c r="P5402" s="15">
        <v>0.82269944120179006</v>
      </c>
      <c r="Q5402" s="8"/>
      <c r="R5402" s="9" t="s">
        <v>4941</v>
      </c>
    </row>
    <row r="5403" spans="1:18" x14ac:dyDescent="0.25">
      <c r="A5403" s="6" t="str">
        <f>HYPERLINK("proteomic_fractions_linear_files/Yang_linear_img/70778976.jpg", "70778976")</f>
        <v>70778976</v>
      </c>
      <c r="B5403" s="7"/>
      <c r="C5403" s="6" t="str">
        <f>HYPERLINK("http://www.ncbi.nlm.nih.gov/protein/70778976","Pgk1")</f>
        <v>Pgk1</v>
      </c>
      <c r="D5403" s="8"/>
      <c r="E5403" s="8">
        <v>44420</v>
      </c>
      <c r="F5403" s="8"/>
      <c r="G5403" s="15">
        <v>1.2072856734091155</v>
      </c>
      <c r="H5403" s="15">
        <v>1.2072856734091155</v>
      </c>
      <c r="I5403" s="15">
        <v>0.9206208682550624</v>
      </c>
      <c r="J5403" s="15">
        <v>0.9206208682550624</v>
      </c>
      <c r="K5403" s="15">
        <v>1.0028543010673969</v>
      </c>
      <c r="L5403" s="15">
        <v>1.0028543010673969</v>
      </c>
      <c r="M5403" s="15">
        <v>0.9206208682550624</v>
      </c>
      <c r="N5403" s="15">
        <v>0.9206208682550624</v>
      </c>
      <c r="O5403" s="15">
        <v>0.84866650961646795</v>
      </c>
      <c r="P5403" s="15">
        <v>0.84866650961646795</v>
      </c>
      <c r="Q5403" s="8"/>
      <c r="R5403" s="9" t="s">
        <v>4942</v>
      </c>
    </row>
    <row r="5404" spans="1:18" x14ac:dyDescent="0.25">
      <c r="A5404" s="6" t="str">
        <f>HYPERLINK("proteomic_fractions_linear_files/Yang_linear_img/226246531.jpg", "226246531")</f>
        <v>226246531</v>
      </c>
      <c r="B5404" s="7"/>
      <c r="C5404" s="6" t="str">
        <f>HYPERLINK("http://www.ncbi.nlm.nih.gov/protein/226246531","Pgk2")</f>
        <v>Pgk2</v>
      </c>
      <c r="D5404" s="8"/>
      <c r="E5404" s="8">
        <v>44722</v>
      </c>
      <c r="F5404" s="8"/>
      <c r="G5404" s="15">
        <v>0.90016262673828318</v>
      </c>
      <c r="H5404" s="15">
        <v>0.90016262673828318</v>
      </c>
      <c r="I5404" s="15">
        <v>0.90016262673828318</v>
      </c>
      <c r="J5404" s="15">
        <v>0.90016262673828318</v>
      </c>
      <c r="K5404" s="15">
        <v>0.98056864993256598</v>
      </c>
      <c r="L5404" s="15">
        <v>0.98056864993256598</v>
      </c>
      <c r="M5404" s="15">
        <v>0.90016262673828318</v>
      </c>
      <c r="N5404" s="15">
        <v>0.90016262673828318</v>
      </c>
      <c r="O5404" s="15">
        <v>0.8298072538472131</v>
      </c>
      <c r="P5404" s="15">
        <v>0.8298072538472131</v>
      </c>
      <c r="Q5404" s="8"/>
      <c r="R5404" s="9" t="s">
        <v>4943</v>
      </c>
    </row>
    <row r="5405" spans="1:18" x14ac:dyDescent="0.25">
      <c r="A5405" s="6" t="str">
        <f>HYPERLINK("proteomic_fractions_linear_files/Yang_linear_img/13384778.jpg", "13384778")</f>
        <v>13384778</v>
      </c>
      <c r="B5405" s="7"/>
      <c r="C5405" s="6" t="str">
        <f>HYPERLINK("http://www.ncbi.nlm.nih.gov/protein/13384778","Pgls")</f>
        <v>Pgls</v>
      </c>
      <c r="D5405" s="8"/>
      <c r="E5405" s="8">
        <v>27123</v>
      </c>
      <c r="F5405" s="8"/>
      <c r="G5405" s="15">
        <v>1.2797546863138958</v>
      </c>
      <c r="H5405" s="15">
        <v>1.2797546863138958</v>
      </c>
      <c r="I5405" s="15">
        <v>0.90943780049173761</v>
      </c>
      <c r="J5405" s="15">
        <v>0.90943780049173761</v>
      </c>
      <c r="K5405" s="15">
        <v>0.96852807834907406</v>
      </c>
      <c r="L5405" s="15">
        <v>0.96852807834907406</v>
      </c>
      <c r="M5405" s="15">
        <v>0.90943780049173761</v>
      </c>
      <c r="N5405" s="15">
        <v>0.90943780049173761</v>
      </c>
      <c r="O5405" s="15">
        <v>0.80724971372884269</v>
      </c>
      <c r="P5405" s="15">
        <v>0.80724971372884269</v>
      </c>
      <c r="Q5405" s="8"/>
      <c r="R5405" s="9" t="s">
        <v>4944</v>
      </c>
    </row>
    <row r="5406" spans="1:18" x14ac:dyDescent="0.25">
      <c r="A5406" s="6" t="str">
        <f>HYPERLINK("proteomic_fractions_linear_files/Yang_linear_img/33859686.jpg", "33859686")</f>
        <v>33859686</v>
      </c>
      <c r="B5406" s="7"/>
      <c r="C5406" s="6" t="str">
        <f>HYPERLINK("http://www.ncbi.nlm.nih.gov/protein/33859686","Pgm1")</f>
        <v>Pgm1</v>
      </c>
      <c r="D5406" s="8"/>
      <c r="E5406" s="8">
        <v>68617</v>
      </c>
      <c r="F5406" s="8"/>
      <c r="G5406" s="15" t="s">
        <v>10</v>
      </c>
      <c r="H5406" s="15" t="s">
        <v>10</v>
      </c>
      <c r="I5406" s="15">
        <v>1.0642921774156846</v>
      </c>
      <c r="J5406" s="15">
        <v>1.0642921774156846</v>
      </c>
      <c r="K5406" s="15">
        <v>1.0642921774156846</v>
      </c>
      <c r="L5406" s="15">
        <v>1.0642921774156846</v>
      </c>
      <c r="M5406" s="15" t="s">
        <v>10</v>
      </c>
      <c r="N5406" s="15" t="s">
        <v>10</v>
      </c>
      <c r="O5406" s="15">
        <v>1.0642921774156846</v>
      </c>
      <c r="P5406" s="15">
        <v>1.0642921774156846</v>
      </c>
      <c r="Q5406" s="8"/>
      <c r="R5406" s="9" t="s">
        <v>4945</v>
      </c>
    </row>
    <row r="5407" spans="1:18" x14ac:dyDescent="0.25">
      <c r="A5407" s="6" t="str">
        <f>HYPERLINK("proteomic_fractions_linear_files/Yang_linear_img/227330633.jpg", "227330633")</f>
        <v>227330633</v>
      </c>
      <c r="B5407" s="7"/>
      <c r="C5407" s="6" t="str">
        <f>HYPERLINK("http://www.ncbi.nlm.nih.gov/protein/227330633","Pgm2")</f>
        <v>Pgm2</v>
      </c>
      <c r="D5407" s="8"/>
      <c r="E5407" s="8">
        <v>61287</v>
      </c>
      <c r="F5407" s="8"/>
      <c r="G5407" s="15" t="s">
        <v>10</v>
      </c>
      <c r="H5407" s="15" t="s">
        <v>10</v>
      </c>
      <c r="I5407" s="15">
        <v>1.0730043168941694</v>
      </c>
      <c r="J5407" s="15">
        <v>1.0730043168941694</v>
      </c>
      <c r="K5407" s="15">
        <v>1.0730043168941694</v>
      </c>
      <c r="L5407" s="15">
        <v>1.0730043168941694</v>
      </c>
      <c r="M5407" s="15">
        <v>1.0730043168941694</v>
      </c>
      <c r="N5407" s="15">
        <v>1.0730043168941694</v>
      </c>
      <c r="O5407" s="15">
        <v>0.96349520632121066</v>
      </c>
      <c r="P5407" s="15">
        <v>0.96349520632121066</v>
      </c>
      <c r="Q5407" s="8"/>
      <c r="R5407" s="9" t="s">
        <v>4946</v>
      </c>
    </row>
    <row r="5408" spans="1:18" x14ac:dyDescent="0.25">
      <c r="A5408" s="6" t="str">
        <f>HYPERLINK("proteomic_fractions_linear_files/Yang_linear_img/28076969.jpg", "28076969")</f>
        <v>28076969</v>
      </c>
      <c r="B5408" s="7"/>
      <c r="C5408" s="6" t="str">
        <f>HYPERLINK("http://www.ncbi.nlm.nih.gov/protein/28076969","Pgm2l1")</f>
        <v>Pgm2l1</v>
      </c>
      <c r="D5408" s="8"/>
      <c r="E5408" s="8">
        <v>70149</v>
      </c>
      <c r="F5408" s="8"/>
      <c r="G5408" s="15" t="s">
        <v>10</v>
      </c>
      <c r="H5408" s="15" t="s">
        <v>10</v>
      </c>
      <c r="I5408" s="15" t="s">
        <v>10</v>
      </c>
      <c r="J5408" s="15" t="s">
        <v>10</v>
      </c>
      <c r="K5408" s="15" t="s">
        <v>10</v>
      </c>
      <c r="L5408" s="15" t="s">
        <v>10</v>
      </c>
      <c r="M5408" s="15" t="s">
        <v>10</v>
      </c>
      <c r="N5408" s="15" t="s">
        <v>10</v>
      </c>
      <c r="O5408" s="15">
        <v>1.0490880034526036</v>
      </c>
      <c r="P5408" s="15">
        <v>1.0490880034526036</v>
      </c>
      <c r="Q5408" s="8"/>
      <c r="R5408" s="9" t="s">
        <v>4947</v>
      </c>
    </row>
    <row r="5409" spans="1:18" x14ac:dyDescent="0.25">
      <c r="A5409" s="6" t="str">
        <f>HYPERLINK("proteomic_fractions_linear_files/Yang_linear_img/255522939.jpg", "255522939")</f>
        <v>255522939</v>
      </c>
      <c r="B5409" s="7"/>
      <c r="C5409" s="6" t="str">
        <f>HYPERLINK("http://www.ncbi.nlm.nih.gov/protein/255522939","Pgm3")</f>
        <v>Pgm3</v>
      </c>
      <c r="D5409" s="8"/>
      <c r="E5409" s="8">
        <v>59322</v>
      </c>
      <c r="F5409" s="8"/>
      <c r="G5409" s="15" t="s">
        <v>10</v>
      </c>
      <c r="H5409" s="15" t="s">
        <v>10</v>
      </c>
      <c r="I5409" s="15" t="s">
        <v>10</v>
      </c>
      <c r="J5409" s="15" t="s">
        <v>10</v>
      </c>
      <c r="K5409" s="15">
        <v>1.1093773445854971</v>
      </c>
      <c r="L5409" s="15">
        <v>1.1093773445854971</v>
      </c>
      <c r="M5409" s="15">
        <v>1.1093773445854971</v>
      </c>
      <c r="N5409" s="15">
        <v>1.1093773445854971</v>
      </c>
      <c r="O5409" s="15">
        <v>0.90034863779662844</v>
      </c>
      <c r="P5409" s="15">
        <v>0.90034863779662844</v>
      </c>
      <c r="Q5409" s="8"/>
      <c r="R5409" s="9" t="s">
        <v>4948</v>
      </c>
    </row>
    <row r="5410" spans="1:18" x14ac:dyDescent="0.25">
      <c r="A5410" s="6" t="str">
        <f>HYPERLINK("proteomic_fractions_linear_files/Yang_linear_img/255522941.jpg", "255522941")</f>
        <v>255522941</v>
      </c>
      <c r="B5410" s="7"/>
      <c r="C5410" s="6" t="str">
        <f>HYPERLINK("http://www.ncbi.nlm.nih.gov/protein/255522941","Pgm3")</f>
        <v>Pgm3</v>
      </c>
      <c r="D5410" s="8"/>
      <c r="E5410" s="8">
        <v>54859</v>
      </c>
      <c r="F5410" s="8"/>
      <c r="G5410" s="15" t="s">
        <v>10</v>
      </c>
      <c r="H5410" s="15" t="s">
        <v>10</v>
      </c>
      <c r="I5410" s="15" t="s">
        <v>10</v>
      </c>
      <c r="J5410" s="15" t="s">
        <v>10</v>
      </c>
      <c r="K5410" s="15">
        <v>1.1900593332826241</v>
      </c>
      <c r="L5410" s="15">
        <v>1.1900593332826241</v>
      </c>
      <c r="M5410" s="15">
        <v>1.1900593332826241</v>
      </c>
      <c r="N5410" s="15">
        <v>1.1900593332826241</v>
      </c>
      <c r="O5410" s="15">
        <v>0.96582853872729235</v>
      </c>
      <c r="P5410" s="15">
        <v>0.96582853872729235</v>
      </c>
      <c r="Q5410" s="8"/>
      <c r="R5410" s="9" t="s">
        <v>4949</v>
      </c>
    </row>
    <row r="5411" spans="1:18" x14ac:dyDescent="0.25">
      <c r="A5411" s="6" t="str">
        <f>HYPERLINK("proteomic_fractions_linear_files/Yang_linear_img/40254507.jpg", "40254507")</f>
        <v>40254507</v>
      </c>
      <c r="B5411" s="7"/>
      <c r="C5411" s="6" t="str">
        <f>HYPERLINK("http://www.ncbi.nlm.nih.gov/protein/40254507","Pgp")</f>
        <v>Pgp</v>
      </c>
      <c r="D5411" s="8"/>
      <c r="E5411" s="8">
        <v>34410</v>
      </c>
      <c r="F5411" s="8"/>
      <c r="G5411" s="15" t="s">
        <v>10</v>
      </c>
      <c r="H5411" s="15" t="s">
        <v>10</v>
      </c>
      <c r="I5411" s="15">
        <v>0.94364920163922317</v>
      </c>
      <c r="J5411" s="15">
        <v>0.94364920163922317</v>
      </c>
      <c r="K5411" s="15">
        <v>0.94364920163922317</v>
      </c>
      <c r="L5411" s="15">
        <v>0.94364920163922317</v>
      </c>
      <c r="M5411" s="15">
        <v>0.94364920163922317</v>
      </c>
      <c r="N5411" s="15">
        <v>0.94364920163922317</v>
      </c>
      <c r="O5411" s="15">
        <v>0.82112386169653118</v>
      </c>
      <c r="P5411" s="15">
        <v>0.82112386169653118</v>
      </c>
      <c r="Q5411" s="8"/>
      <c r="R5411" s="9" t="s">
        <v>4950</v>
      </c>
    </row>
    <row r="5412" spans="1:18" x14ac:dyDescent="0.25">
      <c r="A5412" s="6" t="str">
        <f>HYPERLINK("proteomic_fractions_linear_files/Yang_linear_img/31980806.jpg", "31980806")</f>
        <v>31980806</v>
      </c>
      <c r="B5412" s="7"/>
      <c r="C5412" s="6" t="str">
        <f>HYPERLINK("http://www.ncbi.nlm.nih.gov/protein/31980806","Pgrmc1")</f>
        <v>Pgrmc1</v>
      </c>
      <c r="D5412" s="8"/>
      <c r="E5412" s="8">
        <v>21563</v>
      </c>
      <c r="F5412" s="8"/>
      <c r="G5412" s="15">
        <v>1.3584275859869606</v>
      </c>
      <c r="H5412" s="15">
        <v>1.3584275859869606</v>
      </c>
      <c r="I5412" s="15">
        <v>1.0504351533962475</v>
      </c>
      <c r="J5412" s="15">
        <v>0.99071555775812503</v>
      </c>
      <c r="K5412" s="15">
        <v>1.0504351533962475</v>
      </c>
      <c r="L5412" s="15">
        <v>1.0504351533962475</v>
      </c>
      <c r="M5412" s="15">
        <v>1.0504351533962475</v>
      </c>
      <c r="N5412" s="15">
        <v>1.0504351533962475</v>
      </c>
      <c r="O5412" s="15" t="s">
        <v>10</v>
      </c>
      <c r="P5412" s="15" t="s">
        <v>10</v>
      </c>
      <c r="Q5412" s="8"/>
      <c r="R5412" s="9" t="s">
        <v>4951</v>
      </c>
    </row>
    <row r="5413" spans="1:18" x14ac:dyDescent="0.25">
      <c r="A5413" s="6" t="str">
        <f>HYPERLINK("proteomic_fractions_linear_files/Yang_linear_img/226442772.jpg", "226442772")</f>
        <v>226442772</v>
      </c>
      <c r="B5413" s="7"/>
      <c r="C5413" s="6" t="str">
        <f>HYPERLINK("http://www.ncbi.nlm.nih.gov/protein/226442772","Pgrmc2")</f>
        <v>Pgrmc2</v>
      </c>
      <c r="D5413" s="8"/>
      <c r="E5413" s="8">
        <v>23203</v>
      </c>
      <c r="F5413" s="8"/>
      <c r="G5413" s="15">
        <v>1.3949596893797211</v>
      </c>
      <c r="H5413" s="15">
        <v>1.3949596893797211</v>
      </c>
      <c r="I5413" s="15">
        <v>1.0047640597703238</v>
      </c>
      <c r="J5413" s="15">
        <v>1.0047640597703238</v>
      </c>
      <c r="K5413" s="15">
        <v>1.0047640597703238</v>
      </c>
      <c r="L5413" s="15">
        <v>1.0047640597703238</v>
      </c>
      <c r="M5413" s="15">
        <v>1.0047640597703238</v>
      </c>
      <c r="N5413" s="15">
        <v>1.0047640597703238</v>
      </c>
      <c r="O5413" s="15" t="s">
        <v>10</v>
      </c>
      <c r="P5413" s="15" t="s">
        <v>10</v>
      </c>
      <c r="Q5413" s="8"/>
      <c r="R5413" s="9" t="s">
        <v>4952</v>
      </c>
    </row>
    <row r="5414" spans="1:18" x14ac:dyDescent="0.25">
      <c r="A5414" s="6" t="str">
        <f>HYPERLINK("proteomic_fractions_linear_files/Yang_linear_img/110626163.jpg", "110626163")</f>
        <v>110626163</v>
      </c>
      <c r="B5414" s="7"/>
      <c r="C5414" s="6" t="str">
        <f>HYPERLINK("http://www.ncbi.nlm.nih.gov/protein/110626163","Pgs1")</f>
        <v>Pgs1</v>
      </c>
      <c r="D5414" s="8"/>
      <c r="E5414" s="8">
        <v>59919</v>
      </c>
      <c r="F5414" s="8"/>
      <c r="G5414" s="15" t="s">
        <v>10</v>
      </c>
      <c r="H5414" s="15" t="s">
        <v>10</v>
      </c>
      <c r="I5414" s="15">
        <v>0.88534282716668466</v>
      </c>
      <c r="J5414" s="15">
        <v>0.97955345975989749</v>
      </c>
      <c r="K5414" s="15">
        <v>1.0908877221757389</v>
      </c>
      <c r="L5414" s="15">
        <v>1.0908877221757389</v>
      </c>
      <c r="M5414" s="15" t="s">
        <v>10</v>
      </c>
      <c r="N5414" s="15" t="s">
        <v>10</v>
      </c>
      <c r="O5414" s="15" t="s">
        <v>10</v>
      </c>
      <c r="P5414" s="15" t="s">
        <v>10</v>
      </c>
      <c r="Q5414" s="8"/>
      <c r="R5414" s="9" t="s">
        <v>4953</v>
      </c>
    </row>
    <row r="5415" spans="1:18" x14ac:dyDescent="0.25">
      <c r="A5415" s="6" t="str">
        <f>HYPERLINK("proteomic_fractions_linear_files/Yang_linear_img/54144633.jpg", "54144633")</f>
        <v>54144633</v>
      </c>
      <c r="B5415" s="7"/>
      <c r="C5415" s="6" t="str">
        <f>HYPERLINK("http://www.ncbi.nlm.nih.gov/protein/54144633","Phactr1")</f>
        <v>Phactr1</v>
      </c>
      <c r="D5415" s="8"/>
      <c r="E5415" s="8">
        <v>73440</v>
      </c>
      <c r="F5415" s="8"/>
      <c r="G5415" s="15" t="s">
        <v>10</v>
      </c>
      <c r="H5415" s="15" t="s">
        <v>10</v>
      </c>
      <c r="I5415" s="15" t="s">
        <v>10</v>
      </c>
      <c r="J5415" s="15" t="s">
        <v>10</v>
      </c>
      <c r="K5415" s="15" t="s">
        <v>10</v>
      </c>
      <c r="L5415" s="15" t="s">
        <v>10</v>
      </c>
      <c r="M5415" s="15" t="s">
        <v>10</v>
      </c>
      <c r="N5415" s="15" t="s">
        <v>10</v>
      </c>
      <c r="O5415" s="15">
        <v>1.3009312490765002</v>
      </c>
      <c r="P5415" s="15">
        <v>1.3009312490765002</v>
      </c>
      <c r="Q5415" s="8"/>
      <c r="R5415" s="9" t="s">
        <v>4954</v>
      </c>
    </row>
    <row r="5416" spans="1:18" x14ac:dyDescent="0.25">
      <c r="A5416" s="6" t="str">
        <f>HYPERLINK("proteomic_fractions_linear_files/Yang_linear_img/54144635.jpg", "54144635")</f>
        <v>54144635</v>
      </c>
      <c r="B5416" s="7"/>
      <c r="C5416" s="6" t="str">
        <f>HYPERLINK("http://www.ncbi.nlm.nih.gov/protein/54144635","Phactr1")</f>
        <v>Phactr1</v>
      </c>
      <c r="D5416" s="8"/>
      <c r="E5416" s="8">
        <v>72297</v>
      </c>
      <c r="F5416" s="8"/>
      <c r="G5416" s="15" t="s">
        <v>10</v>
      </c>
      <c r="H5416" s="15" t="s">
        <v>10</v>
      </c>
      <c r="I5416" s="15" t="s">
        <v>10</v>
      </c>
      <c r="J5416" s="15" t="s">
        <v>10</v>
      </c>
      <c r="K5416" s="15" t="s">
        <v>10</v>
      </c>
      <c r="L5416" s="15" t="s">
        <v>10</v>
      </c>
      <c r="M5416" s="15" t="s">
        <v>10</v>
      </c>
      <c r="N5416" s="15" t="s">
        <v>10</v>
      </c>
      <c r="O5416" s="15">
        <v>1.3189997386470071</v>
      </c>
      <c r="P5416" s="15">
        <v>1.3189997386470071</v>
      </c>
      <c r="Q5416" s="8"/>
      <c r="R5416" s="9" t="s">
        <v>4955</v>
      </c>
    </row>
    <row r="5417" spans="1:18" x14ac:dyDescent="0.25">
      <c r="A5417" s="6" t="str">
        <f>HYPERLINK("proteomic_fractions_linear_files/Yang_linear_img/54144637.jpg", "54144637")</f>
        <v>54144637</v>
      </c>
      <c r="B5417" s="7"/>
      <c r="C5417" s="6" t="str">
        <f>HYPERLINK("http://www.ncbi.nlm.nih.gov/protein/54144637","Phactr1")</f>
        <v>Phactr1</v>
      </c>
      <c r="D5417" s="8"/>
      <c r="E5417" s="8">
        <v>17310</v>
      </c>
      <c r="F5417" s="8"/>
      <c r="G5417" s="15" t="s">
        <v>10</v>
      </c>
      <c r="H5417" s="15" t="s">
        <v>10</v>
      </c>
      <c r="I5417" s="15" t="s">
        <v>10</v>
      </c>
      <c r="J5417" s="15" t="s">
        <v>10</v>
      </c>
      <c r="K5417" s="15" t="s">
        <v>10</v>
      </c>
      <c r="L5417" s="15" t="s">
        <v>10</v>
      </c>
      <c r="M5417" s="15" t="s">
        <v>10</v>
      </c>
      <c r="N5417" s="15" t="s">
        <v>10</v>
      </c>
      <c r="O5417" s="15">
        <v>5.586351834269677</v>
      </c>
      <c r="P5417" s="15">
        <v>5.586351834269677</v>
      </c>
      <c r="Q5417" s="8"/>
      <c r="R5417" s="9" t="s">
        <v>4956</v>
      </c>
    </row>
    <row r="5418" spans="1:18" x14ac:dyDescent="0.25">
      <c r="A5418" s="6" t="str">
        <f>HYPERLINK("proteomic_fractions_linear_files/Yang_linear_img/304361725.jpg", "304361725")</f>
        <v>304361725</v>
      </c>
      <c r="B5418" s="7"/>
      <c r="C5418" s="6" t="str">
        <f>HYPERLINK("http://www.ncbi.nlm.nih.gov/protein/304361725","Phactr2")</f>
        <v>Phactr2</v>
      </c>
      <c r="D5418" s="8"/>
      <c r="E5418" s="8">
        <v>68348</v>
      </c>
      <c r="F5418" s="8"/>
      <c r="G5418" s="15" t="s">
        <v>10</v>
      </c>
      <c r="H5418" s="15" t="s">
        <v>10</v>
      </c>
      <c r="I5418" s="15" t="s">
        <v>10</v>
      </c>
      <c r="J5418" s="15" t="s">
        <v>10</v>
      </c>
      <c r="K5418" s="15" t="s">
        <v>10</v>
      </c>
      <c r="L5418" s="15" t="s">
        <v>10</v>
      </c>
      <c r="M5418" s="15">
        <v>1.6147288797225217</v>
      </c>
      <c r="N5418" s="15">
        <v>1.6147288797225217</v>
      </c>
      <c r="O5418" s="15">
        <v>1.3965879585674192</v>
      </c>
      <c r="P5418" s="15">
        <v>1.3965879585674192</v>
      </c>
      <c r="Q5418" s="8"/>
      <c r="R5418" s="9" t="s">
        <v>4957</v>
      </c>
    </row>
    <row r="5419" spans="1:18" x14ac:dyDescent="0.25">
      <c r="A5419" s="6" t="str">
        <f>HYPERLINK("proteomic_fractions_linear_files/Yang_linear_img/304361727.jpg", "304361727")</f>
        <v>304361727</v>
      </c>
      <c r="B5419" s="7"/>
      <c r="C5419" s="6" t="str">
        <f>HYPERLINK("http://www.ncbi.nlm.nih.gov/protein/304361727","Phactr2")</f>
        <v>Phactr2</v>
      </c>
      <c r="D5419" s="8"/>
      <c r="E5419" s="8">
        <v>61200</v>
      </c>
      <c r="F5419" s="8"/>
      <c r="G5419" s="15" t="s">
        <v>10</v>
      </c>
      <c r="H5419" s="15" t="s">
        <v>10</v>
      </c>
      <c r="I5419" s="15" t="s">
        <v>10</v>
      </c>
      <c r="J5419" s="15" t="s">
        <v>10</v>
      </c>
      <c r="K5419" s="15" t="s">
        <v>10</v>
      </c>
      <c r="L5419" s="15" t="s">
        <v>10</v>
      </c>
      <c r="M5419" s="15">
        <v>1.8000256364119913</v>
      </c>
      <c r="N5419" s="15">
        <v>1.8000256364119913</v>
      </c>
      <c r="O5419" s="15">
        <v>1.5568521505341724</v>
      </c>
      <c r="P5419" s="15">
        <v>1.5568521505341724</v>
      </c>
      <c r="Q5419" s="8"/>
      <c r="R5419" s="9" t="s">
        <v>4958</v>
      </c>
    </row>
    <row r="5420" spans="1:18" x14ac:dyDescent="0.25">
      <c r="A5420" s="6" t="str">
        <f>HYPERLINK("proteomic_fractions_linear_files/Yang_linear_img/304361740.jpg", "304361740")</f>
        <v>304361740</v>
      </c>
      <c r="B5420" s="7"/>
      <c r="C5420" s="6" t="str">
        <f>HYPERLINK("http://www.ncbi.nlm.nih.gov/protein/304361740","Phactr2")</f>
        <v>Phactr2</v>
      </c>
      <c r="D5420" s="8"/>
      <c r="E5420" s="8">
        <v>62183</v>
      </c>
      <c r="F5420" s="8"/>
      <c r="G5420" s="15" t="s">
        <v>10</v>
      </c>
      <c r="H5420" s="15" t="s">
        <v>10</v>
      </c>
      <c r="I5420" s="15" t="s">
        <v>10</v>
      </c>
      <c r="J5420" s="15" t="s">
        <v>10</v>
      </c>
      <c r="K5420" s="15" t="s">
        <v>10</v>
      </c>
      <c r="L5420" s="15" t="s">
        <v>10</v>
      </c>
      <c r="M5420" s="15">
        <v>1.7709929648569591</v>
      </c>
      <c r="N5420" s="15">
        <v>1.7709929648569591</v>
      </c>
      <c r="O5420" s="15">
        <v>1.5317416319771695</v>
      </c>
      <c r="P5420" s="15">
        <v>1.5317416319771695</v>
      </c>
      <c r="Q5420" s="8"/>
      <c r="R5420" s="9" t="s">
        <v>4959</v>
      </c>
    </row>
    <row r="5421" spans="1:18" x14ac:dyDescent="0.25">
      <c r="A5421" s="6" t="str">
        <f>HYPERLINK("proteomic_fractions_linear_files/Yang_linear_img/84781783.jpg", "84781783")</f>
        <v>84781783</v>
      </c>
      <c r="B5421" s="7"/>
      <c r="C5421" s="6" t="str">
        <f>HYPERLINK("http://www.ncbi.nlm.nih.gov/protein/84781783","Phactr2")</f>
        <v>Phactr2</v>
      </c>
      <c r="D5421" s="8"/>
      <c r="E5421" s="8">
        <v>61798</v>
      </c>
      <c r="F5421" s="8"/>
      <c r="G5421" s="15" t="s">
        <v>10</v>
      </c>
      <c r="H5421" s="15" t="s">
        <v>10</v>
      </c>
      <c r="I5421" s="15" t="s">
        <v>10</v>
      </c>
      <c r="J5421" s="15" t="s">
        <v>10</v>
      </c>
      <c r="K5421" s="15" t="s">
        <v>10</v>
      </c>
      <c r="L5421" s="15" t="s">
        <v>10</v>
      </c>
      <c r="M5421" s="15">
        <v>1.7709929648569591</v>
      </c>
      <c r="N5421" s="15">
        <v>1.7709929648569591</v>
      </c>
      <c r="O5421" s="15">
        <v>1.5317416319771695</v>
      </c>
      <c r="P5421" s="15">
        <v>1.5317416319771695</v>
      </c>
      <c r="Q5421" s="8"/>
      <c r="R5421" s="9" t="s">
        <v>4960</v>
      </c>
    </row>
    <row r="5422" spans="1:18" x14ac:dyDescent="0.25">
      <c r="A5422" s="6" t="str">
        <f>HYPERLINK("proteomic_fractions_linear_files/Yang_linear_img/239985486.jpg", "239985486")</f>
        <v>239985486</v>
      </c>
      <c r="B5422" s="7"/>
      <c r="C5422" s="6" t="str">
        <f>HYPERLINK("http://www.ncbi.nlm.nih.gov/protein/239985486","Phactr4")</f>
        <v>Phactr4</v>
      </c>
      <c r="D5422" s="8"/>
      <c r="E5422" s="8">
        <v>76501</v>
      </c>
      <c r="F5422" s="8"/>
      <c r="G5422" s="15" t="s">
        <v>10</v>
      </c>
      <c r="H5422" s="15" t="s">
        <v>10</v>
      </c>
      <c r="I5422" s="15">
        <v>0.41667627085368297</v>
      </c>
      <c r="J5422" s="15">
        <v>0.41667627085368297</v>
      </c>
      <c r="K5422" s="15">
        <v>1.4259943353393696</v>
      </c>
      <c r="L5422" s="15">
        <v>1.4259943353393696</v>
      </c>
      <c r="M5422" s="15">
        <v>0.4849522912094103</v>
      </c>
      <c r="N5422" s="15">
        <v>0.41667627085368297</v>
      </c>
      <c r="O5422" s="15">
        <v>1.2333504049686299</v>
      </c>
      <c r="P5422" s="15">
        <v>1.2333504049686299</v>
      </c>
      <c r="Q5422" s="8"/>
      <c r="R5422" s="9" t="s">
        <v>4961</v>
      </c>
    </row>
    <row r="5423" spans="1:18" x14ac:dyDescent="0.25">
      <c r="A5423" s="6" t="str">
        <f>HYPERLINK("proteomic_fractions_linear_files/Yang_linear_img/239985488.jpg", "239985488")</f>
        <v>239985488</v>
      </c>
      <c r="B5423" s="7"/>
      <c r="C5423" s="6" t="str">
        <f>HYPERLINK("http://www.ncbi.nlm.nih.gov/protein/239985488","Phactr4")</f>
        <v>Phactr4</v>
      </c>
      <c r="D5423" s="8"/>
      <c r="E5423" s="8">
        <v>73270</v>
      </c>
      <c r="F5423" s="8"/>
      <c r="G5423" s="15" t="s">
        <v>10</v>
      </c>
      <c r="H5423" s="15" t="s">
        <v>10</v>
      </c>
      <c r="I5423" s="15">
        <v>0.43950784733881626</v>
      </c>
      <c r="J5423" s="15">
        <v>0.43950784733881626</v>
      </c>
      <c r="K5423" s="15">
        <v>1.5041310112483763</v>
      </c>
      <c r="L5423" s="15">
        <v>1.5041310112483763</v>
      </c>
      <c r="M5423" s="15">
        <v>0.5115250194948574</v>
      </c>
      <c r="N5423" s="15">
        <v>0.43950784733881626</v>
      </c>
      <c r="O5423" s="15">
        <v>1.3009312490765002</v>
      </c>
      <c r="P5423" s="15">
        <v>1.3009312490765002</v>
      </c>
      <c r="Q5423" s="8"/>
      <c r="R5423" s="9" t="s">
        <v>4962</v>
      </c>
    </row>
    <row r="5424" spans="1:18" x14ac:dyDescent="0.25">
      <c r="A5424" s="6" t="str">
        <f>HYPERLINK("proteomic_fractions_linear_files/Yang_linear_img/253314458.jpg", "253314458")</f>
        <v>253314458</v>
      </c>
      <c r="B5424" s="7"/>
      <c r="C5424" s="6" t="str">
        <f>HYPERLINK("http://www.ncbi.nlm.nih.gov/protein/253314458","Phax")</f>
        <v>Phax</v>
      </c>
      <c r="D5424" s="8"/>
      <c r="E5424" s="8">
        <v>43116</v>
      </c>
      <c r="F5424" s="8"/>
      <c r="G5424" s="15" t="s">
        <v>10</v>
      </c>
      <c r="H5424" s="15" t="s">
        <v>10</v>
      </c>
      <c r="I5424" s="15">
        <v>139.37441860465117</v>
      </c>
      <c r="J5424" s="15">
        <v>139.37441860465117</v>
      </c>
      <c r="K5424" s="15">
        <v>1.2353620844186297</v>
      </c>
      <c r="L5424" s="15">
        <v>1.2353620844186297</v>
      </c>
      <c r="M5424" s="15">
        <v>1.123022688009657</v>
      </c>
      <c r="N5424" s="15">
        <v>1.123022688009657</v>
      </c>
      <c r="O5424" s="15">
        <v>1.0261764941154761</v>
      </c>
      <c r="P5424" s="15">
        <v>1.0261764941154761</v>
      </c>
      <c r="Q5424" s="8"/>
      <c r="R5424" s="9" t="s">
        <v>4963</v>
      </c>
    </row>
    <row r="5425" spans="1:18" x14ac:dyDescent="0.25">
      <c r="A5425" s="6" t="str">
        <f>HYPERLINK("proteomic_fractions_linear_files/Yang_linear_img/253314461.jpg", "253314461")</f>
        <v>253314461</v>
      </c>
      <c r="B5425" s="7"/>
      <c r="C5425" s="6" t="str">
        <f>HYPERLINK("http://www.ncbi.nlm.nih.gov/protein/253314461","Phax")</f>
        <v>Phax</v>
      </c>
      <c r="D5425" s="8"/>
      <c r="E5425" s="8">
        <v>40736</v>
      </c>
      <c r="F5425" s="8"/>
      <c r="G5425" s="15" t="s">
        <v>10</v>
      </c>
      <c r="H5425" s="15" t="s">
        <v>10</v>
      </c>
      <c r="I5425" s="15">
        <v>146.17317073170733</v>
      </c>
      <c r="J5425" s="15">
        <v>146.17317073170733</v>
      </c>
      <c r="K5425" s="15">
        <v>1.2956236495122215</v>
      </c>
      <c r="L5425" s="15">
        <v>1.2956236495122215</v>
      </c>
      <c r="M5425" s="15">
        <v>1.1778042825467134</v>
      </c>
      <c r="N5425" s="15">
        <v>1.1778042825467134</v>
      </c>
      <c r="O5425" s="15">
        <v>1.0762338840723285</v>
      </c>
      <c r="P5425" s="15">
        <v>1.0762338840723285</v>
      </c>
      <c r="Q5425" s="8"/>
      <c r="R5425" s="9" t="s">
        <v>4964</v>
      </c>
    </row>
    <row r="5426" spans="1:18" x14ac:dyDescent="0.25">
      <c r="A5426" s="6" t="str">
        <f>HYPERLINK("proteomic_fractions_linear_files/Yang_linear_img/6679299.jpg", "6679299")</f>
        <v>6679299</v>
      </c>
      <c r="B5426" s="7"/>
      <c r="C5426" s="6" t="str">
        <f>HYPERLINK("http://www.ncbi.nlm.nih.gov/protein/6679299","Phb")</f>
        <v>Phb</v>
      </c>
      <c r="D5426" s="8"/>
      <c r="E5426" s="8">
        <v>29689</v>
      </c>
      <c r="F5426" s="8"/>
      <c r="G5426" s="15">
        <v>1.2447108807708198</v>
      </c>
      <c r="H5426" s="15">
        <v>1.2447108807708198</v>
      </c>
      <c r="I5426" s="15">
        <v>0.87167527051416671</v>
      </c>
      <c r="J5426" s="15">
        <v>0.87167527051416671</v>
      </c>
      <c r="K5426" s="15">
        <v>0.87167527051416671</v>
      </c>
      <c r="L5426" s="15">
        <v>0.87167527051416671</v>
      </c>
      <c r="M5426" s="15">
        <v>0.87167527051416671</v>
      </c>
      <c r="N5426" s="15">
        <v>0.87167527051416671</v>
      </c>
      <c r="O5426" s="15" t="s">
        <v>10</v>
      </c>
      <c r="P5426" s="15" t="s">
        <v>10</v>
      </c>
      <c r="Q5426" s="8"/>
      <c r="R5426" s="9" t="s">
        <v>4965</v>
      </c>
    </row>
    <row r="5427" spans="1:18" x14ac:dyDescent="0.25">
      <c r="A5427" s="6" t="str">
        <f>HYPERLINK("proteomic_fractions_linear_files/Yang_linear_img/126723336.jpg", "126723336")</f>
        <v>126723336</v>
      </c>
      <c r="B5427" s="7"/>
      <c r="C5427" s="6" t="str">
        <f>HYPERLINK("http://www.ncbi.nlm.nih.gov/protein/126723336","Phb2")</f>
        <v>Phb2</v>
      </c>
      <c r="D5427" s="8"/>
      <c r="E5427" s="8">
        <v>33165</v>
      </c>
      <c r="F5427" s="8"/>
      <c r="G5427" s="15">
        <v>1.2274944910067498</v>
      </c>
      <c r="H5427" s="15">
        <v>1.2274944910067498</v>
      </c>
      <c r="I5427" s="15">
        <v>0.90561839065797367</v>
      </c>
      <c r="J5427" s="15">
        <v>0.90561839065797367</v>
      </c>
      <c r="K5427" s="15">
        <v>0.9722446319919269</v>
      </c>
      <c r="L5427" s="15">
        <v>0.9722446319919269</v>
      </c>
      <c r="M5427" s="15">
        <v>0.9722446319919269</v>
      </c>
      <c r="N5427" s="15">
        <v>0.90561839065797367</v>
      </c>
      <c r="O5427" s="15" t="s">
        <v>10</v>
      </c>
      <c r="P5427" s="15" t="s">
        <v>10</v>
      </c>
      <c r="Q5427" s="8"/>
      <c r="R5427" s="9" t="s">
        <v>4966</v>
      </c>
    </row>
    <row r="5428" spans="1:18" x14ac:dyDescent="0.25">
      <c r="A5428" s="6" t="str">
        <f>HYPERLINK("proteomic_fractions_linear_files/Yang_linear_img/270288742.jpg", "270288742")</f>
        <v>270288742</v>
      </c>
      <c r="B5428" s="7"/>
      <c r="C5428" s="6" t="str">
        <f>HYPERLINK("http://www.ncbi.nlm.nih.gov/protein/270288742","Phf14")</f>
        <v>Phf14</v>
      </c>
      <c r="D5428" s="8"/>
      <c r="E5428" s="8">
        <v>105816</v>
      </c>
      <c r="F5428" s="8"/>
      <c r="G5428" s="15">
        <v>1.7619418079239657</v>
      </c>
      <c r="H5428" s="15">
        <v>1.7619418079239657</v>
      </c>
      <c r="I5428" s="15" t="s">
        <v>10</v>
      </c>
      <c r="J5428" s="15" t="s">
        <v>10</v>
      </c>
      <c r="K5428" s="15" t="s">
        <v>10</v>
      </c>
      <c r="L5428" s="15" t="s">
        <v>10</v>
      </c>
      <c r="M5428" s="15" t="s">
        <v>10</v>
      </c>
      <c r="N5428" s="15" t="s">
        <v>10</v>
      </c>
      <c r="O5428" s="15" t="s">
        <v>10</v>
      </c>
      <c r="P5428" s="15" t="s">
        <v>10</v>
      </c>
      <c r="Q5428" s="8"/>
      <c r="R5428" s="9" t="s">
        <v>4967</v>
      </c>
    </row>
    <row r="5429" spans="1:18" x14ac:dyDescent="0.25">
      <c r="A5429" s="6" t="str">
        <f>HYPERLINK("proteomic_fractions_linear_files/Yang_linear_img/270288744.jpg", "270288744")</f>
        <v>270288744</v>
      </c>
      <c r="B5429" s="7"/>
      <c r="C5429" s="6" t="str">
        <f>HYPERLINK("http://www.ncbi.nlm.nih.gov/protein/270288744","Phf14")</f>
        <v>Phf14</v>
      </c>
      <c r="D5429" s="8"/>
      <c r="E5429" s="8">
        <v>98961</v>
      </c>
      <c r="F5429" s="8"/>
      <c r="G5429" s="15">
        <v>1.8865235519185894</v>
      </c>
      <c r="H5429" s="15">
        <v>1.8865235519185894</v>
      </c>
      <c r="I5429" s="15" t="s">
        <v>10</v>
      </c>
      <c r="J5429" s="15" t="s">
        <v>10</v>
      </c>
      <c r="K5429" s="15" t="s">
        <v>10</v>
      </c>
      <c r="L5429" s="15" t="s">
        <v>10</v>
      </c>
      <c r="M5429" s="15" t="s">
        <v>10</v>
      </c>
      <c r="N5429" s="15" t="s">
        <v>10</v>
      </c>
      <c r="O5429" s="15" t="s">
        <v>10</v>
      </c>
      <c r="P5429" s="15" t="s">
        <v>10</v>
      </c>
      <c r="Q5429" s="8"/>
      <c r="R5429" s="9" t="s">
        <v>4968</v>
      </c>
    </row>
    <row r="5430" spans="1:18" x14ac:dyDescent="0.25">
      <c r="A5430" s="6" t="str">
        <f>HYPERLINK("proteomic_fractions_linear_files/Yang_linear_img/24415990.jpg", "24415990")</f>
        <v>24415990</v>
      </c>
      <c r="B5430" s="7"/>
      <c r="C5430" s="6" t="str">
        <f>HYPERLINK("http://www.ncbi.nlm.nih.gov/protein/24415990","Phf5a")</f>
        <v>Phf5a</v>
      </c>
      <c r="D5430" s="8"/>
      <c r="E5430" s="8">
        <v>12274</v>
      </c>
      <c r="F5430" s="8"/>
      <c r="G5430" s="15">
        <v>1.716453432221356</v>
      </c>
      <c r="H5430" s="15">
        <v>1.716453432221356</v>
      </c>
      <c r="I5430" s="15">
        <v>1.1571542083280542</v>
      </c>
      <c r="J5430" s="15">
        <v>1.1571542083280542</v>
      </c>
      <c r="K5430" s="15">
        <v>1.209789476822529</v>
      </c>
      <c r="L5430" s="15">
        <v>1.209789476822529</v>
      </c>
      <c r="M5430" s="15">
        <v>1.209789476822529</v>
      </c>
      <c r="N5430" s="15">
        <v>1.209789476822529</v>
      </c>
      <c r="O5430" s="15">
        <v>1.1571542083280542</v>
      </c>
      <c r="P5430" s="15">
        <v>1.1571542083280542</v>
      </c>
      <c r="Q5430" s="8"/>
      <c r="R5430" s="9" t="s">
        <v>4969</v>
      </c>
    </row>
    <row r="5431" spans="1:18" x14ac:dyDescent="0.25">
      <c r="A5431" s="6" t="str">
        <f>HYPERLINK("proteomic_fractions_linear_files/Yang_linear_img/33563292.jpg", "33563292")</f>
        <v>33563292</v>
      </c>
      <c r="B5431" s="7"/>
      <c r="C5431" s="6" t="str">
        <f>HYPERLINK("http://www.ncbi.nlm.nih.gov/protein/33563292","Phf6")</f>
        <v>Phf6</v>
      </c>
      <c r="D5431" s="8"/>
      <c r="E5431" s="8">
        <v>41008</v>
      </c>
      <c r="F5431" s="8"/>
      <c r="G5431" s="15" t="s">
        <v>10</v>
      </c>
      <c r="H5431" s="15" t="s">
        <v>10</v>
      </c>
      <c r="I5431" s="15" t="s">
        <v>10</v>
      </c>
      <c r="J5431" s="15" t="s">
        <v>10</v>
      </c>
      <c r="K5431" s="15">
        <v>0.98798337081031085</v>
      </c>
      <c r="L5431" s="15">
        <v>0.98798337081031085</v>
      </c>
      <c r="M5431" s="15">
        <v>0.98798337081031085</v>
      </c>
      <c r="N5431" s="15">
        <v>0.98798337081031085</v>
      </c>
      <c r="O5431" s="15" t="s">
        <v>10</v>
      </c>
      <c r="P5431" s="15" t="s">
        <v>10</v>
      </c>
      <c r="Q5431" s="8"/>
      <c r="R5431" s="9" t="s">
        <v>4970</v>
      </c>
    </row>
    <row r="5432" spans="1:18" x14ac:dyDescent="0.25">
      <c r="A5432" s="6" t="str">
        <f>HYPERLINK("proteomic_fractions_linear_files/Yang_linear_img/164518891.jpg", "164518891")</f>
        <v>164518891</v>
      </c>
      <c r="B5432" s="7"/>
      <c r="C5432" s="6" t="str">
        <f>HYPERLINK("http://www.ncbi.nlm.nih.gov/protein/164518891","Phf8")</f>
        <v>Phf8</v>
      </c>
      <c r="D5432" s="8"/>
      <c r="E5432" s="8">
        <v>113422</v>
      </c>
      <c r="F5432" s="8"/>
      <c r="G5432" s="15" t="s">
        <v>10</v>
      </c>
      <c r="H5432" s="15" t="s">
        <v>10</v>
      </c>
      <c r="I5432" s="15" t="s">
        <v>10</v>
      </c>
      <c r="J5432" s="15" t="s">
        <v>10</v>
      </c>
      <c r="K5432" s="15">
        <v>53.036283185840709</v>
      </c>
      <c r="L5432" s="15">
        <v>53.036283185840709</v>
      </c>
      <c r="M5432" s="15" t="s">
        <v>10</v>
      </c>
      <c r="N5432" s="15" t="s">
        <v>10</v>
      </c>
      <c r="O5432" s="15" t="s">
        <v>10</v>
      </c>
      <c r="P5432" s="15" t="s">
        <v>10</v>
      </c>
      <c r="Q5432" s="8"/>
      <c r="R5432" s="9" t="s">
        <v>4971</v>
      </c>
    </row>
    <row r="5433" spans="1:18" x14ac:dyDescent="0.25">
      <c r="A5433" s="6" t="str">
        <f>HYPERLINK("proteomic_fractions_linear_files/Yang_linear_img/52353955.jpg", "52353955")</f>
        <v>52353955</v>
      </c>
      <c r="B5433" s="7"/>
      <c r="C5433" s="6" t="str">
        <f>HYPERLINK("http://www.ncbi.nlm.nih.gov/protein/52353955","Phgdh")</f>
        <v>Phgdh</v>
      </c>
      <c r="D5433" s="8"/>
      <c r="E5433" s="8">
        <v>56455</v>
      </c>
      <c r="F5433" s="8"/>
      <c r="G5433" s="15">
        <v>1.3113600043157543</v>
      </c>
      <c r="H5433" s="15">
        <v>1.3113600043157543</v>
      </c>
      <c r="I5433" s="15">
        <v>0.94858160053573359</v>
      </c>
      <c r="J5433" s="15">
        <v>0.94858160053573359</v>
      </c>
      <c r="K5433" s="15">
        <v>1.0495215640284616</v>
      </c>
      <c r="L5433" s="15">
        <v>1.0495215640284616</v>
      </c>
      <c r="M5433" s="15">
        <v>0.94858160053573359</v>
      </c>
      <c r="N5433" s="15">
        <v>0.94858160053573359</v>
      </c>
      <c r="O5433" s="15">
        <v>0.94858160053573359</v>
      </c>
      <c r="P5433" s="15">
        <v>0.94858160053573359</v>
      </c>
      <c r="Q5433" s="8"/>
      <c r="R5433" s="9" t="s">
        <v>4972</v>
      </c>
    </row>
    <row r="5434" spans="1:18" x14ac:dyDescent="0.25">
      <c r="A5434" s="6" t="str">
        <f>HYPERLINK("proteomic_fractions_linear_files/Yang_linear_img/40789096.jpg", "40789096")</f>
        <v>40789096</v>
      </c>
      <c r="B5434" s="7"/>
      <c r="C5434" s="6" t="str">
        <f>HYPERLINK("http://www.ncbi.nlm.nih.gov/protein/40789096","Phkb")</f>
        <v>Phkb</v>
      </c>
      <c r="D5434" s="8"/>
      <c r="E5434" s="8">
        <v>123759</v>
      </c>
      <c r="F5434" s="8"/>
      <c r="G5434" s="15" t="s">
        <v>10</v>
      </c>
      <c r="H5434" s="15" t="s">
        <v>10</v>
      </c>
      <c r="I5434" s="15" t="s">
        <v>10</v>
      </c>
      <c r="J5434" s="15" t="s">
        <v>10</v>
      </c>
      <c r="K5434" s="15" t="s">
        <v>10</v>
      </c>
      <c r="L5434" s="15" t="s">
        <v>10</v>
      </c>
      <c r="M5434" s="15">
        <v>1.0380776463315884</v>
      </c>
      <c r="N5434" s="15">
        <v>1.0380776463315884</v>
      </c>
      <c r="O5434" s="15">
        <v>1.0380776463315884</v>
      </c>
      <c r="P5434" s="15">
        <v>1.0380776463315884</v>
      </c>
      <c r="Q5434" s="8"/>
      <c r="R5434" s="9" t="s">
        <v>4973</v>
      </c>
    </row>
    <row r="5435" spans="1:18" x14ac:dyDescent="0.25">
      <c r="A5435" s="6" t="str">
        <f>HYPERLINK("proteomic_fractions_linear_files/Yang_linear_img/226442929.jpg", "226442929")</f>
        <v>226442929</v>
      </c>
      <c r="B5435" s="7"/>
      <c r="C5435" s="6" t="str">
        <f>HYPERLINK("http://www.ncbi.nlm.nih.gov/protein/226442929","Phlda1")</f>
        <v>Phlda1</v>
      </c>
      <c r="D5435" s="8"/>
      <c r="E5435" s="8">
        <v>45452</v>
      </c>
      <c r="F5435" s="8"/>
      <c r="G5435" s="15" t="s">
        <v>10</v>
      </c>
      <c r="H5435" s="15" t="s">
        <v>10</v>
      </c>
      <c r="I5435" s="15" t="s">
        <v>10</v>
      </c>
      <c r="J5435" s="15" t="s">
        <v>10</v>
      </c>
      <c r="K5435" s="15">
        <v>0.90016262673828318</v>
      </c>
      <c r="L5435" s="15">
        <v>0.90016262673828318</v>
      </c>
      <c r="M5435" s="15" t="s">
        <v>10</v>
      </c>
      <c r="N5435" s="15" t="s">
        <v>10</v>
      </c>
      <c r="O5435" s="15" t="s">
        <v>10</v>
      </c>
      <c r="P5435" s="15" t="s">
        <v>10</v>
      </c>
      <c r="Q5435" s="8"/>
      <c r="R5435" s="9" t="s">
        <v>4974</v>
      </c>
    </row>
    <row r="5436" spans="1:18" x14ac:dyDescent="0.25">
      <c r="A5436" s="6" t="str">
        <f>HYPERLINK("proteomic_fractions_linear_files/Yang_linear_img/7305377.jpg", "7305377")</f>
        <v>7305377</v>
      </c>
      <c r="B5436" s="7"/>
      <c r="C5436" s="6" t="str">
        <f>HYPERLINK("http://www.ncbi.nlm.nih.gov/protein/7305377","Phlda3")</f>
        <v>Phlda3</v>
      </c>
      <c r="D5436" s="8"/>
      <c r="E5436" s="8">
        <v>13588</v>
      </c>
      <c r="F5436" s="8"/>
      <c r="G5436" s="15" t="s">
        <v>10</v>
      </c>
      <c r="H5436" s="15" t="s">
        <v>10</v>
      </c>
      <c r="I5436" s="15" t="s">
        <v>10</v>
      </c>
      <c r="J5436" s="15" t="s">
        <v>10</v>
      </c>
      <c r="K5436" s="15">
        <v>0.99184646428118928</v>
      </c>
      <c r="L5436" s="15">
        <v>0.99184646428118928</v>
      </c>
      <c r="M5436" s="15" t="s">
        <v>10</v>
      </c>
      <c r="N5436" s="15" t="s">
        <v>10</v>
      </c>
      <c r="O5436" s="15" t="s">
        <v>10</v>
      </c>
      <c r="P5436" s="15" t="s">
        <v>10</v>
      </c>
      <c r="Q5436" s="8"/>
      <c r="R5436" s="9" t="s">
        <v>4975</v>
      </c>
    </row>
    <row r="5437" spans="1:18" x14ac:dyDescent="0.25">
      <c r="A5437" s="6" t="str">
        <f>HYPERLINK("proteomic_fractions_linear_files/Yang_linear_img/188528897.jpg", "188528897")</f>
        <v>188528897</v>
      </c>
      <c r="B5437" s="7"/>
      <c r="C5437" s="6" t="str">
        <f>HYPERLINK("http://www.ncbi.nlm.nih.gov/protein/188528897","Phldb2")</f>
        <v>Phldb2</v>
      </c>
      <c r="D5437" s="8"/>
      <c r="E5437" s="8">
        <v>141355</v>
      </c>
      <c r="F5437" s="8"/>
      <c r="G5437" s="15" t="s">
        <v>10</v>
      </c>
      <c r="H5437" s="15" t="s">
        <v>10</v>
      </c>
      <c r="I5437" s="15">
        <v>1.0883182350088074</v>
      </c>
      <c r="J5437" s="15">
        <v>1.0883182350088074</v>
      </c>
      <c r="K5437" s="15">
        <v>1.3245803662407118</v>
      </c>
      <c r="L5437" s="15">
        <v>1.3245803662407118</v>
      </c>
      <c r="M5437" s="15" t="s">
        <v>10</v>
      </c>
      <c r="N5437" s="15" t="s">
        <v>10</v>
      </c>
      <c r="O5437" s="15" t="s">
        <v>10</v>
      </c>
      <c r="P5437" s="15" t="s">
        <v>10</v>
      </c>
      <c r="Q5437" s="8"/>
      <c r="R5437" s="9" t="s">
        <v>4976</v>
      </c>
    </row>
    <row r="5438" spans="1:18" x14ac:dyDescent="0.25">
      <c r="A5438" s="6" t="str">
        <f>HYPERLINK("proteomic_fractions_linear_files/Yang_linear_img/356995938.jpg", "356995938")</f>
        <v>356995938</v>
      </c>
      <c r="B5438" s="7"/>
      <c r="C5438" s="6" t="str">
        <f>HYPERLINK("http://www.ncbi.nlm.nih.gov/protein/356995938","Phldb2")</f>
        <v>Phldb2</v>
      </c>
      <c r="D5438" s="8"/>
      <c r="E5438" s="8">
        <v>147269</v>
      </c>
      <c r="F5438" s="8"/>
      <c r="G5438" s="15" t="s">
        <v>10</v>
      </c>
      <c r="H5438" s="15" t="s">
        <v>10</v>
      </c>
      <c r="I5438" s="15">
        <v>1.0438970825594682</v>
      </c>
      <c r="J5438" s="15">
        <v>1.0438970825594682</v>
      </c>
      <c r="K5438" s="15">
        <v>1.2705158614961929</v>
      </c>
      <c r="L5438" s="15">
        <v>1.2705158614961929</v>
      </c>
      <c r="M5438" s="15" t="s">
        <v>10</v>
      </c>
      <c r="N5438" s="15" t="s">
        <v>10</v>
      </c>
      <c r="O5438" s="15" t="s">
        <v>10</v>
      </c>
      <c r="P5438" s="15" t="s">
        <v>10</v>
      </c>
      <c r="Q5438" s="8"/>
      <c r="R5438" s="9" t="s">
        <v>4977</v>
      </c>
    </row>
    <row r="5439" spans="1:18" x14ac:dyDescent="0.25">
      <c r="A5439" s="6" t="str">
        <f>HYPERLINK("proteomic_fractions_linear_files/Yang_linear_img/156616318.jpg", "156616318")</f>
        <v>156616318</v>
      </c>
      <c r="B5439" s="7"/>
      <c r="C5439" s="6" t="str">
        <f>HYPERLINK("http://www.ncbi.nlm.nih.gov/protein/156616318","Phldb3")</f>
        <v>Phldb3</v>
      </c>
      <c r="D5439" s="8"/>
      <c r="E5439" s="8">
        <v>72656</v>
      </c>
      <c r="F5439" s="8"/>
      <c r="G5439" s="15" t="s">
        <v>10</v>
      </c>
      <c r="H5439" s="15" t="s">
        <v>10</v>
      </c>
      <c r="I5439" s="15" t="s">
        <v>10</v>
      </c>
      <c r="J5439" s="15" t="s">
        <v>10</v>
      </c>
      <c r="K5439" s="15" t="s">
        <v>10</v>
      </c>
      <c r="L5439" s="15" t="s">
        <v>10</v>
      </c>
      <c r="M5439" s="15" t="s">
        <v>10</v>
      </c>
      <c r="N5439" s="15" t="s">
        <v>10</v>
      </c>
      <c r="O5439" s="15">
        <v>3.1967239401075216</v>
      </c>
      <c r="P5439" s="15">
        <v>3.1967239401075216</v>
      </c>
      <c r="Q5439" s="8"/>
      <c r="R5439" s="9" t="s">
        <v>4978</v>
      </c>
    </row>
    <row r="5440" spans="1:18" x14ac:dyDescent="0.25">
      <c r="A5440" s="6" t="str">
        <f>HYPERLINK("proteomic_fractions_linear_files/Yang_linear_img/21312114.jpg", "21312114")</f>
        <v>21312114</v>
      </c>
      <c r="B5440" s="7"/>
      <c r="C5440" s="6" t="str">
        <f>HYPERLINK("http://www.ncbi.nlm.nih.gov/protein/21312114","Phospho2")</f>
        <v>Phospho2</v>
      </c>
      <c r="D5440" s="8"/>
      <c r="E5440" s="8">
        <v>27432</v>
      </c>
      <c r="F5440" s="8"/>
      <c r="G5440" s="15" t="s">
        <v>10</v>
      </c>
      <c r="H5440" s="15" t="s">
        <v>10</v>
      </c>
      <c r="I5440" s="15" t="s">
        <v>10</v>
      </c>
      <c r="J5440" s="15" t="s">
        <v>10</v>
      </c>
      <c r="K5440" s="15" t="s">
        <v>10</v>
      </c>
      <c r="L5440" s="15" t="s">
        <v>10</v>
      </c>
      <c r="M5440" s="15" t="s">
        <v>10</v>
      </c>
      <c r="N5440" s="15" t="s">
        <v>10</v>
      </c>
      <c r="O5440" s="15">
        <v>0.76286819209838042</v>
      </c>
      <c r="P5440" s="15">
        <v>0.76286819209838042</v>
      </c>
      <c r="Q5440" s="8"/>
      <c r="R5440" s="9" t="s">
        <v>4979</v>
      </c>
    </row>
    <row r="5441" spans="1:18" x14ac:dyDescent="0.25">
      <c r="A5441" s="6" t="str">
        <f>HYPERLINK("proteomic_fractions_linear_files/Yang_linear_img/58037409.jpg", "58037409")</f>
        <v>58037409</v>
      </c>
      <c r="B5441" s="7"/>
      <c r="C5441" s="6" t="str">
        <f>HYPERLINK("http://www.ncbi.nlm.nih.gov/protein/58037409","Phpt1")</f>
        <v>Phpt1</v>
      </c>
      <c r="D5441" s="8"/>
      <c r="E5441" s="8">
        <v>13865</v>
      </c>
      <c r="F5441" s="8"/>
      <c r="G5441" s="15">
        <v>1.0369624087050249</v>
      </c>
      <c r="H5441" s="15">
        <v>1.0369624087050249</v>
      </c>
      <c r="I5441" s="15">
        <v>1.085452735272449</v>
      </c>
      <c r="J5441" s="15">
        <v>1.085452735272449</v>
      </c>
      <c r="K5441" s="15">
        <v>1.1376744130844125</v>
      </c>
      <c r="L5441" s="15">
        <v>1.1376744130844125</v>
      </c>
      <c r="M5441" s="15" t="s">
        <v>10</v>
      </c>
      <c r="N5441" s="15" t="s">
        <v>10</v>
      </c>
      <c r="O5441" s="15">
        <v>1.0369624087050249</v>
      </c>
      <c r="P5441" s="15">
        <v>1.0369624087050249</v>
      </c>
      <c r="Q5441" s="8"/>
      <c r="R5441" s="9" t="s">
        <v>4980</v>
      </c>
    </row>
    <row r="5442" spans="1:18" x14ac:dyDescent="0.25">
      <c r="A5442" s="6" t="str">
        <f>HYPERLINK("proteomic_fractions_linear_files/Yang_linear_img/26986561.jpg", "26986561")</f>
        <v>26986561</v>
      </c>
      <c r="B5442" s="7"/>
      <c r="C5442" s="6" t="str">
        <f>HYPERLINK("http://www.ncbi.nlm.nih.gov/protein/26986561","Phyhd1")</f>
        <v>Phyhd1</v>
      </c>
      <c r="D5442" s="8"/>
      <c r="E5442" s="8">
        <v>34484</v>
      </c>
      <c r="F5442" s="8"/>
      <c r="G5442" s="15" t="s">
        <v>10</v>
      </c>
      <c r="H5442" s="15" t="s">
        <v>10</v>
      </c>
      <c r="I5442" s="15" t="s">
        <v>10</v>
      </c>
      <c r="J5442" s="15" t="s">
        <v>10</v>
      </c>
      <c r="K5442" s="15" t="s">
        <v>10</v>
      </c>
      <c r="L5442" s="15" t="s">
        <v>10</v>
      </c>
      <c r="M5442" s="15" t="s">
        <v>10</v>
      </c>
      <c r="N5442" s="15" t="s">
        <v>10</v>
      </c>
      <c r="O5442" s="15">
        <v>0.76912523868897065</v>
      </c>
      <c r="P5442" s="15">
        <v>0.76912523868897065</v>
      </c>
      <c r="Q5442" s="8"/>
      <c r="R5442" s="9" t="s">
        <v>4981</v>
      </c>
    </row>
    <row r="5443" spans="1:18" x14ac:dyDescent="0.25">
      <c r="A5443" s="6" t="str">
        <f>HYPERLINK("proteomic_fractions_linear_files/Yang_linear_img/357540869.jpg", "357540869")</f>
        <v>357540869</v>
      </c>
      <c r="B5443" s="7"/>
      <c r="C5443" s="6" t="str">
        <f>HYPERLINK("http://www.ncbi.nlm.nih.gov/protein/357540869","Phyhd1")</f>
        <v>Phyhd1</v>
      </c>
      <c r="D5443" s="8"/>
      <c r="E5443" s="8">
        <v>32386</v>
      </c>
      <c r="F5443" s="8"/>
      <c r="G5443" s="15" t="s">
        <v>10</v>
      </c>
      <c r="H5443" s="15" t="s">
        <v>10</v>
      </c>
      <c r="I5443" s="15" t="s">
        <v>10</v>
      </c>
      <c r="J5443" s="15" t="s">
        <v>10</v>
      </c>
      <c r="K5443" s="15" t="s">
        <v>10</v>
      </c>
      <c r="L5443" s="15" t="s">
        <v>10</v>
      </c>
      <c r="M5443" s="15" t="s">
        <v>10</v>
      </c>
      <c r="N5443" s="15" t="s">
        <v>10</v>
      </c>
      <c r="O5443" s="15">
        <v>0.81719556610703126</v>
      </c>
      <c r="P5443" s="15">
        <v>0.81719556610703126</v>
      </c>
      <c r="Q5443" s="8"/>
      <c r="R5443" s="9" t="s">
        <v>4982</v>
      </c>
    </row>
    <row r="5444" spans="1:18" x14ac:dyDescent="0.25">
      <c r="A5444" s="6" t="str">
        <f>HYPERLINK("proteomic_fractions_linear_files/Yang_linear_img/357588425.jpg", "357588425")</f>
        <v>357588425</v>
      </c>
      <c r="B5444" s="7"/>
      <c r="C5444" s="6" t="str">
        <f>HYPERLINK("http://www.ncbi.nlm.nih.gov/protein/357588425","Phyhd1")</f>
        <v>Phyhd1</v>
      </c>
      <c r="D5444" s="8"/>
      <c r="E5444" s="8">
        <v>31894</v>
      </c>
      <c r="F5444" s="8"/>
      <c r="G5444" s="15" t="s">
        <v>10</v>
      </c>
      <c r="H5444" s="15" t="s">
        <v>10</v>
      </c>
      <c r="I5444" s="15" t="s">
        <v>10</v>
      </c>
      <c r="J5444" s="15" t="s">
        <v>10</v>
      </c>
      <c r="K5444" s="15" t="s">
        <v>10</v>
      </c>
      <c r="L5444" s="15" t="s">
        <v>10</v>
      </c>
      <c r="M5444" s="15" t="s">
        <v>10</v>
      </c>
      <c r="N5444" s="15" t="s">
        <v>10</v>
      </c>
      <c r="O5444" s="15">
        <v>0.81719556610703126</v>
      </c>
      <c r="P5444" s="15">
        <v>0.81719556610703126</v>
      </c>
      <c r="Q5444" s="8"/>
      <c r="R5444" s="9" t="s">
        <v>4983</v>
      </c>
    </row>
    <row r="5445" spans="1:18" x14ac:dyDescent="0.25">
      <c r="A5445" s="6" t="str">
        <f>HYPERLINK("proteomic_fractions_linear_files/Yang_linear_img/357588429.jpg", "357588429")</f>
        <v>357588429</v>
      </c>
      <c r="B5445" s="7"/>
      <c r="C5445" s="6" t="str">
        <f>HYPERLINK("http://www.ncbi.nlm.nih.gov/protein/357588429","Phyhd1")</f>
        <v>Phyhd1</v>
      </c>
      <c r="D5445" s="8"/>
      <c r="E5445" s="8">
        <v>30024</v>
      </c>
      <c r="F5445" s="8"/>
      <c r="G5445" s="15" t="s">
        <v>10</v>
      </c>
      <c r="H5445" s="15" t="s">
        <v>10</v>
      </c>
      <c r="I5445" s="15" t="s">
        <v>10</v>
      </c>
      <c r="J5445" s="15" t="s">
        <v>10</v>
      </c>
      <c r="K5445" s="15" t="s">
        <v>10</v>
      </c>
      <c r="L5445" s="15" t="s">
        <v>10</v>
      </c>
      <c r="M5445" s="15" t="s">
        <v>10</v>
      </c>
      <c r="N5445" s="15" t="s">
        <v>10</v>
      </c>
      <c r="O5445" s="15">
        <v>0.87167527051416671</v>
      </c>
      <c r="P5445" s="15">
        <v>0.87167527051416671</v>
      </c>
      <c r="Q5445" s="8"/>
      <c r="R5445" s="9" t="s">
        <v>4984</v>
      </c>
    </row>
    <row r="5446" spans="1:18" x14ac:dyDescent="0.25">
      <c r="A5446" s="6" t="str">
        <f>HYPERLINK("proteomic_fractions_linear_files/Yang_linear_img/28077015.jpg", "28077015")</f>
        <v>28077015</v>
      </c>
      <c r="B5446" s="7"/>
      <c r="C5446" s="6" t="str">
        <f>HYPERLINK("http://www.ncbi.nlm.nih.gov/protein/28077015","Phykpl")</f>
        <v>Phykpl</v>
      </c>
      <c r="D5446" s="8"/>
      <c r="E5446" s="8">
        <v>51835</v>
      </c>
      <c r="F5446" s="8"/>
      <c r="G5446" s="15" t="s">
        <v>10</v>
      </c>
      <c r="H5446" s="15" t="s">
        <v>10</v>
      </c>
      <c r="I5446" s="15" t="s">
        <v>10</v>
      </c>
      <c r="J5446" s="15" t="s">
        <v>10</v>
      </c>
      <c r="K5446" s="15" t="s">
        <v>10</v>
      </c>
      <c r="L5446" s="15" t="s">
        <v>10</v>
      </c>
      <c r="M5446" s="15" t="s">
        <v>10</v>
      </c>
      <c r="N5446" s="15" t="s">
        <v>10</v>
      </c>
      <c r="O5446" s="15">
        <v>0.84856902398010514</v>
      </c>
      <c r="P5446" s="15">
        <v>0.84856902398010514</v>
      </c>
      <c r="Q5446" s="8"/>
      <c r="R5446" s="9" t="s">
        <v>4985</v>
      </c>
    </row>
    <row r="5447" spans="1:18" x14ac:dyDescent="0.25">
      <c r="A5447" s="6" t="str">
        <f>HYPERLINK("proteomic_fractions_linear_files/Yang_linear_img/21703986.jpg", "21703986")</f>
        <v>21703986</v>
      </c>
      <c r="B5447" s="7"/>
      <c r="C5447" s="6" t="str">
        <f>HYPERLINK("http://www.ncbi.nlm.nih.gov/protein/21703986","Pi4k2a")</f>
        <v>Pi4k2a</v>
      </c>
      <c r="D5447" s="8"/>
      <c r="E5447" s="8">
        <v>54127</v>
      </c>
      <c r="F5447" s="8"/>
      <c r="G5447" s="15" t="s">
        <v>10</v>
      </c>
      <c r="H5447" s="15" t="s">
        <v>10</v>
      </c>
      <c r="I5447" s="15">
        <v>0.98371425240742738</v>
      </c>
      <c r="J5447" s="15">
        <v>0.98371425240742738</v>
      </c>
      <c r="K5447" s="15">
        <v>1.0883927330665528</v>
      </c>
      <c r="L5447" s="15">
        <v>1.0883927330665528</v>
      </c>
      <c r="M5447" s="15">
        <v>0.98371425240742738</v>
      </c>
      <c r="N5447" s="15">
        <v>0.98371425240742738</v>
      </c>
      <c r="O5447" s="15" t="s">
        <v>10</v>
      </c>
      <c r="P5447" s="15" t="s">
        <v>10</v>
      </c>
      <c r="Q5447" s="8"/>
      <c r="R5447" s="9" t="s">
        <v>4986</v>
      </c>
    </row>
    <row r="5448" spans="1:18" x14ac:dyDescent="0.25">
      <c r="A5448" s="6" t="str">
        <f>HYPERLINK("proteomic_fractions_linear_files/Yang_linear_img/145966816.jpg", "145966816")</f>
        <v>145966816</v>
      </c>
      <c r="B5448" s="7"/>
      <c r="C5448" s="6" t="str">
        <f>HYPERLINK("http://www.ncbi.nlm.nih.gov/protein/145966816","Pi4k2b")</f>
        <v>Pi4k2b</v>
      </c>
      <c r="D5448" s="8"/>
      <c r="E5448" s="8">
        <v>50831</v>
      </c>
      <c r="F5448" s="8"/>
      <c r="G5448" s="15" t="s">
        <v>10</v>
      </c>
      <c r="H5448" s="15" t="s">
        <v>10</v>
      </c>
      <c r="I5448" s="15" t="s">
        <v>10</v>
      </c>
      <c r="J5448" s="15" t="s">
        <v>10</v>
      </c>
      <c r="K5448" s="15">
        <v>1.1524158350116442</v>
      </c>
      <c r="L5448" s="15">
        <v>1.1524158350116442</v>
      </c>
      <c r="M5448" s="15" t="s">
        <v>10</v>
      </c>
      <c r="N5448" s="15" t="s">
        <v>10</v>
      </c>
      <c r="O5448" s="15" t="s">
        <v>10</v>
      </c>
      <c r="P5448" s="15" t="s">
        <v>10</v>
      </c>
      <c r="Q5448" s="8"/>
      <c r="R5448" s="9" t="s">
        <v>4987</v>
      </c>
    </row>
    <row r="5449" spans="1:18" x14ac:dyDescent="0.25">
      <c r="A5449" s="6" t="str">
        <f>HYPERLINK("proteomic_fractions_linear_files/Yang_linear_img/145966899.jpg", "145966899")</f>
        <v>145966899</v>
      </c>
      <c r="B5449" s="7"/>
      <c r="C5449" s="6" t="str">
        <f>HYPERLINK("http://www.ncbi.nlm.nih.gov/protein/145966899","Pi4k2b")</f>
        <v>Pi4k2b</v>
      </c>
      <c r="D5449" s="8"/>
      <c r="E5449" s="8">
        <v>53347</v>
      </c>
      <c r="F5449" s="8"/>
      <c r="G5449" s="15" t="s">
        <v>10</v>
      </c>
      <c r="H5449" s="15" t="s">
        <v>10</v>
      </c>
      <c r="I5449" s="15" t="s">
        <v>10</v>
      </c>
      <c r="J5449" s="15" t="s">
        <v>10</v>
      </c>
      <c r="K5449" s="15">
        <v>1.1089284450112047</v>
      </c>
      <c r="L5449" s="15">
        <v>1.1089284450112047</v>
      </c>
      <c r="M5449" s="15" t="s">
        <v>10</v>
      </c>
      <c r="N5449" s="15" t="s">
        <v>10</v>
      </c>
      <c r="O5449" s="15" t="s">
        <v>10</v>
      </c>
      <c r="P5449" s="15" t="s">
        <v>10</v>
      </c>
      <c r="Q5449" s="8"/>
      <c r="R5449" s="9" t="s">
        <v>4988</v>
      </c>
    </row>
    <row r="5450" spans="1:18" x14ac:dyDescent="0.25">
      <c r="A5450" s="6" t="str">
        <f>HYPERLINK("proteomic_fractions_linear_files/Yang_linear_img/241982771.jpg", "241982771")</f>
        <v>241982771</v>
      </c>
      <c r="B5450" s="7"/>
      <c r="C5450" s="6" t="str">
        <f>HYPERLINK("http://www.ncbi.nlm.nih.gov/protein/241982771","Pi4ka")</f>
        <v>Pi4ka</v>
      </c>
      <c r="D5450" s="8"/>
      <c r="E5450" s="8">
        <v>231226</v>
      </c>
      <c r="F5450" s="8"/>
      <c r="G5450" s="15">
        <v>1.0102201196010783</v>
      </c>
      <c r="H5450" s="15">
        <v>1.0102201196010783</v>
      </c>
      <c r="I5450" s="15">
        <v>1.0102201196010783</v>
      </c>
      <c r="J5450" s="15">
        <v>1.0102201196010783</v>
      </c>
      <c r="K5450" s="15">
        <v>1.0102201196010783</v>
      </c>
      <c r="L5450" s="15">
        <v>1.0102201196010783</v>
      </c>
      <c r="M5450" s="15">
        <v>1.770751332205367</v>
      </c>
      <c r="N5450" s="15">
        <v>1.770751332205367</v>
      </c>
      <c r="O5450" s="15" t="s">
        <v>10</v>
      </c>
      <c r="P5450" s="15" t="s">
        <v>10</v>
      </c>
      <c r="Q5450" s="8"/>
      <c r="R5450" s="9" t="s">
        <v>4989</v>
      </c>
    </row>
    <row r="5451" spans="1:18" x14ac:dyDescent="0.25">
      <c r="A5451" s="6" t="str">
        <f>HYPERLINK("proteomic_fractions_linear_files/Yang_linear_img/256000773.jpg", "256000773")</f>
        <v>256000773</v>
      </c>
      <c r="B5451" s="7"/>
      <c r="C5451" s="6" t="str">
        <f>HYPERLINK("http://www.ncbi.nlm.nih.gov/protein/256000773","Pi4kb")</f>
        <v>Pi4kb</v>
      </c>
      <c r="D5451" s="8"/>
      <c r="E5451" s="8">
        <v>89813</v>
      </c>
      <c r="F5451" s="8"/>
      <c r="G5451" s="15" t="s">
        <v>10</v>
      </c>
      <c r="H5451" s="15" t="s">
        <v>10</v>
      </c>
      <c r="I5451" s="15" t="s">
        <v>10</v>
      </c>
      <c r="J5451" s="15" t="s">
        <v>10</v>
      </c>
      <c r="K5451" s="15" t="s">
        <v>10</v>
      </c>
      <c r="L5451" s="15" t="s">
        <v>10</v>
      </c>
      <c r="M5451" s="15" t="s">
        <v>10</v>
      </c>
      <c r="N5451" s="15" t="s">
        <v>10</v>
      </c>
      <c r="O5451" s="15">
        <v>1.2200173757903496</v>
      </c>
      <c r="P5451" s="15">
        <v>1.2200173757903496</v>
      </c>
      <c r="Q5451" s="8"/>
      <c r="R5451" s="9" t="s">
        <v>4990</v>
      </c>
    </row>
    <row r="5452" spans="1:18" x14ac:dyDescent="0.25">
      <c r="A5452" s="6" t="str">
        <f>HYPERLINK("proteomic_fractions_linear_files/Yang_linear_img/32567788.jpg", "32567788")</f>
        <v>32567788</v>
      </c>
      <c r="B5452" s="7"/>
      <c r="C5452" s="6" t="str">
        <f>HYPERLINK("http://www.ncbi.nlm.nih.gov/protein/32567788","Picalm")</f>
        <v>Picalm</v>
      </c>
      <c r="D5452" s="8"/>
      <c r="E5452" s="8">
        <v>71413</v>
      </c>
      <c r="F5452" s="8"/>
      <c r="G5452" s="15" t="s">
        <v>10</v>
      </c>
      <c r="H5452" s="15" t="s">
        <v>10</v>
      </c>
      <c r="I5452" s="15">
        <v>1.0343121160800317</v>
      </c>
      <c r="J5452" s="15">
        <v>1.0343121160800317</v>
      </c>
      <c r="K5452" s="15">
        <v>1.0343121160800317</v>
      </c>
      <c r="L5452" s="15">
        <v>1.0343121160800317</v>
      </c>
      <c r="M5452" s="15" t="s">
        <v>10</v>
      </c>
      <c r="N5452" s="15" t="s">
        <v>10</v>
      </c>
      <c r="O5452" s="15">
        <v>0.92187694831752576</v>
      </c>
      <c r="P5452" s="15">
        <v>0.92187694831752576</v>
      </c>
      <c r="Q5452" s="8"/>
      <c r="R5452" s="9" t="s">
        <v>4991</v>
      </c>
    </row>
    <row r="5453" spans="1:18" x14ac:dyDescent="0.25">
      <c r="A5453" s="6" t="str">
        <f>HYPERLINK("proteomic_fractions_linear_files/Yang_linear_img/357394959.jpg", "357394959")</f>
        <v>357394959</v>
      </c>
      <c r="B5453" s="7"/>
      <c r="C5453" s="6" t="str">
        <f>HYPERLINK("http://www.ncbi.nlm.nih.gov/protein/357394959","Picalm")</f>
        <v>Picalm</v>
      </c>
      <c r="D5453" s="8"/>
      <c r="E5453" s="8">
        <v>70851</v>
      </c>
      <c r="F5453" s="8"/>
      <c r="G5453" s="15" t="s">
        <v>10</v>
      </c>
      <c r="H5453" s="15" t="s">
        <v>10</v>
      </c>
      <c r="I5453" s="15">
        <v>0.92187694831752576</v>
      </c>
      <c r="J5453" s="15">
        <v>0.92187694831752576</v>
      </c>
      <c r="K5453" s="15">
        <v>1.0343121160800317</v>
      </c>
      <c r="L5453" s="15">
        <v>1.0343121160800317</v>
      </c>
      <c r="M5453" s="15" t="s">
        <v>10</v>
      </c>
      <c r="N5453" s="15" t="s">
        <v>10</v>
      </c>
      <c r="O5453" s="15">
        <v>0.92187694831752576</v>
      </c>
      <c r="P5453" s="15">
        <v>0.92187694831752576</v>
      </c>
      <c r="Q5453" s="8"/>
      <c r="R5453" s="9" t="s">
        <v>4992</v>
      </c>
    </row>
    <row r="5454" spans="1:18" x14ac:dyDescent="0.25">
      <c r="A5454" s="6" t="str">
        <f>HYPERLINK("proteomic_fractions_linear_files/Yang_linear_img/357394963.jpg", "357394963")</f>
        <v>357394963</v>
      </c>
      <c r="B5454" s="7"/>
      <c r="C5454" s="6" t="str">
        <f>HYPERLINK("http://www.ncbi.nlm.nih.gov/protein/357394963","Picalm")</f>
        <v>Picalm</v>
      </c>
      <c r="D5454" s="8"/>
      <c r="E5454" s="8">
        <v>70437</v>
      </c>
      <c r="F5454" s="8"/>
      <c r="G5454" s="15" t="s">
        <v>10</v>
      </c>
      <c r="H5454" s="15" t="s">
        <v>10</v>
      </c>
      <c r="I5454" s="15">
        <v>1.0490880034526036</v>
      </c>
      <c r="J5454" s="15">
        <v>1.0490880034526036</v>
      </c>
      <c r="K5454" s="15">
        <v>1.0490880034526036</v>
      </c>
      <c r="L5454" s="15">
        <v>1.0490880034526036</v>
      </c>
      <c r="M5454" s="15" t="s">
        <v>10</v>
      </c>
      <c r="N5454" s="15" t="s">
        <v>10</v>
      </c>
      <c r="O5454" s="15">
        <v>0.93504661900777619</v>
      </c>
      <c r="P5454" s="15">
        <v>0.93504661900777619</v>
      </c>
      <c r="Q5454" s="8"/>
      <c r="R5454" s="9" t="s">
        <v>4993</v>
      </c>
    </row>
    <row r="5455" spans="1:18" x14ac:dyDescent="0.25">
      <c r="A5455" s="6" t="str">
        <f>HYPERLINK("proteomic_fractions_linear_files/Yang_linear_img/357394966.jpg", "357394966")</f>
        <v>357394966</v>
      </c>
      <c r="B5455" s="7"/>
      <c r="C5455" s="6" t="str">
        <f>HYPERLINK("http://www.ncbi.nlm.nih.gov/protein/357394966","Picalm")</f>
        <v>Picalm</v>
      </c>
      <c r="D5455" s="8"/>
      <c r="E5455" s="8">
        <v>66054</v>
      </c>
      <c r="F5455" s="8"/>
      <c r="G5455" s="15" t="s">
        <v>10</v>
      </c>
      <c r="H5455" s="15" t="s">
        <v>10</v>
      </c>
      <c r="I5455" s="15">
        <v>1.1126690945709432</v>
      </c>
      <c r="J5455" s="15">
        <v>1.1126690945709432</v>
      </c>
      <c r="K5455" s="15">
        <v>1.1126690945709432</v>
      </c>
      <c r="L5455" s="15">
        <v>1.1126690945709432</v>
      </c>
      <c r="M5455" s="15" t="s">
        <v>10</v>
      </c>
      <c r="N5455" s="15" t="s">
        <v>10</v>
      </c>
      <c r="O5455" s="15">
        <v>0.99171611106885349</v>
      </c>
      <c r="P5455" s="15">
        <v>0.99171611106885349</v>
      </c>
      <c r="Q5455" s="8"/>
      <c r="R5455" s="9" t="s">
        <v>4994</v>
      </c>
    </row>
    <row r="5456" spans="1:18" x14ac:dyDescent="0.25">
      <c r="A5456" s="6" t="str">
        <f>HYPERLINK("proteomic_fractions_linear_files/Yang_linear_img/357394968.jpg", "357394968")</f>
        <v>357394968</v>
      </c>
      <c r="B5456" s="7"/>
      <c r="C5456" s="6" t="str">
        <f>HYPERLINK("http://www.ncbi.nlm.nih.gov/protein/357394968","Picalm")</f>
        <v>Picalm</v>
      </c>
      <c r="D5456" s="8"/>
      <c r="E5456" s="8">
        <v>65492</v>
      </c>
      <c r="F5456" s="8"/>
      <c r="G5456" s="15" t="s">
        <v>10</v>
      </c>
      <c r="H5456" s="15" t="s">
        <v>10</v>
      </c>
      <c r="I5456" s="15">
        <v>1.0069732820083743</v>
      </c>
      <c r="J5456" s="15">
        <v>1.0069732820083743</v>
      </c>
      <c r="K5456" s="15">
        <v>1.1297870806412653</v>
      </c>
      <c r="L5456" s="15">
        <v>1.1297870806412653</v>
      </c>
      <c r="M5456" s="15" t="s">
        <v>10</v>
      </c>
      <c r="N5456" s="15" t="s">
        <v>10</v>
      </c>
      <c r="O5456" s="15">
        <v>1.0069732820083743</v>
      </c>
      <c r="P5456" s="15">
        <v>1.0069732820083743</v>
      </c>
      <c r="Q5456" s="8"/>
      <c r="R5456" s="9" t="s">
        <v>4995</v>
      </c>
    </row>
    <row r="5457" spans="1:18" x14ac:dyDescent="0.25">
      <c r="A5457" s="6" t="str">
        <f>HYPERLINK("proteomic_fractions_linear_files/Yang_linear_img/357394970.jpg", "357394970")</f>
        <v>357394970</v>
      </c>
      <c r="B5457" s="7"/>
      <c r="C5457" s="6" t="str">
        <f>HYPERLINK("http://www.ncbi.nlm.nih.gov/protein/357394970","Picalm")</f>
        <v>Picalm</v>
      </c>
      <c r="D5457" s="8"/>
      <c r="E5457" s="8">
        <v>64517</v>
      </c>
      <c r="F5457" s="8"/>
      <c r="G5457" s="15" t="s">
        <v>10</v>
      </c>
      <c r="H5457" s="15" t="s">
        <v>10</v>
      </c>
      <c r="I5457" s="15">
        <v>1.0069732820083743</v>
      </c>
      <c r="J5457" s="15">
        <v>1.0069732820083743</v>
      </c>
      <c r="K5457" s="15">
        <v>1.1297870806412653</v>
      </c>
      <c r="L5457" s="15">
        <v>1.1297870806412653</v>
      </c>
      <c r="M5457" s="15" t="s">
        <v>10</v>
      </c>
      <c r="N5457" s="15" t="s">
        <v>10</v>
      </c>
      <c r="O5457" s="15">
        <v>1.0069732820083743</v>
      </c>
      <c r="P5457" s="15">
        <v>1.0069732820083743</v>
      </c>
      <c r="Q5457" s="8"/>
      <c r="R5457" s="9" t="s">
        <v>4996</v>
      </c>
    </row>
    <row r="5458" spans="1:18" x14ac:dyDescent="0.25">
      <c r="A5458" s="6" t="str">
        <f>HYPERLINK("proteomic_fractions_linear_files/Yang_linear_img/257153376.jpg", "257153376")</f>
        <v>257153376</v>
      </c>
      <c r="B5458" s="7"/>
      <c r="C5458" s="6" t="str">
        <f>HYPERLINK("http://www.ncbi.nlm.nih.gov/protein/257153376","Piezo1")</f>
        <v>Piezo1</v>
      </c>
      <c r="D5458" s="8"/>
      <c r="E5458" s="8">
        <v>291861</v>
      </c>
      <c r="F5458" s="8"/>
      <c r="G5458" s="15" t="s">
        <v>10</v>
      </c>
      <c r="H5458" s="15" t="s">
        <v>10</v>
      </c>
      <c r="I5458" s="15">
        <v>2.0325096084565213</v>
      </c>
      <c r="J5458" s="15">
        <v>2.0325096084565213</v>
      </c>
      <c r="K5458" s="15" t="s">
        <v>10</v>
      </c>
      <c r="L5458" s="15" t="s">
        <v>10</v>
      </c>
      <c r="M5458" s="15" t="s">
        <v>10</v>
      </c>
      <c r="N5458" s="15" t="s">
        <v>10</v>
      </c>
      <c r="O5458" s="15" t="s">
        <v>10</v>
      </c>
      <c r="P5458" s="15" t="s">
        <v>10</v>
      </c>
      <c r="Q5458" s="8"/>
      <c r="R5458" s="9" t="s">
        <v>4997</v>
      </c>
    </row>
    <row r="5459" spans="1:18" x14ac:dyDescent="0.25">
      <c r="A5459" s="6" t="str">
        <f>HYPERLINK("proteomic_fractions_linear_files/Yang_linear_img/124486987.jpg", "124486987")</f>
        <v>124486987</v>
      </c>
      <c r="B5459" s="7"/>
      <c r="C5459" s="6" t="str">
        <f>HYPERLINK("http://www.ncbi.nlm.nih.gov/protein/124486987","Pigg")</f>
        <v>Pigg</v>
      </c>
      <c r="D5459" s="8"/>
      <c r="E5459" s="8">
        <v>107557</v>
      </c>
      <c r="F5459" s="8"/>
      <c r="G5459" s="15" t="s">
        <v>10</v>
      </c>
      <c r="H5459" s="15" t="s">
        <v>10</v>
      </c>
      <c r="I5459" s="15">
        <v>0.87933315909800469</v>
      </c>
      <c r="J5459" s="15">
        <v>0.87933315909800469</v>
      </c>
      <c r="K5459" s="15" t="s">
        <v>10</v>
      </c>
      <c r="L5459" s="15" t="s">
        <v>10</v>
      </c>
      <c r="M5459" s="15" t="s">
        <v>10</v>
      </c>
      <c r="N5459" s="15" t="s">
        <v>10</v>
      </c>
      <c r="O5459" s="15" t="s">
        <v>10</v>
      </c>
      <c r="P5459" s="15" t="s">
        <v>10</v>
      </c>
      <c r="Q5459" s="8"/>
      <c r="R5459" s="9" t="s">
        <v>4998</v>
      </c>
    </row>
    <row r="5460" spans="1:18" x14ac:dyDescent="0.25">
      <c r="A5460" s="6" t="str">
        <f>HYPERLINK("proteomic_fractions_linear_files/Yang_linear_img/41872422.jpg", "41872422")</f>
        <v>41872422</v>
      </c>
      <c r="B5460" s="7"/>
      <c r="C5460" s="6" t="str">
        <f>HYPERLINK("http://www.ncbi.nlm.nih.gov/protein/41872422","Pigh")</f>
        <v>Pigh</v>
      </c>
      <c r="D5460" s="8"/>
      <c r="E5460" s="8">
        <v>20947</v>
      </c>
      <c r="F5460" s="8"/>
      <c r="G5460" s="15" t="s">
        <v>10</v>
      </c>
      <c r="H5460" s="15" t="s">
        <v>10</v>
      </c>
      <c r="I5460" s="15">
        <v>0.83666379835042703</v>
      </c>
      <c r="J5460" s="15">
        <v>0.83666379835042703</v>
      </c>
      <c r="K5460" s="15">
        <v>0.83666379835042703</v>
      </c>
      <c r="L5460" s="15">
        <v>0.83666379835042703</v>
      </c>
      <c r="M5460" s="15" t="s">
        <v>10</v>
      </c>
      <c r="N5460" s="15" t="s">
        <v>10</v>
      </c>
      <c r="O5460" s="15" t="s">
        <v>10</v>
      </c>
      <c r="P5460" s="15" t="s">
        <v>10</v>
      </c>
      <c r="Q5460" s="8"/>
      <c r="R5460" s="9" t="s">
        <v>4999</v>
      </c>
    </row>
    <row r="5461" spans="1:18" x14ac:dyDescent="0.25">
      <c r="A5461" s="6" t="str">
        <f>HYPERLINK("proteomic_fractions_linear_files/Yang_linear_img/29788753.jpg", "29788753")</f>
        <v>29788753</v>
      </c>
      <c r="B5461" s="7"/>
      <c r="C5461" s="6" t="str">
        <f>HYPERLINK("http://www.ncbi.nlm.nih.gov/protein/29788753","Pigk")</f>
        <v>Pigk</v>
      </c>
      <c r="D5461" s="8"/>
      <c r="E5461" s="8">
        <v>42280</v>
      </c>
      <c r="F5461" s="8"/>
      <c r="G5461" s="15">
        <v>1.1497613234384585</v>
      </c>
      <c r="H5461" s="15">
        <v>1.1497613234384585</v>
      </c>
      <c r="I5461" s="15">
        <v>0.96445995721958921</v>
      </c>
      <c r="J5461" s="15">
        <v>0.96445995721958921</v>
      </c>
      <c r="K5461" s="15">
        <v>0.96445995721958921</v>
      </c>
      <c r="L5461" s="15">
        <v>0.96445995721958921</v>
      </c>
      <c r="M5461" s="15" t="s">
        <v>10</v>
      </c>
      <c r="N5461" s="15" t="s">
        <v>10</v>
      </c>
      <c r="O5461" s="15" t="s">
        <v>10</v>
      </c>
      <c r="P5461" s="15" t="s">
        <v>10</v>
      </c>
      <c r="Q5461" s="8"/>
      <c r="R5461" s="9" t="s">
        <v>5000</v>
      </c>
    </row>
    <row r="5462" spans="1:18" x14ac:dyDescent="0.25">
      <c r="A5462" s="6" t="str">
        <f>HYPERLINK("proteomic_fractions_linear_files/Yang_linear_img/29789447.jpg", "29789447")</f>
        <v>29789447</v>
      </c>
      <c r="B5462" s="7"/>
      <c r="C5462" s="6" t="str">
        <f>HYPERLINK("http://www.ncbi.nlm.nih.gov/protein/29789447","Pigk")</f>
        <v>Pigk</v>
      </c>
      <c r="D5462" s="8"/>
      <c r="E5462" s="8">
        <v>47170</v>
      </c>
      <c r="F5462" s="8"/>
      <c r="G5462" s="15">
        <v>1.0274462890301117</v>
      </c>
      <c r="H5462" s="15">
        <v>1.0274462890301117</v>
      </c>
      <c r="I5462" s="15">
        <v>0.86185783411112227</v>
      </c>
      <c r="J5462" s="15">
        <v>0.86185783411112227</v>
      </c>
      <c r="K5462" s="15">
        <v>0.86185783411112227</v>
      </c>
      <c r="L5462" s="15">
        <v>0.86185783411112227</v>
      </c>
      <c r="M5462" s="15" t="s">
        <v>10</v>
      </c>
      <c r="N5462" s="15" t="s">
        <v>10</v>
      </c>
      <c r="O5462" s="15" t="s">
        <v>10</v>
      </c>
      <c r="P5462" s="15" t="s">
        <v>10</v>
      </c>
      <c r="Q5462" s="8"/>
      <c r="R5462" s="9" t="s">
        <v>5001</v>
      </c>
    </row>
    <row r="5463" spans="1:18" x14ac:dyDescent="0.25">
      <c r="A5463" s="6" t="str">
        <f>HYPERLINK("proteomic_fractions_linear_files/Yang_linear_img/19920329.jpg", "19920329")</f>
        <v>19920329</v>
      </c>
      <c r="B5463" s="7"/>
      <c r="C5463" s="6" t="str">
        <f>HYPERLINK("http://www.ncbi.nlm.nih.gov/protein/19920329","Pigm")</f>
        <v>Pigm</v>
      </c>
      <c r="D5463" s="8"/>
      <c r="E5463" s="8">
        <v>49658</v>
      </c>
      <c r="F5463" s="8"/>
      <c r="G5463" s="15" t="s">
        <v>10</v>
      </c>
      <c r="H5463" s="15" t="s">
        <v>10</v>
      </c>
      <c r="I5463" s="15" t="s">
        <v>10</v>
      </c>
      <c r="J5463" s="15" t="s">
        <v>10</v>
      </c>
      <c r="K5463" s="15">
        <v>3.7353166327988072</v>
      </c>
      <c r="L5463" s="15">
        <v>3.7353166327988072</v>
      </c>
      <c r="M5463" s="15" t="s">
        <v>10</v>
      </c>
      <c r="N5463" s="15" t="s">
        <v>10</v>
      </c>
      <c r="O5463" s="15" t="s">
        <v>10</v>
      </c>
      <c r="P5463" s="15" t="s">
        <v>10</v>
      </c>
      <c r="Q5463" s="8"/>
      <c r="R5463" s="9" t="s">
        <v>5002</v>
      </c>
    </row>
    <row r="5464" spans="1:18" x14ac:dyDescent="0.25">
      <c r="A5464" s="6" t="str">
        <f>HYPERLINK("proteomic_fractions_linear_files/Yang_linear_img/41351529.jpg", "41351529")</f>
        <v>41351529</v>
      </c>
      <c r="B5464" s="7"/>
      <c r="C5464" s="6" t="str">
        <f>HYPERLINK("http://www.ncbi.nlm.nih.gov/protein/41351529","Pigs")</f>
        <v>Pigs</v>
      </c>
      <c r="D5464" s="8"/>
      <c r="E5464" s="8">
        <v>61580</v>
      </c>
      <c r="F5464" s="8"/>
      <c r="G5464" s="15">
        <v>1.3403009431152235</v>
      </c>
      <c r="H5464" s="15">
        <v>1.3403009431152235</v>
      </c>
      <c r="I5464" s="15">
        <v>1.0556977956539408</v>
      </c>
      <c r="J5464" s="15">
        <v>1.0556977956539408</v>
      </c>
      <c r="K5464" s="15">
        <v>1.1844541974464877</v>
      </c>
      <c r="L5464" s="15">
        <v>1.1844541974464877</v>
      </c>
      <c r="M5464" s="15" t="s">
        <v>10</v>
      </c>
      <c r="N5464" s="15" t="s">
        <v>10</v>
      </c>
      <c r="O5464" s="15" t="s">
        <v>10</v>
      </c>
      <c r="P5464" s="15" t="s">
        <v>10</v>
      </c>
      <c r="Q5464" s="8"/>
      <c r="R5464" s="9" t="s">
        <v>5003</v>
      </c>
    </row>
    <row r="5465" spans="1:18" x14ac:dyDescent="0.25">
      <c r="A5465" s="6" t="str">
        <f>HYPERLINK("proteomic_fractions_linear_files/Yang_linear_img/120587021.jpg", "120587021")</f>
        <v>120587021</v>
      </c>
      <c r="B5465" s="7"/>
      <c r="C5465" s="6" t="str">
        <f>HYPERLINK("http://www.ncbi.nlm.nih.gov/protein/120587021","Pigt")</f>
        <v>Pigt</v>
      </c>
      <c r="D5465" s="8"/>
      <c r="E5465" s="8">
        <v>63185</v>
      </c>
      <c r="F5465" s="8"/>
      <c r="G5465" s="15">
        <v>1.3190263249705374</v>
      </c>
      <c r="H5465" s="15">
        <v>1.3190263249705374</v>
      </c>
      <c r="I5465" s="15">
        <v>1.038940687786418</v>
      </c>
      <c r="J5465" s="15">
        <v>1.038940687786418</v>
      </c>
      <c r="K5465" s="15">
        <v>1.038940687786418</v>
      </c>
      <c r="L5465" s="15">
        <v>1.038940687786418</v>
      </c>
      <c r="M5465" s="15" t="s">
        <v>10</v>
      </c>
      <c r="N5465" s="15" t="s">
        <v>10</v>
      </c>
      <c r="O5465" s="15" t="s">
        <v>10</v>
      </c>
      <c r="P5465" s="15" t="s">
        <v>10</v>
      </c>
      <c r="Q5465" s="8"/>
      <c r="R5465" s="9" t="s">
        <v>5004</v>
      </c>
    </row>
    <row r="5466" spans="1:18" x14ac:dyDescent="0.25">
      <c r="A5466" s="6" t="str">
        <f>HYPERLINK("proteomic_fractions_linear_files/Yang_linear_img/52630436.jpg", "52630436")</f>
        <v>52630436</v>
      </c>
      <c r="B5466" s="7"/>
      <c r="C5466" s="6" t="str">
        <f>HYPERLINK("http://www.ncbi.nlm.nih.gov/protein/52630436","Pigu")</f>
        <v>Pigu</v>
      </c>
      <c r="D5466" s="8"/>
      <c r="E5466" s="8">
        <v>48276</v>
      </c>
      <c r="F5466" s="8"/>
      <c r="G5466" s="15" t="s">
        <v>10</v>
      </c>
      <c r="H5466" s="15" t="s">
        <v>10</v>
      </c>
      <c r="I5466" s="15">
        <v>0.58162940203504288</v>
      </c>
      <c r="J5466" s="15">
        <v>0.58162940203504288</v>
      </c>
      <c r="K5466" s="15">
        <v>0.66841818449444979</v>
      </c>
      <c r="L5466" s="15">
        <v>0.66841818449444979</v>
      </c>
      <c r="M5466" s="15" t="s">
        <v>10</v>
      </c>
      <c r="N5466" s="15" t="s">
        <v>10</v>
      </c>
      <c r="O5466" s="15" t="s">
        <v>10</v>
      </c>
      <c r="P5466" s="15" t="s">
        <v>10</v>
      </c>
      <c r="Q5466" s="8"/>
      <c r="R5466" s="9" t="s">
        <v>5005</v>
      </c>
    </row>
    <row r="5467" spans="1:18" x14ac:dyDescent="0.25">
      <c r="A5467" s="6" t="str">
        <f>HYPERLINK("proteomic_fractions_linear_files/Yang_linear_img/21313052.jpg", "21313052")</f>
        <v>21313052</v>
      </c>
      <c r="B5467" s="7"/>
      <c r="C5467" s="6" t="str">
        <f>HYPERLINK("http://www.ncbi.nlm.nih.gov/protein/21313052","Pih1d1")</f>
        <v>Pih1d1</v>
      </c>
      <c r="D5467" s="8"/>
      <c r="E5467" s="8">
        <v>32078</v>
      </c>
      <c r="F5467" s="8"/>
      <c r="G5467" s="15" t="s">
        <v>10</v>
      </c>
      <c r="H5467" s="15" t="s">
        <v>10</v>
      </c>
      <c r="I5467" s="15" t="s">
        <v>10</v>
      </c>
      <c r="J5467" s="15" t="s">
        <v>10</v>
      </c>
      <c r="K5467" s="15">
        <v>1.1669164507226435</v>
      </c>
      <c r="L5467" s="15">
        <v>1.1669164507226435</v>
      </c>
      <c r="M5467" s="15">
        <v>1.1669164507226435</v>
      </c>
      <c r="N5467" s="15">
        <v>1.1669164507226435</v>
      </c>
      <c r="O5467" s="15" t="s">
        <v>10</v>
      </c>
      <c r="P5467" s="15" t="s">
        <v>10</v>
      </c>
      <c r="Q5467" s="8"/>
      <c r="R5467" s="9" t="s">
        <v>5006</v>
      </c>
    </row>
    <row r="5468" spans="1:18" x14ac:dyDescent="0.25">
      <c r="A5468" s="6" t="str">
        <f>HYPERLINK("proteomic_fractions_linear_files/Yang_linear_img/145279206.jpg", "145279206")</f>
        <v>145279206</v>
      </c>
      <c r="B5468" s="7"/>
      <c r="C5468" s="6" t="str">
        <f>HYPERLINK("http://www.ncbi.nlm.nih.gov/protein/145279206","Pik3c2a")</f>
        <v>Pik3c2a</v>
      </c>
      <c r="D5468" s="8"/>
      <c r="E5468" s="8">
        <v>190614</v>
      </c>
      <c r="F5468" s="8"/>
      <c r="G5468" s="15" t="s">
        <v>10</v>
      </c>
      <c r="H5468" s="15" t="s">
        <v>10</v>
      </c>
      <c r="I5468" s="15" t="s">
        <v>10</v>
      </c>
      <c r="J5468" s="15" t="s">
        <v>10</v>
      </c>
      <c r="K5468" s="15">
        <v>1.2217845425541836</v>
      </c>
      <c r="L5468" s="15">
        <v>1.2217845425541836</v>
      </c>
      <c r="M5468" s="15" t="s">
        <v>10</v>
      </c>
      <c r="N5468" s="15" t="s">
        <v>10</v>
      </c>
      <c r="O5468" s="15" t="s">
        <v>10</v>
      </c>
      <c r="P5468" s="15" t="s">
        <v>10</v>
      </c>
      <c r="Q5468" s="8"/>
      <c r="R5468" s="9" t="s">
        <v>5007</v>
      </c>
    </row>
    <row r="5469" spans="1:18" x14ac:dyDescent="0.25">
      <c r="A5469" s="6" t="str">
        <f>HYPERLINK("proteomic_fractions_linear_files/Yang_linear_img/42475974.jpg", "42475974")</f>
        <v>42475974</v>
      </c>
      <c r="B5469" s="7"/>
      <c r="C5469" s="6" t="str">
        <f>HYPERLINK("http://www.ncbi.nlm.nih.gov/protein/42475974","Pik3c3")</f>
        <v>Pik3c3</v>
      </c>
      <c r="D5469" s="8"/>
      <c r="E5469" s="8">
        <v>101357</v>
      </c>
      <c r="F5469" s="8"/>
      <c r="G5469" s="15" t="s">
        <v>10</v>
      </c>
      <c r="H5469" s="15" t="s">
        <v>10</v>
      </c>
      <c r="I5469" s="15" t="s">
        <v>10</v>
      </c>
      <c r="J5469" s="15" t="s">
        <v>10</v>
      </c>
      <c r="K5469" s="15">
        <v>1.0871441962488264</v>
      </c>
      <c r="L5469" s="15">
        <v>1.0871441962488264</v>
      </c>
      <c r="M5469" s="15">
        <v>1.0871441962488264</v>
      </c>
      <c r="N5469" s="15">
        <v>1.0871441962488264</v>
      </c>
      <c r="O5469" s="15" t="s">
        <v>10</v>
      </c>
      <c r="P5469" s="15" t="s">
        <v>10</v>
      </c>
      <c r="Q5469" s="8"/>
      <c r="R5469" s="9" t="s">
        <v>5008</v>
      </c>
    </row>
    <row r="5470" spans="1:18" x14ac:dyDescent="0.25">
      <c r="A5470" s="6" t="str">
        <f>HYPERLINK("proteomic_fractions_linear_files/Yang_linear_img/269914109.jpg", "269914109")</f>
        <v>269914109</v>
      </c>
      <c r="B5470" s="7"/>
      <c r="C5470" s="6" t="str">
        <f>HYPERLINK("http://www.ncbi.nlm.nih.gov/protein/269914109","Pik3cb")</f>
        <v>Pik3cb</v>
      </c>
      <c r="D5470" s="8"/>
      <c r="E5470" s="8">
        <v>121580</v>
      </c>
      <c r="F5470" s="8"/>
      <c r="G5470" s="15" t="s">
        <v>10</v>
      </c>
      <c r="H5470" s="15" t="s">
        <v>10</v>
      </c>
      <c r="I5470" s="15" t="s">
        <v>10</v>
      </c>
      <c r="J5470" s="15" t="s">
        <v>10</v>
      </c>
      <c r="K5470" s="15">
        <v>1.0550953126648932</v>
      </c>
      <c r="L5470" s="15">
        <v>1.0550953126648932</v>
      </c>
      <c r="M5470" s="15" t="s">
        <v>10</v>
      </c>
      <c r="N5470" s="15" t="s">
        <v>10</v>
      </c>
      <c r="O5470" s="15">
        <v>1.0550953126648932</v>
      </c>
      <c r="P5470" s="15">
        <v>1.0550953126648932</v>
      </c>
      <c r="Q5470" s="8"/>
      <c r="R5470" s="9" t="s">
        <v>5009</v>
      </c>
    </row>
    <row r="5471" spans="1:18" x14ac:dyDescent="0.25">
      <c r="A5471" s="6" t="str">
        <f>HYPERLINK("proteomic_fractions_linear_files/Yang_linear_img/255708439.jpg", "255708439")</f>
        <v>255708439</v>
      </c>
      <c r="B5471" s="7"/>
      <c r="C5471" s="6" t="str">
        <f>HYPERLINK("http://www.ncbi.nlm.nih.gov/protein/255708439","Pik3cd")</f>
        <v>Pik3cd</v>
      </c>
      <c r="D5471" s="8"/>
      <c r="E5471" s="8">
        <v>120038</v>
      </c>
      <c r="F5471" s="8"/>
      <c r="G5471" s="15" t="s">
        <v>10</v>
      </c>
      <c r="H5471" s="15" t="s">
        <v>10</v>
      </c>
      <c r="I5471" s="15">
        <v>0.21791881762854168</v>
      </c>
      <c r="J5471" s="15">
        <v>0.21791881762854168</v>
      </c>
      <c r="K5471" s="15">
        <v>0.20462350511064098</v>
      </c>
      <c r="L5471" s="15">
        <v>0.20462350511064098</v>
      </c>
      <c r="M5471" s="15">
        <v>49.942500000000003</v>
      </c>
      <c r="N5471" s="15">
        <v>49.942500000000003</v>
      </c>
      <c r="O5471" s="15" t="s">
        <v>10</v>
      </c>
      <c r="P5471" s="15" t="s">
        <v>10</v>
      </c>
      <c r="Q5471" s="8"/>
      <c r="R5471" s="9" t="s">
        <v>5010</v>
      </c>
    </row>
    <row r="5472" spans="1:18" x14ac:dyDescent="0.25">
      <c r="A5472" s="6" t="str">
        <f>HYPERLINK("proteomic_fractions_linear_files/Yang_linear_img/255708441.jpg", "255708441")</f>
        <v>255708441</v>
      </c>
      <c r="B5472" s="7"/>
      <c r="C5472" s="6" t="str">
        <f>HYPERLINK("http://www.ncbi.nlm.nih.gov/protein/255708441","Pik3cd")</f>
        <v>Pik3cd</v>
      </c>
      <c r="D5472" s="8"/>
      <c r="E5472" s="8">
        <v>119797</v>
      </c>
      <c r="F5472" s="8"/>
      <c r="G5472" s="15" t="s">
        <v>10</v>
      </c>
      <c r="H5472" s="15" t="s">
        <v>10</v>
      </c>
      <c r="I5472" s="15">
        <v>0.21791881762854168</v>
      </c>
      <c r="J5472" s="15">
        <v>0.21791881762854168</v>
      </c>
      <c r="K5472" s="15">
        <v>0.20462350511064098</v>
      </c>
      <c r="L5472" s="15">
        <v>0.20462350511064098</v>
      </c>
      <c r="M5472" s="15">
        <v>49.942500000000003</v>
      </c>
      <c r="N5472" s="15">
        <v>49.942500000000003</v>
      </c>
      <c r="O5472" s="15" t="s">
        <v>10</v>
      </c>
      <c r="P5472" s="15" t="s">
        <v>10</v>
      </c>
      <c r="Q5472" s="8"/>
      <c r="R5472" s="9" t="s">
        <v>5011</v>
      </c>
    </row>
    <row r="5473" spans="1:18" x14ac:dyDescent="0.25">
      <c r="A5473" s="6" t="str">
        <f>HYPERLINK("proteomic_fractions_linear_files/Yang_linear_img/255708443.jpg", "255708443")</f>
        <v>255708443</v>
      </c>
      <c r="B5473" s="7"/>
      <c r="C5473" s="6" t="str">
        <f>HYPERLINK("http://www.ncbi.nlm.nih.gov/protein/255708443","Pik3cd")</f>
        <v>Pik3cd</v>
      </c>
      <c r="D5473" s="8"/>
      <c r="E5473" s="8">
        <v>119910</v>
      </c>
      <c r="F5473" s="8"/>
      <c r="G5473" s="15" t="s">
        <v>10</v>
      </c>
      <c r="H5473" s="15" t="s">
        <v>10</v>
      </c>
      <c r="I5473" s="15">
        <v>0.21791881762854168</v>
      </c>
      <c r="J5473" s="15">
        <v>0.21791881762854168</v>
      </c>
      <c r="K5473" s="15">
        <v>0.20462350511064098</v>
      </c>
      <c r="L5473" s="15">
        <v>0.20462350511064098</v>
      </c>
      <c r="M5473" s="15">
        <v>49.942500000000003</v>
      </c>
      <c r="N5473" s="15">
        <v>49.942500000000003</v>
      </c>
      <c r="O5473" s="15" t="s">
        <v>10</v>
      </c>
      <c r="P5473" s="15" t="s">
        <v>10</v>
      </c>
      <c r="Q5473" s="8"/>
      <c r="R5473" s="9" t="s">
        <v>5012</v>
      </c>
    </row>
    <row r="5474" spans="1:18" x14ac:dyDescent="0.25">
      <c r="A5474" s="6" t="str">
        <f>HYPERLINK("proteomic_fractions_linear_files/Yang_linear_img/255708445.jpg", "255708445")</f>
        <v>255708445</v>
      </c>
      <c r="B5474" s="7"/>
      <c r="C5474" s="6" t="str">
        <f>HYPERLINK("http://www.ncbi.nlm.nih.gov/protein/255708445","Pik3cd")</f>
        <v>Pik3cd</v>
      </c>
      <c r="D5474" s="8"/>
      <c r="E5474" s="8">
        <v>119582</v>
      </c>
      <c r="F5474" s="8"/>
      <c r="G5474" s="15" t="s">
        <v>10</v>
      </c>
      <c r="H5474" s="15" t="s">
        <v>10</v>
      </c>
      <c r="I5474" s="15">
        <v>0.21791881762854168</v>
      </c>
      <c r="J5474" s="15">
        <v>0.21791881762854168</v>
      </c>
      <c r="K5474" s="15">
        <v>0.20462350511064098</v>
      </c>
      <c r="L5474" s="15">
        <v>0.20462350511064098</v>
      </c>
      <c r="M5474" s="15">
        <v>49.942500000000003</v>
      </c>
      <c r="N5474" s="15">
        <v>49.942500000000003</v>
      </c>
      <c r="O5474" s="15" t="s">
        <v>10</v>
      </c>
      <c r="P5474" s="15" t="s">
        <v>10</v>
      </c>
      <c r="Q5474" s="8"/>
      <c r="R5474" s="9" t="s">
        <v>5013</v>
      </c>
    </row>
    <row r="5475" spans="1:18" x14ac:dyDescent="0.25">
      <c r="A5475" s="6" t="str">
        <f>HYPERLINK("proteomic_fractions_linear_files/Yang_linear_img/71067114.jpg", "71067114")</f>
        <v>71067114</v>
      </c>
      <c r="B5475" s="7"/>
      <c r="C5475" s="6" t="str">
        <f>HYPERLINK("http://www.ncbi.nlm.nih.gov/protein/71067114","Pik3cd")</f>
        <v>Pik3cd</v>
      </c>
      <c r="D5475" s="8"/>
      <c r="E5475" s="8">
        <v>119710</v>
      </c>
      <c r="F5475" s="8"/>
      <c r="G5475" s="15" t="s">
        <v>10</v>
      </c>
      <c r="H5475" s="15" t="s">
        <v>10</v>
      </c>
      <c r="I5475" s="15">
        <v>0.21791881762854168</v>
      </c>
      <c r="J5475" s="15">
        <v>0.21791881762854168</v>
      </c>
      <c r="K5475" s="15">
        <v>0.20462350511064098</v>
      </c>
      <c r="L5475" s="15">
        <v>0.20462350511064098</v>
      </c>
      <c r="M5475" s="15">
        <v>49.942500000000003</v>
      </c>
      <c r="N5475" s="15">
        <v>49.942500000000003</v>
      </c>
      <c r="O5475" s="15" t="s">
        <v>10</v>
      </c>
      <c r="P5475" s="15" t="s">
        <v>10</v>
      </c>
      <c r="Q5475" s="8"/>
      <c r="R5475" s="9" t="s">
        <v>5014</v>
      </c>
    </row>
    <row r="5476" spans="1:18" x14ac:dyDescent="0.25">
      <c r="A5476" s="6" t="str">
        <f>HYPERLINK("proteomic_fractions_linear_files/Yang_linear_img/244792921.jpg", "244792921")</f>
        <v>244792921</v>
      </c>
      <c r="B5476" s="7"/>
      <c r="C5476" s="6" t="str">
        <f>HYPERLINK("http://www.ncbi.nlm.nih.gov/protein/244792921","Pik3r2")</f>
        <v>Pik3r2</v>
      </c>
      <c r="D5476" s="8"/>
      <c r="E5476" s="8">
        <v>81135</v>
      </c>
      <c r="F5476" s="8"/>
      <c r="G5476" s="15" t="s">
        <v>10</v>
      </c>
      <c r="H5476" s="15" t="s">
        <v>10</v>
      </c>
      <c r="I5476" s="15" t="s">
        <v>10</v>
      </c>
      <c r="J5476" s="15" t="s">
        <v>10</v>
      </c>
      <c r="K5476" s="15" t="s">
        <v>10</v>
      </c>
      <c r="L5476" s="15" t="s">
        <v>10</v>
      </c>
      <c r="M5476" s="15" t="s">
        <v>10</v>
      </c>
      <c r="N5476" s="15" t="s">
        <v>10</v>
      </c>
      <c r="O5476" s="15">
        <v>1.0259093638659735</v>
      </c>
      <c r="P5476" s="15">
        <v>1.0259093638659735</v>
      </c>
      <c r="Q5476" s="8"/>
      <c r="R5476" s="9" t="s">
        <v>5015</v>
      </c>
    </row>
    <row r="5477" spans="1:18" x14ac:dyDescent="0.25">
      <c r="A5477" s="6" t="str">
        <f>HYPERLINK("proteomic_fractions_linear_files/Yang_linear_img/124486789.jpg", "124486789")</f>
        <v>124486789</v>
      </c>
      <c r="B5477" s="7"/>
      <c r="C5477" s="6" t="str">
        <f>HYPERLINK("http://www.ncbi.nlm.nih.gov/protein/124486789","Pik3r4")</f>
        <v>Pik3r4</v>
      </c>
      <c r="D5477" s="8"/>
      <c r="E5477" s="8">
        <v>152469</v>
      </c>
      <c r="F5477" s="8"/>
      <c r="G5477" s="15" t="s">
        <v>10</v>
      </c>
      <c r="H5477" s="15" t="s">
        <v>10</v>
      </c>
      <c r="I5477" s="15">
        <v>1.0095583627384332</v>
      </c>
      <c r="J5477" s="15">
        <v>1.0095583627384332</v>
      </c>
      <c r="K5477" s="15">
        <v>1.228722576578555</v>
      </c>
      <c r="L5477" s="15">
        <v>1.228722576578555</v>
      </c>
      <c r="M5477" s="15" t="s">
        <v>10</v>
      </c>
      <c r="N5477" s="15" t="s">
        <v>10</v>
      </c>
      <c r="O5477" s="15">
        <v>1.228722576578555</v>
      </c>
      <c r="P5477" s="15">
        <v>1.228722576578555</v>
      </c>
      <c r="Q5477" s="8"/>
      <c r="R5477" s="9" t="s">
        <v>5016</v>
      </c>
    </row>
    <row r="5478" spans="1:18" x14ac:dyDescent="0.25">
      <c r="A5478" s="6" t="str">
        <f>HYPERLINK("proteomic_fractions_linear_files/Yang_linear_img/126362959.jpg", "126362959")</f>
        <v>126362959</v>
      </c>
      <c r="B5478" s="7"/>
      <c r="C5478" s="6" t="str">
        <f>HYPERLINK("http://www.ncbi.nlm.nih.gov/protein/126362959","Pik3r6")</f>
        <v>Pik3r6</v>
      </c>
      <c r="D5478" s="8"/>
      <c r="E5478" s="8">
        <v>84532</v>
      </c>
      <c r="F5478" s="8"/>
      <c r="G5478" s="15" t="s">
        <v>10</v>
      </c>
      <c r="H5478" s="15" t="s">
        <v>10</v>
      </c>
      <c r="I5478" s="15">
        <v>0.27187733382020524</v>
      </c>
      <c r="J5478" s="15">
        <v>0.27187733382020524</v>
      </c>
      <c r="K5478" s="15">
        <v>0.27187733382020524</v>
      </c>
      <c r="L5478" s="15">
        <v>0.27187733382020524</v>
      </c>
      <c r="M5478" s="15" t="s">
        <v>10</v>
      </c>
      <c r="N5478" s="15" t="s">
        <v>10</v>
      </c>
      <c r="O5478" s="15">
        <v>0.22942529209453263</v>
      </c>
      <c r="P5478" s="15">
        <v>0.22942529209453263</v>
      </c>
      <c r="Q5478" s="8"/>
      <c r="R5478" s="9" t="s">
        <v>5017</v>
      </c>
    </row>
    <row r="5479" spans="1:18" x14ac:dyDescent="0.25">
      <c r="A5479" s="6" t="str">
        <f>HYPERLINK("proteomic_fractions_linear_files/Yang_linear_img/52138727.jpg", "52138727")</f>
        <v>52138727</v>
      </c>
      <c r="B5479" s="7"/>
      <c r="C5479" s="6" t="str">
        <f>HYPERLINK("http://www.ncbi.nlm.nih.gov/protein/52138727","Pik3r6")</f>
        <v>Pik3r6</v>
      </c>
      <c r="D5479" s="8"/>
      <c r="E5479" s="8">
        <v>84147</v>
      </c>
      <c r="F5479" s="8"/>
      <c r="G5479" s="15" t="s">
        <v>10</v>
      </c>
      <c r="H5479" s="15" t="s">
        <v>10</v>
      </c>
      <c r="I5479" s="15">
        <v>0.27511396874663624</v>
      </c>
      <c r="J5479" s="15">
        <v>0.27511396874663624</v>
      </c>
      <c r="K5479" s="15">
        <v>0.27511396874663624</v>
      </c>
      <c r="L5479" s="15">
        <v>0.27511396874663624</v>
      </c>
      <c r="M5479" s="15" t="s">
        <v>10</v>
      </c>
      <c r="N5479" s="15" t="s">
        <v>10</v>
      </c>
      <c r="O5479" s="15">
        <v>0.2321565455718485</v>
      </c>
      <c r="P5479" s="15">
        <v>0.2321565455718485</v>
      </c>
      <c r="Q5479" s="8"/>
      <c r="R5479" s="9" t="s">
        <v>5018</v>
      </c>
    </row>
    <row r="5480" spans="1:18" x14ac:dyDescent="0.25">
      <c r="A5480" s="6" t="str">
        <f>HYPERLINK("proteomic_fractions_linear_files/Yang_linear_img/115529473.jpg", "115529473")</f>
        <v>115529473</v>
      </c>
      <c r="B5480" s="7"/>
      <c r="C5480" s="6" t="str">
        <f>HYPERLINK("http://www.ncbi.nlm.nih.gov/protein/115529473","Pikfyve")</f>
        <v>Pikfyve</v>
      </c>
      <c r="D5480" s="8"/>
      <c r="E5480" s="8">
        <v>231950</v>
      </c>
      <c r="F5480" s="8"/>
      <c r="G5480" s="15" t="s">
        <v>10</v>
      </c>
      <c r="H5480" s="15" t="s">
        <v>10</v>
      </c>
      <c r="I5480" s="15" t="s">
        <v>10</v>
      </c>
      <c r="J5480" s="15" t="s">
        <v>10</v>
      </c>
      <c r="K5480" s="15">
        <v>0.80502513637905326</v>
      </c>
      <c r="L5480" s="15">
        <v>0.80502513637905326</v>
      </c>
      <c r="M5480" s="15" t="s">
        <v>10</v>
      </c>
      <c r="N5480" s="15" t="s">
        <v>10</v>
      </c>
      <c r="O5480" s="15" t="s">
        <v>10</v>
      </c>
      <c r="P5480" s="15" t="s">
        <v>10</v>
      </c>
      <c r="Q5480" s="8"/>
      <c r="R5480" s="9" t="s">
        <v>5019</v>
      </c>
    </row>
    <row r="5481" spans="1:18" x14ac:dyDescent="0.25">
      <c r="A5481" s="6" t="str">
        <f>HYPERLINK("proteomic_fractions_linear_files/Yang_linear_img/12963653.jpg", "12963653")</f>
        <v>12963653</v>
      </c>
      <c r="B5481" s="7"/>
      <c r="C5481" s="6" t="str">
        <f>HYPERLINK("http://www.ncbi.nlm.nih.gov/protein/12963653","Pin1")</f>
        <v>Pin1</v>
      </c>
      <c r="D5481" s="8"/>
      <c r="E5481" s="8">
        <v>18239</v>
      </c>
      <c r="F5481" s="8"/>
      <c r="G5481" s="15" t="s">
        <v>10</v>
      </c>
      <c r="H5481" s="15" t="s">
        <v>10</v>
      </c>
      <c r="I5481" s="15">
        <v>0.9286930289226123</v>
      </c>
      <c r="J5481" s="15">
        <v>0.9286930289226123</v>
      </c>
      <c r="K5481" s="15">
        <v>0.9286930289226123</v>
      </c>
      <c r="L5481" s="15">
        <v>0.9286930289226123</v>
      </c>
      <c r="M5481" s="15">
        <v>0.9286930289226123</v>
      </c>
      <c r="N5481" s="15">
        <v>0.9286930289226123</v>
      </c>
      <c r="O5481" s="15">
        <v>0.88485787684343198</v>
      </c>
      <c r="P5481" s="15">
        <v>0.88485787684343198</v>
      </c>
      <c r="Q5481" s="8"/>
      <c r="R5481" s="9" t="s">
        <v>5020</v>
      </c>
    </row>
    <row r="5482" spans="1:18" x14ac:dyDescent="0.25">
      <c r="A5482" s="6" t="str">
        <f>HYPERLINK("proteomic_fractions_linear_files/Yang_linear_img/85702071.jpg", "85702071")</f>
        <v>85702071</v>
      </c>
      <c r="B5482" s="7"/>
      <c r="C5482" s="6" t="str">
        <f>HYPERLINK("http://www.ncbi.nlm.nih.gov/protein/85702071","Pin1rt1")</f>
        <v>Pin1rt1</v>
      </c>
      <c r="D5482" s="8"/>
      <c r="E5482" s="8">
        <v>17862</v>
      </c>
      <c r="F5482" s="8"/>
      <c r="G5482" s="15" t="s">
        <v>10</v>
      </c>
      <c r="H5482" s="15" t="s">
        <v>10</v>
      </c>
      <c r="I5482" s="15" t="s">
        <v>10</v>
      </c>
      <c r="J5482" s="15" t="s">
        <v>10</v>
      </c>
      <c r="K5482" s="15">
        <v>0.9286930289226123</v>
      </c>
      <c r="L5482" s="15">
        <v>0.9286930289226123</v>
      </c>
      <c r="M5482" s="15">
        <v>0.97610776474216487</v>
      </c>
      <c r="N5482" s="15">
        <v>0.97610776474216487</v>
      </c>
      <c r="O5482" s="15">
        <v>0.9286930289226123</v>
      </c>
      <c r="P5482" s="15">
        <v>0.9286930289226123</v>
      </c>
      <c r="Q5482" s="8"/>
      <c r="R5482" s="9" t="s">
        <v>5021</v>
      </c>
    </row>
    <row r="5483" spans="1:18" x14ac:dyDescent="0.25">
      <c r="A5483" s="6" t="str">
        <f>HYPERLINK("proteomic_fractions_linear_files/Yang_linear_img/125490368.jpg", "125490368")</f>
        <v>125490368</v>
      </c>
      <c r="B5483" s="7"/>
      <c r="C5483" s="6" t="str">
        <f>HYPERLINK("http://www.ncbi.nlm.nih.gov/protein/125490368","Pip4k2a")</f>
        <v>Pip4k2a</v>
      </c>
      <c r="D5483" s="8"/>
      <c r="E5483" s="8">
        <v>46021</v>
      </c>
      <c r="F5483" s="8"/>
      <c r="G5483" s="15" t="s">
        <v>10</v>
      </c>
      <c r="H5483" s="15" t="s">
        <v>10</v>
      </c>
      <c r="I5483" s="15" t="s">
        <v>10</v>
      </c>
      <c r="J5483" s="15" t="s">
        <v>10</v>
      </c>
      <c r="K5483" s="15" t="s">
        <v>10</v>
      </c>
      <c r="L5483" s="15" t="s">
        <v>10</v>
      </c>
      <c r="M5483" s="15" t="s">
        <v>10</v>
      </c>
      <c r="N5483" s="15" t="s">
        <v>10</v>
      </c>
      <c r="O5483" s="15">
        <v>0.95925194015142323</v>
      </c>
      <c r="P5483" s="15">
        <v>0.95925194015142323</v>
      </c>
      <c r="Q5483" s="8"/>
      <c r="R5483" s="9" t="s">
        <v>5022</v>
      </c>
    </row>
    <row r="5484" spans="1:18" x14ac:dyDescent="0.25">
      <c r="A5484" s="6" t="str">
        <f>HYPERLINK("proteomic_fractions_linear_files/Yang_linear_img/33563294.jpg", "33563294")</f>
        <v>33563294</v>
      </c>
      <c r="B5484" s="7"/>
      <c r="C5484" s="6" t="str">
        <f>HYPERLINK("http://www.ncbi.nlm.nih.gov/protein/33563294","Pip4k2b")</f>
        <v>Pip4k2b</v>
      </c>
      <c r="D5484" s="8"/>
      <c r="E5484" s="8">
        <v>47188</v>
      </c>
      <c r="F5484" s="8"/>
      <c r="G5484" s="15" t="s">
        <v>10</v>
      </c>
      <c r="H5484" s="15" t="s">
        <v>10</v>
      </c>
      <c r="I5484" s="15" t="s">
        <v>10</v>
      </c>
      <c r="J5484" s="15" t="s">
        <v>10</v>
      </c>
      <c r="K5484" s="15" t="s">
        <v>10</v>
      </c>
      <c r="L5484" s="15" t="s">
        <v>10</v>
      </c>
      <c r="M5484" s="15" t="s">
        <v>10</v>
      </c>
      <c r="N5484" s="15" t="s">
        <v>10</v>
      </c>
      <c r="O5484" s="15">
        <v>0.93884232440352056</v>
      </c>
      <c r="P5484" s="15">
        <v>0.93884232440352056</v>
      </c>
      <c r="Q5484" s="8"/>
      <c r="R5484" s="9" t="s">
        <v>5023</v>
      </c>
    </row>
    <row r="5485" spans="1:18" x14ac:dyDescent="0.25">
      <c r="A5485" s="6" t="str">
        <f>HYPERLINK("proteomic_fractions_linear_files/Yang_linear_img/17298686.jpg", "17298686")</f>
        <v>17298686</v>
      </c>
      <c r="B5485" s="7"/>
      <c r="C5485" s="6" t="str">
        <f>HYPERLINK("http://www.ncbi.nlm.nih.gov/protein/17298686","Pip4k2c")</f>
        <v>Pip4k2c</v>
      </c>
      <c r="D5485" s="8"/>
      <c r="E5485" s="8">
        <v>47205</v>
      </c>
      <c r="F5485" s="8"/>
      <c r="G5485" s="15">
        <v>1.2504937784168904</v>
      </c>
      <c r="H5485" s="15">
        <v>1.2504937784168904</v>
      </c>
      <c r="I5485" s="15">
        <v>1.0274462890301117</v>
      </c>
      <c r="J5485" s="15">
        <v>1.0274462890301117</v>
      </c>
      <c r="K5485" s="15">
        <v>1.0274462890301117</v>
      </c>
      <c r="L5485" s="15">
        <v>1.0274462890301117</v>
      </c>
      <c r="M5485" s="15">
        <v>1.0274462890301117</v>
      </c>
      <c r="N5485" s="15">
        <v>1.0274462890301117</v>
      </c>
      <c r="O5485" s="15">
        <v>0.93884232440352056</v>
      </c>
      <c r="P5485" s="15">
        <v>0.93884232440352056</v>
      </c>
      <c r="Q5485" s="8"/>
      <c r="R5485" s="9" t="s">
        <v>5024</v>
      </c>
    </row>
    <row r="5486" spans="1:18" x14ac:dyDescent="0.25">
      <c r="A5486" s="6" t="str">
        <f>HYPERLINK("proteomic_fractions_linear_files/Yang_linear_img/31982833.jpg", "31982833")</f>
        <v>31982833</v>
      </c>
      <c r="B5486" s="7"/>
      <c r="C5486" s="6" t="str">
        <f>HYPERLINK("http://www.ncbi.nlm.nih.gov/protein/31982833","Pip5k1a")</f>
        <v>Pip5k1a</v>
      </c>
      <c r="D5486" s="8"/>
      <c r="E5486" s="8">
        <v>60354</v>
      </c>
      <c r="F5486" s="8"/>
      <c r="G5486" s="15" t="s">
        <v>10</v>
      </c>
      <c r="H5486" s="15" t="s">
        <v>10</v>
      </c>
      <c r="I5486" s="15">
        <v>1.0908877221757389</v>
      </c>
      <c r="J5486" s="15">
        <v>1.0908877221757389</v>
      </c>
      <c r="K5486" s="15">
        <v>1.0908877221757389</v>
      </c>
      <c r="L5486" s="15">
        <v>1.0908877221757389</v>
      </c>
      <c r="M5486" s="15" t="s">
        <v>10</v>
      </c>
      <c r="N5486" s="15" t="s">
        <v>10</v>
      </c>
      <c r="O5486" s="15" t="s">
        <v>10</v>
      </c>
      <c r="P5486" s="15" t="s">
        <v>10</v>
      </c>
      <c r="Q5486" s="8"/>
      <c r="R5486" s="9" t="s">
        <v>5025</v>
      </c>
    </row>
    <row r="5487" spans="1:18" x14ac:dyDescent="0.25">
      <c r="A5487" s="6" t="str">
        <f>HYPERLINK("proteomic_fractions_linear_files/Yang_linear_img/226442755.jpg", "226442755")</f>
        <v>226442755</v>
      </c>
      <c r="B5487" s="7"/>
      <c r="C5487" s="6" t="str">
        <f>HYPERLINK("http://www.ncbi.nlm.nih.gov/protein/226442755","Pip5k1c")</f>
        <v>Pip5k1c</v>
      </c>
      <c r="D5487" s="8"/>
      <c r="E5487" s="8">
        <v>72277</v>
      </c>
      <c r="F5487" s="8"/>
      <c r="G5487" s="15" t="s">
        <v>10</v>
      </c>
      <c r="H5487" s="15" t="s">
        <v>10</v>
      </c>
      <c r="I5487" s="15" t="s">
        <v>10</v>
      </c>
      <c r="J5487" s="15" t="s">
        <v>10</v>
      </c>
      <c r="K5487" s="15">
        <v>1.3189997386470071</v>
      </c>
      <c r="L5487" s="15">
        <v>1.3189997386470071</v>
      </c>
      <c r="M5487" s="15" t="s">
        <v>10</v>
      </c>
      <c r="N5487" s="15" t="s">
        <v>10</v>
      </c>
      <c r="O5487" s="15" t="s">
        <v>10</v>
      </c>
      <c r="P5487" s="15" t="s">
        <v>10</v>
      </c>
      <c r="Q5487" s="8"/>
      <c r="R5487" s="9" t="s">
        <v>5026</v>
      </c>
    </row>
    <row r="5488" spans="1:18" x14ac:dyDescent="0.25">
      <c r="A5488" s="6" t="str">
        <f>HYPERLINK("proteomic_fractions_linear_files/Yang_linear_img/226442759.jpg", "226442759")</f>
        <v>226442759</v>
      </c>
      <c r="B5488" s="7"/>
      <c r="C5488" s="6" t="str">
        <f>HYPERLINK("http://www.ncbi.nlm.nih.gov/protein/226442759","Pip5k1c")</f>
        <v>Pip5k1c</v>
      </c>
      <c r="D5488" s="8"/>
      <c r="E5488" s="8">
        <v>69371</v>
      </c>
      <c r="F5488" s="8"/>
      <c r="G5488" s="15" t="s">
        <v>10</v>
      </c>
      <c r="H5488" s="15" t="s">
        <v>10</v>
      </c>
      <c r="I5488" s="15" t="s">
        <v>10</v>
      </c>
      <c r="J5488" s="15" t="s">
        <v>10</v>
      </c>
      <c r="K5488" s="15">
        <v>1.3763475533707901</v>
      </c>
      <c r="L5488" s="15">
        <v>1.3763475533707901</v>
      </c>
      <c r="M5488" s="15" t="s">
        <v>10</v>
      </c>
      <c r="N5488" s="15" t="s">
        <v>10</v>
      </c>
      <c r="O5488" s="15" t="s">
        <v>10</v>
      </c>
      <c r="P5488" s="15" t="s">
        <v>10</v>
      </c>
      <c r="Q5488" s="8"/>
      <c r="R5488" s="9" t="s">
        <v>5027</v>
      </c>
    </row>
    <row r="5489" spans="1:18" x14ac:dyDescent="0.25">
      <c r="A5489" s="6" t="str">
        <f>HYPERLINK("proteomic_fractions_linear_files/Yang_linear_img/126722757.jpg", "126722757")</f>
        <v>126722757</v>
      </c>
      <c r="B5489" s="7"/>
      <c r="C5489" s="6" t="str">
        <f>HYPERLINK("http://www.ncbi.nlm.nih.gov/protein/126722757","Pisd")</f>
        <v>Pisd</v>
      </c>
      <c r="D5489" s="8"/>
      <c r="E5489" s="8">
        <v>45796</v>
      </c>
      <c r="F5489" s="8"/>
      <c r="G5489" s="15">
        <v>0.64968275851550283</v>
      </c>
      <c r="H5489" s="15">
        <v>0.64968275851550283</v>
      </c>
      <c r="I5489" s="15">
        <v>0.69747984468986057</v>
      </c>
      <c r="J5489" s="15">
        <v>0.69747984468986057</v>
      </c>
      <c r="K5489" s="15" t="s">
        <v>10</v>
      </c>
      <c r="L5489" s="15" t="s">
        <v>10</v>
      </c>
      <c r="M5489" s="15" t="s">
        <v>10</v>
      </c>
      <c r="N5489" s="15" t="s">
        <v>10</v>
      </c>
      <c r="O5489" s="15" t="s">
        <v>10</v>
      </c>
      <c r="P5489" s="15" t="s">
        <v>10</v>
      </c>
      <c r="Q5489" s="8"/>
      <c r="R5489" s="9" t="s">
        <v>5028</v>
      </c>
    </row>
    <row r="5490" spans="1:18" x14ac:dyDescent="0.25">
      <c r="A5490" s="6" t="str">
        <f>HYPERLINK("proteomic_fractions_linear_files/Yang_linear_img/6679337.jpg", "6679337")</f>
        <v>6679337</v>
      </c>
      <c r="B5490" s="7"/>
      <c r="C5490" s="6" t="str">
        <f>HYPERLINK("http://www.ncbi.nlm.nih.gov/protein/6679337","Pitpna")</f>
        <v>Pitpna</v>
      </c>
      <c r="D5490" s="8"/>
      <c r="E5490" s="8">
        <v>31762</v>
      </c>
      <c r="F5490" s="8"/>
      <c r="G5490" s="15" t="s">
        <v>10</v>
      </c>
      <c r="H5490" s="15" t="s">
        <v>10</v>
      </c>
      <c r="I5490" s="15">
        <v>0.93391896536603536</v>
      </c>
      <c r="J5490" s="15">
        <v>0.93391896536603536</v>
      </c>
      <c r="K5490" s="15">
        <v>1.0026272767416746</v>
      </c>
      <c r="L5490" s="15">
        <v>1.0026272767416746</v>
      </c>
      <c r="M5490" s="15">
        <v>1.0026272767416746</v>
      </c>
      <c r="N5490" s="15">
        <v>1.0026272767416746</v>
      </c>
      <c r="O5490" s="15">
        <v>0.87244410305256437</v>
      </c>
      <c r="P5490" s="15">
        <v>0.87244410305256437</v>
      </c>
      <c r="Q5490" s="8"/>
      <c r="R5490" s="9" t="s">
        <v>5029</v>
      </c>
    </row>
    <row r="5491" spans="1:18" x14ac:dyDescent="0.25">
      <c r="A5491" s="6" t="str">
        <f>HYPERLINK("proteomic_fractions_linear_files/Yang_linear_img/9790159.jpg", "9790159")</f>
        <v>9790159</v>
      </c>
      <c r="B5491" s="7"/>
      <c r="C5491" s="6" t="str">
        <f>HYPERLINK("http://www.ncbi.nlm.nih.gov/protein/9790159","Pitpnb")</f>
        <v>Pitpnb</v>
      </c>
      <c r="D5491" s="8"/>
      <c r="E5491" s="8">
        <v>31356</v>
      </c>
      <c r="F5491" s="8"/>
      <c r="G5491" s="15" t="s">
        <v>10</v>
      </c>
      <c r="H5491" s="15" t="s">
        <v>10</v>
      </c>
      <c r="I5491" s="15">
        <v>0.96404538360364944</v>
      </c>
      <c r="J5491" s="15">
        <v>0.96404538360364944</v>
      </c>
      <c r="K5491" s="15">
        <v>1.0349700921204383</v>
      </c>
      <c r="L5491" s="15">
        <v>1.0349700921204383</v>
      </c>
      <c r="M5491" s="15">
        <v>0.96404538360364944</v>
      </c>
      <c r="N5491" s="15">
        <v>0.96404538360364944</v>
      </c>
      <c r="O5491" s="15">
        <v>0.90058746121555033</v>
      </c>
      <c r="P5491" s="15">
        <v>0.90058746121555033</v>
      </c>
      <c r="Q5491" s="8"/>
      <c r="R5491" s="9" t="s">
        <v>5030</v>
      </c>
    </row>
    <row r="5492" spans="1:18" x14ac:dyDescent="0.25">
      <c r="A5492" s="6" t="str">
        <f>HYPERLINK("proteomic_fractions_linear_files/Yang_linear_img/21699068.jpg", "21699068")</f>
        <v>21699068</v>
      </c>
      <c r="B5492" s="7"/>
      <c r="C5492" s="6" t="str">
        <f>HYPERLINK("http://www.ncbi.nlm.nih.gov/protein/21699068","Pitrm1")</f>
        <v>Pitrm1</v>
      </c>
      <c r="D5492" s="8"/>
      <c r="E5492" s="8">
        <v>115567</v>
      </c>
      <c r="F5492" s="8"/>
      <c r="G5492" s="15">
        <v>1.1096692081475601</v>
      </c>
      <c r="H5492" s="15">
        <v>1.1096692081475601</v>
      </c>
      <c r="I5492" s="15">
        <v>0.94656520535458166</v>
      </c>
      <c r="J5492" s="15">
        <v>0.94656520535458166</v>
      </c>
      <c r="K5492" s="15" t="s">
        <v>10</v>
      </c>
      <c r="L5492" s="15" t="s">
        <v>10</v>
      </c>
      <c r="M5492" s="15" t="s">
        <v>10</v>
      </c>
      <c r="N5492" s="15" t="s">
        <v>10</v>
      </c>
      <c r="O5492" s="15">
        <v>1.1096692081475601</v>
      </c>
      <c r="P5492" s="15">
        <v>1.1096692081475601</v>
      </c>
      <c r="Q5492" s="8"/>
      <c r="R5492" s="9" t="s">
        <v>5031</v>
      </c>
    </row>
    <row r="5493" spans="1:18" x14ac:dyDescent="0.25">
      <c r="A5493" s="6" t="str">
        <f>HYPERLINK("proteomic_fractions_linear_files/Yang_linear_img/10946610.jpg", "10946610")</f>
        <v>10946610</v>
      </c>
      <c r="B5493" s="7"/>
      <c r="C5493" s="6" t="str">
        <f>HYPERLINK("http://www.ncbi.nlm.nih.gov/protein/10946610","Piwil2")</f>
        <v>Piwil2</v>
      </c>
      <c r="D5493" s="8"/>
      <c r="E5493" s="8">
        <v>109358</v>
      </c>
      <c r="F5493" s="8"/>
      <c r="G5493" s="15" t="s">
        <v>10</v>
      </c>
      <c r="H5493" s="15" t="s">
        <v>10</v>
      </c>
      <c r="I5493" s="15" t="s">
        <v>10</v>
      </c>
      <c r="J5493" s="15" t="s">
        <v>10</v>
      </c>
      <c r="K5493" s="15" t="s">
        <v>10</v>
      </c>
      <c r="L5493" s="15" t="s">
        <v>10</v>
      </c>
      <c r="M5493" s="15" t="s">
        <v>10</v>
      </c>
      <c r="N5493" s="15" t="s">
        <v>10</v>
      </c>
      <c r="O5493" s="15">
        <v>2.7686543544632913</v>
      </c>
      <c r="P5493" s="15">
        <v>2.7686543544632913</v>
      </c>
      <c r="Q5493" s="8"/>
      <c r="R5493" s="9" t="s">
        <v>5032</v>
      </c>
    </row>
    <row r="5494" spans="1:18" x14ac:dyDescent="0.25">
      <c r="A5494" s="6" t="str">
        <f>HYPERLINK("proteomic_fractions_linear_files/Yang_linear_img/21450079.jpg", "21450079")</f>
        <v>21450079</v>
      </c>
      <c r="B5494" s="7"/>
      <c r="C5494" s="6" t="str">
        <f>HYPERLINK("http://www.ncbi.nlm.nih.gov/protein/21450079","Pja2")</f>
        <v>Pja2</v>
      </c>
      <c r="D5494" s="8"/>
      <c r="E5494" s="8">
        <v>71112</v>
      </c>
      <c r="F5494" s="8"/>
      <c r="G5494" s="15" t="s">
        <v>10</v>
      </c>
      <c r="H5494" s="15" t="s">
        <v>10</v>
      </c>
      <c r="I5494" s="15" t="s">
        <v>10</v>
      </c>
      <c r="J5494" s="15" t="s">
        <v>10</v>
      </c>
      <c r="K5494" s="15" t="s">
        <v>10</v>
      </c>
      <c r="L5494" s="15" t="s">
        <v>10</v>
      </c>
      <c r="M5494" s="15" t="s">
        <v>10</v>
      </c>
      <c r="N5494" s="15" t="s">
        <v>10</v>
      </c>
      <c r="O5494" s="15">
        <v>2.1613080441724204</v>
      </c>
      <c r="P5494" s="15">
        <v>2.1613080441724204</v>
      </c>
      <c r="Q5494" s="8"/>
      <c r="R5494" s="9" t="s">
        <v>5033</v>
      </c>
    </row>
    <row r="5495" spans="1:18" x14ac:dyDescent="0.25">
      <c r="A5495" s="6" t="str">
        <f>HYPERLINK("proteomic_fractions_linear_files/Yang_linear_img/70794801.jpg", "70794801")</f>
        <v>70794801</v>
      </c>
      <c r="B5495" s="7"/>
      <c r="C5495" s="6" t="str">
        <f>HYPERLINK("http://www.ncbi.nlm.nih.gov/protein/70794801","Pja2")</f>
        <v>Pja2</v>
      </c>
      <c r="D5495" s="8"/>
      <c r="E5495" s="8">
        <v>77827</v>
      </c>
      <c r="F5495" s="8"/>
      <c r="G5495" s="15" t="s">
        <v>10</v>
      </c>
      <c r="H5495" s="15" t="s">
        <v>10</v>
      </c>
      <c r="I5495" s="15" t="s">
        <v>10</v>
      </c>
      <c r="J5495" s="15" t="s">
        <v>10</v>
      </c>
      <c r="K5495" s="15" t="s">
        <v>10</v>
      </c>
      <c r="L5495" s="15" t="s">
        <v>10</v>
      </c>
      <c r="M5495" s="15" t="s">
        <v>10</v>
      </c>
      <c r="N5495" s="15" t="s">
        <v>10</v>
      </c>
      <c r="O5495" s="15">
        <v>1.9673445017466902</v>
      </c>
      <c r="P5495" s="15">
        <v>1.9673445017466902</v>
      </c>
      <c r="Q5495" s="8"/>
      <c r="R5495" s="9" t="s">
        <v>5034</v>
      </c>
    </row>
    <row r="5496" spans="1:18" x14ac:dyDescent="0.25">
      <c r="A5496" s="6" t="str">
        <f>HYPERLINK("proteomic_fractions_linear_files/Yang_linear_img/164519057.jpg", "164519057")</f>
        <v>164519057</v>
      </c>
      <c r="B5496" s="7"/>
      <c r="C5496" s="6" t="str">
        <f>HYPERLINK("http://www.ncbi.nlm.nih.gov/protein/164519057","Pkd2")</f>
        <v>Pkd2</v>
      </c>
      <c r="D5496" s="8"/>
      <c r="E5496" s="8">
        <v>108851</v>
      </c>
      <c r="F5496" s="8"/>
      <c r="G5496" s="15" t="s">
        <v>10</v>
      </c>
      <c r="H5496" s="15" t="s">
        <v>10</v>
      </c>
      <c r="I5496" s="15" t="s">
        <v>10</v>
      </c>
      <c r="J5496" s="15" t="s">
        <v>10</v>
      </c>
      <c r="K5496" s="15">
        <v>1.1809323683038253</v>
      </c>
      <c r="L5496" s="15">
        <v>1.1809323683038253</v>
      </c>
      <c r="M5496" s="15" t="s">
        <v>10</v>
      </c>
      <c r="N5496" s="15" t="s">
        <v>10</v>
      </c>
      <c r="O5496" s="15" t="s">
        <v>10</v>
      </c>
      <c r="P5496" s="15" t="s">
        <v>10</v>
      </c>
      <c r="Q5496" s="8"/>
      <c r="R5496" s="9" t="s">
        <v>5035</v>
      </c>
    </row>
    <row r="5497" spans="1:18" x14ac:dyDescent="0.25">
      <c r="A5497" s="6" t="str">
        <f>HYPERLINK("proteomic_fractions_linear_files/Yang_linear_img/126157466.jpg", "126157466")</f>
        <v>126157466</v>
      </c>
      <c r="B5497" s="7"/>
      <c r="C5497" s="6" t="str">
        <f>HYPERLINK("http://www.ncbi.nlm.nih.gov/protein/126157466","Pkhd1")</f>
        <v>Pkhd1</v>
      </c>
      <c r="D5497" s="8"/>
      <c r="E5497" s="8">
        <v>442869</v>
      </c>
      <c r="F5497" s="8"/>
      <c r="G5497" s="15" t="s">
        <v>10</v>
      </c>
      <c r="H5497" s="15" t="s">
        <v>10</v>
      </c>
      <c r="I5497" s="15">
        <v>0.68122646644807849</v>
      </c>
      <c r="J5497" s="15">
        <v>0.68122646644807849</v>
      </c>
      <c r="K5497" s="15" t="s">
        <v>10</v>
      </c>
      <c r="L5497" s="15" t="s">
        <v>10</v>
      </c>
      <c r="M5497" s="15" t="s">
        <v>10</v>
      </c>
      <c r="N5497" s="15" t="s">
        <v>10</v>
      </c>
      <c r="O5497" s="15" t="s">
        <v>10</v>
      </c>
      <c r="P5497" s="15" t="s">
        <v>10</v>
      </c>
      <c r="Q5497" s="8"/>
      <c r="R5497" s="9" t="s">
        <v>5036</v>
      </c>
    </row>
    <row r="5498" spans="1:18" x14ac:dyDescent="0.25">
      <c r="A5498" s="6" t="str">
        <f>HYPERLINK("proteomic_fractions_linear_files/Yang_linear_img/6755088.jpg", "6755088")</f>
        <v>6755088</v>
      </c>
      <c r="B5498" s="7"/>
      <c r="C5498" s="6" t="str">
        <f>HYPERLINK("http://www.ncbi.nlm.nih.gov/protein/6755088","Pkig")</f>
        <v>Pkig</v>
      </c>
      <c r="D5498" s="8"/>
      <c r="E5498" s="8">
        <v>7812</v>
      </c>
      <c r="F5498" s="8"/>
      <c r="G5498" s="15" t="s">
        <v>10</v>
      </c>
      <c r="H5498" s="15" t="s">
        <v>10</v>
      </c>
      <c r="I5498" s="15" t="s">
        <v>10</v>
      </c>
      <c r="J5498" s="15" t="s">
        <v>10</v>
      </c>
      <c r="K5498" s="15" t="s">
        <v>10</v>
      </c>
      <c r="L5498" s="15" t="s">
        <v>10</v>
      </c>
      <c r="M5498" s="15" t="s">
        <v>10</v>
      </c>
      <c r="N5498" s="15" t="s">
        <v>10</v>
      </c>
      <c r="O5498" s="15">
        <v>1.9909302228977219</v>
      </c>
      <c r="P5498" s="15">
        <v>1.9909302228977219</v>
      </c>
      <c r="Q5498" s="8"/>
      <c r="R5498" s="9" t="s">
        <v>5037</v>
      </c>
    </row>
    <row r="5499" spans="1:18" x14ac:dyDescent="0.25">
      <c r="A5499" s="6" t="str">
        <f>HYPERLINK("proteomic_fractions_linear_files/Yang_linear_img/153792131.jpg", "153792131")</f>
        <v>153792131</v>
      </c>
      <c r="B5499" s="7"/>
      <c r="C5499" s="6" t="str">
        <f>HYPERLINK("http://www.ncbi.nlm.nih.gov/protein/153792131","Pklr")</f>
        <v>Pklr</v>
      </c>
      <c r="D5499" s="8"/>
      <c r="E5499" s="8">
        <v>62097</v>
      </c>
      <c r="F5499" s="8"/>
      <c r="G5499" s="15" t="s">
        <v>10</v>
      </c>
      <c r="H5499" s="15" t="s">
        <v>10</v>
      </c>
      <c r="I5499" s="15">
        <v>0.85678338112904961</v>
      </c>
      <c r="J5499" s="15">
        <v>0.85678338112904961</v>
      </c>
      <c r="K5499" s="15">
        <v>1.0556977956539408</v>
      </c>
      <c r="L5499" s="15">
        <v>1.0556977956539408</v>
      </c>
      <c r="M5499" s="15">
        <v>0.9479549610579654</v>
      </c>
      <c r="N5499" s="15">
        <v>0.9479549610579654</v>
      </c>
      <c r="O5499" s="15">
        <v>0.85678338112904961</v>
      </c>
      <c r="P5499" s="15">
        <v>0.85678338112904961</v>
      </c>
      <c r="Q5499" s="8"/>
      <c r="R5499" s="9" t="s">
        <v>5038</v>
      </c>
    </row>
    <row r="5500" spans="1:18" x14ac:dyDescent="0.25">
      <c r="A5500" s="6" t="str">
        <f>HYPERLINK("proteomic_fractions_linear_files/Yang_linear_img/153792772.jpg", "153792772")</f>
        <v>153792772</v>
      </c>
      <c r="B5500" s="7"/>
      <c r="C5500" s="6" t="str">
        <f>HYPERLINK("http://www.ncbi.nlm.nih.gov/protein/153792772","Pklr")</f>
        <v>Pklr</v>
      </c>
      <c r="D5500" s="8"/>
      <c r="E5500" s="8">
        <v>58690</v>
      </c>
      <c r="F5500" s="8"/>
      <c r="G5500" s="15" t="s">
        <v>10</v>
      </c>
      <c r="H5500" s="15" t="s">
        <v>10</v>
      </c>
      <c r="I5500" s="15">
        <v>0.90034863779662844</v>
      </c>
      <c r="J5500" s="15">
        <v>0.90034863779662844</v>
      </c>
      <c r="K5500" s="15">
        <v>1.1093773445854971</v>
      </c>
      <c r="L5500" s="15">
        <v>1.1093773445854971</v>
      </c>
      <c r="M5500" s="15">
        <v>0.99615606077277719</v>
      </c>
      <c r="N5500" s="15">
        <v>0.99615606077277719</v>
      </c>
      <c r="O5500" s="15">
        <v>0.90034863779662844</v>
      </c>
      <c r="P5500" s="15">
        <v>0.90034863779662844</v>
      </c>
      <c r="Q5500" s="8"/>
      <c r="R5500" s="9" t="s">
        <v>5039</v>
      </c>
    </row>
    <row r="5501" spans="1:18" x14ac:dyDescent="0.25">
      <c r="A5501" s="6" t="str">
        <f>HYPERLINK("proteomic_fractions_linear_files/Yang_linear_img/31981562.jpg", "31981562")</f>
        <v>31981562</v>
      </c>
      <c r="B5501" s="7"/>
      <c r="C5501" s="6" t="str">
        <f>HYPERLINK("http://www.ncbi.nlm.nih.gov/protein/31981562","Pkm")</f>
        <v>Pkm</v>
      </c>
      <c r="D5501" s="8"/>
      <c r="E5501" s="8">
        <v>57714</v>
      </c>
      <c r="F5501" s="8"/>
      <c r="G5501" s="15">
        <v>1.2661406938221076</v>
      </c>
      <c r="H5501" s="15">
        <v>1.2661406938221076</v>
      </c>
      <c r="I5501" s="15">
        <v>1.0133311652688595</v>
      </c>
      <c r="J5501" s="15">
        <v>1.0133311652688595</v>
      </c>
      <c r="K5501" s="15">
        <v>1.1285045401817988</v>
      </c>
      <c r="L5501" s="15">
        <v>1.1285045401817988</v>
      </c>
      <c r="M5501" s="15">
        <v>1.0133311652688595</v>
      </c>
      <c r="N5501" s="15">
        <v>1.0133311652688595</v>
      </c>
      <c r="O5501" s="15">
        <v>1.0133311652688595</v>
      </c>
      <c r="P5501" s="15">
        <v>1.0133311652688595</v>
      </c>
      <c r="Q5501" s="8"/>
      <c r="R5501" s="9" t="s">
        <v>5040</v>
      </c>
    </row>
    <row r="5502" spans="1:18" x14ac:dyDescent="0.25">
      <c r="A5502" s="6" t="str">
        <f>HYPERLINK("proteomic_fractions_linear_files/Yang_linear_img/359807367.jpg", "359807367")</f>
        <v>359807367</v>
      </c>
      <c r="B5502" s="7"/>
      <c r="C5502" s="6" t="str">
        <f>HYPERLINK("http://www.ncbi.nlm.nih.gov/protein/359807367","Pkm")</f>
        <v>Pkm</v>
      </c>
      <c r="D5502" s="8"/>
      <c r="E5502" s="8">
        <v>57854</v>
      </c>
      <c r="F5502" s="8"/>
      <c r="G5502" s="15">
        <v>1.2661406938221076</v>
      </c>
      <c r="H5502" s="15">
        <v>1.2661406938221076</v>
      </c>
      <c r="I5502" s="15">
        <v>1.0133311652688595</v>
      </c>
      <c r="J5502" s="15">
        <v>1.0133311652688595</v>
      </c>
      <c r="K5502" s="15">
        <v>1.1285045401817988</v>
      </c>
      <c r="L5502" s="15">
        <v>1.1285045401817988</v>
      </c>
      <c r="M5502" s="15">
        <v>1.0133311652688595</v>
      </c>
      <c r="N5502" s="15">
        <v>1.0133311652688595</v>
      </c>
      <c r="O5502" s="15">
        <v>1.0133311652688595</v>
      </c>
      <c r="P5502" s="15">
        <v>1.0133311652688595</v>
      </c>
      <c r="Q5502" s="8"/>
      <c r="R5502" s="9" t="s">
        <v>5041</v>
      </c>
    </row>
    <row r="5503" spans="1:18" x14ac:dyDescent="0.25">
      <c r="A5503" s="6" t="str">
        <f>HYPERLINK("proteomic_fractions_linear_files/Yang_linear_img/313760674.jpg", "313760674")</f>
        <v>313760674</v>
      </c>
      <c r="B5503" s="7"/>
      <c r="C5503" s="6" t="str">
        <f>HYPERLINK("http://www.ncbi.nlm.nih.gov/protein/313760674","Pkn1")</f>
        <v>Pkn1</v>
      </c>
      <c r="D5503" s="8"/>
      <c r="E5503" s="8">
        <v>104877</v>
      </c>
      <c r="F5503" s="8"/>
      <c r="G5503" s="15" t="s">
        <v>10</v>
      </c>
      <c r="H5503" s="15" t="s">
        <v>10</v>
      </c>
      <c r="I5503" s="15" t="s">
        <v>10</v>
      </c>
      <c r="J5503" s="15" t="s">
        <v>10</v>
      </c>
      <c r="K5503" s="15">
        <v>1.4614559155832556</v>
      </c>
      <c r="L5503" s="15">
        <v>1.4614559155832556</v>
      </c>
      <c r="M5503" s="15">
        <v>1.4614559155832556</v>
      </c>
      <c r="N5503" s="15">
        <v>1.4614559155832556</v>
      </c>
      <c r="O5503" s="15">
        <v>1.2259202680487331</v>
      </c>
      <c r="P5503" s="15">
        <v>1.2259202680487331</v>
      </c>
      <c r="Q5503" s="8"/>
      <c r="R5503" s="9" t="s">
        <v>5042</v>
      </c>
    </row>
    <row r="5504" spans="1:18" x14ac:dyDescent="0.25">
      <c r="A5504" s="6" t="str">
        <f>HYPERLINK("proteomic_fractions_linear_files/Yang_linear_img/32813439.jpg", "32813439")</f>
        <v>32813439</v>
      </c>
      <c r="B5504" s="7"/>
      <c r="C5504" s="6" t="str">
        <f>HYPERLINK("http://www.ncbi.nlm.nih.gov/protein/32813439","Pkn1")</f>
        <v>Pkn1</v>
      </c>
      <c r="D5504" s="8"/>
      <c r="E5504" s="8">
        <v>104280</v>
      </c>
      <c r="F5504" s="8"/>
      <c r="G5504" s="15" t="s">
        <v>10</v>
      </c>
      <c r="H5504" s="15" t="s">
        <v>10</v>
      </c>
      <c r="I5504" s="15" t="s">
        <v>10</v>
      </c>
      <c r="J5504" s="15" t="s">
        <v>10</v>
      </c>
      <c r="K5504" s="15">
        <v>1.4755083763100176</v>
      </c>
      <c r="L5504" s="15">
        <v>1.4755083763100176</v>
      </c>
      <c r="M5504" s="15">
        <v>1.4755083763100176</v>
      </c>
      <c r="N5504" s="15">
        <v>1.4755083763100176</v>
      </c>
      <c r="O5504" s="15">
        <v>1.237707962933817</v>
      </c>
      <c r="P5504" s="15">
        <v>1.237707962933817</v>
      </c>
      <c r="Q5504" s="8"/>
      <c r="R5504" s="9" t="s">
        <v>5043</v>
      </c>
    </row>
    <row r="5505" spans="1:18" x14ac:dyDescent="0.25">
      <c r="A5505" s="6" t="str">
        <f>HYPERLINK("proteomic_fractions_linear_files/Yang_linear_img/260099670.jpg", "260099670")</f>
        <v>260099670</v>
      </c>
      <c r="B5505" s="7"/>
      <c r="C5505" s="6" t="str">
        <f>HYPERLINK("http://www.ncbi.nlm.nih.gov/protein/260099670","Pkn2")</f>
        <v>Pkn2</v>
      </c>
      <c r="D5505" s="8"/>
      <c r="E5505" s="8">
        <v>111476</v>
      </c>
      <c r="F5505" s="8"/>
      <c r="G5505" s="15" t="s">
        <v>10</v>
      </c>
      <c r="H5505" s="15" t="s">
        <v>10</v>
      </c>
      <c r="I5505" s="15">
        <v>1.3824582985247011</v>
      </c>
      <c r="J5505" s="15">
        <v>1.3824582985247011</v>
      </c>
      <c r="K5505" s="15">
        <v>1.3824582985247011</v>
      </c>
      <c r="L5505" s="15">
        <v>1.3824582985247011</v>
      </c>
      <c r="M5505" s="15">
        <v>1.3824582985247011</v>
      </c>
      <c r="N5505" s="15">
        <v>1.3824582985247011</v>
      </c>
      <c r="O5505" s="15">
        <v>1.3824582985247011</v>
      </c>
      <c r="P5505" s="15">
        <v>1.3824582985247011</v>
      </c>
      <c r="Q5505" s="8"/>
      <c r="R5505" s="9" t="s">
        <v>5044</v>
      </c>
    </row>
    <row r="5506" spans="1:18" x14ac:dyDescent="0.25">
      <c r="A5506" s="6" t="str">
        <f>HYPERLINK("proteomic_fractions_linear_files/Yang_linear_img/24418929.jpg", "24418929")</f>
        <v>24418929</v>
      </c>
      <c r="B5506" s="7"/>
      <c r="C5506" s="6" t="str">
        <f>HYPERLINK("http://www.ncbi.nlm.nih.gov/protein/24418929","Pkn3")</f>
        <v>Pkn3</v>
      </c>
      <c r="D5506" s="8"/>
      <c r="E5506" s="8">
        <v>97751</v>
      </c>
      <c r="F5506" s="8"/>
      <c r="G5506" s="15" t="s">
        <v>10</v>
      </c>
      <c r="H5506" s="15" t="s">
        <v>10</v>
      </c>
      <c r="I5506" s="15" t="s">
        <v>10</v>
      </c>
      <c r="J5506" s="15" t="s">
        <v>10</v>
      </c>
      <c r="K5506" s="15">
        <v>1.5658456238392024</v>
      </c>
      <c r="L5506" s="15">
        <v>1.5658456238392024</v>
      </c>
      <c r="M5506" s="15" t="s">
        <v>10</v>
      </c>
      <c r="N5506" s="15" t="s">
        <v>10</v>
      </c>
      <c r="O5506" s="15" t="s">
        <v>10</v>
      </c>
      <c r="P5506" s="15" t="s">
        <v>10</v>
      </c>
      <c r="Q5506" s="8"/>
      <c r="R5506" s="9" t="s">
        <v>5045</v>
      </c>
    </row>
    <row r="5507" spans="1:18" x14ac:dyDescent="0.25">
      <c r="A5507" s="6" t="str">
        <f>HYPERLINK("proteomic_fractions_linear_files/Yang_linear_img/21312960.jpg", "21312960")</f>
        <v>21312960</v>
      </c>
      <c r="B5507" s="7"/>
      <c r="C5507" s="6" t="str">
        <f>HYPERLINK("http://www.ncbi.nlm.nih.gov/protein/21312960","Pkp2")</f>
        <v>Pkp2</v>
      </c>
      <c r="D5507" s="8"/>
      <c r="E5507" s="8">
        <v>87973</v>
      </c>
      <c r="F5507" s="8"/>
      <c r="G5507" s="15">
        <v>1.2477450434219486</v>
      </c>
      <c r="H5507" s="15">
        <v>1.2477450434219486</v>
      </c>
      <c r="I5507" s="15">
        <v>1.0791816043475513</v>
      </c>
      <c r="J5507" s="15">
        <v>1.0791816043475513</v>
      </c>
      <c r="K5507" s="15">
        <v>1.0791816043475513</v>
      </c>
      <c r="L5507" s="15">
        <v>1.0791816043475513</v>
      </c>
      <c r="M5507" s="15">
        <v>0.42433325480823397</v>
      </c>
      <c r="N5507" s="15">
        <v>0.42433325480823397</v>
      </c>
      <c r="O5507" s="15" t="s">
        <v>10</v>
      </c>
      <c r="P5507" s="15" t="s">
        <v>10</v>
      </c>
      <c r="Q5507" s="8"/>
      <c r="R5507" s="9" t="s">
        <v>5046</v>
      </c>
    </row>
    <row r="5508" spans="1:18" x14ac:dyDescent="0.25">
      <c r="A5508" s="6" t="str">
        <f>HYPERLINK("proteomic_fractions_linear_files/Yang_linear_img/242332585.jpg", "242332585")</f>
        <v>242332585</v>
      </c>
      <c r="B5508" s="7"/>
      <c r="C5508" s="6" t="str">
        <f>HYPERLINK("http://www.ncbi.nlm.nih.gov/protein/242332585","Pkp3")</f>
        <v>Pkp3</v>
      </c>
      <c r="D5508" s="8"/>
      <c r="E5508" s="8">
        <v>87202</v>
      </c>
      <c r="F5508" s="8"/>
      <c r="G5508" s="15" t="s">
        <v>10</v>
      </c>
      <c r="H5508" s="15" t="s">
        <v>10</v>
      </c>
      <c r="I5508" s="15">
        <v>1.0915859906044196</v>
      </c>
      <c r="J5508" s="15">
        <v>1.0915859906044196</v>
      </c>
      <c r="K5508" s="15">
        <v>1.0915859906044196</v>
      </c>
      <c r="L5508" s="15">
        <v>1.0915859906044196</v>
      </c>
      <c r="M5508" s="15" t="s">
        <v>10</v>
      </c>
      <c r="N5508" s="15" t="s">
        <v>10</v>
      </c>
      <c r="O5508" s="15" t="s">
        <v>10</v>
      </c>
      <c r="P5508" s="15" t="s">
        <v>10</v>
      </c>
      <c r="Q5508" s="8"/>
      <c r="R5508" s="9" t="s">
        <v>5047</v>
      </c>
    </row>
    <row r="5509" spans="1:18" x14ac:dyDescent="0.25">
      <c r="A5509" s="6" t="str">
        <f>HYPERLINK("proteomic_fractions_linear_files/Yang_linear_img/242332587.jpg", "242332587")</f>
        <v>242332587</v>
      </c>
      <c r="B5509" s="7"/>
      <c r="C5509" s="6" t="str">
        <f>HYPERLINK("http://www.ncbi.nlm.nih.gov/protein/242332587","Pkp3")</f>
        <v>Pkp3</v>
      </c>
      <c r="D5509" s="8"/>
      <c r="E5509" s="8">
        <v>89691</v>
      </c>
      <c r="F5509" s="8"/>
      <c r="G5509" s="15" t="s">
        <v>10</v>
      </c>
      <c r="H5509" s="15" t="s">
        <v>10</v>
      </c>
      <c r="I5509" s="15">
        <v>1.0551997909176056</v>
      </c>
      <c r="J5509" s="15">
        <v>1.0551997909176056</v>
      </c>
      <c r="K5509" s="15">
        <v>1.0551997909176056</v>
      </c>
      <c r="L5509" s="15">
        <v>1.0551997909176056</v>
      </c>
      <c r="M5509" s="15" t="s">
        <v>10</v>
      </c>
      <c r="N5509" s="15" t="s">
        <v>10</v>
      </c>
      <c r="O5509" s="15" t="s">
        <v>10</v>
      </c>
      <c r="P5509" s="15" t="s">
        <v>10</v>
      </c>
      <c r="Q5509" s="8"/>
      <c r="R5509" s="9" t="s">
        <v>5048</v>
      </c>
    </row>
    <row r="5510" spans="1:18" x14ac:dyDescent="0.25">
      <c r="A5510" s="6" t="str">
        <f>HYPERLINK("proteomic_fractions_linear_files/Yang_linear_img/19527008.jpg", "19527008")</f>
        <v>19527008</v>
      </c>
      <c r="B5510" s="7"/>
      <c r="C5510" s="6" t="str">
        <f>HYPERLINK("http://www.ncbi.nlm.nih.gov/protein/19527008","Pla2g15")</f>
        <v>Pla2g15</v>
      </c>
      <c r="D5510" s="8"/>
      <c r="E5510" s="8">
        <v>43510</v>
      </c>
      <c r="F5510" s="8"/>
      <c r="G5510" s="15" t="s">
        <v>10</v>
      </c>
      <c r="H5510" s="15" t="s">
        <v>10</v>
      </c>
      <c r="I5510" s="15">
        <v>1.0028543010673969</v>
      </c>
      <c r="J5510" s="15">
        <v>1.0028543010673969</v>
      </c>
      <c r="K5510" s="15" t="s">
        <v>10</v>
      </c>
      <c r="L5510" s="15" t="s">
        <v>10</v>
      </c>
      <c r="M5510" s="15" t="s">
        <v>10</v>
      </c>
      <c r="N5510" s="15" t="s">
        <v>10</v>
      </c>
      <c r="O5510" s="15">
        <v>0.9206208682550624</v>
      </c>
      <c r="P5510" s="15">
        <v>0.9206208682550624</v>
      </c>
      <c r="Q5510" s="8"/>
      <c r="R5510" s="9" t="s">
        <v>5049</v>
      </c>
    </row>
    <row r="5511" spans="1:18" x14ac:dyDescent="0.25">
      <c r="A5511" s="6" t="str">
        <f>HYPERLINK("proteomic_fractions_linear_files/Yang_linear_img/84781797.jpg", "84781797")</f>
        <v>84781797</v>
      </c>
      <c r="B5511" s="7"/>
      <c r="C5511" s="6" t="str">
        <f>HYPERLINK("http://www.ncbi.nlm.nih.gov/protein/84781797","Pla2g16")</f>
        <v>Pla2g16</v>
      </c>
      <c r="D5511" s="8"/>
      <c r="E5511" s="8">
        <v>17741</v>
      </c>
      <c r="F5511" s="8"/>
      <c r="G5511" s="15" t="s">
        <v>10</v>
      </c>
      <c r="H5511" s="15" t="s">
        <v>10</v>
      </c>
      <c r="I5511" s="15" t="s">
        <v>10</v>
      </c>
      <c r="J5511" s="15" t="s">
        <v>10</v>
      </c>
      <c r="K5511" s="15" t="s">
        <v>10</v>
      </c>
      <c r="L5511" s="15" t="s">
        <v>10</v>
      </c>
      <c r="M5511" s="15" t="s">
        <v>10</v>
      </c>
      <c r="N5511" s="15" t="s">
        <v>10</v>
      </c>
      <c r="O5511" s="15">
        <v>0.84424101632301585</v>
      </c>
      <c r="P5511" s="15">
        <v>0.84424101632301585</v>
      </c>
      <c r="Q5511" s="8"/>
      <c r="R5511" s="9" t="s">
        <v>5050</v>
      </c>
    </row>
    <row r="5512" spans="1:18" x14ac:dyDescent="0.25">
      <c r="A5512" s="6" t="str">
        <f>HYPERLINK("proteomic_fractions_linear_files/Yang_linear_img/6679369.jpg", "6679369")</f>
        <v>6679369</v>
      </c>
      <c r="B5512" s="7"/>
      <c r="C5512" s="6" t="str">
        <f>HYPERLINK("http://www.ncbi.nlm.nih.gov/protein/6679369","Pla2g4a")</f>
        <v>Pla2g4a</v>
      </c>
      <c r="D5512" s="8"/>
      <c r="E5512" s="8">
        <v>85092</v>
      </c>
      <c r="F5512" s="8"/>
      <c r="G5512" s="15" t="s">
        <v>10</v>
      </c>
      <c r="H5512" s="15" t="s">
        <v>10</v>
      </c>
      <c r="I5512" s="15">
        <v>1.1172703668539354</v>
      </c>
      <c r="J5512" s="15">
        <v>1.1172703668539354</v>
      </c>
      <c r="K5512" s="15">
        <v>1.2917831037780172</v>
      </c>
      <c r="L5512" s="15">
        <v>1.2917831037780172</v>
      </c>
      <c r="M5512" s="15">
        <v>1.2917831037780172</v>
      </c>
      <c r="N5512" s="15">
        <v>1.2917831037780172</v>
      </c>
      <c r="O5512" s="15">
        <v>1.1172703668539354</v>
      </c>
      <c r="P5512" s="15">
        <v>1.1172703668539354</v>
      </c>
      <c r="Q5512" s="8"/>
      <c r="R5512" s="9" t="s">
        <v>5051</v>
      </c>
    </row>
    <row r="5513" spans="1:18" x14ac:dyDescent="0.25">
      <c r="A5513" s="6" t="str">
        <f>HYPERLINK("proteomic_fractions_linear_files/Yang_linear_img/167900427.jpg", "167900427")</f>
        <v>167900427</v>
      </c>
      <c r="B5513" s="7"/>
      <c r="C5513" s="6" t="str">
        <f>HYPERLINK("http://www.ncbi.nlm.nih.gov/protein/167900427","Pla2g4b")</f>
        <v>Pla2g4b</v>
      </c>
      <c r="D5513" s="8"/>
      <c r="E5513" s="8">
        <v>89325</v>
      </c>
      <c r="F5513" s="8"/>
      <c r="G5513" s="15" t="s">
        <v>10</v>
      </c>
      <c r="H5513" s="15" t="s">
        <v>10</v>
      </c>
      <c r="I5513" s="15" t="s">
        <v>10</v>
      </c>
      <c r="J5513" s="15" t="s">
        <v>10</v>
      </c>
      <c r="K5513" s="15">
        <v>0.45513840677778367</v>
      </c>
      <c r="L5513" s="15">
        <v>0.45513840677778367</v>
      </c>
      <c r="M5513" s="15" t="s">
        <v>10</v>
      </c>
      <c r="N5513" s="15" t="s">
        <v>10</v>
      </c>
      <c r="O5513" s="15" t="s">
        <v>10</v>
      </c>
      <c r="P5513" s="15" t="s">
        <v>10</v>
      </c>
      <c r="Q5513" s="8"/>
      <c r="R5513" s="9" t="s">
        <v>5052</v>
      </c>
    </row>
    <row r="5514" spans="1:18" x14ac:dyDescent="0.25">
      <c r="A5514" s="6" t="str">
        <f>HYPERLINK("proteomic_fractions_linear_files/Yang_linear_img/312222739.jpg", "312222739")</f>
        <v>312222739</v>
      </c>
      <c r="B5514" s="7"/>
      <c r="C5514" s="6" t="str">
        <f>HYPERLINK("http://www.ncbi.nlm.nih.gov/protein/312222739","Pla2g6")</f>
        <v>Pla2g6</v>
      </c>
      <c r="D5514" s="8"/>
      <c r="E5514" s="8">
        <v>89429</v>
      </c>
      <c r="F5514" s="8"/>
      <c r="G5514" s="15" t="s">
        <v>10</v>
      </c>
      <c r="H5514" s="15" t="s">
        <v>10</v>
      </c>
      <c r="I5514" s="15" t="s">
        <v>10</v>
      </c>
      <c r="J5514" s="15" t="s">
        <v>10</v>
      </c>
      <c r="K5514" s="15" t="s">
        <v>10</v>
      </c>
      <c r="L5514" s="15" t="s">
        <v>10</v>
      </c>
      <c r="M5514" s="15">
        <v>0.93369279183307707</v>
      </c>
      <c r="N5514" s="15">
        <v>0.93369279183307707</v>
      </c>
      <c r="O5514" s="15" t="s">
        <v>10</v>
      </c>
      <c r="P5514" s="15" t="s">
        <v>10</v>
      </c>
      <c r="Q5514" s="8"/>
      <c r="R5514" s="9" t="s">
        <v>5053</v>
      </c>
    </row>
    <row r="5515" spans="1:18" x14ac:dyDescent="0.25">
      <c r="A5515" s="6" t="str">
        <f>HYPERLINK("proteomic_fractions_linear_files/Yang_linear_img/8393978;312222745.jpg", "8393978;312222745")</f>
        <v>8393978;312222745</v>
      </c>
      <c r="B5515" s="8"/>
      <c r="C5515" s="6" t="str">
        <f>HYPERLINK("http://www.ncbi.nlm.nih.gov/protein/8393978;312222745","Pla2g6")</f>
        <v>Pla2g6</v>
      </c>
      <c r="D5515" s="8"/>
      <c r="E5515" s="8">
        <v>83571</v>
      </c>
      <c r="F5515" s="8"/>
      <c r="G5515" s="15" t="s">
        <v>10</v>
      </c>
      <c r="H5515" s="15" t="s">
        <v>10</v>
      </c>
      <c r="I5515" s="15" t="s">
        <v>10</v>
      </c>
      <c r="J5515" s="15" t="s">
        <v>10</v>
      </c>
      <c r="K5515" s="15" t="s">
        <v>10</v>
      </c>
      <c r="L5515" s="15" t="s">
        <v>10</v>
      </c>
      <c r="M5515" s="15">
        <v>0.98926974372790311</v>
      </c>
      <c r="N5515" s="15">
        <v>0.98926974372790311</v>
      </c>
      <c r="O5515" s="15" t="s">
        <v>10</v>
      </c>
      <c r="P5515" s="15" t="s">
        <v>10</v>
      </c>
      <c r="Q5515" s="8"/>
      <c r="R5515" s="9" t="s">
        <v>5054</v>
      </c>
    </row>
    <row r="5516" spans="1:18" x14ac:dyDescent="0.25">
      <c r="A5516" s="6" t="str">
        <f>HYPERLINK("proteomic_fractions_linear_files/Yang_linear_img/31980752.jpg", "31980752")</f>
        <v>31980752</v>
      </c>
      <c r="B5516" s="7"/>
      <c r="C5516" s="6" t="str">
        <f>HYPERLINK("http://www.ncbi.nlm.nih.gov/protein/31980752","Pla2g7")</f>
        <v>Pla2g7</v>
      </c>
      <c r="D5516" s="8"/>
      <c r="E5516" s="8">
        <v>46851</v>
      </c>
      <c r="F5516" s="8"/>
      <c r="G5516" s="15" t="s">
        <v>10</v>
      </c>
      <c r="H5516" s="15" t="s">
        <v>10</v>
      </c>
      <c r="I5516" s="15">
        <v>1.1302248857447037</v>
      </c>
      <c r="J5516" s="15">
        <v>1.1302248857447037</v>
      </c>
      <c r="K5516" s="15">
        <v>1.1302248857447037</v>
      </c>
      <c r="L5516" s="15">
        <v>1.1302248857447037</v>
      </c>
      <c r="M5516" s="15" t="s">
        <v>10</v>
      </c>
      <c r="N5516" s="15" t="s">
        <v>10</v>
      </c>
      <c r="O5516" s="15" t="s">
        <v>10</v>
      </c>
      <c r="P5516" s="15" t="s">
        <v>10</v>
      </c>
      <c r="Q5516" s="8"/>
      <c r="R5516" s="9" t="s">
        <v>5055</v>
      </c>
    </row>
    <row r="5517" spans="1:18" x14ac:dyDescent="0.25">
      <c r="A5517" s="6" t="str">
        <f>HYPERLINK("proteomic_fractions_linear_files/Yang_linear_img/114431250.jpg", "114431250")</f>
        <v>114431250</v>
      </c>
      <c r="B5517" s="7"/>
      <c r="C5517" s="6" t="str">
        <f>HYPERLINK("http://www.ncbi.nlm.nih.gov/protein/114431250","Plaa")</f>
        <v>Plaa</v>
      </c>
      <c r="D5517" s="8"/>
      <c r="E5517" s="8">
        <v>87090</v>
      </c>
      <c r="F5517" s="8"/>
      <c r="G5517" s="15" t="s">
        <v>10</v>
      </c>
      <c r="H5517" s="15" t="s">
        <v>10</v>
      </c>
      <c r="I5517" s="15">
        <v>0.9551569939441823</v>
      </c>
      <c r="J5517" s="15">
        <v>0.9551569939441823</v>
      </c>
      <c r="K5517" s="15">
        <v>1.0915859906044196</v>
      </c>
      <c r="L5517" s="15">
        <v>1.0915859906044196</v>
      </c>
      <c r="M5517" s="15">
        <v>1.0915859906044196</v>
      </c>
      <c r="N5517" s="15">
        <v>1.0915859906044196</v>
      </c>
      <c r="O5517" s="15">
        <v>0.9551569939441823</v>
      </c>
      <c r="P5517" s="15">
        <v>0.9551569939441823</v>
      </c>
      <c r="Q5517" s="8"/>
      <c r="R5517" s="9" t="s">
        <v>5056</v>
      </c>
    </row>
    <row r="5518" spans="1:18" x14ac:dyDescent="0.25">
      <c r="A5518" s="6" t="str">
        <f>HYPERLINK("proteomic_fractions_linear_files/Yang_linear_img/21105853.jpg", "21105853")</f>
        <v>21105853</v>
      </c>
      <c r="B5518" s="7"/>
      <c r="C5518" s="6" t="str">
        <f>HYPERLINK("http://www.ncbi.nlm.nih.gov/protein/21105853","Plac8")</f>
        <v>Plac8</v>
      </c>
      <c r="D5518" s="8"/>
      <c r="E5518" s="8">
        <v>12222</v>
      </c>
      <c r="F5518" s="8"/>
      <c r="G5518" s="15" t="s">
        <v>10</v>
      </c>
      <c r="H5518" s="15" t="s">
        <v>10</v>
      </c>
      <c r="I5518" s="15" t="s">
        <v>10</v>
      </c>
      <c r="J5518" s="15" t="s">
        <v>10</v>
      </c>
      <c r="K5518" s="15">
        <v>1.0194051076942798</v>
      </c>
      <c r="L5518" s="15">
        <v>1.0194051076942798</v>
      </c>
      <c r="M5518" s="15" t="s">
        <v>10</v>
      </c>
      <c r="N5518" s="15" t="s">
        <v>10</v>
      </c>
      <c r="O5518" s="15" t="s">
        <v>10</v>
      </c>
      <c r="P5518" s="15" t="s">
        <v>10</v>
      </c>
      <c r="Q5518" s="8"/>
      <c r="R5518" s="9" t="s">
        <v>5057</v>
      </c>
    </row>
    <row r="5519" spans="1:18" x14ac:dyDescent="0.25">
      <c r="A5519" s="6" t="str">
        <f>HYPERLINK("proteomic_fractions_linear_files/Yang_linear_img/6679377.jpg", "6679377")</f>
        <v>6679377</v>
      </c>
      <c r="B5519" s="7"/>
      <c r="C5519" s="6" t="str">
        <f>HYPERLINK("http://www.ncbi.nlm.nih.gov/protein/6679377","Plau")</f>
        <v>Plau</v>
      </c>
      <c r="D5519" s="8"/>
      <c r="E5519" s="8">
        <v>46077</v>
      </c>
      <c r="F5519" s="8"/>
      <c r="G5519" s="15" t="s">
        <v>10</v>
      </c>
      <c r="H5519" s="15" t="s">
        <v>10</v>
      </c>
      <c r="I5519" s="15">
        <v>0.95925194015142323</v>
      </c>
      <c r="J5519" s="15">
        <v>0.95925194015142323</v>
      </c>
      <c r="K5519" s="15">
        <v>0.95925194015142323</v>
      </c>
      <c r="L5519" s="15">
        <v>0.95925194015142323</v>
      </c>
      <c r="M5519" s="15" t="s">
        <v>10</v>
      </c>
      <c r="N5519" s="15" t="s">
        <v>10</v>
      </c>
      <c r="O5519" s="15" t="s">
        <v>10</v>
      </c>
      <c r="P5519" s="15" t="s">
        <v>10</v>
      </c>
      <c r="Q5519" s="8"/>
      <c r="R5519" s="9" t="s">
        <v>5058</v>
      </c>
    </row>
    <row r="5520" spans="1:18" x14ac:dyDescent="0.25">
      <c r="A5520" s="6" t="str">
        <f>HYPERLINK("proteomic_fractions_linear_files/Yang_linear_img/31560090.jpg", "31560090")</f>
        <v>31560090</v>
      </c>
      <c r="B5520" s="7"/>
      <c r="C5520" s="6" t="str">
        <f>HYPERLINK("http://www.ncbi.nlm.nih.gov/protein/31560090","Plbd2")</f>
        <v>Plbd2</v>
      </c>
      <c r="D5520" s="8"/>
      <c r="E5520" s="8">
        <v>61887</v>
      </c>
      <c r="F5520" s="8"/>
      <c r="G5520" s="15">
        <v>0.37273505443092653</v>
      </c>
      <c r="H5520" s="15">
        <v>0.37273505443092653</v>
      </c>
      <c r="I5520" s="15">
        <v>0.42177835670040326</v>
      </c>
      <c r="J5520" s="15">
        <v>0.42177835670040326</v>
      </c>
      <c r="K5520" s="15">
        <v>0.42177835670040326</v>
      </c>
      <c r="L5520" s="15">
        <v>0.42177835670040326</v>
      </c>
      <c r="M5520" s="15">
        <v>0.24510223054539171</v>
      </c>
      <c r="N5520" s="15">
        <v>0.24510223054539171</v>
      </c>
      <c r="O5520" s="15">
        <v>0.3515442301722379</v>
      </c>
      <c r="P5520" s="15">
        <v>0.3515442301722379</v>
      </c>
      <c r="Q5520" s="8"/>
      <c r="R5520" s="9" t="s">
        <v>5059</v>
      </c>
    </row>
    <row r="5521" spans="1:18" x14ac:dyDescent="0.25">
      <c r="A5521" s="6" t="str">
        <f>HYPERLINK("proteomic_fractions_linear_files/Yang_linear_img/31982122.jpg", "31982122")</f>
        <v>31982122</v>
      </c>
      <c r="B5521" s="7"/>
      <c r="C5521" s="6" t="str">
        <f>HYPERLINK("http://www.ncbi.nlm.nih.gov/protein/31982122","Plcb3")</f>
        <v>Plcb3</v>
      </c>
      <c r="D5521" s="8"/>
      <c r="E5521" s="8">
        <v>139368</v>
      </c>
      <c r="F5521" s="8"/>
      <c r="G5521" s="15">
        <v>1.3436390765463335</v>
      </c>
      <c r="H5521" s="15">
        <v>1.3436390765463335</v>
      </c>
      <c r="I5521" s="15">
        <v>1.1039774901887902</v>
      </c>
      <c r="J5521" s="15">
        <v>1.1039774901887902</v>
      </c>
      <c r="K5521" s="15">
        <v>1.3436390765463335</v>
      </c>
      <c r="L5521" s="15">
        <v>1.3436390765463335</v>
      </c>
      <c r="M5521" s="15">
        <v>1.3436390765463335</v>
      </c>
      <c r="N5521" s="15">
        <v>1.3436390765463335</v>
      </c>
      <c r="O5521" s="15">
        <v>1.3436390765463335</v>
      </c>
      <c r="P5521" s="15">
        <v>1.3436390765463335</v>
      </c>
      <c r="Q5521" s="8"/>
      <c r="R5521" s="9" t="s">
        <v>5060</v>
      </c>
    </row>
    <row r="5522" spans="1:18" x14ac:dyDescent="0.25">
      <c r="A5522" s="6" t="str">
        <f>HYPERLINK("proteomic_fractions_linear_files/Yang_linear_img/9790167.jpg", "9790167")</f>
        <v>9790167</v>
      </c>
      <c r="B5522" s="7"/>
      <c r="C5522" s="6" t="str">
        <f>HYPERLINK("http://www.ncbi.nlm.nih.gov/protein/9790167","Plcd1")</f>
        <v>Plcd1</v>
      </c>
      <c r="D5522" s="8"/>
      <c r="E5522" s="8">
        <v>85742</v>
      </c>
      <c r="F5522" s="8"/>
      <c r="G5522" s="15" t="s">
        <v>10</v>
      </c>
      <c r="H5522" s="15" t="s">
        <v>10</v>
      </c>
      <c r="I5522" s="15" t="s">
        <v>10</v>
      </c>
      <c r="J5522" s="15" t="s">
        <v>10</v>
      </c>
      <c r="K5522" s="15" t="s">
        <v>10</v>
      </c>
      <c r="L5522" s="15" t="s">
        <v>10</v>
      </c>
      <c r="M5522" s="15" t="s">
        <v>10</v>
      </c>
      <c r="N5522" s="15" t="s">
        <v>10</v>
      </c>
      <c r="O5522" s="15">
        <v>0.96626347061795181</v>
      </c>
      <c r="P5522" s="15">
        <v>0.96626347061795181</v>
      </c>
      <c r="Q5522" s="8"/>
      <c r="R5522" s="9" t="s">
        <v>5061</v>
      </c>
    </row>
    <row r="5523" spans="1:18" x14ac:dyDescent="0.25">
      <c r="A5523" s="6" t="str">
        <f>HYPERLINK("proteomic_fractions_linear_files/Yang_linear_img/258645148.jpg", "258645148")</f>
        <v>258645148</v>
      </c>
      <c r="B5523" s="7"/>
      <c r="C5523" s="6" t="str">
        <f>HYPERLINK("http://www.ncbi.nlm.nih.gov/protein/258645148","Plcd3")</f>
        <v>Plcd3</v>
      </c>
      <c r="D5523" s="8"/>
      <c r="E5523" s="8">
        <v>88476</v>
      </c>
      <c r="F5523" s="8"/>
      <c r="G5523" s="15" t="s">
        <v>10</v>
      </c>
      <c r="H5523" s="15" t="s">
        <v>10</v>
      </c>
      <c r="I5523" s="15" t="s">
        <v>10</v>
      </c>
      <c r="J5523" s="15" t="s">
        <v>10</v>
      </c>
      <c r="K5523" s="15">
        <v>1.2477450434219486</v>
      </c>
      <c r="L5523" s="15">
        <v>1.2477450434219486</v>
      </c>
      <c r="M5523" s="15" t="s">
        <v>10</v>
      </c>
      <c r="N5523" s="15" t="s">
        <v>10</v>
      </c>
      <c r="O5523" s="15">
        <v>1.0791816043475513</v>
      </c>
      <c r="P5523" s="15">
        <v>1.0791816043475513</v>
      </c>
      <c r="Q5523" s="8"/>
      <c r="R5523" s="9" t="s">
        <v>5062</v>
      </c>
    </row>
    <row r="5524" spans="1:18" x14ac:dyDescent="0.25">
      <c r="A5524" s="6" t="str">
        <f>HYPERLINK("proteomic_fractions_linear_files/Yang_linear_img/41393059.jpg", "41393059")</f>
        <v>41393059</v>
      </c>
      <c r="B5524" s="7"/>
      <c r="C5524" s="6" t="str">
        <f>HYPERLINK("http://www.ncbi.nlm.nih.gov/protein/41393059","Plcg1")</f>
        <v>Plcg1</v>
      </c>
      <c r="D5524" s="8"/>
      <c r="E5524" s="8">
        <v>149538</v>
      </c>
      <c r="F5524" s="8"/>
      <c r="G5524" s="15" t="s">
        <v>10</v>
      </c>
      <c r="H5524" s="15" t="s">
        <v>10</v>
      </c>
      <c r="I5524" s="15" t="s">
        <v>10</v>
      </c>
      <c r="J5524" s="15" t="s">
        <v>10</v>
      </c>
      <c r="K5524" s="15" t="s">
        <v>10</v>
      </c>
      <c r="L5524" s="15" t="s">
        <v>10</v>
      </c>
      <c r="M5524" s="15" t="s">
        <v>10</v>
      </c>
      <c r="N5524" s="15" t="s">
        <v>10</v>
      </c>
      <c r="O5524" s="15">
        <v>1.2451055442662691</v>
      </c>
      <c r="P5524" s="15">
        <v>1.2451055442662691</v>
      </c>
      <c r="Q5524" s="8"/>
      <c r="R5524" s="9" t="s">
        <v>5063</v>
      </c>
    </row>
    <row r="5525" spans="1:18" x14ac:dyDescent="0.25">
      <c r="A5525" s="6" t="str">
        <f>HYPERLINK("proteomic_fractions_linear_files/Yang_linear_img/26986603.jpg", "26986603")</f>
        <v>26986603</v>
      </c>
      <c r="B5525" s="7"/>
      <c r="C5525" s="6" t="str">
        <f>HYPERLINK("http://www.ncbi.nlm.nih.gov/protein/26986603","Plcg2")</f>
        <v>Plcg2</v>
      </c>
      <c r="D5525" s="8"/>
      <c r="E5525" s="8">
        <v>147461</v>
      </c>
      <c r="F5525" s="8"/>
      <c r="G5525" s="15" t="s">
        <v>10</v>
      </c>
      <c r="H5525" s="15" t="s">
        <v>10</v>
      </c>
      <c r="I5525" s="15">
        <v>1.0438970825594682</v>
      </c>
      <c r="J5525" s="15">
        <v>1.0438970825594682</v>
      </c>
      <c r="K5525" s="15">
        <v>1.2705158614961929</v>
      </c>
      <c r="L5525" s="15">
        <v>1.2705158614961929</v>
      </c>
      <c r="M5525" s="15">
        <v>1.2705158614961929</v>
      </c>
      <c r="N5525" s="15">
        <v>1.2705158614961929</v>
      </c>
      <c r="O5525" s="15">
        <v>1.2705158614961929</v>
      </c>
      <c r="P5525" s="15">
        <v>1.2705158614961929</v>
      </c>
      <c r="Q5525" s="8"/>
      <c r="R5525" s="9" t="s">
        <v>5064</v>
      </c>
    </row>
    <row r="5526" spans="1:18" x14ac:dyDescent="0.25">
      <c r="A5526" s="6" t="str">
        <f>HYPERLINK("proteomic_fractions_linear_files/Yang_linear_img/295148200.jpg", "295148200")</f>
        <v>295148200</v>
      </c>
      <c r="B5526" s="7"/>
      <c r="C5526" s="6" t="str">
        <f>HYPERLINK("http://www.ncbi.nlm.nih.gov/protein/295148200","Plch1")</f>
        <v>Plch1</v>
      </c>
      <c r="D5526" s="8"/>
      <c r="E5526" s="8">
        <v>187613</v>
      </c>
      <c r="F5526" s="8"/>
      <c r="G5526" s="15" t="s">
        <v>10</v>
      </c>
      <c r="H5526" s="15" t="s">
        <v>10</v>
      </c>
      <c r="I5526" s="15" t="s">
        <v>10</v>
      </c>
      <c r="J5526" s="15" t="s">
        <v>10</v>
      </c>
      <c r="K5526" s="15">
        <v>0.10372952036188976</v>
      </c>
      <c r="L5526" s="15">
        <v>0.10372952036188976</v>
      </c>
      <c r="M5526" s="15" t="s">
        <v>10</v>
      </c>
      <c r="N5526" s="15" t="s">
        <v>10</v>
      </c>
      <c r="O5526" s="15" t="s">
        <v>10</v>
      </c>
      <c r="P5526" s="15" t="s">
        <v>10</v>
      </c>
      <c r="Q5526" s="8"/>
      <c r="R5526" s="9" t="s">
        <v>5065</v>
      </c>
    </row>
    <row r="5527" spans="1:18" x14ac:dyDescent="0.25">
      <c r="A5527" s="6" t="str">
        <f>HYPERLINK("proteomic_fractions_linear_files/Yang_linear_img/295148202.jpg", "295148202")</f>
        <v>295148202</v>
      </c>
      <c r="B5527" s="7"/>
      <c r="C5527" s="6" t="str">
        <f>HYPERLINK("http://www.ncbi.nlm.nih.gov/protein/295148202","Plch1")</f>
        <v>Plch1</v>
      </c>
      <c r="D5527" s="8"/>
      <c r="E5527" s="8">
        <v>114417</v>
      </c>
      <c r="F5527" s="8"/>
      <c r="G5527" s="15" t="s">
        <v>10</v>
      </c>
      <c r="H5527" s="15" t="s">
        <v>10</v>
      </c>
      <c r="I5527" s="15" t="s">
        <v>10</v>
      </c>
      <c r="J5527" s="15" t="s">
        <v>10</v>
      </c>
      <c r="K5527" s="15">
        <v>0.1710627177897831</v>
      </c>
      <c r="L5527" s="15">
        <v>0.1710627177897831</v>
      </c>
      <c r="M5527" s="15" t="s">
        <v>10</v>
      </c>
      <c r="N5527" s="15" t="s">
        <v>10</v>
      </c>
      <c r="O5527" s="15" t="s">
        <v>10</v>
      </c>
      <c r="P5527" s="15" t="s">
        <v>10</v>
      </c>
      <c r="Q5527" s="8"/>
      <c r="R5527" s="9" t="s">
        <v>5066</v>
      </c>
    </row>
    <row r="5528" spans="1:18" x14ac:dyDescent="0.25">
      <c r="A5528" s="6" t="str">
        <f>HYPERLINK("proteomic_fractions_linear_files/Yang_linear_img/295148204.jpg", "295148204")</f>
        <v>295148204</v>
      </c>
      <c r="B5528" s="7"/>
      <c r="C5528" s="6" t="str">
        <f>HYPERLINK("http://www.ncbi.nlm.nih.gov/protein/295148204","Plch1")</f>
        <v>Plch1</v>
      </c>
      <c r="D5528" s="8"/>
      <c r="E5528" s="8">
        <v>122640</v>
      </c>
      <c r="F5528" s="8"/>
      <c r="G5528" s="15" t="s">
        <v>10</v>
      </c>
      <c r="H5528" s="15" t="s">
        <v>10</v>
      </c>
      <c r="I5528" s="15" t="s">
        <v>10</v>
      </c>
      <c r="J5528" s="15" t="s">
        <v>10</v>
      </c>
      <c r="K5528" s="15">
        <v>0.1585459335612624</v>
      </c>
      <c r="L5528" s="15">
        <v>0.1585459335612624</v>
      </c>
      <c r="M5528" s="15" t="s">
        <v>10</v>
      </c>
      <c r="N5528" s="15" t="s">
        <v>10</v>
      </c>
      <c r="O5528" s="15" t="s">
        <v>10</v>
      </c>
      <c r="P5528" s="15" t="s">
        <v>10</v>
      </c>
      <c r="Q5528" s="8"/>
      <c r="R5528" s="9" t="s">
        <v>5067</v>
      </c>
    </row>
    <row r="5529" spans="1:18" x14ac:dyDescent="0.25">
      <c r="A5529" s="6" t="str">
        <f>HYPERLINK("proteomic_fractions_linear_files/Yang_linear_img/197333710.jpg", "197333710")</f>
        <v>197333710</v>
      </c>
      <c r="B5529" s="7"/>
      <c r="C5529" s="6" t="str">
        <f>HYPERLINK("http://www.ncbi.nlm.nih.gov/protein/197333710","Plcxd2")</f>
        <v>Plcxd2</v>
      </c>
      <c r="D5529" s="8"/>
      <c r="E5529" s="8">
        <v>38487</v>
      </c>
      <c r="F5529" s="8"/>
      <c r="G5529" s="15" t="s">
        <v>10</v>
      </c>
      <c r="H5529" s="15" t="s">
        <v>10</v>
      </c>
      <c r="I5529" s="15">
        <v>0.78645807609771401</v>
      </c>
      <c r="J5529" s="15">
        <v>0.78645807609771401</v>
      </c>
      <c r="K5529" s="15">
        <v>0.84431770672983131</v>
      </c>
      <c r="L5529" s="15">
        <v>0.84431770672983131</v>
      </c>
      <c r="M5529" s="15">
        <v>0.84431770672983131</v>
      </c>
      <c r="N5529" s="15">
        <v>0.84431770672983131</v>
      </c>
      <c r="O5529" s="15" t="s">
        <v>10</v>
      </c>
      <c r="P5529" s="15" t="s">
        <v>10</v>
      </c>
      <c r="Q5529" s="8"/>
      <c r="R5529" s="9" t="s">
        <v>5068</v>
      </c>
    </row>
    <row r="5530" spans="1:18" x14ac:dyDescent="0.25">
      <c r="A5530" s="6" t="str">
        <f>HYPERLINK("proteomic_fractions_linear_files/Yang_linear_img/6679379.jpg", "6679379")</f>
        <v>6679379</v>
      </c>
      <c r="B5530" s="7"/>
      <c r="C5530" s="6" t="str">
        <f>HYPERLINK("http://www.ncbi.nlm.nih.gov/protein/6679379","Pld2")</f>
        <v>Pld2</v>
      </c>
      <c r="D5530" s="8"/>
      <c r="E5530" s="8">
        <v>106038</v>
      </c>
      <c r="F5530" s="8"/>
      <c r="G5530" s="15" t="s">
        <v>10</v>
      </c>
      <c r="H5530" s="15" t="s">
        <v>10</v>
      </c>
      <c r="I5530" s="15">
        <v>1.0358638096333157</v>
      </c>
      <c r="J5530" s="15">
        <v>1.0358638096333157</v>
      </c>
      <c r="K5530" s="15">
        <v>1.0358638096333157</v>
      </c>
      <c r="L5530" s="15">
        <v>1.0358638096333157</v>
      </c>
      <c r="M5530" s="15" t="s">
        <v>10</v>
      </c>
      <c r="N5530" s="15" t="s">
        <v>10</v>
      </c>
      <c r="O5530" s="15" t="s">
        <v>10</v>
      </c>
      <c r="P5530" s="15" t="s">
        <v>10</v>
      </c>
      <c r="Q5530" s="8"/>
      <c r="R5530" s="9" t="s">
        <v>5069</v>
      </c>
    </row>
    <row r="5531" spans="1:18" x14ac:dyDescent="0.25">
      <c r="A5531" s="6" t="str">
        <f>HYPERLINK("proteomic_fractions_linear_files/Yang_linear_img/7242181.jpg", "7242181")</f>
        <v>7242181</v>
      </c>
      <c r="B5531" s="7"/>
      <c r="C5531" s="6" t="str">
        <f>HYPERLINK("http://www.ncbi.nlm.nih.gov/protein/7242181","Pld3")</f>
        <v>Pld3</v>
      </c>
      <c r="D5531" s="8"/>
      <c r="E5531" s="8">
        <v>54258</v>
      </c>
      <c r="F5531" s="8"/>
      <c r="G5531" s="15" t="s">
        <v>10</v>
      </c>
      <c r="H5531" s="15" t="s">
        <v>10</v>
      </c>
      <c r="I5531" s="15">
        <v>1.5388640457989604</v>
      </c>
      <c r="J5531" s="15">
        <v>1.5388640457989604</v>
      </c>
      <c r="K5531" s="15" t="s">
        <v>10</v>
      </c>
      <c r="L5531" s="15" t="s">
        <v>10</v>
      </c>
      <c r="M5531" s="15" t="s">
        <v>10</v>
      </c>
      <c r="N5531" s="15" t="s">
        <v>10</v>
      </c>
      <c r="O5531" s="15" t="s">
        <v>10</v>
      </c>
      <c r="P5531" s="15" t="s">
        <v>10</v>
      </c>
      <c r="Q5531" s="8"/>
      <c r="R5531" s="9" t="s">
        <v>5070</v>
      </c>
    </row>
    <row r="5532" spans="1:18" x14ac:dyDescent="0.25">
      <c r="A5532" s="6" t="str">
        <f>HYPERLINK("proteomic_fractions_linear_files/Yang_linear_img/256000745;256367522.jpg", "256000745;256367522")</f>
        <v>256000745;256367522</v>
      </c>
      <c r="B5532" s="8"/>
      <c r="C5532" s="6" t="str">
        <f>HYPERLINK("http://www.ncbi.nlm.nih.gov/protein/256000745;256367522","Plec")</f>
        <v>Plec</v>
      </c>
      <c r="D5532" s="8"/>
      <c r="E5532" s="8">
        <v>498976</v>
      </c>
      <c r="F5532" s="8"/>
      <c r="G5532" s="15" t="s">
        <v>10</v>
      </c>
      <c r="H5532" s="15" t="s">
        <v>10</v>
      </c>
      <c r="I5532" s="15" t="s">
        <v>10</v>
      </c>
      <c r="J5532" s="15" t="s">
        <v>10</v>
      </c>
      <c r="K5532" s="15">
        <v>0.81972656861611182</v>
      </c>
      <c r="L5532" s="15">
        <v>0.81972656861611182</v>
      </c>
      <c r="M5532" s="15" t="s">
        <v>10</v>
      </c>
      <c r="N5532" s="15" t="s">
        <v>10</v>
      </c>
      <c r="O5532" s="15" t="s">
        <v>10</v>
      </c>
      <c r="P5532" s="15" t="s">
        <v>10</v>
      </c>
      <c r="Q5532" s="8"/>
      <c r="R5532" s="9" t="s">
        <v>5071</v>
      </c>
    </row>
    <row r="5533" spans="1:18" x14ac:dyDescent="0.25">
      <c r="A5533" s="6" t="str">
        <f>HYPERLINK("proteomic_fractions_linear_files/Yang_linear_img/256367522.jpg", "256367522")</f>
        <v>256367522</v>
      </c>
      <c r="B5533" s="7"/>
      <c r="C5533" s="6" t="str">
        <f>HYPERLINK("http://www.ncbi.nlm.nih.gov/protein/256367522","Plec")</f>
        <v>Plec</v>
      </c>
      <c r="D5533" s="8"/>
      <c r="E5533" s="8">
        <v>498976</v>
      </c>
      <c r="F5533" s="8"/>
      <c r="G5533" s="15">
        <v>0.60477620167635027</v>
      </c>
      <c r="H5533" s="15">
        <v>0.60477620167635027</v>
      </c>
      <c r="I5533" s="15">
        <v>0.60477620167635027</v>
      </c>
      <c r="J5533" s="15">
        <v>0.60477620167635027</v>
      </c>
      <c r="K5533" s="15" t="s">
        <v>10</v>
      </c>
      <c r="L5533" s="15" t="s">
        <v>10</v>
      </c>
      <c r="M5533" s="15">
        <v>0.81972656861611182</v>
      </c>
      <c r="N5533" s="15">
        <v>0.81972656861611182</v>
      </c>
      <c r="O5533" s="15">
        <v>0.60477620167635027</v>
      </c>
      <c r="P5533" s="15">
        <v>0.60477620167635027</v>
      </c>
      <c r="Q5533" s="8"/>
      <c r="R5533" s="9" t="s">
        <v>5071</v>
      </c>
    </row>
    <row r="5534" spans="1:18" x14ac:dyDescent="0.25">
      <c r="A5534" s="6" t="str">
        <f>HYPERLINK("proteomic_fractions_linear_files/Yang_linear_img/254675115.jpg", "254675115")</f>
        <v>254675115</v>
      </c>
      <c r="B5534" s="7"/>
      <c r="C5534" s="6" t="str">
        <f>HYPERLINK("http://www.ncbi.nlm.nih.gov/protein/254675115","Plec")</f>
        <v>Plec</v>
      </c>
      <c r="D5534" s="8"/>
      <c r="E5534" s="8">
        <v>534059</v>
      </c>
      <c r="F5534" s="8"/>
      <c r="G5534" s="15">
        <v>0.56513731205336848</v>
      </c>
      <c r="H5534" s="15">
        <v>0.56513731205336848</v>
      </c>
      <c r="I5534" s="15">
        <v>0.56513731205336848</v>
      </c>
      <c r="J5534" s="15">
        <v>0.56513731205336848</v>
      </c>
      <c r="K5534" s="15">
        <v>0.76599917179670374</v>
      </c>
      <c r="L5534" s="15">
        <v>0.76599917179670374</v>
      </c>
      <c r="M5534" s="15">
        <v>0.76599917179670374</v>
      </c>
      <c r="N5534" s="15">
        <v>0.76599917179670374</v>
      </c>
      <c r="O5534" s="15">
        <v>0.56513731205336848</v>
      </c>
      <c r="P5534" s="15">
        <v>0.56513731205336848</v>
      </c>
      <c r="Q5534" s="8"/>
      <c r="R5534" s="9" t="s">
        <v>5072</v>
      </c>
    </row>
    <row r="5535" spans="1:18" x14ac:dyDescent="0.25">
      <c r="A5535" s="6" t="str">
        <f>HYPERLINK("proteomic_fractions_linear_files/Yang_linear_img/254675117.jpg", "254675117")</f>
        <v>254675117</v>
      </c>
      <c r="B5535" s="7"/>
      <c r="C5535" s="6" t="str">
        <f>HYPERLINK("http://www.ncbi.nlm.nih.gov/protein/254675117","Plec")</f>
        <v>Plec</v>
      </c>
      <c r="D5535" s="8"/>
      <c r="E5535" s="8">
        <v>521784</v>
      </c>
      <c r="F5535" s="8"/>
      <c r="G5535" s="15">
        <v>0.5781289743994229</v>
      </c>
      <c r="H5535" s="15">
        <v>0.5781289743994229</v>
      </c>
      <c r="I5535" s="15">
        <v>0.5781289743994229</v>
      </c>
      <c r="J5535" s="15">
        <v>0.5781289743994229</v>
      </c>
      <c r="K5535" s="15">
        <v>0.78360834815984637</v>
      </c>
      <c r="L5535" s="15">
        <v>0.78360834815984637</v>
      </c>
      <c r="M5535" s="15">
        <v>0.78360834815984637</v>
      </c>
      <c r="N5535" s="15">
        <v>0.78360834815984637</v>
      </c>
      <c r="O5535" s="15">
        <v>0.5781289743994229</v>
      </c>
      <c r="P5535" s="15">
        <v>0.5781289743994229</v>
      </c>
      <c r="Q5535" s="8"/>
      <c r="R5535" s="9" t="s">
        <v>5073</v>
      </c>
    </row>
    <row r="5536" spans="1:18" x14ac:dyDescent="0.25">
      <c r="A5536" s="6" t="str">
        <f>HYPERLINK("proteomic_fractions_linear_files/Yang_linear_img/254675119.jpg", "254675119")</f>
        <v>254675119</v>
      </c>
      <c r="B5536" s="7"/>
      <c r="C5536" s="6" t="str">
        <f>HYPERLINK("http://www.ncbi.nlm.nih.gov/protein/254675119","Plec")</f>
        <v>Plec</v>
      </c>
      <c r="D5536" s="8"/>
      <c r="E5536" s="8">
        <v>517851</v>
      </c>
      <c r="F5536" s="8"/>
      <c r="G5536" s="15">
        <v>0.58259329080405164</v>
      </c>
      <c r="H5536" s="15">
        <v>0.58259329080405164</v>
      </c>
      <c r="I5536" s="15">
        <v>0.58259329080405164</v>
      </c>
      <c r="J5536" s="15">
        <v>0.58259329080405164</v>
      </c>
      <c r="K5536" s="15">
        <v>0.78965937787536644</v>
      </c>
      <c r="L5536" s="15">
        <v>0.78965937787536644</v>
      </c>
      <c r="M5536" s="15">
        <v>0.78965937787536644</v>
      </c>
      <c r="N5536" s="15">
        <v>0.78965937787536644</v>
      </c>
      <c r="O5536" s="15">
        <v>0.58259329080405164</v>
      </c>
      <c r="P5536" s="15">
        <v>0.58259329080405164</v>
      </c>
      <c r="Q5536" s="8"/>
      <c r="R5536" s="9" t="s">
        <v>5074</v>
      </c>
    </row>
    <row r="5537" spans="1:18" x14ac:dyDescent="0.25">
      <c r="A5537" s="6" t="str">
        <f>HYPERLINK("proteomic_fractions_linear_files/Yang_linear_img/254675195.jpg", "254675195")</f>
        <v>254675195</v>
      </c>
      <c r="B5537" s="7"/>
      <c r="C5537" s="6" t="str">
        <f>HYPERLINK("http://www.ncbi.nlm.nih.gov/protein/254675195","Plec")</f>
        <v>Plec</v>
      </c>
      <c r="D5537" s="8"/>
      <c r="E5537" s="8">
        <v>519626</v>
      </c>
      <c r="F5537" s="8"/>
      <c r="G5537" s="15">
        <v>0.58035254737788222</v>
      </c>
      <c r="H5537" s="15">
        <v>0.58035254737788222</v>
      </c>
      <c r="I5537" s="15">
        <v>0.58035254737788222</v>
      </c>
      <c r="J5537" s="15">
        <v>0.58035254737788222</v>
      </c>
      <c r="K5537" s="15">
        <v>0.78662222642199964</v>
      </c>
      <c r="L5537" s="15">
        <v>0.78662222642199964</v>
      </c>
      <c r="M5537" s="15">
        <v>0.78662222642199964</v>
      </c>
      <c r="N5537" s="15">
        <v>0.78662222642199964</v>
      </c>
      <c r="O5537" s="15">
        <v>0.58035254737788222</v>
      </c>
      <c r="P5537" s="15">
        <v>0.58035254737788222</v>
      </c>
      <c r="Q5537" s="8"/>
      <c r="R5537" s="9" t="s">
        <v>5075</v>
      </c>
    </row>
    <row r="5538" spans="1:18" x14ac:dyDescent="0.25">
      <c r="A5538" s="6" t="str">
        <f>HYPERLINK("proteomic_fractions_linear_files/Yang_linear_img/254675201.jpg", "254675201")</f>
        <v>254675201</v>
      </c>
      <c r="B5538" s="7"/>
      <c r="C5538" s="6" t="str">
        <f>HYPERLINK("http://www.ncbi.nlm.nih.gov/protein/254675201","Plec")</f>
        <v>Plec</v>
      </c>
      <c r="D5538" s="8"/>
      <c r="E5538" s="8">
        <v>516310</v>
      </c>
      <c r="F5538" s="8"/>
      <c r="G5538" s="15">
        <v>0.58485140433429994</v>
      </c>
      <c r="H5538" s="15">
        <v>0.58485140433429994</v>
      </c>
      <c r="I5538" s="15">
        <v>0.58485140433429994</v>
      </c>
      <c r="J5538" s="15">
        <v>0.58485140433429994</v>
      </c>
      <c r="K5538" s="15">
        <v>0.79272007313844917</v>
      </c>
      <c r="L5538" s="15">
        <v>0.79272007313844917</v>
      </c>
      <c r="M5538" s="15">
        <v>0.79272007313844917</v>
      </c>
      <c r="N5538" s="15">
        <v>0.79272007313844917</v>
      </c>
      <c r="O5538" s="15">
        <v>0.58485140433429994</v>
      </c>
      <c r="P5538" s="15">
        <v>0.58485140433429994</v>
      </c>
      <c r="Q5538" s="8"/>
      <c r="R5538" s="9" t="s">
        <v>5076</v>
      </c>
    </row>
    <row r="5539" spans="1:18" x14ac:dyDescent="0.25">
      <c r="A5539" s="6" t="str">
        <f>HYPERLINK("proteomic_fractions_linear_files/Yang_linear_img/254675244.jpg", "254675244")</f>
        <v>254675244</v>
      </c>
      <c r="B5539" s="7"/>
      <c r="C5539" s="6" t="str">
        <f>HYPERLINK("http://www.ncbi.nlm.nih.gov/protein/254675244","Plec")</f>
        <v>Plec</v>
      </c>
      <c r="D5539" s="8"/>
      <c r="E5539" s="8">
        <v>533379</v>
      </c>
      <c r="F5539" s="8"/>
      <c r="G5539" s="15">
        <v>0.56619760719793388</v>
      </c>
      <c r="H5539" s="15">
        <v>0.56619760719793388</v>
      </c>
      <c r="I5539" s="15">
        <v>0.56619760719793388</v>
      </c>
      <c r="J5539" s="15">
        <v>0.56619760719793388</v>
      </c>
      <c r="K5539" s="15">
        <v>0.76743631846048743</v>
      </c>
      <c r="L5539" s="15">
        <v>0.76743631846048743</v>
      </c>
      <c r="M5539" s="15">
        <v>0.76743631846048743</v>
      </c>
      <c r="N5539" s="15">
        <v>0.76743631846048743</v>
      </c>
      <c r="O5539" s="15">
        <v>0.56619760719793388</v>
      </c>
      <c r="P5539" s="15">
        <v>0.56619760719793388</v>
      </c>
      <c r="Q5539" s="8"/>
      <c r="R5539" s="9" t="s">
        <v>5077</v>
      </c>
    </row>
    <row r="5540" spans="1:18" x14ac:dyDescent="0.25">
      <c r="A5540" s="6" t="str">
        <f>HYPERLINK("proteomic_fractions_linear_files/Yang_linear_img/254675251.jpg", "254675251")</f>
        <v>254675251</v>
      </c>
      <c r="B5540" s="7"/>
      <c r="C5540" s="6" t="str">
        <f>HYPERLINK("http://www.ncbi.nlm.nih.gov/protein/254675251","Plec")</f>
        <v>Plec</v>
      </c>
      <c r="D5540" s="8"/>
      <c r="E5540" s="8">
        <v>513604</v>
      </c>
      <c r="F5540" s="8"/>
      <c r="G5540" s="15">
        <v>0.58712709073248792</v>
      </c>
      <c r="H5540" s="15">
        <v>0.58712709073248792</v>
      </c>
      <c r="I5540" s="15">
        <v>0.58712709073248792</v>
      </c>
      <c r="J5540" s="15">
        <v>0.58712709073248792</v>
      </c>
      <c r="K5540" s="15">
        <v>0.79580458704171164</v>
      </c>
      <c r="L5540" s="15">
        <v>0.79580458704171164</v>
      </c>
      <c r="M5540" s="15">
        <v>0.79580458704171164</v>
      </c>
      <c r="N5540" s="15">
        <v>0.79580458704171164</v>
      </c>
      <c r="O5540" s="15">
        <v>0.58712709073248792</v>
      </c>
      <c r="P5540" s="15">
        <v>0.58712709073248792</v>
      </c>
      <c r="Q5540" s="8"/>
      <c r="R5540" s="9" t="s">
        <v>5078</v>
      </c>
    </row>
    <row r="5541" spans="1:18" x14ac:dyDescent="0.25">
      <c r="A5541" s="6" t="str">
        <f>HYPERLINK("proteomic_fractions_linear_files/Yang_linear_img/254675253.jpg", "254675253")</f>
        <v>254675253</v>
      </c>
      <c r="B5541" s="7"/>
      <c r="C5541" s="6" t="str">
        <f>HYPERLINK("http://www.ncbi.nlm.nih.gov/protein/254675253","Plec")</f>
        <v>Plec</v>
      </c>
      <c r="D5541" s="8"/>
      <c r="E5541" s="8">
        <v>517171</v>
      </c>
      <c r="F5541" s="8"/>
      <c r="G5541" s="15">
        <v>0.58372016370696089</v>
      </c>
      <c r="H5541" s="15">
        <v>0.58372016370696089</v>
      </c>
      <c r="I5541" s="15">
        <v>0.58372016370696089</v>
      </c>
      <c r="J5541" s="15">
        <v>0.58372016370696089</v>
      </c>
      <c r="K5541" s="15">
        <v>0.79118676545346189</v>
      </c>
      <c r="L5541" s="15">
        <v>0.79118676545346189</v>
      </c>
      <c r="M5541" s="15">
        <v>0.79118676545346189</v>
      </c>
      <c r="N5541" s="15">
        <v>0.79118676545346189</v>
      </c>
      <c r="O5541" s="15">
        <v>0.58372016370696089</v>
      </c>
      <c r="P5541" s="15">
        <v>0.58372016370696089</v>
      </c>
      <c r="Q5541" s="8"/>
      <c r="R5541" s="9" t="s">
        <v>5079</v>
      </c>
    </row>
    <row r="5542" spans="1:18" x14ac:dyDescent="0.25">
      <c r="A5542" s="6" t="str">
        <f>HYPERLINK("proteomic_fractions_linear_files/Yang_linear_img/254675259.jpg", "254675259")</f>
        <v>254675259</v>
      </c>
      <c r="B5542" s="7"/>
      <c r="C5542" s="6" t="str">
        <f>HYPERLINK("http://www.ncbi.nlm.nih.gov/protein/254675259","Plec")</f>
        <v>Plec</v>
      </c>
      <c r="D5542" s="8"/>
      <c r="E5542" s="8">
        <v>517969</v>
      </c>
      <c r="F5542" s="8"/>
      <c r="G5542" s="15">
        <v>0.58259329080405164</v>
      </c>
      <c r="H5542" s="15">
        <v>0.58259329080405164</v>
      </c>
      <c r="I5542" s="15">
        <v>0.58259329080405164</v>
      </c>
      <c r="J5542" s="15">
        <v>0.58259329080405164</v>
      </c>
      <c r="K5542" s="15">
        <v>0.78965937787536644</v>
      </c>
      <c r="L5542" s="15">
        <v>0.78965937787536644</v>
      </c>
      <c r="M5542" s="15">
        <v>0.78965937787536644</v>
      </c>
      <c r="N5542" s="15">
        <v>0.78965937787536644</v>
      </c>
      <c r="O5542" s="15">
        <v>0.58259329080405164</v>
      </c>
      <c r="P5542" s="15">
        <v>0.58259329080405164</v>
      </c>
      <c r="Q5542" s="8"/>
      <c r="R5542" s="9" t="s">
        <v>5080</v>
      </c>
    </row>
    <row r="5543" spans="1:18" x14ac:dyDescent="0.25">
      <c r="A5543" s="6" t="str">
        <f>HYPERLINK("proteomic_fractions_linear_files/Yang_linear_img/254675265.jpg", "254675265")</f>
        <v>254675265</v>
      </c>
      <c r="B5543" s="7"/>
      <c r="C5543" s="6" t="str">
        <f>HYPERLINK("http://www.ncbi.nlm.nih.gov/protein/254675265","Plec")</f>
        <v>Plec</v>
      </c>
      <c r="D5543" s="8"/>
      <c r="E5543" s="8">
        <v>517158</v>
      </c>
      <c r="F5543" s="8"/>
      <c r="G5543" s="15">
        <v>0.58372016370696089</v>
      </c>
      <c r="H5543" s="15">
        <v>0.58372016370696089</v>
      </c>
      <c r="I5543" s="15">
        <v>0.58372016370696089</v>
      </c>
      <c r="J5543" s="15">
        <v>0.58372016370696089</v>
      </c>
      <c r="K5543" s="15">
        <v>0.79118676545346189</v>
      </c>
      <c r="L5543" s="15">
        <v>0.79118676545346189</v>
      </c>
      <c r="M5543" s="15">
        <v>0.79118676545346189</v>
      </c>
      <c r="N5543" s="15">
        <v>0.79118676545346189</v>
      </c>
      <c r="O5543" s="15">
        <v>0.58372016370696089</v>
      </c>
      <c r="P5543" s="15">
        <v>0.58372016370696089</v>
      </c>
      <c r="Q5543" s="8"/>
      <c r="R5543" s="9" t="s">
        <v>5081</v>
      </c>
    </row>
    <row r="5544" spans="1:18" x14ac:dyDescent="0.25">
      <c r="A5544" s="6" t="str">
        <f>HYPERLINK("proteomic_fractions_linear_files/Yang_linear_img/256418964.jpg", "256418964")</f>
        <v>256418964</v>
      </c>
      <c r="B5544" s="7"/>
      <c r="C5544" s="6" t="str">
        <f>HYPERLINK("http://www.ncbi.nlm.nih.gov/protein/256418964","Plec")</f>
        <v>Plec</v>
      </c>
      <c r="D5544" s="8"/>
      <c r="E5544" s="8">
        <v>514729</v>
      </c>
      <c r="F5544" s="8"/>
      <c r="G5544" s="15">
        <v>0.58598703812912378</v>
      </c>
      <c r="H5544" s="15">
        <v>0.58598703812912378</v>
      </c>
      <c r="I5544" s="15">
        <v>0.58598703812912378</v>
      </c>
      <c r="J5544" s="15">
        <v>0.58598703812912378</v>
      </c>
      <c r="K5544" s="15">
        <v>0.79425933541638793</v>
      </c>
      <c r="L5544" s="15">
        <v>0.79425933541638793</v>
      </c>
      <c r="M5544" s="15">
        <v>0.79425933541638793</v>
      </c>
      <c r="N5544" s="15">
        <v>0.79425933541638793</v>
      </c>
      <c r="O5544" s="15">
        <v>0.58598703812912378</v>
      </c>
      <c r="P5544" s="15">
        <v>0.58598703812912378</v>
      </c>
      <c r="Q5544" s="8"/>
      <c r="R5544" s="9" t="s">
        <v>5082</v>
      </c>
    </row>
    <row r="5545" spans="1:18" x14ac:dyDescent="0.25">
      <c r="A5545" s="6" t="str">
        <f>HYPERLINK("proteomic_fractions_linear_files/Yang_linear_img/19527162.jpg", "19527162")</f>
        <v>19527162</v>
      </c>
      <c r="B5545" s="7"/>
      <c r="C5545" s="6" t="str">
        <f>HYPERLINK("http://www.ncbi.nlm.nih.gov/protein/19527162","Plekha1")</f>
        <v>Plekha1</v>
      </c>
      <c r="D5545" s="8"/>
      <c r="E5545" s="8">
        <v>39444</v>
      </c>
      <c r="F5545" s="8"/>
      <c r="G5545" s="15" t="s">
        <v>10</v>
      </c>
      <c r="H5545" s="15" t="s">
        <v>10</v>
      </c>
      <c r="I5545" s="15" t="s">
        <v>10</v>
      </c>
      <c r="J5545" s="15" t="s">
        <v>10</v>
      </c>
      <c r="K5545" s="15">
        <v>1.2382045021644936</v>
      </c>
      <c r="L5545" s="15">
        <v>1.2382045021644936</v>
      </c>
      <c r="M5545" s="15" t="s">
        <v>10</v>
      </c>
      <c r="N5545" s="15" t="s">
        <v>10</v>
      </c>
      <c r="O5545" s="15" t="s">
        <v>10</v>
      </c>
      <c r="P5545" s="15" t="s">
        <v>10</v>
      </c>
      <c r="Q5545" s="8"/>
      <c r="R5545" s="9" t="s">
        <v>5083</v>
      </c>
    </row>
    <row r="5546" spans="1:18" x14ac:dyDescent="0.25">
      <c r="A5546" s="6" t="str">
        <f>HYPERLINK("proteomic_fractions_linear_files/Yang_linear_img/13752587.jpg", "13752587")</f>
        <v>13752587</v>
      </c>
      <c r="B5546" s="7"/>
      <c r="C5546" s="6" t="str">
        <f>HYPERLINK("http://www.ncbi.nlm.nih.gov/protein/13752587","Plekha2")</f>
        <v>Plekha2</v>
      </c>
      <c r="D5546" s="8"/>
      <c r="E5546" s="8">
        <v>47249</v>
      </c>
      <c r="F5546" s="8"/>
      <c r="G5546" s="15" t="s">
        <v>10</v>
      </c>
      <c r="H5546" s="15" t="s">
        <v>10</v>
      </c>
      <c r="I5546" s="15">
        <v>1.0274462890301117</v>
      </c>
      <c r="J5546" s="15">
        <v>1.0274462890301117</v>
      </c>
      <c r="K5546" s="15">
        <v>1.0274462890301117</v>
      </c>
      <c r="L5546" s="15">
        <v>1.0274462890301117</v>
      </c>
      <c r="M5546" s="15" t="s">
        <v>10</v>
      </c>
      <c r="N5546" s="15" t="s">
        <v>10</v>
      </c>
      <c r="O5546" s="15">
        <v>0.59400449569536296</v>
      </c>
      <c r="P5546" s="15">
        <v>0.59400449569536296</v>
      </c>
      <c r="Q5546" s="8"/>
      <c r="R5546" s="9" t="s">
        <v>5084</v>
      </c>
    </row>
    <row r="5547" spans="1:18" x14ac:dyDescent="0.25">
      <c r="A5547" s="6" t="str">
        <f>HYPERLINK("proteomic_fractions_linear_files/Yang_linear_img/237681204.jpg", "237681204")</f>
        <v>237681204</v>
      </c>
      <c r="B5547" s="7"/>
      <c r="C5547" s="6" t="str">
        <f>HYPERLINK("http://www.ncbi.nlm.nih.gov/protein/237681204","Plekha6")</f>
        <v>Plekha6</v>
      </c>
      <c r="D5547" s="8"/>
      <c r="E5547" s="8">
        <v>119202</v>
      </c>
      <c r="F5547" s="8"/>
      <c r="G5547" s="15">
        <v>1.5694607700835324</v>
      </c>
      <c r="H5547" s="15">
        <v>1.5694607700835324</v>
      </c>
      <c r="I5547" s="15">
        <v>1.2895199255146372</v>
      </c>
      <c r="J5547" s="15">
        <v>1.2895199255146372</v>
      </c>
      <c r="K5547" s="15" t="s">
        <v>10</v>
      </c>
      <c r="L5547" s="15" t="s">
        <v>10</v>
      </c>
      <c r="M5547" s="15" t="s">
        <v>10</v>
      </c>
      <c r="N5547" s="15" t="s">
        <v>10</v>
      </c>
      <c r="O5547" s="15" t="s">
        <v>10</v>
      </c>
      <c r="P5547" s="15" t="s">
        <v>10</v>
      </c>
      <c r="Q5547" s="8"/>
      <c r="R5547" s="9" t="s">
        <v>5085</v>
      </c>
    </row>
    <row r="5548" spans="1:18" x14ac:dyDescent="0.25">
      <c r="A5548" s="6" t="str">
        <f>HYPERLINK("proteomic_fractions_linear_files/Yang_linear_img/33636693.jpg", "33636693")</f>
        <v>33636693</v>
      </c>
      <c r="B5548" s="7"/>
      <c r="C5548" s="6" t="str">
        <f>HYPERLINK("http://www.ncbi.nlm.nih.gov/protein/33636693","Plekha6")</f>
        <v>Plekha6</v>
      </c>
      <c r="D5548" s="8"/>
      <c r="E5548" s="8">
        <v>131297</v>
      </c>
      <c r="F5548" s="8"/>
      <c r="G5548" s="15">
        <v>1.4256933712972546</v>
      </c>
      <c r="H5548" s="15">
        <v>1.4256933712972546</v>
      </c>
      <c r="I5548" s="15">
        <v>1.1713959628720751</v>
      </c>
      <c r="J5548" s="15">
        <v>1.1713959628720751</v>
      </c>
      <c r="K5548" s="15" t="s">
        <v>10</v>
      </c>
      <c r="L5548" s="15" t="s">
        <v>10</v>
      </c>
      <c r="M5548" s="15" t="s">
        <v>10</v>
      </c>
      <c r="N5548" s="15" t="s">
        <v>10</v>
      </c>
      <c r="O5548" s="15" t="s">
        <v>10</v>
      </c>
      <c r="P5548" s="15" t="s">
        <v>10</v>
      </c>
      <c r="Q5548" s="8"/>
      <c r="R5548" s="9" t="s">
        <v>5086</v>
      </c>
    </row>
    <row r="5549" spans="1:18" x14ac:dyDescent="0.25">
      <c r="A5549" s="6" t="str">
        <f>HYPERLINK("proteomic_fractions_linear_files/Yang_linear_img/170650667.jpg", "170650667")</f>
        <v>170650667</v>
      </c>
      <c r="B5549" s="7"/>
      <c r="C5549" s="6" t="str">
        <f>HYPERLINK("http://www.ncbi.nlm.nih.gov/protein/170650667","Plekhf1")</f>
        <v>Plekhf1</v>
      </c>
      <c r="D5549" s="8"/>
      <c r="E5549" s="8">
        <v>31027</v>
      </c>
      <c r="F5549" s="8"/>
      <c r="G5549" s="15" t="s">
        <v>10</v>
      </c>
      <c r="H5549" s="15" t="s">
        <v>10</v>
      </c>
      <c r="I5549" s="15" t="s">
        <v>10</v>
      </c>
      <c r="J5549" s="15" t="s">
        <v>10</v>
      </c>
      <c r="K5549" s="15">
        <v>1.1146250493701673</v>
      </c>
      <c r="L5549" s="15">
        <v>1.1146250493701673</v>
      </c>
      <c r="M5549" s="15" t="s">
        <v>10</v>
      </c>
      <c r="N5549" s="15" t="s">
        <v>10</v>
      </c>
      <c r="O5549" s="15">
        <v>0.84355671340080651</v>
      </c>
      <c r="P5549" s="15">
        <v>0.84355671340080651</v>
      </c>
      <c r="Q5549" s="8"/>
      <c r="R5549" s="9" t="s">
        <v>5087</v>
      </c>
    </row>
    <row r="5550" spans="1:18" x14ac:dyDescent="0.25">
      <c r="A5550" s="6" t="str">
        <f>HYPERLINK("proteomic_fractions_linear_files/Yang_linear_img/29611667.jpg", "29611667")</f>
        <v>29611667</v>
      </c>
      <c r="B5550" s="7"/>
      <c r="C5550" s="6" t="str">
        <f>HYPERLINK("http://www.ncbi.nlm.nih.gov/protein/29611667","Plekhf2")</f>
        <v>Plekhf2</v>
      </c>
      <c r="D5550" s="8"/>
      <c r="E5550" s="8">
        <v>27624</v>
      </c>
      <c r="F5550" s="8"/>
      <c r="G5550" s="15" t="s">
        <v>10</v>
      </c>
      <c r="H5550" s="15" t="s">
        <v>10</v>
      </c>
      <c r="I5550" s="15" t="s">
        <v>10</v>
      </c>
      <c r="J5550" s="15" t="s">
        <v>10</v>
      </c>
      <c r="K5550" s="15">
        <v>1.2340491618026852</v>
      </c>
      <c r="L5550" s="15">
        <v>1.2340491618026852</v>
      </c>
      <c r="M5550" s="15" t="s">
        <v>10</v>
      </c>
      <c r="N5550" s="15" t="s">
        <v>10</v>
      </c>
      <c r="O5550" s="15">
        <v>0.93393778983660714</v>
      </c>
      <c r="P5550" s="15">
        <v>0.93393778983660714</v>
      </c>
      <c r="Q5550" s="8"/>
      <c r="R5550" s="9" t="s">
        <v>5088</v>
      </c>
    </row>
    <row r="5551" spans="1:18" x14ac:dyDescent="0.25">
      <c r="A5551" s="6" t="str">
        <f>HYPERLINK("proteomic_fractions_linear_files/Yang_linear_img/84794546.jpg", "84794546")</f>
        <v>84794546</v>
      </c>
      <c r="B5551" s="7"/>
      <c r="C5551" s="6" t="str">
        <f>HYPERLINK("http://www.ncbi.nlm.nih.gov/protein/84794546","Plekhg1")</f>
        <v>Plekhg1</v>
      </c>
      <c r="D5551" s="8"/>
      <c r="E5551" s="8">
        <v>155746</v>
      </c>
      <c r="F5551" s="8"/>
      <c r="G5551" s="15" t="s">
        <v>10</v>
      </c>
      <c r="H5551" s="15" t="s">
        <v>10</v>
      </c>
      <c r="I5551" s="15" t="s">
        <v>10</v>
      </c>
      <c r="J5551" s="15" t="s">
        <v>10</v>
      </c>
      <c r="K5551" s="15">
        <v>0.41957220083682262</v>
      </c>
      <c r="L5551" s="15">
        <v>0.41957220083682262</v>
      </c>
      <c r="M5551" s="15" t="s">
        <v>10</v>
      </c>
      <c r="N5551" s="15" t="s">
        <v>10</v>
      </c>
      <c r="O5551" s="15" t="s">
        <v>10</v>
      </c>
      <c r="P5551" s="15" t="s">
        <v>10</v>
      </c>
      <c r="Q5551" s="8"/>
      <c r="R5551" s="9" t="s">
        <v>5089</v>
      </c>
    </row>
    <row r="5552" spans="1:18" x14ac:dyDescent="0.25">
      <c r="A5552" s="6" t="str">
        <f>HYPERLINK("proteomic_fractions_linear_files/Yang_linear_img/167621502.jpg", "167621502")</f>
        <v>167621502</v>
      </c>
      <c r="B5552" s="7"/>
      <c r="C5552" s="6" t="str">
        <f>HYPERLINK("http://www.ncbi.nlm.nih.gov/protein/167621502","Plekhg3")</f>
        <v>Plekhg3</v>
      </c>
      <c r="D5552" s="8"/>
      <c r="E5552" s="8">
        <v>148389</v>
      </c>
      <c r="F5552" s="8"/>
      <c r="G5552" s="15" t="s">
        <v>10</v>
      </c>
      <c r="H5552" s="15" t="s">
        <v>10</v>
      </c>
      <c r="I5552" s="15">
        <v>1.5767624839719532</v>
      </c>
      <c r="J5552" s="15">
        <v>1.5767624839719532</v>
      </c>
      <c r="K5552" s="15">
        <v>1.5767624839719532</v>
      </c>
      <c r="L5552" s="15">
        <v>1.5767624839719532</v>
      </c>
      <c r="M5552" s="15" t="s">
        <v>10</v>
      </c>
      <c r="N5552" s="15" t="s">
        <v>10</v>
      </c>
      <c r="O5552" s="15">
        <v>1.5767624839719532</v>
      </c>
      <c r="P5552" s="15">
        <v>1.5767624839719532</v>
      </c>
      <c r="Q5552" s="8"/>
      <c r="R5552" s="9" t="s">
        <v>5090</v>
      </c>
    </row>
    <row r="5553" spans="1:18" x14ac:dyDescent="0.25">
      <c r="A5553" s="6" t="str">
        <f>HYPERLINK("proteomic_fractions_linear_files/Yang_linear_img/188497685.jpg", "188497685")</f>
        <v>188497685</v>
      </c>
      <c r="B5553" s="7"/>
      <c r="C5553" s="6" t="str">
        <f>HYPERLINK("http://www.ncbi.nlm.nih.gov/protein/188497685","Plekhh2")</f>
        <v>Plekhh2</v>
      </c>
      <c r="D5553" s="8"/>
      <c r="E5553" s="8">
        <v>167603</v>
      </c>
      <c r="F5553" s="8"/>
      <c r="G5553" s="15" t="s">
        <v>10</v>
      </c>
      <c r="H5553" s="15" t="s">
        <v>10</v>
      </c>
      <c r="I5553" s="15" t="s">
        <v>10</v>
      </c>
      <c r="J5553" s="15" t="s">
        <v>10</v>
      </c>
      <c r="K5553" s="15">
        <v>0.49463487186395155</v>
      </c>
      <c r="L5553" s="15">
        <v>0.49463487186395155</v>
      </c>
      <c r="M5553" s="15" t="s">
        <v>10</v>
      </c>
      <c r="N5553" s="15" t="s">
        <v>10</v>
      </c>
      <c r="O5553" s="15" t="s">
        <v>10</v>
      </c>
      <c r="P5553" s="15" t="s">
        <v>10</v>
      </c>
      <c r="Q5553" s="8"/>
      <c r="R5553" s="9" t="s">
        <v>5091</v>
      </c>
    </row>
    <row r="5554" spans="1:18" x14ac:dyDescent="0.25">
      <c r="A5554" s="6" t="str">
        <f>HYPERLINK("proteomic_fractions_linear_files/Yang_linear_img/124286797.jpg", "124286797")</f>
        <v>124286797</v>
      </c>
      <c r="B5554" s="7"/>
      <c r="C5554" s="6" t="str">
        <f>HYPERLINK("http://www.ncbi.nlm.nih.gov/protein/124286797","Plet1")</f>
        <v>Plet1</v>
      </c>
      <c r="D5554" s="8"/>
      <c r="E5554" s="8">
        <v>20060</v>
      </c>
      <c r="F5554" s="8"/>
      <c r="G5554" s="15">
        <v>11.668042381392453</v>
      </c>
      <c r="H5554" s="15">
        <v>9.3382915819970176</v>
      </c>
      <c r="I5554" s="15">
        <v>11.668042381392453</v>
      </c>
      <c r="J5554" s="15">
        <v>11.668042381392453</v>
      </c>
      <c r="K5554" s="15">
        <v>11.668042381392453</v>
      </c>
      <c r="L5554" s="15">
        <v>11.668042381392453</v>
      </c>
      <c r="M5554" s="15">
        <v>11.668042381392453</v>
      </c>
      <c r="N5554" s="15">
        <v>11.668042381392453</v>
      </c>
      <c r="O5554" s="15">
        <v>11.668042381392453</v>
      </c>
      <c r="P5554" s="15">
        <v>11.668042381392453</v>
      </c>
      <c r="Q5554" s="8"/>
      <c r="R5554" s="9" t="s">
        <v>5092</v>
      </c>
    </row>
    <row r="5555" spans="1:18" x14ac:dyDescent="0.25">
      <c r="A5555" s="6" t="str">
        <f>HYPERLINK("proteomic_fractions_linear_files/Yang_linear_img/257471003.jpg", "257471003")</f>
        <v>257471003</v>
      </c>
      <c r="B5555" s="7"/>
      <c r="C5555" s="6" t="str">
        <f>HYPERLINK("http://www.ncbi.nlm.nih.gov/protein/257471003","Plg")</f>
        <v>Plg</v>
      </c>
      <c r="D5555" s="8"/>
      <c r="E5555" s="8">
        <v>88662</v>
      </c>
      <c r="F5555" s="8"/>
      <c r="G5555" s="15" t="s">
        <v>10</v>
      </c>
      <c r="H5555" s="15" t="s">
        <v>10</v>
      </c>
      <c r="I5555" s="15" t="s">
        <v>10</v>
      </c>
      <c r="J5555" s="15" t="s">
        <v>10</v>
      </c>
      <c r="K5555" s="15" t="s">
        <v>10</v>
      </c>
      <c r="L5555" s="15" t="s">
        <v>10</v>
      </c>
      <c r="M5555" s="15">
        <v>0.49579313760635357</v>
      </c>
      <c r="N5555" s="15">
        <v>0.49579313760635357</v>
      </c>
      <c r="O5555" s="15" t="s">
        <v>10</v>
      </c>
      <c r="P5555" s="15" t="s">
        <v>10</v>
      </c>
      <c r="Q5555" s="8"/>
      <c r="R5555" s="9" t="s">
        <v>5093</v>
      </c>
    </row>
    <row r="5556" spans="1:18" x14ac:dyDescent="0.25">
      <c r="A5556" s="6" t="str">
        <f>HYPERLINK("proteomic_fractions_linear_files/Yang_linear_img/21312800.jpg", "21312800")</f>
        <v>21312800</v>
      </c>
      <c r="B5556" s="7"/>
      <c r="C5556" s="6" t="str">
        <f>HYPERLINK("http://www.ncbi.nlm.nih.gov/protein/21312800","Plgrkt")</f>
        <v>Plgrkt</v>
      </c>
      <c r="D5556" s="8"/>
      <c r="E5556" s="8">
        <v>17130</v>
      </c>
      <c r="F5556" s="8"/>
      <c r="G5556" s="15">
        <v>0.93690834018716329</v>
      </c>
      <c r="H5556" s="15">
        <v>0.93690834018716329</v>
      </c>
      <c r="I5556" s="15">
        <v>0.93690834018716329</v>
      </c>
      <c r="J5556" s="15">
        <v>0.93690834018716329</v>
      </c>
      <c r="K5556" s="15">
        <v>0.89390225257731093</v>
      </c>
      <c r="L5556" s="15">
        <v>0.89390225257731093</v>
      </c>
      <c r="M5556" s="15" t="s">
        <v>10</v>
      </c>
      <c r="N5556" s="15" t="s">
        <v>10</v>
      </c>
      <c r="O5556" s="15" t="s">
        <v>10</v>
      </c>
      <c r="P5556" s="15" t="s">
        <v>10</v>
      </c>
      <c r="Q5556" s="8"/>
      <c r="R5556" s="9" t="s">
        <v>5094</v>
      </c>
    </row>
    <row r="5557" spans="1:18" x14ac:dyDescent="0.25">
      <c r="A5557" s="6" t="str">
        <f>HYPERLINK("proteomic_fractions_linear_files/Yang_linear_img/116235489.jpg", "116235489")</f>
        <v>116235489</v>
      </c>
      <c r="B5557" s="7"/>
      <c r="C5557" s="6" t="str">
        <f>HYPERLINK("http://www.ncbi.nlm.nih.gov/protein/116235489","Plin2")</f>
        <v>Plin2</v>
      </c>
      <c r="D5557" s="8"/>
      <c r="E5557" s="8">
        <v>46515</v>
      </c>
      <c r="F5557" s="8"/>
      <c r="G5557" s="15">
        <v>1.2504937784168904</v>
      </c>
      <c r="H5557" s="15">
        <v>1.2504937784168904</v>
      </c>
      <c r="I5557" s="15">
        <v>1.0274462890301117</v>
      </c>
      <c r="J5557" s="15">
        <v>1.0274462890301117</v>
      </c>
      <c r="K5557" s="15">
        <v>1.0274462890301117</v>
      </c>
      <c r="L5557" s="15">
        <v>1.0274462890301117</v>
      </c>
      <c r="M5557" s="15">
        <v>1.0274462890301117</v>
      </c>
      <c r="N5557" s="15">
        <v>1.0274462890301117</v>
      </c>
      <c r="O5557" s="15" t="s">
        <v>10</v>
      </c>
      <c r="P5557" s="15" t="s">
        <v>10</v>
      </c>
      <c r="Q5557" s="8"/>
      <c r="R5557" s="9" t="s">
        <v>5095</v>
      </c>
    </row>
    <row r="5558" spans="1:18" x14ac:dyDescent="0.25">
      <c r="A5558" s="6" t="str">
        <f>HYPERLINK("proteomic_fractions_linear_files/Yang_linear_img/13385312.jpg", "13385312")</f>
        <v>13385312</v>
      </c>
      <c r="B5558" s="7"/>
      <c r="C5558" s="6" t="str">
        <f>HYPERLINK("http://www.ncbi.nlm.nih.gov/protein/13385312","Plin3")</f>
        <v>Plin3</v>
      </c>
      <c r="D5558" s="8"/>
      <c r="E5558" s="8">
        <v>47131</v>
      </c>
      <c r="F5558" s="8"/>
      <c r="G5558" s="15">
        <v>1.3926226240541346</v>
      </c>
      <c r="H5558" s="15">
        <v>1.3926226240541346</v>
      </c>
      <c r="I5558" s="15">
        <v>1.1302248857447037</v>
      </c>
      <c r="J5558" s="15">
        <v>1.1302248857447037</v>
      </c>
      <c r="K5558" s="15">
        <v>1.1302248857447037</v>
      </c>
      <c r="L5558" s="15">
        <v>1.1302248857447037</v>
      </c>
      <c r="M5558" s="15">
        <v>1.1302248857447037</v>
      </c>
      <c r="N5558" s="15">
        <v>1.1302248857447037</v>
      </c>
      <c r="O5558" s="15">
        <v>1.0274462890301117</v>
      </c>
      <c r="P5558" s="15">
        <v>1.0274462890301117</v>
      </c>
      <c r="Q5558" s="8"/>
      <c r="R5558" s="9" t="s">
        <v>5096</v>
      </c>
    </row>
    <row r="5559" spans="1:18" x14ac:dyDescent="0.25">
      <c r="A5559" s="6" t="str">
        <f>HYPERLINK("proteomic_fractions_linear_files/Yang_linear_img/128485538.jpg", "128485538")</f>
        <v>128485538</v>
      </c>
      <c r="B5559" s="7"/>
      <c r="C5559" s="6" t="str">
        <f>HYPERLINK("http://www.ncbi.nlm.nih.gov/protein/128485538","Plk1")</f>
        <v>Plk1</v>
      </c>
      <c r="D5559" s="8"/>
      <c r="E5559" s="8">
        <v>68170</v>
      </c>
      <c r="F5559" s="8"/>
      <c r="G5559" s="15" t="s">
        <v>10</v>
      </c>
      <c r="H5559" s="15" t="s">
        <v>10</v>
      </c>
      <c r="I5559" s="15" t="s">
        <v>10</v>
      </c>
      <c r="J5559" s="15" t="s">
        <v>10</v>
      </c>
      <c r="K5559" s="15">
        <v>1.0799435329659153</v>
      </c>
      <c r="L5559" s="15">
        <v>1.0799435329659153</v>
      </c>
      <c r="M5559" s="15" t="s">
        <v>10</v>
      </c>
      <c r="N5559" s="15" t="s">
        <v>10</v>
      </c>
      <c r="O5559" s="15" t="s">
        <v>10</v>
      </c>
      <c r="P5559" s="15" t="s">
        <v>10</v>
      </c>
      <c r="Q5559" s="8"/>
      <c r="R5559" s="9" t="s">
        <v>5097</v>
      </c>
    </row>
    <row r="5560" spans="1:18" x14ac:dyDescent="0.25">
      <c r="A5560" s="6" t="str">
        <f>HYPERLINK("proteomic_fractions_linear_files/Yang_linear_img/165932300.jpg", "165932300")</f>
        <v>165932300</v>
      </c>
      <c r="B5560" s="7"/>
      <c r="C5560" s="6" t="str">
        <f>HYPERLINK("http://www.ncbi.nlm.nih.gov/protein/165932300","Plk2")</f>
        <v>Plk2</v>
      </c>
      <c r="D5560" s="8"/>
      <c r="E5560" s="8">
        <v>77681</v>
      </c>
      <c r="F5560" s="8"/>
      <c r="G5560" s="15" t="s">
        <v>10</v>
      </c>
      <c r="H5560" s="15" t="s">
        <v>10</v>
      </c>
      <c r="I5560" s="15">
        <v>0.41133426738119983</v>
      </c>
      <c r="J5560" s="15">
        <v>0.41133426738119983</v>
      </c>
      <c r="K5560" s="15" t="s">
        <v>10</v>
      </c>
      <c r="L5560" s="15" t="s">
        <v>10</v>
      </c>
      <c r="M5560" s="15" t="s">
        <v>10</v>
      </c>
      <c r="N5560" s="15" t="s">
        <v>10</v>
      </c>
      <c r="O5560" s="15" t="s">
        <v>10</v>
      </c>
      <c r="P5560" s="15" t="s">
        <v>10</v>
      </c>
      <c r="Q5560" s="8"/>
      <c r="R5560" s="9" t="s">
        <v>5098</v>
      </c>
    </row>
    <row r="5561" spans="1:18" x14ac:dyDescent="0.25">
      <c r="A5561" s="6" t="str">
        <f>HYPERLINK("proteomic_fractions_linear_files/Yang_linear_img/6755110.jpg", "6755110")</f>
        <v>6755110</v>
      </c>
      <c r="B5561" s="7"/>
      <c r="C5561" s="6" t="str">
        <f>HYPERLINK("http://www.ncbi.nlm.nih.gov/protein/6755110","Plod3")</f>
        <v>Plod3</v>
      </c>
      <c r="D5561" s="8"/>
      <c r="E5561" s="8">
        <v>82163</v>
      </c>
      <c r="F5561" s="8"/>
      <c r="G5561" s="15" t="s">
        <v>10</v>
      </c>
      <c r="H5561" s="15" t="s">
        <v>10</v>
      </c>
      <c r="I5561" s="15">
        <v>1.1581461119827379</v>
      </c>
      <c r="J5561" s="15">
        <v>1.1581461119827379</v>
      </c>
      <c r="K5561" s="15">
        <v>1.1581461119827379</v>
      </c>
      <c r="L5561" s="15">
        <v>1.1581461119827379</v>
      </c>
      <c r="M5561" s="15" t="s">
        <v>10</v>
      </c>
      <c r="N5561" s="15" t="s">
        <v>10</v>
      </c>
      <c r="O5561" s="15" t="s">
        <v>10</v>
      </c>
      <c r="P5561" s="15" t="s">
        <v>10</v>
      </c>
      <c r="Q5561" s="8"/>
      <c r="R5561" s="9" t="s">
        <v>5099</v>
      </c>
    </row>
    <row r="5562" spans="1:18" x14ac:dyDescent="0.25">
      <c r="A5562" s="6" t="str">
        <f>HYPERLINK("proteomic_fractions_linear_files/Yang_linear_img/9790169.jpg", "9790169")</f>
        <v>9790169</v>
      </c>
      <c r="B5562" s="7"/>
      <c r="C5562" s="6" t="str">
        <f>HYPERLINK("http://www.ncbi.nlm.nih.gov/protein/9790169","Plp2")</f>
        <v>Plp2</v>
      </c>
      <c r="D5562" s="8"/>
      <c r="E5562" s="8">
        <v>16476</v>
      </c>
      <c r="F5562" s="8"/>
      <c r="G5562" s="15">
        <v>1.4443483359198404</v>
      </c>
      <c r="H5562" s="15">
        <v>1.4443483359198404</v>
      </c>
      <c r="I5562" s="15">
        <v>0.99546511144886096</v>
      </c>
      <c r="J5562" s="15">
        <v>1.0447796575379389</v>
      </c>
      <c r="K5562" s="15">
        <v>1.0981212353349354</v>
      </c>
      <c r="L5562" s="15">
        <v>1.0981212353349354</v>
      </c>
      <c r="M5562" s="15">
        <v>1.0447796575379389</v>
      </c>
      <c r="N5562" s="15">
        <v>1.0447796575379389</v>
      </c>
      <c r="O5562" s="15" t="s">
        <v>10</v>
      </c>
      <c r="P5562" s="15" t="s">
        <v>10</v>
      </c>
      <c r="Q5562" s="8"/>
      <c r="R5562" s="9" t="s">
        <v>5100</v>
      </c>
    </row>
    <row r="5563" spans="1:18" x14ac:dyDescent="0.25">
      <c r="A5563" s="6" t="str">
        <f>HYPERLINK("proteomic_fractions_linear_files/Yang_linear_img/31980791.jpg", "31980791")</f>
        <v>31980791</v>
      </c>
      <c r="B5563" s="7"/>
      <c r="C5563" s="6" t="str">
        <f>HYPERLINK("http://www.ncbi.nlm.nih.gov/protein/31980791","Plrg1")</f>
        <v>Plrg1</v>
      </c>
      <c r="D5563" s="8"/>
      <c r="E5563" s="8">
        <v>56807</v>
      </c>
      <c r="F5563" s="8"/>
      <c r="G5563" s="15">
        <v>1.1483028654481462</v>
      </c>
      <c r="H5563" s="15">
        <v>1.1483028654481462</v>
      </c>
      <c r="I5563" s="15">
        <v>1.0311089050104185</v>
      </c>
      <c r="J5563" s="15">
        <v>1.0311089050104185</v>
      </c>
      <c r="K5563" s="15">
        <v>1.0311089050104185</v>
      </c>
      <c r="L5563" s="15">
        <v>1.0311089050104185</v>
      </c>
      <c r="M5563" s="15">
        <v>0.65511098987937877</v>
      </c>
      <c r="N5563" s="15">
        <v>0.65511098987937877</v>
      </c>
      <c r="O5563" s="15" t="s">
        <v>10</v>
      </c>
      <c r="P5563" s="15" t="s">
        <v>10</v>
      </c>
      <c r="Q5563" s="8"/>
      <c r="R5563" s="9" t="s">
        <v>5101</v>
      </c>
    </row>
    <row r="5564" spans="1:18" x14ac:dyDescent="0.25">
      <c r="A5564" s="6" t="str">
        <f>HYPERLINK("proteomic_fractions_linear_files/Yang_linear_img/85986577.jpg", "85986577")</f>
        <v>85986577</v>
      </c>
      <c r="B5564" s="7"/>
      <c r="C5564" s="6" t="str">
        <f>HYPERLINK("http://www.ncbi.nlm.nih.gov/protein/85986577","Pls1")</f>
        <v>Pls1</v>
      </c>
      <c r="D5564" s="8"/>
      <c r="E5564" s="8">
        <v>70277</v>
      </c>
      <c r="F5564" s="8"/>
      <c r="G5564" s="15" t="s">
        <v>10</v>
      </c>
      <c r="H5564" s="15" t="s">
        <v>10</v>
      </c>
      <c r="I5564" s="15">
        <v>1.0490880034526036</v>
      </c>
      <c r="J5564" s="15">
        <v>1.0490880034526036</v>
      </c>
      <c r="K5564" s="15">
        <v>1.0490880034526036</v>
      </c>
      <c r="L5564" s="15">
        <v>1.0490880034526036</v>
      </c>
      <c r="M5564" s="15">
        <v>1.0490880034526036</v>
      </c>
      <c r="N5564" s="15">
        <v>1.0490880034526036</v>
      </c>
      <c r="O5564" s="15">
        <v>0.93504661900777619</v>
      </c>
      <c r="P5564" s="15">
        <v>0.93504661900777619</v>
      </c>
      <c r="Q5564" s="8"/>
      <c r="R5564" s="9" t="s">
        <v>5102</v>
      </c>
    </row>
    <row r="5565" spans="1:18" x14ac:dyDescent="0.25">
      <c r="A5565" s="6" t="str">
        <f>HYPERLINK("proteomic_fractions_linear_files/Yang_linear_img/262050551.jpg", "262050551")</f>
        <v>262050551</v>
      </c>
      <c r="B5565" s="7"/>
      <c r="C5565" s="6" t="str">
        <f>HYPERLINK("http://www.ncbi.nlm.nih.gov/protein/262050551","Pls3")</f>
        <v>Pls3</v>
      </c>
      <c r="D5565" s="8"/>
      <c r="E5565" s="8">
        <v>70611</v>
      </c>
      <c r="F5565" s="8"/>
      <c r="G5565" s="15">
        <v>0.92187694831752576</v>
      </c>
      <c r="H5565" s="15">
        <v>0.92187694831752576</v>
      </c>
      <c r="I5565" s="15" t="s">
        <v>10</v>
      </c>
      <c r="J5565" s="15" t="s">
        <v>10</v>
      </c>
      <c r="K5565" s="15" t="s">
        <v>10</v>
      </c>
      <c r="L5565" s="15" t="s">
        <v>10</v>
      </c>
      <c r="M5565" s="15" t="s">
        <v>10</v>
      </c>
      <c r="N5565" s="15" t="s">
        <v>10</v>
      </c>
      <c r="O5565" s="15" t="s">
        <v>10</v>
      </c>
      <c r="P5565" s="15" t="s">
        <v>10</v>
      </c>
      <c r="Q5565" s="8"/>
      <c r="R5565" s="9" t="s">
        <v>5103</v>
      </c>
    </row>
    <row r="5566" spans="1:18" x14ac:dyDescent="0.25">
      <c r="A5566" s="6" t="str">
        <f>HYPERLINK("proteomic_fractions_linear_files/Yang_linear_img/262050551;262050553.jpg", "262050551;262050553")</f>
        <v>262050551;262050553</v>
      </c>
      <c r="B5566" s="8"/>
      <c r="C5566" s="6" t="str">
        <f>HYPERLINK("http://www.ncbi.nlm.nih.gov/protein/262050551;262050553","Pls3")</f>
        <v>Pls3</v>
      </c>
      <c r="D5566" s="8"/>
      <c r="E5566" s="8">
        <v>70611</v>
      </c>
      <c r="F5566" s="8"/>
      <c r="G5566" s="15" t="s">
        <v>10</v>
      </c>
      <c r="H5566" s="15" t="s">
        <v>10</v>
      </c>
      <c r="I5566" s="15" t="s">
        <v>10</v>
      </c>
      <c r="J5566" s="15" t="s">
        <v>10</v>
      </c>
      <c r="K5566" s="15">
        <v>1.0343121160800317</v>
      </c>
      <c r="L5566" s="15">
        <v>1.0343121160800317</v>
      </c>
      <c r="M5566" s="15" t="s">
        <v>10</v>
      </c>
      <c r="N5566" s="15" t="s">
        <v>10</v>
      </c>
      <c r="O5566" s="15" t="s">
        <v>10</v>
      </c>
      <c r="P5566" s="15" t="s">
        <v>10</v>
      </c>
      <c r="Q5566" s="8"/>
      <c r="R5566" s="9" t="s">
        <v>5103</v>
      </c>
    </row>
    <row r="5567" spans="1:18" x14ac:dyDescent="0.25">
      <c r="A5567" s="6" t="str">
        <f>HYPERLINK("proteomic_fractions_linear_files/Yang_linear_img/262050553;262050551.jpg", "262050553;262050551")</f>
        <v>262050553;262050551</v>
      </c>
      <c r="B5567" s="8"/>
      <c r="C5567" s="6" t="str">
        <f>HYPERLINK("http://www.ncbi.nlm.nih.gov/protein/262050553;262050551","Pls3")</f>
        <v>Pls3</v>
      </c>
      <c r="D5567" s="8"/>
      <c r="E5567" s="8">
        <v>70611</v>
      </c>
      <c r="F5567" s="8"/>
      <c r="G5567" s="15" t="s">
        <v>10</v>
      </c>
      <c r="H5567" s="15" t="s">
        <v>10</v>
      </c>
      <c r="I5567" s="15">
        <v>1.0343121160800317</v>
      </c>
      <c r="J5567" s="15">
        <v>1.0343121160800317</v>
      </c>
      <c r="K5567" s="15" t="s">
        <v>10</v>
      </c>
      <c r="L5567" s="15" t="s">
        <v>10</v>
      </c>
      <c r="M5567" s="15">
        <v>1.0343121160800317</v>
      </c>
      <c r="N5567" s="15">
        <v>1.0343121160800317</v>
      </c>
      <c r="O5567" s="15">
        <v>0.92187694831752576</v>
      </c>
      <c r="P5567" s="15">
        <v>0.92187694831752576</v>
      </c>
      <c r="Q5567" s="8"/>
      <c r="R5567" s="9" t="s">
        <v>5103</v>
      </c>
    </row>
    <row r="5568" spans="1:18" x14ac:dyDescent="0.25">
      <c r="A5568" s="6" t="str">
        <f>HYPERLINK("proteomic_fractions_linear_files/Yang_linear_img/194328695.jpg", "194328695")</f>
        <v>194328695</v>
      </c>
      <c r="B5568" s="7"/>
      <c r="C5568" s="6" t="str">
        <f>HYPERLINK("http://www.ncbi.nlm.nih.gov/protein/194328695","Plscr1")</f>
        <v>Plscr1</v>
      </c>
      <c r="D5568" s="8"/>
      <c r="E5568" s="8">
        <v>35783</v>
      </c>
      <c r="F5568" s="8"/>
      <c r="G5568" s="15" t="s">
        <v>10</v>
      </c>
      <c r="H5568" s="15" t="s">
        <v>10</v>
      </c>
      <c r="I5568" s="15">
        <v>0.89122424599259964</v>
      </c>
      <c r="J5568" s="15">
        <v>0.89122424599259964</v>
      </c>
      <c r="K5568" s="15">
        <v>0.95981601473542177</v>
      </c>
      <c r="L5568" s="15">
        <v>0.95981601473542177</v>
      </c>
      <c r="M5568" s="15" t="s">
        <v>10</v>
      </c>
      <c r="N5568" s="15" t="s">
        <v>10</v>
      </c>
      <c r="O5568" s="15" t="s">
        <v>10</v>
      </c>
      <c r="P5568" s="15" t="s">
        <v>10</v>
      </c>
      <c r="Q5568" s="8"/>
      <c r="R5568" s="9" t="s">
        <v>5104</v>
      </c>
    </row>
    <row r="5569" spans="1:18" x14ac:dyDescent="0.25">
      <c r="A5569" s="6" t="str">
        <f>HYPERLINK("proteomic_fractions_linear_files/Yang_linear_img/12963735.jpg", "12963735")</f>
        <v>12963735</v>
      </c>
      <c r="B5569" s="7"/>
      <c r="C5569" s="6" t="str">
        <f>HYPERLINK("http://www.ncbi.nlm.nih.gov/protein/12963735","Plscr3")</f>
        <v>Plscr3</v>
      </c>
      <c r="D5569" s="8"/>
      <c r="E5569" s="8">
        <v>31672</v>
      </c>
      <c r="F5569" s="8"/>
      <c r="G5569" s="15">
        <v>0.87244410305256437</v>
      </c>
      <c r="H5569" s="15">
        <v>0.87244410305256437</v>
      </c>
      <c r="I5569" s="15">
        <v>0.93391896536603536</v>
      </c>
      <c r="J5569" s="15">
        <v>0.93391896536603536</v>
      </c>
      <c r="K5569" s="15">
        <v>1.0026272767416746</v>
      </c>
      <c r="L5569" s="15">
        <v>1.0026272767416746</v>
      </c>
      <c r="M5569" s="15">
        <v>0.93391896536603536</v>
      </c>
      <c r="N5569" s="15">
        <v>0.93391896536603536</v>
      </c>
      <c r="O5569" s="15" t="s">
        <v>10</v>
      </c>
      <c r="P5569" s="15" t="s">
        <v>10</v>
      </c>
      <c r="Q5569" s="8"/>
      <c r="R5569" s="9" t="s">
        <v>5105</v>
      </c>
    </row>
    <row r="5570" spans="1:18" x14ac:dyDescent="0.25">
      <c r="A5570" s="6" t="str">
        <f>HYPERLINK("proteomic_fractions_linear_files/Yang_linear_img/255522953.jpg", "255522953")</f>
        <v>255522953</v>
      </c>
      <c r="B5570" s="7"/>
      <c r="C5570" s="6" t="str">
        <f>HYPERLINK("http://www.ncbi.nlm.nih.gov/protein/255522953","Plvap")</f>
        <v>Plvap</v>
      </c>
      <c r="D5570" s="8"/>
      <c r="E5570" s="8">
        <v>49772</v>
      </c>
      <c r="F5570" s="8"/>
      <c r="G5570" s="15" t="s">
        <v>10</v>
      </c>
      <c r="H5570" s="15" t="s">
        <v>10</v>
      </c>
      <c r="I5570" s="15" t="s">
        <v>10</v>
      </c>
      <c r="J5570" s="15" t="s">
        <v>10</v>
      </c>
      <c r="K5570" s="15">
        <v>1.6619731694628772</v>
      </c>
      <c r="L5570" s="15">
        <v>1.6619731694628772</v>
      </c>
      <c r="M5570" s="15" t="s">
        <v>10</v>
      </c>
      <c r="N5570" s="15" t="s">
        <v>10</v>
      </c>
      <c r="O5570" s="15" t="s">
        <v>10</v>
      </c>
      <c r="P5570" s="15" t="s">
        <v>10</v>
      </c>
      <c r="Q5570" s="8"/>
      <c r="R5570" s="9" t="s">
        <v>5106</v>
      </c>
    </row>
    <row r="5571" spans="1:18" x14ac:dyDescent="0.25">
      <c r="A5571" s="6" t="str">
        <f>HYPERLINK("proteomic_fractions_linear_files/Yang_linear_img/6679389.jpg", "6679389")</f>
        <v>6679389</v>
      </c>
      <c r="B5571" s="7"/>
      <c r="C5571" s="6" t="str">
        <f>HYPERLINK("http://www.ncbi.nlm.nih.gov/protein/6679389","Plxna1")</f>
        <v>Plxna1</v>
      </c>
      <c r="D5571" s="8"/>
      <c r="E5571" s="8">
        <v>208119</v>
      </c>
      <c r="F5571" s="8"/>
      <c r="G5571" s="15" t="s">
        <v>10</v>
      </c>
      <c r="H5571" s="15" t="s">
        <v>10</v>
      </c>
      <c r="I5571" s="15">
        <v>1.1219271520569667</v>
      </c>
      <c r="J5571" s="15">
        <v>1.1219271520569667</v>
      </c>
      <c r="K5571" s="15">
        <v>1.4508813684447057</v>
      </c>
      <c r="L5571" s="15">
        <v>1.4508813684447057</v>
      </c>
      <c r="M5571" s="15" t="s">
        <v>10</v>
      </c>
      <c r="N5571" s="15" t="s">
        <v>10</v>
      </c>
      <c r="O5571" s="15" t="s">
        <v>10</v>
      </c>
      <c r="P5571" s="15" t="s">
        <v>10</v>
      </c>
      <c r="Q5571" s="8"/>
      <c r="R5571" s="9" t="s">
        <v>5107</v>
      </c>
    </row>
    <row r="5572" spans="1:18" x14ac:dyDescent="0.25">
      <c r="A5572" s="6" t="str">
        <f>HYPERLINK("proteomic_fractions_linear_files/Yang_linear_img/113722113.jpg", "113722113")</f>
        <v>113722113</v>
      </c>
      <c r="B5572" s="7"/>
      <c r="C5572" s="6" t="str">
        <f>HYPERLINK("http://www.ncbi.nlm.nih.gov/protein/113722113","Plxna2")</f>
        <v>Plxna2</v>
      </c>
      <c r="D5572" s="8"/>
      <c r="E5572" s="8">
        <v>207673</v>
      </c>
      <c r="F5572" s="8"/>
      <c r="G5572" s="15" t="s">
        <v>10</v>
      </c>
      <c r="H5572" s="15" t="s">
        <v>10</v>
      </c>
      <c r="I5572" s="15">
        <v>0.16612200255036147</v>
      </c>
      <c r="J5572" s="15">
        <v>0.16612200255036147</v>
      </c>
      <c r="K5572" s="15">
        <v>0.17952560780348362</v>
      </c>
      <c r="L5572" s="15">
        <v>0.17952560780348362</v>
      </c>
      <c r="M5572" s="15">
        <v>0.17952560780348362</v>
      </c>
      <c r="N5572" s="15">
        <v>0.17952560780348362</v>
      </c>
      <c r="O5572" s="15">
        <v>0.15425035026794995</v>
      </c>
      <c r="P5572" s="15">
        <v>0.15425035026794995</v>
      </c>
      <c r="Q5572" s="8"/>
      <c r="R5572" s="9" t="s">
        <v>5108</v>
      </c>
    </row>
    <row r="5573" spans="1:18" x14ac:dyDescent="0.25">
      <c r="A5573" s="6" t="str">
        <f>HYPERLINK("proteomic_fractions_linear_files/Yang_linear_img/124286839.jpg", "124286839")</f>
        <v>124286839</v>
      </c>
      <c r="B5573" s="7"/>
      <c r="C5573" s="6" t="str">
        <f>HYPERLINK("http://www.ncbi.nlm.nih.gov/protein/124286839","Plxna3")</f>
        <v>Plxna3</v>
      </c>
      <c r="D5573" s="8"/>
      <c r="E5573" s="8">
        <v>205982</v>
      </c>
      <c r="F5573" s="8"/>
      <c r="G5573" s="15" t="s">
        <v>10</v>
      </c>
      <c r="H5573" s="15" t="s">
        <v>10</v>
      </c>
      <c r="I5573" s="15" t="s">
        <v>10</v>
      </c>
      <c r="J5573" s="15" t="s">
        <v>10</v>
      </c>
      <c r="K5573" s="15">
        <v>1.4649675953228096</v>
      </c>
      <c r="L5573" s="15">
        <v>1.4649675953228096</v>
      </c>
      <c r="M5573" s="15" t="s">
        <v>10</v>
      </c>
      <c r="N5573" s="15" t="s">
        <v>10</v>
      </c>
      <c r="O5573" s="15" t="s">
        <v>10</v>
      </c>
      <c r="P5573" s="15" t="s">
        <v>10</v>
      </c>
      <c r="Q5573" s="8"/>
      <c r="R5573" s="9" t="s">
        <v>5109</v>
      </c>
    </row>
    <row r="5574" spans="1:18" x14ac:dyDescent="0.25">
      <c r="A5574" s="6" t="str">
        <f>HYPERLINK("proteomic_fractions_linear_files/Yang_linear_img/171543899.jpg", "171543899")</f>
        <v>171543899</v>
      </c>
      <c r="B5574" s="7"/>
      <c r="C5574" s="6" t="str">
        <f>HYPERLINK("http://www.ncbi.nlm.nih.gov/protein/171543899","Plxna4")</f>
        <v>Plxna4</v>
      </c>
      <c r="D5574" s="8"/>
      <c r="E5574" s="8">
        <v>210017</v>
      </c>
      <c r="F5574" s="8"/>
      <c r="G5574" s="15" t="s">
        <v>10</v>
      </c>
      <c r="H5574" s="15" t="s">
        <v>10</v>
      </c>
      <c r="I5574" s="15" t="s">
        <v>10</v>
      </c>
      <c r="J5574" s="15" t="s">
        <v>10</v>
      </c>
      <c r="K5574" s="15">
        <v>1.4370634506499942</v>
      </c>
      <c r="L5574" s="15">
        <v>1.4370634506499942</v>
      </c>
      <c r="M5574" s="15" t="s">
        <v>10</v>
      </c>
      <c r="N5574" s="15" t="s">
        <v>10</v>
      </c>
      <c r="O5574" s="15" t="s">
        <v>10</v>
      </c>
      <c r="P5574" s="15" t="s">
        <v>10</v>
      </c>
      <c r="Q5574" s="8"/>
      <c r="R5574" s="9" t="s">
        <v>5110</v>
      </c>
    </row>
    <row r="5575" spans="1:18" x14ac:dyDescent="0.25">
      <c r="A5575" s="6" t="str">
        <f>HYPERLINK("proteomic_fractions_linear_files/Yang_linear_img/225690610.jpg", "225690610")</f>
        <v>225690610</v>
      </c>
      <c r="B5575" s="7"/>
      <c r="C5575" s="6" t="str">
        <f>HYPERLINK("http://www.ncbi.nlm.nih.gov/protein/225690610","Plxnb1")</f>
        <v>Plxnb1</v>
      </c>
      <c r="D5575" s="8"/>
      <c r="E5575" s="8">
        <v>229376</v>
      </c>
      <c r="F5575" s="8"/>
      <c r="G5575" s="15" t="s">
        <v>10</v>
      </c>
      <c r="H5575" s="15" t="s">
        <v>10</v>
      </c>
      <c r="I5575" s="15">
        <v>0.32068192245276089</v>
      </c>
      <c r="J5575" s="15">
        <v>0.32068192245276089</v>
      </c>
      <c r="K5575" s="15">
        <v>0.32068192245276089</v>
      </c>
      <c r="L5575" s="15">
        <v>0.32068192245276089</v>
      </c>
      <c r="M5575" s="15" t="s">
        <v>10</v>
      </c>
      <c r="N5575" s="15" t="s">
        <v>10</v>
      </c>
      <c r="O5575" s="15" t="s">
        <v>10</v>
      </c>
      <c r="P5575" s="15" t="s">
        <v>10</v>
      </c>
      <c r="Q5575" s="8"/>
      <c r="R5575" s="9" t="s">
        <v>5111</v>
      </c>
    </row>
    <row r="5576" spans="1:18" x14ac:dyDescent="0.25">
      <c r="A5576" s="6" t="str">
        <f>HYPERLINK("proteomic_fractions_linear_files/Yang_linear_img/226958474.jpg", "226958474")</f>
        <v>226958474</v>
      </c>
      <c r="B5576" s="7"/>
      <c r="C5576" s="6" t="str">
        <f>HYPERLINK("http://www.ncbi.nlm.nih.gov/protein/226958474","Plxnb2")</f>
        <v>Plxnb2</v>
      </c>
      <c r="D5576" s="8"/>
      <c r="E5576" s="8">
        <v>204275</v>
      </c>
      <c r="F5576" s="8"/>
      <c r="G5576" s="15">
        <v>0.46552931952247306</v>
      </c>
      <c r="H5576" s="15">
        <v>0.46552931952247306</v>
      </c>
      <c r="I5576" s="15">
        <v>0.75221995655020513</v>
      </c>
      <c r="J5576" s="15">
        <v>0.75221995655020513</v>
      </c>
      <c r="K5576" s="15">
        <v>0.91551878254872721</v>
      </c>
      <c r="L5576" s="15">
        <v>0.91551878254872721</v>
      </c>
      <c r="M5576" s="15">
        <v>0.91551878254872721</v>
      </c>
      <c r="N5576" s="15">
        <v>0.91551878254872721</v>
      </c>
      <c r="O5576" s="15" t="s">
        <v>10</v>
      </c>
      <c r="P5576" s="15" t="s">
        <v>10</v>
      </c>
      <c r="Q5576" s="8"/>
      <c r="R5576" s="9" t="s">
        <v>5112</v>
      </c>
    </row>
    <row r="5577" spans="1:18" x14ac:dyDescent="0.25">
      <c r="A5577" s="6" t="str">
        <f>HYPERLINK("proteomic_fractions_linear_files/Yang_linear_img/13385420.jpg", "13385420")</f>
        <v>13385420</v>
      </c>
      <c r="B5577" s="7"/>
      <c r="C5577" s="6" t="str">
        <f>HYPERLINK("http://www.ncbi.nlm.nih.gov/protein/13385420","Pmf1")</f>
        <v>Pmf1</v>
      </c>
      <c r="D5577" s="8"/>
      <c r="E5577" s="8">
        <v>22990</v>
      </c>
      <c r="F5577" s="8"/>
      <c r="G5577" s="15" t="s">
        <v>10</v>
      </c>
      <c r="H5577" s="15" t="s">
        <v>10</v>
      </c>
      <c r="I5577" s="15" t="s">
        <v>10</v>
      </c>
      <c r="J5577" s="15" t="s">
        <v>10</v>
      </c>
      <c r="K5577" s="15" t="s">
        <v>10</v>
      </c>
      <c r="L5577" s="15" t="s">
        <v>10</v>
      </c>
      <c r="M5577" s="15" t="s">
        <v>10</v>
      </c>
      <c r="N5577" s="15" t="s">
        <v>10</v>
      </c>
      <c r="O5577" s="15">
        <v>0.94764096829038047</v>
      </c>
      <c r="P5577" s="15">
        <v>0.94764096829038047</v>
      </c>
      <c r="Q5577" s="8"/>
      <c r="R5577" s="9" t="s">
        <v>5113</v>
      </c>
    </row>
    <row r="5578" spans="1:18" x14ac:dyDescent="0.25">
      <c r="A5578" s="6" t="str">
        <f>HYPERLINK("proteomic_fractions_linear_files/Yang_linear_img/9910570.jpg", "9910570")</f>
        <v>9910570</v>
      </c>
      <c r="B5578" s="7"/>
      <c r="C5578" s="6" t="str">
        <f>HYPERLINK("http://www.ncbi.nlm.nih.gov/protein/9910570","Pmfbp1")</f>
        <v>Pmfbp1</v>
      </c>
      <c r="D5578" s="8"/>
      <c r="E5578" s="8">
        <v>119270</v>
      </c>
      <c r="F5578" s="8"/>
      <c r="G5578" s="15" t="s">
        <v>10</v>
      </c>
      <c r="H5578" s="15" t="s">
        <v>10</v>
      </c>
      <c r="I5578" s="15" t="s">
        <v>10</v>
      </c>
      <c r="J5578" s="15" t="s">
        <v>10</v>
      </c>
      <c r="K5578" s="15" t="s">
        <v>10</v>
      </c>
      <c r="L5578" s="15" t="s">
        <v>10</v>
      </c>
      <c r="M5578" s="15" t="s">
        <v>10</v>
      </c>
      <c r="N5578" s="15" t="s">
        <v>10</v>
      </c>
      <c r="O5578" s="15">
        <v>0.21975006819684875</v>
      </c>
      <c r="P5578" s="15">
        <v>0.21975006819684875</v>
      </c>
      <c r="Q5578" s="8"/>
      <c r="R5578" s="9" t="s">
        <v>5114</v>
      </c>
    </row>
    <row r="5579" spans="1:18" x14ac:dyDescent="0.25">
      <c r="A5579" s="6" t="str">
        <f>HYPERLINK("proteomic_fractions_linear_files/Yang_linear_img/160333282.jpg", "160333282")</f>
        <v>160333282</v>
      </c>
      <c r="B5579" s="7"/>
      <c r="C5579" s="6" t="str">
        <f>HYPERLINK("http://www.ncbi.nlm.nih.gov/protein/160333282","Pml")</f>
        <v>Pml</v>
      </c>
      <c r="D5579" s="8"/>
      <c r="E5579" s="8">
        <v>98111</v>
      </c>
      <c r="F5579" s="8"/>
      <c r="G5579" s="15">
        <v>1.5658456238392024</v>
      </c>
      <c r="H5579" s="15">
        <v>1.5658456238392024</v>
      </c>
      <c r="I5579" s="15" t="s">
        <v>10</v>
      </c>
      <c r="J5579" s="15" t="s">
        <v>10</v>
      </c>
      <c r="K5579" s="15" t="s">
        <v>10</v>
      </c>
      <c r="L5579" s="15" t="s">
        <v>10</v>
      </c>
      <c r="M5579" s="15" t="s">
        <v>10</v>
      </c>
      <c r="N5579" s="15" t="s">
        <v>10</v>
      </c>
      <c r="O5579" s="15">
        <v>1.3134860014807854</v>
      </c>
      <c r="P5579" s="15">
        <v>1.3134860014807854</v>
      </c>
      <c r="Q5579" s="8"/>
      <c r="R5579" s="9" t="s">
        <v>5115</v>
      </c>
    </row>
    <row r="5580" spans="1:18" x14ac:dyDescent="0.25">
      <c r="A5580" s="6" t="str">
        <f>HYPERLINK("proteomic_fractions_linear_files/Yang_linear_img/160333286.jpg", "160333286")</f>
        <v>160333286</v>
      </c>
      <c r="B5580" s="7"/>
      <c r="C5580" s="6" t="str">
        <f>HYPERLINK("http://www.ncbi.nlm.nih.gov/protein/160333286","Pml")</f>
        <v>Pml</v>
      </c>
      <c r="D5580" s="8"/>
      <c r="E5580" s="8">
        <v>93133</v>
      </c>
      <c r="F5580" s="8"/>
      <c r="G5580" s="15">
        <v>1.650030872432708</v>
      </c>
      <c r="H5580" s="15">
        <v>1.650030872432708</v>
      </c>
      <c r="I5580" s="15" t="s">
        <v>10</v>
      </c>
      <c r="J5580" s="15" t="s">
        <v>10</v>
      </c>
      <c r="K5580" s="15" t="s">
        <v>10</v>
      </c>
      <c r="L5580" s="15" t="s">
        <v>10</v>
      </c>
      <c r="M5580" s="15" t="s">
        <v>10</v>
      </c>
      <c r="N5580" s="15" t="s">
        <v>10</v>
      </c>
      <c r="O5580" s="15">
        <v>1.3841035284421179</v>
      </c>
      <c r="P5580" s="15">
        <v>1.3841035284421179</v>
      </c>
      <c r="Q5580" s="8"/>
      <c r="R5580" s="9" t="s">
        <v>5116</v>
      </c>
    </row>
    <row r="5581" spans="1:18" x14ac:dyDescent="0.25">
      <c r="A5581" s="6" t="str">
        <f>HYPERLINK("proteomic_fractions_linear_files/Yang_linear_img/33468959.jpg", "33468959")</f>
        <v>33468959</v>
      </c>
      <c r="B5581" s="7"/>
      <c r="C5581" s="6" t="str">
        <f>HYPERLINK("http://www.ncbi.nlm.nih.gov/protein/33468959","Pmm1")</f>
        <v>Pmm1</v>
      </c>
      <c r="D5581" s="8"/>
      <c r="E5581" s="8">
        <v>29644</v>
      </c>
      <c r="F5581" s="8"/>
      <c r="G5581" s="15" t="s">
        <v>10</v>
      </c>
      <c r="H5581" s="15" t="s">
        <v>10</v>
      </c>
      <c r="I5581" s="15" t="s">
        <v>10</v>
      </c>
      <c r="J5581" s="15" t="s">
        <v>10</v>
      </c>
      <c r="K5581" s="15" t="s">
        <v>10</v>
      </c>
      <c r="L5581" s="15" t="s">
        <v>10</v>
      </c>
      <c r="M5581" s="15" t="s">
        <v>10</v>
      </c>
      <c r="N5581" s="15" t="s">
        <v>10</v>
      </c>
      <c r="O5581" s="15">
        <v>0.72652474235595832</v>
      </c>
      <c r="P5581" s="15">
        <v>0.72652474235595832</v>
      </c>
      <c r="Q5581" s="8"/>
      <c r="R5581" s="9" t="s">
        <v>5117</v>
      </c>
    </row>
    <row r="5582" spans="1:18" x14ac:dyDescent="0.25">
      <c r="A5582" s="6" t="str">
        <f>HYPERLINK("proteomic_fractions_linear_files/Yang_linear_img/8393988.jpg", "8393988")</f>
        <v>8393988</v>
      </c>
      <c r="B5582" s="7"/>
      <c r="C5582" s="6" t="str">
        <f>HYPERLINK("http://www.ncbi.nlm.nih.gov/protein/8393988","Pmm2")</f>
        <v>Pmm2</v>
      </c>
      <c r="D5582" s="8"/>
      <c r="E5582" s="8">
        <v>27526</v>
      </c>
      <c r="F5582" s="8"/>
      <c r="G5582" s="15" t="s">
        <v>10</v>
      </c>
      <c r="H5582" s="15" t="s">
        <v>10</v>
      </c>
      <c r="I5582" s="15">
        <v>0.87695787904560418</v>
      </c>
      <c r="J5582" s="15">
        <v>0.87695787904560418</v>
      </c>
      <c r="K5582" s="15">
        <v>0.87695787904560418</v>
      </c>
      <c r="L5582" s="15">
        <v>0.87695787904560418</v>
      </c>
      <c r="M5582" s="15">
        <v>0.87695787904560418</v>
      </c>
      <c r="N5582" s="15">
        <v>0.87695787904560418</v>
      </c>
      <c r="O5582" s="15">
        <v>0.77841936680995538</v>
      </c>
      <c r="P5582" s="15">
        <v>0.77841936680995538</v>
      </c>
      <c r="Q5582" s="8"/>
      <c r="R5582" s="9" t="s">
        <v>5118</v>
      </c>
    </row>
    <row r="5583" spans="1:18" x14ac:dyDescent="0.25">
      <c r="A5583" s="6" t="str">
        <f>HYPERLINK("proteomic_fractions_linear_files/Yang_linear_img/27502349.jpg", "27502349")</f>
        <v>27502349</v>
      </c>
      <c r="B5583" s="7"/>
      <c r="C5583" s="6" t="str">
        <f>HYPERLINK("http://www.ncbi.nlm.nih.gov/protein/27502349","Pmpca")</f>
        <v>Pmpca</v>
      </c>
      <c r="D5583" s="8"/>
      <c r="E5583" s="8">
        <v>54713</v>
      </c>
      <c r="F5583" s="8"/>
      <c r="G5583" s="15" t="s">
        <v>10</v>
      </c>
      <c r="H5583" s="15" t="s">
        <v>10</v>
      </c>
      <c r="I5583" s="15">
        <v>0.96582853872729235</v>
      </c>
      <c r="J5583" s="15">
        <v>0.96582853872729235</v>
      </c>
      <c r="K5583" s="15" t="s">
        <v>10</v>
      </c>
      <c r="L5583" s="15" t="s">
        <v>10</v>
      </c>
      <c r="M5583" s="15" t="s">
        <v>10</v>
      </c>
      <c r="N5583" s="15" t="s">
        <v>10</v>
      </c>
      <c r="O5583" s="15" t="s">
        <v>10</v>
      </c>
      <c r="P5583" s="15" t="s">
        <v>10</v>
      </c>
      <c r="Q5583" s="8"/>
      <c r="R5583" s="9" t="s">
        <v>5119</v>
      </c>
    </row>
    <row r="5584" spans="1:18" x14ac:dyDescent="0.25">
      <c r="A5584" s="6" t="str">
        <f>HYPERLINK("proteomic_fractions_linear_files/Yang_linear_img/95113671.jpg", "95113671")</f>
        <v>95113671</v>
      </c>
      <c r="B5584" s="7"/>
      <c r="C5584" s="6" t="str">
        <f>HYPERLINK("http://www.ncbi.nlm.nih.gov/protein/95113671","Pmpcb")</f>
        <v>Pmpcb</v>
      </c>
      <c r="D5584" s="8"/>
      <c r="E5584" s="8">
        <v>49492</v>
      </c>
      <c r="F5584" s="8"/>
      <c r="G5584" s="15">
        <v>1.1994532160325275</v>
      </c>
      <c r="H5584" s="15">
        <v>0.90052222952990757</v>
      </c>
      <c r="I5584" s="15">
        <v>0.9855097058043929</v>
      </c>
      <c r="J5584" s="15">
        <v>0.9855097058043929</v>
      </c>
      <c r="K5584" s="15">
        <v>0.29627497391572138</v>
      </c>
      <c r="L5584" s="15">
        <v>0.29627497391572138</v>
      </c>
      <c r="M5584" s="15" t="s">
        <v>10</v>
      </c>
      <c r="N5584" s="15" t="s">
        <v>10</v>
      </c>
      <c r="O5584" s="15" t="s">
        <v>10</v>
      </c>
      <c r="P5584" s="15" t="s">
        <v>10</v>
      </c>
      <c r="Q5584" s="8"/>
      <c r="R5584" s="9" t="s">
        <v>5120</v>
      </c>
    </row>
    <row r="5585" spans="1:18" x14ac:dyDescent="0.25">
      <c r="A5585" s="6" t="str">
        <f>HYPERLINK("proteomic_fractions_linear_files/Yang_linear_img/121583910.jpg", "121583910")</f>
        <v>121583910</v>
      </c>
      <c r="B5585" s="7"/>
      <c r="C5585" s="6" t="str">
        <f>HYPERLINK("http://www.ncbi.nlm.nih.gov/protein/121583910","Pms2")</f>
        <v>Pms2</v>
      </c>
      <c r="D5585" s="8"/>
      <c r="E5585" s="8">
        <v>95168</v>
      </c>
      <c r="F5585" s="8"/>
      <c r="G5585" s="15" t="s">
        <v>10</v>
      </c>
      <c r="H5585" s="15" t="s">
        <v>10</v>
      </c>
      <c r="I5585" s="15" t="s">
        <v>10</v>
      </c>
      <c r="J5585" s="15" t="s">
        <v>10</v>
      </c>
      <c r="K5585" s="15" t="s">
        <v>10</v>
      </c>
      <c r="L5585" s="15" t="s">
        <v>10</v>
      </c>
      <c r="M5585" s="15" t="s">
        <v>10</v>
      </c>
      <c r="N5585" s="15" t="s">
        <v>10</v>
      </c>
      <c r="O5585" s="15">
        <v>1.354964506790705</v>
      </c>
      <c r="P5585" s="15">
        <v>1.354964506790705</v>
      </c>
      <c r="Q5585" s="8"/>
      <c r="R5585" s="9" t="s">
        <v>5121</v>
      </c>
    </row>
    <row r="5586" spans="1:18" x14ac:dyDescent="0.25">
      <c r="A5586" s="6" t="str">
        <f>HYPERLINK("proteomic_fractions_linear_files/Yang_linear_img/254588056.jpg", "254588056")</f>
        <v>254588056</v>
      </c>
      <c r="B5586" s="7"/>
      <c r="C5586" s="6" t="str">
        <f>HYPERLINK("http://www.ncbi.nlm.nih.gov/protein/254588056","Pmvk")</f>
        <v>Pmvk</v>
      </c>
      <c r="D5586" s="8"/>
      <c r="E5586" s="8">
        <v>21785</v>
      </c>
      <c r="F5586" s="8"/>
      <c r="G5586" s="15" t="s">
        <v>10</v>
      </c>
      <c r="H5586" s="15" t="s">
        <v>10</v>
      </c>
      <c r="I5586" s="15">
        <v>0.88641590127433068</v>
      </c>
      <c r="J5586" s="15">
        <v>0.88641590127433068</v>
      </c>
      <c r="K5586" s="15">
        <v>0.88641590127433068</v>
      </c>
      <c r="L5586" s="15">
        <v>0.88641590127433068</v>
      </c>
      <c r="M5586" s="15" t="s">
        <v>10</v>
      </c>
      <c r="N5586" s="15" t="s">
        <v>10</v>
      </c>
      <c r="O5586" s="15">
        <v>0.88641590127433068</v>
      </c>
      <c r="P5586" s="15">
        <v>0.88641590127433068</v>
      </c>
      <c r="Q5586" s="8"/>
      <c r="R5586" s="9" t="s">
        <v>5122</v>
      </c>
    </row>
    <row r="5587" spans="1:18" x14ac:dyDescent="0.25">
      <c r="A5587" s="6" t="str">
        <f>HYPERLINK("proteomic_fractions_linear_files/Yang_linear_img/254588058.jpg", "254588058")</f>
        <v>254588058</v>
      </c>
      <c r="B5587" s="7"/>
      <c r="C5587" s="6" t="str">
        <f>HYPERLINK("http://www.ncbi.nlm.nih.gov/protein/254588058","Pmvk")</f>
        <v>Pmvk</v>
      </c>
      <c r="D5587" s="8"/>
      <c r="E5587" s="8">
        <v>19500</v>
      </c>
      <c r="F5587" s="8"/>
      <c r="G5587" s="15" t="s">
        <v>10</v>
      </c>
      <c r="H5587" s="15" t="s">
        <v>10</v>
      </c>
      <c r="I5587" s="15">
        <v>0.97505749140176368</v>
      </c>
      <c r="J5587" s="15">
        <v>0.97505749140176368</v>
      </c>
      <c r="K5587" s="15">
        <v>0.97505749140176368</v>
      </c>
      <c r="L5587" s="15">
        <v>0.97505749140176368</v>
      </c>
      <c r="M5587" s="15" t="s">
        <v>10</v>
      </c>
      <c r="N5587" s="15" t="s">
        <v>10</v>
      </c>
      <c r="O5587" s="15">
        <v>0.97505749140176368</v>
      </c>
      <c r="P5587" s="15">
        <v>0.97505749140176368</v>
      </c>
      <c r="Q5587" s="8"/>
      <c r="R5587" s="9" t="s">
        <v>5123</v>
      </c>
    </row>
    <row r="5588" spans="1:18" x14ac:dyDescent="0.25">
      <c r="A5588" s="6" t="str">
        <f>HYPERLINK("proteomic_fractions_linear_files/Yang_linear_img/87239984.jpg", "87239984")</f>
        <v>87239984</v>
      </c>
      <c r="B5588" s="7"/>
      <c r="C5588" s="6" t="str">
        <f>HYPERLINK("http://www.ncbi.nlm.nih.gov/protein/87239984","Pnkd")</f>
        <v>Pnkd</v>
      </c>
      <c r="D5588" s="8"/>
      <c r="E5588" s="8">
        <v>42886</v>
      </c>
      <c r="F5588" s="8"/>
      <c r="G5588" s="15" t="s">
        <v>10</v>
      </c>
      <c r="H5588" s="15" t="s">
        <v>10</v>
      </c>
      <c r="I5588" s="15">
        <v>0.37040562286469247</v>
      </c>
      <c r="J5588" s="15">
        <v>0.37040562286469247</v>
      </c>
      <c r="K5588" s="15" t="s">
        <v>10</v>
      </c>
      <c r="L5588" s="15" t="s">
        <v>10</v>
      </c>
      <c r="M5588" s="15" t="s">
        <v>10</v>
      </c>
      <c r="N5588" s="15" t="s">
        <v>10</v>
      </c>
      <c r="O5588" s="15" t="s">
        <v>10</v>
      </c>
      <c r="P5588" s="15" t="s">
        <v>10</v>
      </c>
      <c r="Q5588" s="8"/>
      <c r="R5588" s="9" t="s">
        <v>5124</v>
      </c>
    </row>
    <row r="5589" spans="1:18" x14ac:dyDescent="0.25">
      <c r="A5589" s="6" t="str">
        <f>HYPERLINK("proteomic_fractions_linear_files/Yang_linear_img/87239988.jpg", "87239988")</f>
        <v>87239988</v>
      </c>
      <c r="B5589" s="7"/>
      <c r="C5589" s="6" t="str">
        <f>HYPERLINK("http://www.ncbi.nlm.nih.gov/protein/87239988","Pnkd")</f>
        <v>Pnkd</v>
      </c>
      <c r="D5589" s="8"/>
      <c r="E5589" s="8">
        <v>15439</v>
      </c>
      <c r="F5589" s="8"/>
      <c r="G5589" s="15" t="s">
        <v>10</v>
      </c>
      <c r="H5589" s="15" t="s">
        <v>10</v>
      </c>
      <c r="I5589" s="15">
        <v>1.0618294522121183</v>
      </c>
      <c r="J5589" s="15">
        <v>1.0618294522121183</v>
      </c>
      <c r="K5589" s="15" t="s">
        <v>10</v>
      </c>
      <c r="L5589" s="15" t="s">
        <v>10</v>
      </c>
      <c r="M5589" s="15" t="s">
        <v>10</v>
      </c>
      <c r="N5589" s="15" t="s">
        <v>10</v>
      </c>
      <c r="O5589" s="15" t="s">
        <v>10</v>
      </c>
      <c r="P5589" s="15" t="s">
        <v>10</v>
      </c>
      <c r="Q5589" s="8"/>
      <c r="R5589" s="9" t="s">
        <v>5125</v>
      </c>
    </row>
    <row r="5590" spans="1:18" x14ac:dyDescent="0.25">
      <c r="A5590" s="6" t="str">
        <f>HYPERLINK("proteomic_fractions_linear_files/Yang_linear_img/118601009.jpg", "118601009")</f>
        <v>118601009</v>
      </c>
      <c r="B5590" s="7"/>
      <c r="C5590" s="6" t="str">
        <f>HYPERLINK("http://www.ncbi.nlm.nih.gov/protein/118601009","Pnkp")</f>
        <v>Pnkp</v>
      </c>
      <c r="D5590" s="8"/>
      <c r="E5590" s="8">
        <v>57083</v>
      </c>
      <c r="F5590" s="8"/>
      <c r="G5590" s="15" t="s">
        <v>10</v>
      </c>
      <c r="H5590" s="15" t="s">
        <v>10</v>
      </c>
      <c r="I5590" s="15" t="s">
        <v>10</v>
      </c>
      <c r="J5590" s="15" t="s">
        <v>10</v>
      </c>
      <c r="K5590" s="15">
        <v>1.1483028654481462</v>
      </c>
      <c r="L5590" s="15">
        <v>1.1483028654481462</v>
      </c>
      <c r="M5590" s="15">
        <v>1.0311089050104185</v>
      </c>
      <c r="N5590" s="15">
        <v>1.0311089050104185</v>
      </c>
      <c r="O5590" s="15">
        <v>0.93193981807019433</v>
      </c>
      <c r="P5590" s="15">
        <v>0.93193981807019433</v>
      </c>
      <c r="Q5590" s="8"/>
      <c r="R5590" s="9" t="s">
        <v>5126</v>
      </c>
    </row>
    <row r="5591" spans="1:18" x14ac:dyDescent="0.25">
      <c r="A5591" s="6" t="str">
        <f>HYPERLINK("proteomic_fractions_linear_files/Yang_linear_img/112420990.jpg", "112420990")</f>
        <v>112420990</v>
      </c>
      <c r="B5591" s="7"/>
      <c r="C5591" s="6" t="str">
        <f>HYPERLINK("http://www.ncbi.nlm.nih.gov/protein/112420990","Pnn")</f>
        <v>Pnn</v>
      </c>
      <c r="D5591" s="8"/>
      <c r="E5591" s="8">
        <v>82374</v>
      </c>
      <c r="F5591" s="8"/>
      <c r="G5591" s="15">
        <v>1.871376477271242</v>
      </c>
      <c r="H5591" s="15">
        <v>1.871376477271242</v>
      </c>
      <c r="I5591" s="15">
        <v>73.086585365853665</v>
      </c>
      <c r="J5591" s="15">
        <v>73.086585365853665</v>
      </c>
      <c r="K5591" s="15">
        <v>1.871376477271242</v>
      </c>
      <c r="L5591" s="15">
        <v>1.871376477271242</v>
      </c>
      <c r="M5591" s="15">
        <v>73.086585365853665</v>
      </c>
      <c r="N5591" s="15">
        <v>73.086585365853665</v>
      </c>
      <c r="O5591" s="15" t="s">
        <v>10</v>
      </c>
      <c r="P5591" s="15" t="s">
        <v>10</v>
      </c>
      <c r="Q5591" s="8"/>
      <c r="R5591" s="9" t="s">
        <v>5127</v>
      </c>
    </row>
    <row r="5592" spans="1:18" x14ac:dyDescent="0.25">
      <c r="A5592" s="6" t="str">
        <f>HYPERLINK("proteomic_fractions_linear_files/Yang_linear_img/13384846.jpg", "13384846")</f>
        <v>13384846</v>
      </c>
      <c r="B5592" s="7"/>
      <c r="C5592" s="6" t="str">
        <f>HYPERLINK("http://www.ncbi.nlm.nih.gov/protein/13384846","Pno1")</f>
        <v>Pno1</v>
      </c>
      <c r="D5592" s="8"/>
      <c r="E5592" s="8">
        <v>27322</v>
      </c>
      <c r="F5592" s="8"/>
      <c r="G5592" s="15">
        <v>0.96852807834907406</v>
      </c>
      <c r="H5592" s="15">
        <v>0.96852807834907406</v>
      </c>
      <c r="I5592" s="15" t="s">
        <v>10</v>
      </c>
      <c r="J5592" s="15" t="s">
        <v>10</v>
      </c>
      <c r="K5592" s="15">
        <v>1.0340078258400762</v>
      </c>
      <c r="L5592" s="15">
        <v>1.0340078258400762</v>
      </c>
      <c r="M5592" s="15">
        <v>1.0340078258400762</v>
      </c>
      <c r="N5592" s="15">
        <v>1.0340078258400762</v>
      </c>
      <c r="O5592" s="15" t="s">
        <v>10</v>
      </c>
      <c r="P5592" s="15" t="s">
        <v>10</v>
      </c>
      <c r="Q5592" s="8"/>
      <c r="R5592" s="9" t="s">
        <v>5128</v>
      </c>
    </row>
    <row r="5593" spans="1:18" x14ac:dyDescent="0.25">
      <c r="A5593" s="6" t="str">
        <f>HYPERLINK("proteomic_fractions_linear_files/Yang_linear_img/7305395.jpg", "7305395")</f>
        <v>7305395</v>
      </c>
      <c r="B5593" s="7"/>
      <c r="C5593" s="6" t="str">
        <f>HYPERLINK("http://www.ncbi.nlm.nih.gov/protein/7305395","Pnp")</f>
        <v>Pnp</v>
      </c>
      <c r="D5593" s="8"/>
      <c r="E5593" s="8">
        <v>32132</v>
      </c>
      <c r="F5593" s="8"/>
      <c r="G5593" s="15">
        <v>1.0797930165773495</v>
      </c>
      <c r="H5593" s="15">
        <v>1.1669164507226435</v>
      </c>
      <c r="I5593" s="15">
        <v>0.76733814416490365</v>
      </c>
      <c r="J5593" s="15">
        <v>0.76733814416490365</v>
      </c>
      <c r="K5593" s="15">
        <v>0.87244410305256437</v>
      </c>
      <c r="L5593" s="15">
        <v>0.87244410305256437</v>
      </c>
      <c r="M5593" s="15">
        <v>0.87244410305256437</v>
      </c>
      <c r="N5593" s="15">
        <v>0.87244410305256437</v>
      </c>
      <c r="O5593" s="15">
        <v>0.76733814416490365</v>
      </c>
      <c r="P5593" s="15">
        <v>0.76733814416490365</v>
      </c>
      <c r="Q5593" s="8"/>
      <c r="R5593" s="9" t="s">
        <v>5129</v>
      </c>
    </row>
    <row r="5594" spans="1:18" x14ac:dyDescent="0.25">
      <c r="A5594" s="6" t="str">
        <f>HYPERLINK("proteomic_fractions_linear_files/Yang_linear_img/183074535.jpg", "183074535")</f>
        <v>183074535</v>
      </c>
      <c r="B5594" s="7"/>
      <c r="C5594" s="6" t="str">
        <f>HYPERLINK("http://www.ncbi.nlm.nih.gov/protein/183074535","Pnp2")</f>
        <v>Pnp2</v>
      </c>
      <c r="D5594" s="8"/>
      <c r="E5594" s="8">
        <v>33757</v>
      </c>
      <c r="F5594" s="8"/>
      <c r="G5594" s="15">
        <v>1.0162757803080937</v>
      </c>
      <c r="H5594" s="15">
        <v>1.098274306562488</v>
      </c>
      <c r="I5594" s="15">
        <v>0.72220060627285054</v>
      </c>
      <c r="J5594" s="15">
        <v>0.72220060627285054</v>
      </c>
      <c r="K5594" s="15">
        <v>0.82112386169653118</v>
      </c>
      <c r="L5594" s="15">
        <v>0.82112386169653118</v>
      </c>
      <c r="M5594" s="15">
        <v>0.82112386169653118</v>
      </c>
      <c r="N5594" s="15">
        <v>0.82112386169653118</v>
      </c>
      <c r="O5594" s="15">
        <v>0.72220060627285054</v>
      </c>
      <c r="P5594" s="15">
        <v>0.72220060627285054</v>
      </c>
      <c r="Q5594" s="8"/>
      <c r="R5594" s="9" t="s">
        <v>5130</v>
      </c>
    </row>
    <row r="5595" spans="1:18" x14ac:dyDescent="0.25">
      <c r="A5595" s="6" t="str">
        <f>HYPERLINK("proteomic_fractions_linear_files/Yang_linear_img/170763470.jpg", "170763470")</f>
        <v>170763470</v>
      </c>
      <c r="B5595" s="7"/>
      <c r="C5595" s="6" t="str">
        <f>HYPERLINK("http://www.ncbi.nlm.nih.gov/protein/170763470","Pnpla6")</f>
        <v>Pnpla6</v>
      </c>
      <c r="D5595" s="8"/>
      <c r="E5595" s="8">
        <v>146433</v>
      </c>
      <c r="F5595" s="8"/>
      <c r="G5595" s="15">
        <v>1.2792180249310983</v>
      </c>
      <c r="H5595" s="15">
        <v>1.2792180249310983</v>
      </c>
      <c r="I5595" s="15" t="s">
        <v>10</v>
      </c>
      <c r="J5595" s="15" t="s">
        <v>10</v>
      </c>
      <c r="K5595" s="15">
        <v>1.2792180249310983</v>
      </c>
      <c r="L5595" s="15">
        <v>1.2792180249310983</v>
      </c>
      <c r="M5595" s="15" t="s">
        <v>10</v>
      </c>
      <c r="N5595" s="15" t="s">
        <v>10</v>
      </c>
      <c r="O5595" s="15" t="s">
        <v>10</v>
      </c>
      <c r="P5595" s="15" t="s">
        <v>10</v>
      </c>
      <c r="Q5595" s="8"/>
      <c r="R5595" s="9" t="s">
        <v>5131</v>
      </c>
    </row>
    <row r="5596" spans="1:18" x14ac:dyDescent="0.25">
      <c r="A5596" s="6" t="str">
        <f>HYPERLINK("proteomic_fractions_linear_files/Yang_linear_img/390608665.jpg", "390608665")</f>
        <v>390608665</v>
      </c>
      <c r="B5596" s="7"/>
      <c r="C5596" s="6" t="str">
        <f>HYPERLINK("http://www.ncbi.nlm.nih.gov/protein/390608665","Pnpla6")</f>
        <v>Pnpla6</v>
      </c>
      <c r="D5596" s="8"/>
      <c r="E5596" s="8">
        <v>148530</v>
      </c>
      <c r="F5596" s="8"/>
      <c r="G5596" s="15">
        <v>1.2534619573150361</v>
      </c>
      <c r="H5596" s="15">
        <v>1.2534619573150361</v>
      </c>
      <c r="I5596" s="15" t="s">
        <v>10</v>
      </c>
      <c r="J5596" s="15" t="s">
        <v>10</v>
      </c>
      <c r="K5596" s="15">
        <v>1.2534619573150361</v>
      </c>
      <c r="L5596" s="15">
        <v>1.2534619573150361</v>
      </c>
      <c r="M5596" s="15" t="s">
        <v>10</v>
      </c>
      <c r="N5596" s="15" t="s">
        <v>10</v>
      </c>
      <c r="O5596" s="15" t="s">
        <v>10</v>
      </c>
      <c r="P5596" s="15" t="s">
        <v>10</v>
      </c>
      <c r="Q5596" s="8"/>
      <c r="R5596" s="9" t="s">
        <v>5132</v>
      </c>
    </row>
    <row r="5597" spans="1:18" x14ac:dyDescent="0.25">
      <c r="A5597" s="6" t="str">
        <f>HYPERLINK("proteomic_fractions_linear_files/Yang_linear_img/118130807.jpg", "118130807")</f>
        <v>118130807</v>
      </c>
      <c r="B5597" s="7"/>
      <c r="C5597" s="6" t="str">
        <f>HYPERLINK("http://www.ncbi.nlm.nih.gov/protein/118130807","Pnpla8")</f>
        <v>Pnpla8</v>
      </c>
      <c r="D5597" s="8"/>
      <c r="E5597" s="8">
        <v>87250</v>
      </c>
      <c r="F5597" s="8"/>
      <c r="G5597" s="15" t="s">
        <v>10</v>
      </c>
      <c r="H5597" s="15" t="s">
        <v>10</v>
      </c>
      <c r="I5597" s="15">
        <v>0.9551569939441823</v>
      </c>
      <c r="J5597" s="15">
        <v>0.9551569939441823</v>
      </c>
      <c r="K5597" s="15" t="s">
        <v>10</v>
      </c>
      <c r="L5597" s="15" t="s">
        <v>10</v>
      </c>
      <c r="M5597" s="15" t="s">
        <v>10</v>
      </c>
      <c r="N5597" s="15" t="s">
        <v>10</v>
      </c>
      <c r="O5597" s="15" t="s">
        <v>10</v>
      </c>
      <c r="P5597" s="15" t="s">
        <v>10</v>
      </c>
      <c r="Q5597" s="8"/>
      <c r="R5597" s="9" t="s">
        <v>5133</v>
      </c>
    </row>
    <row r="5598" spans="1:18" x14ac:dyDescent="0.25">
      <c r="A5598" s="6" t="str">
        <f>HYPERLINK("proteomic_fractions_linear_files/Yang_linear_img/19527238.jpg", "19527238")</f>
        <v>19527238</v>
      </c>
      <c r="B5598" s="7"/>
      <c r="C5598" s="6" t="str">
        <f>HYPERLINK("http://www.ncbi.nlm.nih.gov/protein/19527238","Pnpo")</f>
        <v>Pnpo</v>
      </c>
      <c r="D5598" s="8"/>
      <c r="E5598" s="8">
        <v>29983</v>
      </c>
      <c r="F5598" s="8"/>
      <c r="G5598" s="15" t="s">
        <v>10</v>
      </c>
      <c r="H5598" s="15" t="s">
        <v>10</v>
      </c>
      <c r="I5598" s="15" t="s">
        <v>10</v>
      </c>
      <c r="J5598" s="15" t="s">
        <v>10</v>
      </c>
      <c r="K5598" s="15" t="s">
        <v>10</v>
      </c>
      <c r="L5598" s="15" t="s">
        <v>10</v>
      </c>
      <c r="M5598" s="15" t="s">
        <v>10</v>
      </c>
      <c r="N5598" s="15" t="s">
        <v>10</v>
      </c>
      <c r="O5598" s="15">
        <v>0.77031911249058149</v>
      </c>
      <c r="P5598" s="15">
        <v>0.77031911249058149</v>
      </c>
      <c r="Q5598" s="8"/>
      <c r="R5598" s="9" t="s">
        <v>5134</v>
      </c>
    </row>
    <row r="5599" spans="1:18" x14ac:dyDescent="0.25">
      <c r="A5599" s="6" t="str">
        <f>HYPERLINK("proteomic_fractions_linear_files/Yang_linear_img/377833162.jpg", "377833162")</f>
        <v>377833162</v>
      </c>
      <c r="B5599" s="7"/>
      <c r="C5599" s="6" t="str">
        <f>HYPERLINK("http://www.ncbi.nlm.nih.gov/protein/377833162","Pnpt1")</f>
        <v>Pnpt1</v>
      </c>
      <c r="D5599" s="8"/>
      <c r="E5599" s="8">
        <v>85552</v>
      </c>
      <c r="F5599" s="8"/>
      <c r="G5599" s="15" t="s">
        <v>10</v>
      </c>
      <c r="H5599" s="15" t="s">
        <v>10</v>
      </c>
      <c r="I5599" s="15">
        <v>0.96626347061795181</v>
      </c>
      <c r="J5599" s="15">
        <v>0.96626347061795181</v>
      </c>
      <c r="K5599" s="15">
        <v>1.104278850960285</v>
      </c>
      <c r="L5599" s="15">
        <v>1.104278850960285</v>
      </c>
      <c r="M5599" s="15" t="s">
        <v>10</v>
      </c>
      <c r="N5599" s="15" t="s">
        <v>10</v>
      </c>
      <c r="O5599" s="15" t="s">
        <v>10</v>
      </c>
      <c r="P5599" s="15" t="s">
        <v>10</v>
      </c>
      <c r="Q5599" s="8"/>
      <c r="R5599" s="9" t="s">
        <v>8320</v>
      </c>
    </row>
    <row r="5600" spans="1:18" x14ac:dyDescent="0.25">
      <c r="A5600" s="6" t="str">
        <f>HYPERLINK("proteomic_fractions_linear_files/Yang_linear_img/407261876.jpg", "407261876")</f>
        <v>407261876</v>
      </c>
      <c r="B5600" s="7"/>
      <c r="C5600" s="6" t="str">
        <f>HYPERLINK("http://www.ncbi.nlm.nih.gov/protein/407261876","Pnpt1")</f>
        <v>Pnpt1</v>
      </c>
      <c r="D5600" s="8"/>
      <c r="E5600" s="8">
        <v>84770</v>
      </c>
      <c r="F5600" s="8"/>
      <c r="G5600" s="15" t="s">
        <v>10</v>
      </c>
      <c r="H5600" s="15" t="s">
        <v>10</v>
      </c>
      <c r="I5600" s="15">
        <v>0.97763127615463363</v>
      </c>
      <c r="J5600" s="15">
        <v>0.97763127615463363</v>
      </c>
      <c r="K5600" s="15">
        <v>1.1172703668539354</v>
      </c>
      <c r="L5600" s="15">
        <v>1.1172703668539354</v>
      </c>
      <c r="M5600" s="15" t="s">
        <v>10</v>
      </c>
      <c r="N5600" s="15" t="s">
        <v>10</v>
      </c>
      <c r="O5600" s="15" t="s">
        <v>10</v>
      </c>
      <c r="P5600" s="15" t="s">
        <v>10</v>
      </c>
      <c r="Q5600" s="8"/>
      <c r="R5600" s="9" t="s">
        <v>8321</v>
      </c>
    </row>
    <row r="5601" spans="1:18" x14ac:dyDescent="0.25">
      <c r="A5601" s="6" t="str">
        <f>HYPERLINK("proteomic_fractions_linear_files/Yang_linear_img/407261878.jpg", "407261878")</f>
        <v>407261878</v>
      </c>
      <c r="B5601" s="7"/>
      <c r="C5601" s="6" t="str">
        <f>HYPERLINK("http://www.ncbi.nlm.nih.gov/protein/407261878","Pnpt1")</f>
        <v>Pnpt1</v>
      </c>
      <c r="D5601" s="8"/>
      <c r="E5601" s="8">
        <v>58505</v>
      </c>
      <c r="F5601" s="8"/>
      <c r="G5601" s="15" t="s">
        <v>10</v>
      </c>
      <c r="H5601" s="15" t="s">
        <v>10</v>
      </c>
      <c r="I5601" s="15">
        <v>1.4084518385278619</v>
      </c>
      <c r="J5601" s="15">
        <v>1.4084518385278619</v>
      </c>
      <c r="K5601" s="15">
        <v>1.6096267997048221</v>
      </c>
      <c r="L5601" s="15">
        <v>1.6096267997048221</v>
      </c>
      <c r="M5601" s="15" t="s">
        <v>10</v>
      </c>
      <c r="N5601" s="15" t="s">
        <v>10</v>
      </c>
      <c r="O5601" s="15" t="s">
        <v>10</v>
      </c>
      <c r="P5601" s="15" t="s">
        <v>10</v>
      </c>
      <c r="Q5601" s="8"/>
      <c r="R5601" s="9" t="s">
        <v>8321</v>
      </c>
    </row>
    <row r="5602" spans="1:18" x14ac:dyDescent="0.25">
      <c r="A5602" s="6" t="str">
        <f>HYPERLINK("proteomic_fractions_linear_files/Yang_linear_img/407261880.jpg", "407261880")</f>
        <v>407261880</v>
      </c>
      <c r="B5602" s="7"/>
      <c r="C5602" s="6" t="str">
        <f>HYPERLINK("http://www.ncbi.nlm.nih.gov/protein/407261880","Pnpt1")</f>
        <v>Pnpt1</v>
      </c>
      <c r="D5602" s="8"/>
      <c r="E5602" s="8">
        <v>77105</v>
      </c>
      <c r="F5602" s="8"/>
      <c r="G5602" s="15" t="s">
        <v>10</v>
      </c>
      <c r="H5602" s="15" t="s">
        <v>10</v>
      </c>
      <c r="I5602" s="15">
        <v>1.079203356794076</v>
      </c>
      <c r="J5602" s="15">
        <v>1.079203356794076</v>
      </c>
      <c r="K5602" s="15">
        <v>1.2333504049686299</v>
      </c>
      <c r="L5602" s="15">
        <v>1.2333504049686299</v>
      </c>
      <c r="M5602" s="15" t="s">
        <v>10</v>
      </c>
      <c r="N5602" s="15" t="s">
        <v>10</v>
      </c>
      <c r="O5602" s="15" t="s">
        <v>10</v>
      </c>
      <c r="P5602" s="15" t="s">
        <v>10</v>
      </c>
      <c r="Q5602" s="8"/>
      <c r="R5602" s="9" t="s">
        <v>8321</v>
      </c>
    </row>
    <row r="5603" spans="1:18" x14ac:dyDescent="0.25">
      <c r="A5603" s="6" t="str">
        <f>HYPERLINK("proteomic_fractions_linear_files/Yang_linear_img/31657132.jpg", "31657132")</f>
        <v>31657132</v>
      </c>
      <c r="B5603" s="7"/>
      <c r="C5603" s="6" t="str">
        <f>HYPERLINK("http://www.ncbi.nlm.nih.gov/protein/31657132","Pof1b")</f>
        <v>Pof1b</v>
      </c>
      <c r="D5603" s="8"/>
      <c r="E5603" s="8">
        <v>67654</v>
      </c>
      <c r="F5603" s="8"/>
      <c r="G5603" s="15" t="s">
        <v>10</v>
      </c>
      <c r="H5603" s="15" t="s">
        <v>10</v>
      </c>
      <c r="I5603" s="15" t="s">
        <v>10</v>
      </c>
      <c r="J5603" s="15" t="s">
        <v>10</v>
      </c>
      <c r="K5603" s="15" t="s">
        <v>10</v>
      </c>
      <c r="L5603" s="15" t="s">
        <v>10</v>
      </c>
      <c r="M5603" s="15">
        <v>0.64890572422008042</v>
      </c>
      <c r="N5603" s="15">
        <v>0.64890572422008042</v>
      </c>
      <c r="O5603" s="15" t="s">
        <v>10</v>
      </c>
      <c r="P5603" s="15" t="s">
        <v>10</v>
      </c>
      <c r="Q5603" s="8"/>
      <c r="R5603" s="9" t="s">
        <v>5135</v>
      </c>
    </row>
    <row r="5604" spans="1:18" x14ac:dyDescent="0.25">
      <c r="A5604" s="6" t="str">
        <f>HYPERLINK("proteomic_fractions_linear_files/Yang_linear_img/19525731.jpg", "19525731")</f>
        <v>19525731</v>
      </c>
      <c r="B5604" s="7"/>
      <c r="C5604" s="6" t="str">
        <f>HYPERLINK("http://www.ncbi.nlm.nih.gov/protein/19525731","Pofut2")</f>
        <v>Pofut2</v>
      </c>
      <c r="D5604" s="8"/>
      <c r="E5604" s="8">
        <v>47318</v>
      </c>
      <c r="F5604" s="8"/>
      <c r="G5604" s="15">
        <v>1.3926226240541346</v>
      </c>
      <c r="H5604" s="15">
        <v>1.3926226240541346</v>
      </c>
      <c r="I5604" s="15">
        <v>1.0274462890301117</v>
      </c>
      <c r="J5604" s="15">
        <v>1.0274462890301117</v>
      </c>
      <c r="K5604" s="15">
        <v>1.1302248857447037</v>
      </c>
      <c r="L5604" s="15">
        <v>1.1302248857447037</v>
      </c>
      <c r="M5604" s="15" t="s">
        <v>10</v>
      </c>
      <c r="N5604" s="15" t="s">
        <v>10</v>
      </c>
      <c r="O5604" s="15" t="s">
        <v>10</v>
      </c>
      <c r="P5604" s="15" t="s">
        <v>10</v>
      </c>
      <c r="Q5604" s="8"/>
      <c r="R5604" s="9" t="s">
        <v>5136</v>
      </c>
    </row>
    <row r="5605" spans="1:18" x14ac:dyDescent="0.25">
      <c r="A5605" s="6" t="str">
        <f>HYPERLINK("proteomic_fractions_linear_files/Yang_linear_img/27369505.jpg", "27369505")</f>
        <v>27369505</v>
      </c>
      <c r="B5605" s="7"/>
      <c r="C5605" s="6" t="str">
        <f>HYPERLINK("http://www.ncbi.nlm.nih.gov/protein/27369505","Poglut1")</f>
        <v>Poglut1</v>
      </c>
      <c r="D5605" s="8"/>
      <c r="E5605" s="8">
        <v>43727</v>
      </c>
      <c r="F5605" s="8"/>
      <c r="G5605" s="15">
        <v>1.3357547178544058</v>
      </c>
      <c r="H5605" s="15">
        <v>1.3357547178544058</v>
      </c>
      <c r="I5605" s="15">
        <v>1.0028543010673969</v>
      </c>
      <c r="J5605" s="15">
        <v>1.0028543010673969</v>
      </c>
      <c r="K5605" s="15" t="s">
        <v>10</v>
      </c>
      <c r="L5605" s="15" t="s">
        <v>10</v>
      </c>
      <c r="M5605" s="15" t="s">
        <v>10</v>
      </c>
      <c r="N5605" s="15" t="s">
        <v>10</v>
      </c>
      <c r="O5605" s="15" t="s">
        <v>10</v>
      </c>
      <c r="P5605" s="15" t="s">
        <v>10</v>
      </c>
      <c r="Q5605" s="8"/>
      <c r="R5605" s="9" t="s">
        <v>5137</v>
      </c>
    </row>
    <row r="5606" spans="1:18" x14ac:dyDescent="0.25">
      <c r="A5606" s="6" t="str">
        <f>HYPERLINK("proteomic_fractions_linear_files/Yang_linear_img/6679409.jpg", "6679409")</f>
        <v>6679409</v>
      </c>
      <c r="B5606" s="7"/>
      <c r="C5606" s="6" t="str">
        <f>HYPERLINK("http://www.ncbi.nlm.nih.gov/protein/6679409","Pola1")</f>
        <v>Pola1</v>
      </c>
      <c r="D5606" s="8"/>
      <c r="E5606" s="8">
        <v>167210</v>
      </c>
      <c r="F5606" s="8"/>
      <c r="G5606" s="15" t="s">
        <v>10</v>
      </c>
      <c r="H5606" s="15" t="s">
        <v>10</v>
      </c>
      <c r="I5606" s="15">
        <v>1.3973703450769406</v>
      </c>
      <c r="J5606" s="15">
        <v>1.3973703450769406</v>
      </c>
      <c r="K5606" s="15">
        <v>1.3973703450769406</v>
      </c>
      <c r="L5606" s="15">
        <v>1.3973703450769406</v>
      </c>
      <c r="M5606" s="15">
        <v>1.3973703450769406</v>
      </c>
      <c r="N5606" s="15">
        <v>1.3973703450769406</v>
      </c>
      <c r="O5606" s="15">
        <v>1.3973703450769406</v>
      </c>
      <c r="P5606" s="15">
        <v>1.3973703450769406</v>
      </c>
      <c r="Q5606" s="8"/>
      <c r="R5606" s="9" t="s">
        <v>5138</v>
      </c>
    </row>
    <row r="5607" spans="1:18" x14ac:dyDescent="0.25">
      <c r="A5607" s="6" t="str">
        <f>HYPERLINK("proteomic_fractions_linear_files/Yang_linear_img/255708463.jpg", "255708463")</f>
        <v>255708463</v>
      </c>
      <c r="B5607" s="7"/>
      <c r="C5607" s="6" t="str">
        <f>HYPERLINK("http://www.ncbi.nlm.nih.gov/protein/255708463","Pola2")</f>
        <v>Pola2</v>
      </c>
      <c r="D5607" s="8"/>
      <c r="E5607" s="8">
        <v>62681</v>
      </c>
      <c r="F5607" s="8"/>
      <c r="G5607" s="15" t="s">
        <v>10</v>
      </c>
      <c r="H5607" s="15" t="s">
        <v>10</v>
      </c>
      <c r="I5607" s="15">
        <v>1.1656533371695594</v>
      </c>
      <c r="J5607" s="15">
        <v>1.1656533371695594</v>
      </c>
      <c r="K5607" s="15">
        <v>1.1656533371695594</v>
      </c>
      <c r="L5607" s="15">
        <v>1.1656533371695594</v>
      </c>
      <c r="M5607" s="15">
        <v>1.1656533371695594</v>
      </c>
      <c r="N5607" s="15">
        <v>1.1656533371695594</v>
      </c>
      <c r="O5607" s="15">
        <v>1.1656533371695594</v>
      </c>
      <c r="P5607" s="15">
        <v>1.1656533371695594</v>
      </c>
      <c r="Q5607" s="8"/>
      <c r="R5607" s="9" t="s">
        <v>5139</v>
      </c>
    </row>
    <row r="5608" spans="1:18" x14ac:dyDescent="0.25">
      <c r="A5608" s="6" t="str">
        <f>HYPERLINK("proteomic_fractions_linear_files/Yang_linear_img/31982107.jpg", "31982107")</f>
        <v>31982107</v>
      </c>
      <c r="B5608" s="7"/>
      <c r="C5608" s="6" t="str">
        <f>HYPERLINK("http://www.ncbi.nlm.nih.gov/protein/31982107","Pola2")</f>
        <v>Pola2</v>
      </c>
      <c r="D5608" s="8"/>
      <c r="E5608" s="8">
        <v>66083</v>
      </c>
      <c r="F5608" s="8"/>
      <c r="G5608" s="15" t="s">
        <v>10</v>
      </c>
      <c r="H5608" s="15" t="s">
        <v>10</v>
      </c>
      <c r="I5608" s="15">
        <v>1.1126690945709432</v>
      </c>
      <c r="J5608" s="15">
        <v>1.1126690945709432</v>
      </c>
      <c r="K5608" s="15">
        <v>1.1126690945709432</v>
      </c>
      <c r="L5608" s="15">
        <v>1.1126690945709432</v>
      </c>
      <c r="M5608" s="15">
        <v>1.1126690945709432</v>
      </c>
      <c r="N5608" s="15">
        <v>1.1126690945709432</v>
      </c>
      <c r="O5608" s="15">
        <v>1.1126690945709432</v>
      </c>
      <c r="P5608" s="15">
        <v>1.1126690945709432</v>
      </c>
      <c r="Q5608" s="8"/>
      <c r="R5608" s="9" t="s">
        <v>5140</v>
      </c>
    </row>
    <row r="5609" spans="1:18" x14ac:dyDescent="0.25">
      <c r="A5609" s="6" t="str">
        <f>HYPERLINK("proteomic_fractions_linear_files/Yang_linear_img/21729749.jpg", "21729749")</f>
        <v>21729749</v>
      </c>
      <c r="B5609" s="7"/>
      <c r="C5609" s="6" t="str">
        <f>HYPERLINK("http://www.ncbi.nlm.nih.gov/protein/21729749","Polb")</f>
        <v>Polb</v>
      </c>
      <c r="D5609" s="8"/>
      <c r="E5609" s="8">
        <v>38157</v>
      </c>
      <c r="F5609" s="8"/>
      <c r="G5609" s="15" t="s">
        <v>10</v>
      </c>
      <c r="H5609" s="15" t="s">
        <v>10</v>
      </c>
      <c r="I5609" s="15" t="s">
        <v>10</v>
      </c>
      <c r="J5609" s="15" t="s">
        <v>10</v>
      </c>
      <c r="K5609" s="15">
        <v>1.0659820579795458</v>
      </c>
      <c r="L5609" s="15">
        <v>1.0659820579795458</v>
      </c>
      <c r="M5609" s="15">
        <v>0.98266648481906815</v>
      </c>
      <c r="N5609" s="15">
        <v>0.98266648481906815</v>
      </c>
      <c r="O5609" s="15" t="s">
        <v>10</v>
      </c>
      <c r="P5609" s="15" t="s">
        <v>10</v>
      </c>
      <c r="Q5609" s="8"/>
      <c r="R5609" s="9" t="s">
        <v>5141</v>
      </c>
    </row>
    <row r="5610" spans="1:18" x14ac:dyDescent="0.25">
      <c r="A5610" s="6" t="str">
        <f>HYPERLINK("proteomic_fractions_linear_files/Yang_linear_img/254587977.jpg", "254587977")</f>
        <v>254587977</v>
      </c>
      <c r="B5610" s="7"/>
      <c r="C5610" s="6" t="str">
        <f>HYPERLINK("http://www.ncbi.nlm.nih.gov/protein/254587977","Pold1")</f>
        <v>Pold1</v>
      </c>
      <c r="D5610" s="8"/>
      <c r="E5610" s="8">
        <v>123660</v>
      </c>
      <c r="F5610" s="8"/>
      <c r="G5610" s="15" t="s">
        <v>10</v>
      </c>
      <c r="H5610" s="15" t="s">
        <v>10</v>
      </c>
      <c r="I5610" s="15">
        <v>1.2375231543245309</v>
      </c>
      <c r="J5610" s="15">
        <v>1.2375231543245309</v>
      </c>
      <c r="K5610" s="15">
        <v>1.2375231543245309</v>
      </c>
      <c r="L5610" s="15">
        <v>1.2375231543245309</v>
      </c>
      <c r="M5610" s="15">
        <v>1.2375231543245309</v>
      </c>
      <c r="N5610" s="15">
        <v>1.2375231543245309</v>
      </c>
      <c r="O5610" s="15">
        <v>1.2375231543245309</v>
      </c>
      <c r="P5610" s="15">
        <v>1.2375231543245309</v>
      </c>
      <c r="Q5610" s="8"/>
      <c r="R5610" s="9" t="s">
        <v>5142</v>
      </c>
    </row>
    <row r="5611" spans="1:18" x14ac:dyDescent="0.25">
      <c r="A5611" s="6" t="str">
        <f>HYPERLINK("proteomic_fractions_linear_files/Yang_linear_img/226423863.jpg", "226423863")</f>
        <v>226423863</v>
      </c>
      <c r="B5611" s="7"/>
      <c r="C5611" s="6" t="str">
        <f>HYPERLINK("http://www.ncbi.nlm.nih.gov/protein/226423863","Pold2")</f>
        <v>Pold2</v>
      </c>
      <c r="D5611" s="8"/>
      <c r="E5611" s="8">
        <v>51224</v>
      </c>
      <c r="F5611" s="8"/>
      <c r="G5611" s="15">
        <v>1.2833973202067517</v>
      </c>
      <c r="H5611" s="15">
        <v>1.2833973202067517</v>
      </c>
      <c r="I5611" s="15">
        <v>0.94686226636108339</v>
      </c>
      <c r="J5611" s="15">
        <v>0.94686226636108339</v>
      </c>
      <c r="K5611" s="15">
        <v>1.0415797966666878</v>
      </c>
      <c r="L5611" s="15">
        <v>1.0415797966666878</v>
      </c>
      <c r="M5611" s="15">
        <v>0.94686226636108339</v>
      </c>
      <c r="N5611" s="15">
        <v>0.94686226636108339</v>
      </c>
      <c r="O5611" s="15">
        <v>0.94686226636108339</v>
      </c>
      <c r="P5611" s="15">
        <v>0.94686226636108339</v>
      </c>
      <c r="Q5611" s="8"/>
      <c r="R5611" s="9" t="s">
        <v>5143</v>
      </c>
    </row>
    <row r="5612" spans="1:18" x14ac:dyDescent="0.25">
      <c r="A5612" s="6" t="str">
        <f>HYPERLINK("proteomic_fractions_linear_files/Yang_linear_img/29789321.jpg", "29789321")</f>
        <v>29789321</v>
      </c>
      <c r="B5612" s="7"/>
      <c r="C5612" s="6" t="str">
        <f>HYPERLINK("http://www.ncbi.nlm.nih.gov/protein/29789321","Pold3")</f>
        <v>Pold3</v>
      </c>
      <c r="D5612" s="8"/>
      <c r="E5612" s="8">
        <v>50618</v>
      </c>
      <c r="F5612" s="8"/>
      <c r="G5612" s="15" t="s">
        <v>10</v>
      </c>
      <c r="H5612" s="15" t="s">
        <v>10</v>
      </c>
      <c r="I5612" s="15" t="s">
        <v>10</v>
      </c>
      <c r="J5612" s="15" t="s">
        <v>10</v>
      </c>
      <c r="K5612" s="15">
        <v>1.4399247106212205</v>
      </c>
      <c r="L5612" s="15">
        <v>1.4399247106212205</v>
      </c>
      <c r="M5612" s="15">
        <v>1.2833973202067517</v>
      </c>
      <c r="N5612" s="15">
        <v>1.4399247106212205</v>
      </c>
      <c r="O5612" s="15">
        <v>1.2833973202067517</v>
      </c>
      <c r="P5612" s="15">
        <v>1.2833973202067517</v>
      </c>
      <c r="Q5612" s="8"/>
      <c r="R5612" s="9" t="s">
        <v>5144</v>
      </c>
    </row>
    <row r="5613" spans="1:18" x14ac:dyDescent="0.25">
      <c r="A5613" s="6" t="str">
        <f>HYPERLINK("proteomic_fractions_linear_files/Yang_linear_img/21312396.jpg", "21312396")</f>
        <v>21312396</v>
      </c>
      <c r="B5613" s="7"/>
      <c r="C5613" s="6" t="str">
        <f>HYPERLINK("http://www.ncbi.nlm.nih.gov/protein/21312396","Pold4")</f>
        <v>Pold4</v>
      </c>
      <c r="D5613" s="8"/>
      <c r="E5613" s="8">
        <v>12272</v>
      </c>
      <c r="F5613" s="8"/>
      <c r="G5613" s="15" t="s">
        <v>10</v>
      </c>
      <c r="H5613" s="15" t="s">
        <v>10</v>
      </c>
      <c r="I5613" s="15" t="s">
        <v>10</v>
      </c>
      <c r="J5613" s="15" t="s">
        <v>10</v>
      </c>
      <c r="K5613" s="15" t="s">
        <v>10</v>
      </c>
      <c r="L5613" s="15" t="s">
        <v>10</v>
      </c>
      <c r="M5613" s="15">
        <v>1.2663615244845239</v>
      </c>
      <c r="N5613" s="15">
        <v>1.2663615244845239</v>
      </c>
      <c r="O5613" s="15" t="s">
        <v>10</v>
      </c>
      <c r="P5613" s="15" t="s">
        <v>10</v>
      </c>
      <c r="Q5613" s="8"/>
      <c r="R5613" s="9" t="s">
        <v>5145</v>
      </c>
    </row>
    <row r="5614" spans="1:18" x14ac:dyDescent="0.25">
      <c r="A5614" s="6" t="str">
        <f>HYPERLINK("proteomic_fractions_linear_files/Yang_linear_img/14780884.jpg", "14780884")</f>
        <v>14780884</v>
      </c>
      <c r="B5614" s="7"/>
      <c r="C5614" s="6" t="str">
        <f>HYPERLINK("http://www.ncbi.nlm.nih.gov/protein/14780884","Poldip2")</f>
        <v>Poldip2</v>
      </c>
      <c r="D5614" s="8"/>
      <c r="E5614" s="8">
        <v>41739</v>
      </c>
      <c r="F5614" s="8"/>
      <c r="G5614" s="15" t="s">
        <v>10</v>
      </c>
      <c r="H5614" s="15" t="s">
        <v>10</v>
      </c>
      <c r="I5614" s="15">
        <v>0.82269944120179006</v>
      </c>
      <c r="J5614" s="15">
        <v>0.82269944120179006</v>
      </c>
      <c r="K5614" s="15" t="s">
        <v>10</v>
      </c>
      <c r="L5614" s="15" t="s">
        <v>10</v>
      </c>
      <c r="M5614" s="15" t="s">
        <v>10</v>
      </c>
      <c r="N5614" s="15" t="s">
        <v>10</v>
      </c>
      <c r="O5614" s="15" t="s">
        <v>10</v>
      </c>
      <c r="P5614" s="15" t="s">
        <v>10</v>
      </c>
      <c r="Q5614" s="8"/>
      <c r="R5614" s="9" t="s">
        <v>5146</v>
      </c>
    </row>
    <row r="5615" spans="1:18" x14ac:dyDescent="0.25">
      <c r="A5615" s="6" t="str">
        <f>HYPERLINK("proteomic_fractions_linear_files/Yang_linear_img/30519969.jpg", "30519969")</f>
        <v>30519969</v>
      </c>
      <c r="B5615" s="7"/>
      <c r="C5615" s="6" t="str">
        <f>HYPERLINK("http://www.ncbi.nlm.nih.gov/protein/30519969","Poldip3")</f>
        <v>Poldip3</v>
      </c>
      <c r="D5615" s="8"/>
      <c r="E5615" s="8">
        <v>46002</v>
      </c>
      <c r="F5615" s="8"/>
      <c r="G5615" s="15" t="s">
        <v>10</v>
      </c>
      <c r="H5615" s="15" t="s">
        <v>10</v>
      </c>
      <c r="I5615" s="15">
        <v>1.0497820779220708</v>
      </c>
      <c r="J5615" s="15">
        <v>1.0497820779220708</v>
      </c>
      <c r="K5615" s="15">
        <v>1.0497820779220708</v>
      </c>
      <c r="L5615" s="15">
        <v>1.0497820779220708</v>
      </c>
      <c r="M5615" s="15">
        <v>1.0497820779220708</v>
      </c>
      <c r="N5615" s="15">
        <v>1.0497820779220708</v>
      </c>
      <c r="O5615" s="15" t="s">
        <v>10</v>
      </c>
      <c r="P5615" s="15" t="s">
        <v>10</v>
      </c>
      <c r="Q5615" s="8"/>
      <c r="R5615" s="9" t="s">
        <v>5147</v>
      </c>
    </row>
    <row r="5616" spans="1:18" x14ac:dyDescent="0.25">
      <c r="A5616" s="6" t="str">
        <f>HYPERLINK("proteomic_fractions_linear_files/Yang_linear_img/195947387.jpg", "195947387")</f>
        <v>195947387</v>
      </c>
      <c r="B5616" s="7"/>
      <c r="C5616" s="6" t="str">
        <f>HYPERLINK("http://www.ncbi.nlm.nih.gov/protein/195947387","Pole")</f>
        <v>Pole</v>
      </c>
      <c r="D5616" s="8"/>
      <c r="E5616" s="8">
        <v>261970</v>
      </c>
      <c r="F5616" s="8"/>
      <c r="G5616" s="15" t="s">
        <v>10</v>
      </c>
      <c r="H5616" s="15" t="s">
        <v>10</v>
      </c>
      <c r="I5616" s="15">
        <v>0.89069025812156133</v>
      </c>
      <c r="J5616" s="15">
        <v>0.89069025812156133</v>
      </c>
      <c r="K5616" s="15">
        <v>1.1518447505209877</v>
      </c>
      <c r="L5616" s="15">
        <v>1.1518447505209877</v>
      </c>
      <c r="M5616" s="15">
        <v>1.1518447505209877</v>
      </c>
      <c r="N5616" s="15">
        <v>1.1518447505209877</v>
      </c>
      <c r="O5616" s="15">
        <v>1.1518447505209877</v>
      </c>
      <c r="P5616" s="15">
        <v>1.1518447505209877</v>
      </c>
      <c r="Q5616" s="8"/>
      <c r="R5616" s="9" t="s">
        <v>5148</v>
      </c>
    </row>
    <row r="5617" spans="1:18" x14ac:dyDescent="0.25">
      <c r="A5617" s="6" t="str">
        <f>HYPERLINK("proteomic_fractions_linear_files/Yang_linear_img/33468927.jpg", "33468927")</f>
        <v>33468927</v>
      </c>
      <c r="B5617" s="7"/>
      <c r="C5617" s="6" t="str">
        <f>HYPERLINK("http://www.ncbi.nlm.nih.gov/protein/33468927","Pole2")</f>
        <v>Pole2</v>
      </c>
      <c r="D5617" s="8"/>
      <c r="E5617" s="8">
        <v>59256</v>
      </c>
      <c r="F5617" s="8"/>
      <c r="G5617" s="15" t="s">
        <v>10</v>
      </c>
      <c r="H5617" s="15" t="s">
        <v>10</v>
      </c>
      <c r="I5617" s="15" t="s">
        <v>10</v>
      </c>
      <c r="J5617" s="15" t="s">
        <v>10</v>
      </c>
      <c r="K5617" s="15" t="s">
        <v>10</v>
      </c>
      <c r="L5617" s="15" t="s">
        <v>10</v>
      </c>
      <c r="M5617" s="15">
        <v>0.90034863779662844</v>
      </c>
      <c r="N5617" s="15">
        <v>0.90034863779662844</v>
      </c>
      <c r="O5617" s="15" t="s">
        <v>10</v>
      </c>
      <c r="P5617" s="15" t="s">
        <v>10</v>
      </c>
      <c r="Q5617" s="8"/>
      <c r="R5617" s="9" t="s">
        <v>5149</v>
      </c>
    </row>
    <row r="5618" spans="1:18" x14ac:dyDescent="0.25">
      <c r="A5618" s="6" t="str">
        <f>HYPERLINK("proteomic_fractions_linear_files/Yang_linear_img/31981174.jpg", "31981174")</f>
        <v>31981174</v>
      </c>
      <c r="B5618" s="7"/>
      <c r="C5618" s="6" t="str">
        <f>HYPERLINK("http://www.ncbi.nlm.nih.gov/protein/31981174","Pole3")</f>
        <v>Pole3</v>
      </c>
      <c r="D5618" s="8"/>
      <c r="E5618" s="8">
        <v>16541</v>
      </c>
      <c r="F5618" s="8"/>
      <c r="G5618" s="15" t="s">
        <v>10</v>
      </c>
      <c r="H5618" s="15" t="s">
        <v>10</v>
      </c>
      <c r="I5618" s="15" t="s">
        <v>10</v>
      </c>
      <c r="J5618" s="15" t="s">
        <v>10</v>
      </c>
      <c r="K5618" s="15" t="s">
        <v>10</v>
      </c>
      <c r="L5618" s="15" t="s">
        <v>10</v>
      </c>
      <c r="M5618" s="15">
        <v>1.0335258685505275</v>
      </c>
      <c r="N5618" s="15">
        <v>1.0335258685505275</v>
      </c>
      <c r="O5618" s="15">
        <v>0.98332203062394252</v>
      </c>
      <c r="P5618" s="15">
        <v>0.98332203062394252</v>
      </c>
      <c r="Q5618" s="8"/>
      <c r="R5618" s="9" t="s">
        <v>5150</v>
      </c>
    </row>
    <row r="5619" spans="1:18" x14ac:dyDescent="0.25">
      <c r="A5619" s="6" t="str">
        <f>HYPERLINK("proteomic_fractions_linear_files/Yang_linear_img/13385366.jpg", "13385366")</f>
        <v>13385366</v>
      </c>
      <c r="B5619" s="7"/>
      <c r="C5619" s="6" t="str">
        <f>HYPERLINK("http://www.ncbi.nlm.nih.gov/protein/13385366","Pole4")</f>
        <v>Pole4</v>
      </c>
      <c r="D5619" s="8"/>
      <c r="E5619" s="8">
        <v>12109</v>
      </c>
      <c r="F5619" s="8"/>
      <c r="G5619" s="15" t="s">
        <v>10</v>
      </c>
      <c r="H5619" s="15" t="s">
        <v>10</v>
      </c>
      <c r="I5619" s="15" t="s">
        <v>10</v>
      </c>
      <c r="J5619" s="15" t="s">
        <v>10</v>
      </c>
      <c r="K5619" s="15">
        <v>1.5412749303803404</v>
      </c>
      <c r="L5619" s="15">
        <v>1.5412749303803404</v>
      </c>
      <c r="M5619" s="15">
        <v>1.5412749303803404</v>
      </c>
      <c r="N5619" s="15">
        <v>1.5412749303803404</v>
      </c>
      <c r="O5619" s="15">
        <v>1.4641616471132473</v>
      </c>
      <c r="P5619" s="15">
        <v>1.4641616471132473</v>
      </c>
      <c r="Q5619" s="8"/>
      <c r="R5619" s="9" t="s">
        <v>5151</v>
      </c>
    </row>
    <row r="5620" spans="1:18" x14ac:dyDescent="0.25">
      <c r="A5620" s="6" t="str">
        <f>HYPERLINK("proteomic_fractions_linear_files/Yang_linear_img/256985188.jpg", "256985188")</f>
        <v>256985188</v>
      </c>
      <c r="B5620" s="7"/>
      <c r="C5620" s="6" t="str">
        <f>HYPERLINK("http://www.ncbi.nlm.nih.gov/protein/256985188","Polr1a")</f>
        <v>Polr1a</v>
      </c>
      <c r="D5620" s="8"/>
      <c r="E5620" s="8">
        <v>193980</v>
      </c>
      <c r="F5620" s="8"/>
      <c r="G5620" s="15" t="s">
        <v>10</v>
      </c>
      <c r="H5620" s="15" t="s">
        <v>10</v>
      </c>
      <c r="I5620" s="15" t="s">
        <v>10</v>
      </c>
      <c r="J5620" s="15" t="s">
        <v>10</v>
      </c>
      <c r="K5620" s="15">
        <v>1.2028909671538612</v>
      </c>
      <c r="L5620" s="15">
        <v>1.2028909671538612</v>
      </c>
      <c r="M5620" s="15" t="s">
        <v>10</v>
      </c>
      <c r="N5620" s="15" t="s">
        <v>10</v>
      </c>
      <c r="O5620" s="15" t="s">
        <v>10</v>
      </c>
      <c r="P5620" s="15" t="s">
        <v>10</v>
      </c>
      <c r="Q5620" s="8"/>
      <c r="R5620" s="9" t="s">
        <v>5152</v>
      </c>
    </row>
    <row r="5621" spans="1:18" x14ac:dyDescent="0.25">
      <c r="A5621" s="6" t="str">
        <f>HYPERLINK("proteomic_fractions_linear_files/Yang_linear_img/224967092.jpg", "224967092")</f>
        <v>224967092</v>
      </c>
      <c r="B5621" s="7"/>
      <c r="C5621" s="6" t="str">
        <f>HYPERLINK("http://www.ncbi.nlm.nih.gov/protein/224967092","Polr1b")</f>
        <v>Polr1b</v>
      </c>
      <c r="D5621" s="8"/>
      <c r="E5621" s="8">
        <v>128082</v>
      </c>
      <c r="F5621" s="8"/>
      <c r="G5621" s="15" t="s">
        <v>10</v>
      </c>
      <c r="H5621" s="15" t="s">
        <v>10</v>
      </c>
      <c r="I5621" s="15" t="s">
        <v>10</v>
      </c>
      <c r="J5621" s="15" t="s">
        <v>10</v>
      </c>
      <c r="K5621" s="15">
        <v>1.1988505557518894</v>
      </c>
      <c r="L5621" s="15">
        <v>1.1988505557518894</v>
      </c>
      <c r="M5621" s="15" t="s">
        <v>10</v>
      </c>
      <c r="N5621" s="15" t="s">
        <v>10</v>
      </c>
      <c r="O5621" s="15" t="s">
        <v>10</v>
      </c>
      <c r="P5621" s="15" t="s">
        <v>10</v>
      </c>
      <c r="Q5621" s="8"/>
      <c r="R5621" s="9" t="s">
        <v>5153</v>
      </c>
    </row>
    <row r="5622" spans="1:18" x14ac:dyDescent="0.25">
      <c r="A5622" s="6" t="str">
        <f>HYPERLINK("proteomic_fractions_linear_files/Yang_linear_img/119226251.jpg", "119226251")</f>
        <v>119226251</v>
      </c>
      <c r="B5622" s="7"/>
      <c r="C5622" s="6" t="str">
        <f>HYPERLINK("http://www.ncbi.nlm.nih.gov/protein/119226251","Polr1c")</f>
        <v>Polr1c</v>
      </c>
      <c r="D5622" s="8"/>
      <c r="E5622" s="8">
        <v>38976</v>
      </c>
      <c r="F5622" s="8"/>
      <c r="G5622" s="15" t="s">
        <v>10</v>
      </c>
      <c r="H5622" s="15" t="s">
        <v>10</v>
      </c>
      <c r="I5622" s="15">
        <v>1.038649184698019</v>
      </c>
      <c r="J5622" s="15">
        <v>1.038649184698019</v>
      </c>
      <c r="K5622" s="15">
        <v>1.1314253653068069</v>
      </c>
      <c r="L5622" s="15">
        <v>1.1314253653068069</v>
      </c>
      <c r="M5622" s="15">
        <v>1.038649184698019</v>
      </c>
      <c r="N5622" s="15">
        <v>1.038649184698019</v>
      </c>
      <c r="O5622" s="15">
        <v>0.95746990828524592</v>
      </c>
      <c r="P5622" s="15">
        <v>0.95746990828524592</v>
      </c>
      <c r="Q5622" s="8"/>
      <c r="R5622" s="9" t="s">
        <v>5154</v>
      </c>
    </row>
    <row r="5623" spans="1:18" x14ac:dyDescent="0.25">
      <c r="A5623" s="6" t="str">
        <f>HYPERLINK("proteomic_fractions_linear_files/Yang_linear_img/6677791.jpg", "6677791")</f>
        <v>6677791</v>
      </c>
      <c r="B5623" s="7"/>
      <c r="C5623" s="6" t="str">
        <f>HYPERLINK("http://www.ncbi.nlm.nih.gov/protein/6677791","Polr1d")</f>
        <v>Polr1d</v>
      </c>
      <c r="D5623" s="8"/>
      <c r="E5623" s="8">
        <v>14941</v>
      </c>
      <c r="F5623" s="8"/>
      <c r="G5623" s="15" t="s">
        <v>10</v>
      </c>
      <c r="H5623" s="15" t="s">
        <v>10</v>
      </c>
      <c r="I5623" s="15">
        <v>1.0130892195876191</v>
      </c>
      <c r="J5623" s="15">
        <v>1.0130892195876191</v>
      </c>
      <c r="K5623" s="15">
        <v>1.0618294522121183</v>
      </c>
      <c r="L5623" s="15">
        <v>1.0618294522121183</v>
      </c>
      <c r="M5623" s="15">
        <v>1.0618294522121183</v>
      </c>
      <c r="N5623" s="15">
        <v>1.0618294522121183</v>
      </c>
      <c r="O5623" s="15">
        <v>0.96783158145802317</v>
      </c>
      <c r="P5623" s="15">
        <v>0.96783158145802317</v>
      </c>
      <c r="Q5623" s="8"/>
      <c r="R5623" s="9" t="s">
        <v>5155</v>
      </c>
    </row>
    <row r="5624" spans="1:18" x14ac:dyDescent="0.25">
      <c r="A5624" s="6" t="str">
        <f>HYPERLINK("proteomic_fractions_linear_files/Yang_linear_img/6677795.jpg", "6677795")</f>
        <v>6677795</v>
      </c>
      <c r="B5624" s="7"/>
      <c r="C5624" s="6" t="str">
        <f>HYPERLINK("http://www.ncbi.nlm.nih.gov/protein/6677795","Polr2a")</f>
        <v>Polr2a</v>
      </c>
      <c r="D5624" s="8"/>
      <c r="E5624" s="8">
        <v>213351</v>
      </c>
      <c r="F5624" s="8"/>
      <c r="G5624" s="15" t="s">
        <v>10</v>
      </c>
      <c r="H5624" s="15" t="s">
        <v>10</v>
      </c>
      <c r="I5624" s="15">
        <v>1.0955908339335636</v>
      </c>
      <c r="J5624" s="15">
        <v>1.0955908339335636</v>
      </c>
      <c r="K5624" s="15" t="s">
        <v>10</v>
      </c>
      <c r="L5624" s="15" t="s">
        <v>10</v>
      </c>
      <c r="M5624" s="15">
        <v>1.0955908339335636</v>
      </c>
      <c r="N5624" s="15">
        <v>1.0955908339335636</v>
      </c>
      <c r="O5624" s="15">
        <v>1.0955908339335636</v>
      </c>
      <c r="P5624" s="15">
        <v>1.0955908339335636</v>
      </c>
      <c r="Q5624" s="8"/>
      <c r="R5624" s="9" t="s">
        <v>5156</v>
      </c>
    </row>
    <row r="5625" spans="1:18" x14ac:dyDescent="0.25">
      <c r="A5625" s="6" t="str">
        <f>HYPERLINK("proteomic_fractions_linear_files/Yang_linear_img/226958589.jpg", "226958589")</f>
        <v>226958589</v>
      </c>
      <c r="B5625" s="7"/>
      <c r="C5625" s="6" t="str">
        <f>HYPERLINK("http://www.ncbi.nlm.nih.gov/protein/226958589","Polr2b")</f>
        <v>Polr2b</v>
      </c>
      <c r="D5625" s="8"/>
      <c r="E5625" s="8">
        <v>133780</v>
      </c>
      <c r="F5625" s="8"/>
      <c r="G5625" s="15" t="s">
        <v>10</v>
      </c>
      <c r="H5625" s="15" t="s">
        <v>10</v>
      </c>
      <c r="I5625" s="15">
        <v>1.1451706801212078</v>
      </c>
      <c r="J5625" s="15">
        <v>1.1451706801212078</v>
      </c>
      <c r="K5625" s="15">
        <v>1.3937748629846296</v>
      </c>
      <c r="L5625" s="15">
        <v>1.3937748629846296</v>
      </c>
      <c r="M5625" s="15">
        <v>1.1451706801212078</v>
      </c>
      <c r="N5625" s="15">
        <v>1.1451706801212078</v>
      </c>
      <c r="O5625" s="15">
        <v>1.1451706801212078</v>
      </c>
      <c r="P5625" s="15">
        <v>1.1451706801212078</v>
      </c>
      <c r="Q5625" s="8"/>
      <c r="R5625" s="9" t="s">
        <v>5157</v>
      </c>
    </row>
    <row r="5626" spans="1:18" x14ac:dyDescent="0.25">
      <c r="A5626" s="6" t="str">
        <f>HYPERLINK("proteomic_fractions_linear_files/Yang_linear_img/29336059.jpg", "29336059")</f>
        <v>29336059</v>
      </c>
      <c r="B5626" s="7"/>
      <c r="C5626" s="6" t="str">
        <f>HYPERLINK("http://www.ncbi.nlm.nih.gov/protein/29336059","Polr2c")</f>
        <v>Polr2c</v>
      </c>
      <c r="D5626" s="8"/>
      <c r="E5626" s="8">
        <v>31312</v>
      </c>
      <c r="F5626" s="8"/>
      <c r="G5626" s="15" t="s">
        <v>10</v>
      </c>
      <c r="H5626" s="15" t="s">
        <v>10</v>
      </c>
      <c r="I5626" s="15">
        <v>1.0349700921204383</v>
      </c>
      <c r="J5626" s="15">
        <v>1.0349700921204383</v>
      </c>
      <c r="K5626" s="15">
        <v>1.0349700921204383</v>
      </c>
      <c r="L5626" s="15">
        <v>1.1146250493701673</v>
      </c>
      <c r="M5626" s="15">
        <v>1.0349700921204383</v>
      </c>
      <c r="N5626" s="15">
        <v>1.0349700921204383</v>
      </c>
      <c r="O5626" s="15">
        <v>0.96404538360364944</v>
      </c>
      <c r="P5626" s="15">
        <v>0.96404538360364944</v>
      </c>
      <c r="Q5626" s="8"/>
      <c r="R5626" s="9" t="s">
        <v>5158</v>
      </c>
    </row>
    <row r="5627" spans="1:18" x14ac:dyDescent="0.25">
      <c r="A5627" s="6" t="str">
        <f>HYPERLINK("proteomic_fractions_linear_files/Yang_linear_img/28076931.jpg", "28076931")</f>
        <v>28076931</v>
      </c>
      <c r="B5627" s="7"/>
      <c r="C5627" s="6" t="str">
        <f>HYPERLINK("http://www.ncbi.nlm.nih.gov/protein/28076931","Polr2d")</f>
        <v>Polr2d</v>
      </c>
      <c r="D5627" s="8"/>
      <c r="E5627" s="8">
        <v>12136</v>
      </c>
      <c r="F5627" s="8"/>
      <c r="G5627" s="15" t="s">
        <v>10</v>
      </c>
      <c r="H5627" s="15" t="s">
        <v>10</v>
      </c>
      <c r="I5627" s="15" t="s">
        <v>10</v>
      </c>
      <c r="J5627" s="15" t="s">
        <v>10</v>
      </c>
      <c r="K5627" s="15" t="s">
        <v>10</v>
      </c>
      <c r="L5627" s="15" t="s">
        <v>10</v>
      </c>
      <c r="M5627" s="15">
        <v>1.4641616471132473</v>
      </c>
      <c r="N5627" s="15">
        <v>1.4641616471132473</v>
      </c>
      <c r="O5627" s="15" t="s">
        <v>10</v>
      </c>
      <c r="P5627" s="15" t="s">
        <v>10</v>
      </c>
      <c r="Q5627" s="8"/>
      <c r="R5627" s="9" t="s">
        <v>5159</v>
      </c>
    </row>
    <row r="5628" spans="1:18" x14ac:dyDescent="0.25">
      <c r="A5628" s="6" t="str">
        <f>HYPERLINK("proteomic_fractions_linear_files/Yang_linear_img/21312246.jpg", "21312246")</f>
        <v>21312246</v>
      </c>
      <c r="B5628" s="7"/>
      <c r="C5628" s="6" t="str">
        <f>HYPERLINK("http://www.ncbi.nlm.nih.gov/protein/21312246","Polr2d")</f>
        <v>Polr2d</v>
      </c>
      <c r="D5628" s="8"/>
      <c r="E5628" s="8">
        <v>16180</v>
      </c>
      <c r="F5628" s="8"/>
      <c r="G5628" s="15">
        <v>1.5346762883298073</v>
      </c>
      <c r="H5628" s="15">
        <v>1.5346762883298073</v>
      </c>
      <c r="I5628" s="15" t="s">
        <v>10</v>
      </c>
      <c r="J5628" s="15" t="s">
        <v>10</v>
      </c>
      <c r="K5628" s="15" t="s">
        <v>10</v>
      </c>
      <c r="L5628" s="15" t="s">
        <v>10</v>
      </c>
      <c r="M5628" s="15">
        <v>1.0447796575379389</v>
      </c>
      <c r="N5628" s="15">
        <v>1.0981212353349354</v>
      </c>
      <c r="O5628" s="15" t="s">
        <v>10</v>
      </c>
      <c r="P5628" s="15" t="s">
        <v>10</v>
      </c>
      <c r="Q5628" s="8"/>
      <c r="R5628" s="9" t="s">
        <v>5160</v>
      </c>
    </row>
    <row r="5629" spans="1:18" x14ac:dyDescent="0.25">
      <c r="A5629" s="6" t="str">
        <f>HYPERLINK("proteomic_fractions_linear_files/Yang_linear_img/124249077.jpg", "124249077")</f>
        <v>124249077</v>
      </c>
      <c r="B5629" s="7"/>
      <c r="C5629" s="6" t="str">
        <f>HYPERLINK("http://www.ncbi.nlm.nih.gov/protein/124249077","Polr2e")</f>
        <v>Polr2e</v>
      </c>
      <c r="D5629" s="8"/>
      <c r="E5629" s="8">
        <v>24439</v>
      </c>
      <c r="F5629" s="8"/>
      <c r="G5629" s="15">
        <v>0.90815592794494793</v>
      </c>
      <c r="H5629" s="15">
        <v>0.90815592794494793</v>
      </c>
      <c r="I5629" s="15">
        <v>0.96289889061322687</v>
      </c>
      <c r="J5629" s="15">
        <v>0.96289889061322687</v>
      </c>
      <c r="K5629" s="15">
        <v>1.0231175255532048</v>
      </c>
      <c r="L5629" s="15">
        <v>1.0231175255532048</v>
      </c>
      <c r="M5629" s="15">
        <v>0.96289889061322687</v>
      </c>
      <c r="N5629" s="15">
        <v>0.96289889061322687</v>
      </c>
      <c r="O5629" s="15">
        <v>0.85822671611067802</v>
      </c>
      <c r="P5629" s="15">
        <v>0.85822671611067802</v>
      </c>
      <c r="Q5629" s="8"/>
      <c r="R5629" s="9" t="s">
        <v>5161</v>
      </c>
    </row>
    <row r="5630" spans="1:18" x14ac:dyDescent="0.25">
      <c r="A5630" s="6" t="str">
        <f>HYPERLINK("proteomic_fractions_linear_files/Yang_linear_img/13385826.jpg", "13385826")</f>
        <v>13385826</v>
      </c>
      <c r="B5630" s="7"/>
      <c r="C5630" s="6" t="str">
        <f>HYPERLINK("http://www.ncbi.nlm.nih.gov/protein/13385826","Polr2g")</f>
        <v>Polr2g</v>
      </c>
      <c r="D5630" s="8"/>
      <c r="E5630" s="8">
        <v>19163</v>
      </c>
      <c r="F5630" s="8"/>
      <c r="G5630" s="15" t="s">
        <v>10</v>
      </c>
      <c r="H5630" s="15" t="s">
        <v>10</v>
      </c>
      <c r="I5630" s="15">
        <v>1.0263763067386986</v>
      </c>
      <c r="J5630" s="15">
        <v>1.0263763067386986</v>
      </c>
      <c r="K5630" s="15" t="s">
        <v>10</v>
      </c>
      <c r="L5630" s="15" t="s">
        <v>10</v>
      </c>
      <c r="M5630" s="15">
        <v>1.0840758519292775</v>
      </c>
      <c r="N5630" s="15">
        <v>1.0840758519292775</v>
      </c>
      <c r="O5630" s="15">
        <v>1.0840758519292775</v>
      </c>
      <c r="P5630" s="15">
        <v>1.0840758519292775</v>
      </c>
      <c r="Q5630" s="8"/>
      <c r="R5630" s="9" t="s">
        <v>5162</v>
      </c>
    </row>
    <row r="5631" spans="1:18" x14ac:dyDescent="0.25">
      <c r="A5631" s="6" t="str">
        <f>HYPERLINK("proteomic_fractions_linear_files/Yang_linear_img/21704118.jpg", "21704118")</f>
        <v>21704118</v>
      </c>
      <c r="B5631" s="7"/>
      <c r="C5631" s="6" t="str">
        <f>HYPERLINK("http://www.ncbi.nlm.nih.gov/protein/21704118","Polr2h")</f>
        <v>Polr2h</v>
      </c>
      <c r="D5631" s="8"/>
      <c r="E5631" s="8">
        <v>17012</v>
      </c>
      <c r="F5631" s="8"/>
      <c r="G5631" s="15">
        <v>1.3593866691010261</v>
      </c>
      <c r="H5631" s="15">
        <v>1.3593866691010261</v>
      </c>
      <c r="I5631" s="15">
        <v>0.98332203062394252</v>
      </c>
      <c r="J5631" s="15">
        <v>0.98332203062394252</v>
      </c>
      <c r="K5631" s="15">
        <v>0.98332203062394252</v>
      </c>
      <c r="L5631" s="15">
        <v>0.98332203062394252</v>
      </c>
      <c r="M5631" s="15">
        <v>0.98332203062394252</v>
      </c>
      <c r="N5631" s="15">
        <v>0.98332203062394252</v>
      </c>
      <c r="O5631" s="15">
        <v>0.93690834018716329</v>
      </c>
      <c r="P5631" s="15">
        <v>0.93690834018716329</v>
      </c>
      <c r="Q5631" s="8"/>
      <c r="R5631" s="9" t="s">
        <v>5163</v>
      </c>
    </row>
    <row r="5632" spans="1:18" x14ac:dyDescent="0.25">
      <c r="A5632" s="6" t="str">
        <f>HYPERLINK("proteomic_fractions_linear_files/Yang_linear_img/110625757.jpg", "110625757")</f>
        <v>110625757</v>
      </c>
      <c r="B5632" s="7"/>
      <c r="C5632" s="6" t="str">
        <f>HYPERLINK("http://www.ncbi.nlm.nih.gov/protein/110625757","Polr2i")</f>
        <v>Polr2i</v>
      </c>
      <c r="D5632" s="8"/>
      <c r="E5632" s="8">
        <v>14392</v>
      </c>
      <c r="F5632" s="8"/>
      <c r="G5632" s="15" t="s">
        <v>10</v>
      </c>
      <c r="H5632" s="15" t="s">
        <v>10</v>
      </c>
      <c r="I5632" s="15" t="s">
        <v>10</v>
      </c>
      <c r="J5632" s="15" t="s">
        <v>10</v>
      </c>
      <c r="K5632" s="15" t="s">
        <v>10</v>
      </c>
      <c r="L5632" s="15" t="s">
        <v>10</v>
      </c>
      <c r="M5632" s="15">
        <v>1.085452735272449</v>
      </c>
      <c r="N5632" s="15">
        <v>1.085452735272449</v>
      </c>
      <c r="O5632" s="15">
        <v>1.0369624087050249</v>
      </c>
      <c r="P5632" s="15">
        <v>1.0369624087050249</v>
      </c>
      <c r="Q5632" s="8"/>
      <c r="R5632" s="9" t="s">
        <v>5164</v>
      </c>
    </row>
    <row r="5633" spans="1:18" x14ac:dyDescent="0.25">
      <c r="A5633" s="6" t="str">
        <f>HYPERLINK("proteomic_fractions_linear_files/Yang_linear_img/188219604.jpg", "188219604")</f>
        <v>188219604</v>
      </c>
      <c r="B5633" s="7"/>
      <c r="C5633" s="6" t="str">
        <f>HYPERLINK("http://www.ncbi.nlm.nih.gov/protein/188219604","Polr2j")</f>
        <v>Polr2j</v>
      </c>
      <c r="D5633" s="8"/>
      <c r="E5633" s="8">
        <v>13162</v>
      </c>
      <c r="F5633" s="8"/>
      <c r="G5633" s="15">
        <v>1.0228510786924256</v>
      </c>
      <c r="H5633" s="15">
        <v>1.0228510786924256</v>
      </c>
      <c r="I5633" s="15">
        <v>1.0228510786924256</v>
      </c>
      <c r="J5633" s="15">
        <v>1.0228510786924256</v>
      </c>
      <c r="K5633" s="15">
        <v>1.068142346148973</v>
      </c>
      <c r="L5633" s="15">
        <v>1.068142346148973</v>
      </c>
      <c r="M5633" s="15">
        <v>1.1167287478361805</v>
      </c>
      <c r="N5633" s="15">
        <v>1.1167287478361805</v>
      </c>
      <c r="O5633" s="15">
        <v>0.98055533399520201</v>
      </c>
      <c r="P5633" s="15">
        <v>1.0228510786924256</v>
      </c>
      <c r="Q5633" s="8"/>
      <c r="R5633" s="9" t="s">
        <v>5165</v>
      </c>
    </row>
    <row r="5634" spans="1:18" x14ac:dyDescent="0.25">
      <c r="A5634" s="6" t="str">
        <f>HYPERLINK("proteomic_fractions_linear_files/Yang_linear_img/219881031.jpg", "219881031")</f>
        <v>219881031</v>
      </c>
      <c r="B5634" s="7"/>
      <c r="C5634" s="6" t="str">
        <f>HYPERLINK("http://www.ncbi.nlm.nih.gov/protein/219881031","Polr2l")</f>
        <v>Polr2l</v>
      </c>
      <c r="D5634" s="8"/>
      <c r="E5634" s="8">
        <v>7514</v>
      </c>
      <c r="F5634" s="8"/>
      <c r="G5634" s="15" t="s">
        <v>10</v>
      </c>
      <c r="H5634" s="15" t="s">
        <v>10</v>
      </c>
      <c r="I5634" s="15" t="s">
        <v>10</v>
      </c>
      <c r="J5634" s="15" t="s">
        <v>10</v>
      </c>
      <c r="K5634" s="15">
        <v>1.5291076615414196</v>
      </c>
      <c r="L5634" s="15">
        <v>1.5291076615414196</v>
      </c>
      <c r="M5634" s="15" t="s">
        <v>10</v>
      </c>
      <c r="N5634" s="15" t="s">
        <v>10</v>
      </c>
      <c r="O5634" s="15" t="s">
        <v>10</v>
      </c>
      <c r="P5634" s="15" t="s">
        <v>10</v>
      </c>
      <c r="Q5634" s="8"/>
      <c r="R5634" s="9" t="s">
        <v>5166</v>
      </c>
    </row>
    <row r="5635" spans="1:18" x14ac:dyDescent="0.25">
      <c r="A5635" s="6" t="str">
        <f>HYPERLINK("proteomic_fractions_linear_files/Yang_linear_img/258645114.jpg", "258645114")</f>
        <v>258645114</v>
      </c>
      <c r="B5635" s="7"/>
      <c r="C5635" s="6" t="str">
        <f>HYPERLINK("http://www.ncbi.nlm.nih.gov/protein/258645114","Polr2m")</f>
        <v>Polr2m</v>
      </c>
      <c r="D5635" s="8"/>
      <c r="E5635" s="8">
        <v>29244</v>
      </c>
      <c r="F5635" s="8"/>
      <c r="G5635" s="15" t="s">
        <v>10</v>
      </c>
      <c r="H5635" s="15" t="s">
        <v>10</v>
      </c>
      <c r="I5635" s="15" t="s">
        <v>10</v>
      </c>
      <c r="J5635" s="15" t="s">
        <v>10</v>
      </c>
      <c r="K5635" s="15" t="s">
        <v>10</v>
      </c>
      <c r="L5635" s="15" t="s">
        <v>10</v>
      </c>
      <c r="M5635" s="15" t="s">
        <v>10</v>
      </c>
      <c r="N5635" s="15" t="s">
        <v>10</v>
      </c>
      <c r="O5635" s="15">
        <v>1.5215720429988093</v>
      </c>
      <c r="P5635" s="15">
        <v>1.5215720429988093</v>
      </c>
      <c r="Q5635" s="8"/>
      <c r="R5635" s="9" t="s">
        <v>5167</v>
      </c>
    </row>
    <row r="5636" spans="1:18" x14ac:dyDescent="0.25">
      <c r="A5636" s="6" t="str">
        <f>HYPERLINK("proteomic_fractions_linear_files/Yang_linear_img/30519919.jpg", "30519919")</f>
        <v>30519919</v>
      </c>
      <c r="B5636" s="7"/>
      <c r="C5636" s="6" t="str">
        <f>HYPERLINK("http://www.ncbi.nlm.nih.gov/protein/30519919","Polr2m")</f>
        <v>Polr2m</v>
      </c>
      <c r="D5636" s="8"/>
      <c r="E5636" s="8">
        <v>41106</v>
      </c>
      <c r="F5636" s="8"/>
      <c r="G5636" s="15" t="s">
        <v>10</v>
      </c>
      <c r="H5636" s="15" t="s">
        <v>10</v>
      </c>
      <c r="I5636" s="15" t="s">
        <v>10</v>
      </c>
      <c r="J5636" s="15" t="s">
        <v>10</v>
      </c>
      <c r="K5636" s="15" t="s">
        <v>10</v>
      </c>
      <c r="L5636" s="15" t="s">
        <v>10</v>
      </c>
      <c r="M5636" s="15" t="s">
        <v>10</v>
      </c>
      <c r="N5636" s="15" t="s">
        <v>10</v>
      </c>
      <c r="O5636" s="15">
        <v>1.0762338840723285</v>
      </c>
      <c r="P5636" s="15">
        <v>1.0762338840723285</v>
      </c>
      <c r="Q5636" s="8"/>
      <c r="R5636" s="9" t="s">
        <v>5168</v>
      </c>
    </row>
    <row r="5637" spans="1:18" x14ac:dyDescent="0.25">
      <c r="A5637" s="6" t="str">
        <f>HYPERLINK("proteomic_fractions_linear_files/Yang_linear_img/46195739.jpg", "46195739")</f>
        <v>46195739</v>
      </c>
      <c r="B5637" s="7"/>
      <c r="C5637" s="6" t="str">
        <f>HYPERLINK("http://www.ncbi.nlm.nih.gov/protein/46195739","Polr3b")</f>
        <v>Polr3b</v>
      </c>
      <c r="D5637" s="8"/>
      <c r="E5637" s="8">
        <v>127584</v>
      </c>
      <c r="F5637" s="8"/>
      <c r="G5637" s="15" t="s">
        <v>10</v>
      </c>
      <c r="H5637" s="15" t="s">
        <v>10</v>
      </c>
      <c r="I5637" s="15" t="s">
        <v>10</v>
      </c>
      <c r="J5637" s="15" t="s">
        <v>10</v>
      </c>
      <c r="K5637" s="15" t="s">
        <v>10</v>
      </c>
      <c r="L5637" s="15" t="s">
        <v>10</v>
      </c>
      <c r="M5637" s="15">
        <v>1.1988505557518894</v>
      </c>
      <c r="N5637" s="15">
        <v>1.1988505557518894</v>
      </c>
      <c r="O5637" s="15" t="s">
        <v>10</v>
      </c>
      <c r="P5637" s="15" t="s">
        <v>10</v>
      </c>
      <c r="Q5637" s="8"/>
      <c r="R5637" s="9" t="s">
        <v>5169</v>
      </c>
    </row>
    <row r="5638" spans="1:18" x14ac:dyDescent="0.25">
      <c r="A5638" s="6" t="str">
        <f>HYPERLINK("proteomic_fractions_linear_files/Yang_linear_img/198278473.jpg", "198278473")</f>
        <v>198278473</v>
      </c>
      <c r="B5638" s="7"/>
      <c r="C5638" s="6" t="str">
        <f>HYPERLINK("http://www.ncbi.nlm.nih.gov/protein/198278473","Polr3c")</f>
        <v>Polr3c</v>
      </c>
      <c r="D5638" s="8"/>
      <c r="E5638" s="8">
        <v>60575</v>
      </c>
      <c r="F5638" s="8"/>
      <c r="G5638" s="15" t="s">
        <v>10</v>
      </c>
      <c r="H5638" s="15" t="s">
        <v>10</v>
      </c>
      <c r="I5638" s="15" t="s">
        <v>10</v>
      </c>
      <c r="J5638" s="15" t="s">
        <v>10</v>
      </c>
      <c r="K5638" s="15" t="s">
        <v>10</v>
      </c>
      <c r="L5638" s="15" t="s">
        <v>10</v>
      </c>
      <c r="M5638" s="15">
        <v>1.0730043168941694</v>
      </c>
      <c r="N5638" s="15">
        <v>1.0730043168941694</v>
      </c>
      <c r="O5638" s="15">
        <v>0.96349520632121066</v>
      </c>
      <c r="P5638" s="15">
        <v>0.96349520632121066</v>
      </c>
      <c r="Q5638" s="8"/>
      <c r="R5638" s="9" t="s">
        <v>5170</v>
      </c>
    </row>
    <row r="5639" spans="1:18" x14ac:dyDescent="0.25">
      <c r="A5639" s="6" t="str">
        <f>HYPERLINK("proteomic_fractions_linear_files/Yang_linear_img/27754160.jpg", "27754160")</f>
        <v>27754160</v>
      </c>
      <c r="B5639" s="7"/>
      <c r="C5639" s="6" t="str">
        <f>HYPERLINK("http://www.ncbi.nlm.nih.gov/protein/27754160","Polr3f")</f>
        <v>Polr3f</v>
      </c>
      <c r="D5639" s="8"/>
      <c r="E5639" s="8">
        <v>35521</v>
      </c>
      <c r="F5639" s="8"/>
      <c r="G5639" s="15" t="s">
        <v>10</v>
      </c>
      <c r="H5639" s="15" t="s">
        <v>10</v>
      </c>
      <c r="I5639" s="15" t="s">
        <v>10</v>
      </c>
      <c r="J5639" s="15" t="s">
        <v>10</v>
      </c>
      <c r="K5639" s="15">
        <v>0.95981601473542177</v>
      </c>
      <c r="L5639" s="15">
        <v>0.95981601473542177</v>
      </c>
      <c r="M5639" s="15">
        <v>0.95981601473542177</v>
      </c>
      <c r="N5639" s="15">
        <v>0.95981601473542177</v>
      </c>
      <c r="O5639" s="15" t="s">
        <v>10</v>
      </c>
      <c r="P5639" s="15" t="s">
        <v>10</v>
      </c>
      <c r="Q5639" s="8"/>
      <c r="R5639" s="9" t="s">
        <v>5171</v>
      </c>
    </row>
    <row r="5640" spans="1:18" x14ac:dyDescent="0.25">
      <c r="A5640" s="6" t="str">
        <f>HYPERLINK("proteomic_fractions_linear_files/Yang_linear_img/281332113.jpg", "281332113")</f>
        <v>281332113</v>
      </c>
      <c r="B5640" s="7"/>
      <c r="C5640" s="6" t="str">
        <f>HYPERLINK("http://www.ncbi.nlm.nih.gov/protein/281332113","Polrmt")</f>
        <v>Polrmt</v>
      </c>
      <c r="D5640" s="8"/>
      <c r="E5640" s="8">
        <v>132308</v>
      </c>
      <c r="F5640" s="8"/>
      <c r="G5640" s="15" t="s">
        <v>10</v>
      </c>
      <c r="H5640" s="15" t="s">
        <v>10</v>
      </c>
      <c r="I5640" s="15">
        <v>1.1625217510321351</v>
      </c>
      <c r="J5640" s="15">
        <v>1.1625217510321351</v>
      </c>
      <c r="K5640" s="15" t="s">
        <v>10</v>
      </c>
      <c r="L5640" s="15" t="s">
        <v>10</v>
      </c>
      <c r="M5640" s="15" t="s">
        <v>10</v>
      </c>
      <c r="N5640" s="15" t="s">
        <v>10</v>
      </c>
      <c r="O5640" s="15" t="s">
        <v>10</v>
      </c>
      <c r="P5640" s="15" t="s">
        <v>10</v>
      </c>
      <c r="Q5640" s="8"/>
      <c r="R5640" s="9" t="s">
        <v>5172</v>
      </c>
    </row>
    <row r="5641" spans="1:18" x14ac:dyDescent="0.25">
      <c r="A5641" s="6" t="str">
        <f>HYPERLINK("proteomic_fractions_linear_files/Yang_linear_img/13385086.jpg", "13385086")</f>
        <v>13385086</v>
      </c>
      <c r="B5641" s="7"/>
      <c r="C5641" s="6" t="str">
        <f>HYPERLINK("http://www.ncbi.nlm.nih.gov/protein/13385086","Pomp")</f>
        <v>Pomp</v>
      </c>
      <c r="D5641" s="8"/>
      <c r="E5641" s="8">
        <v>15635</v>
      </c>
      <c r="F5641" s="8"/>
      <c r="G5641" s="15" t="s">
        <v>10</v>
      </c>
      <c r="H5641" s="15" t="s">
        <v>10</v>
      </c>
      <c r="I5641" s="15" t="s">
        <v>10</v>
      </c>
      <c r="J5641" s="15" t="s">
        <v>10</v>
      </c>
      <c r="K5641" s="15" t="s">
        <v>10</v>
      </c>
      <c r="L5641" s="15" t="s">
        <v>10</v>
      </c>
      <c r="M5641" s="15">
        <v>1.0447796575379389</v>
      </c>
      <c r="N5641" s="15">
        <v>1.0447796575379389</v>
      </c>
      <c r="O5641" s="15" t="s">
        <v>10</v>
      </c>
      <c r="P5641" s="15" t="s">
        <v>10</v>
      </c>
      <c r="Q5641" s="8"/>
      <c r="R5641" s="9" t="s">
        <v>5173</v>
      </c>
    </row>
    <row r="5642" spans="1:18" x14ac:dyDescent="0.25">
      <c r="A5642" s="6" t="str">
        <f>HYPERLINK("proteomic_fractions_linear_files/Yang_linear_img/27370510.jpg", "27370510")</f>
        <v>27370510</v>
      </c>
      <c r="B5642" s="7"/>
      <c r="C5642" s="6" t="str">
        <f>HYPERLINK("http://www.ncbi.nlm.nih.gov/protein/27370510","Pon3")</f>
        <v>Pon3</v>
      </c>
      <c r="D5642" s="8"/>
      <c r="E5642" s="8">
        <v>37895</v>
      </c>
      <c r="F5642" s="8"/>
      <c r="G5642" s="15">
        <v>1.3979097271052916</v>
      </c>
      <c r="H5642" s="15">
        <v>1.3979097271052916</v>
      </c>
      <c r="I5642" s="15" t="s">
        <v>10</v>
      </c>
      <c r="J5642" s="15" t="s">
        <v>10</v>
      </c>
      <c r="K5642" s="15">
        <v>1.0659820579795458</v>
      </c>
      <c r="L5642" s="15">
        <v>1.0659820579795458</v>
      </c>
      <c r="M5642" s="15" t="s">
        <v>10</v>
      </c>
      <c r="N5642" s="15" t="s">
        <v>10</v>
      </c>
      <c r="O5642" s="15" t="s">
        <v>10</v>
      </c>
      <c r="P5642" s="15" t="s">
        <v>10</v>
      </c>
      <c r="Q5642" s="8"/>
      <c r="R5642" s="9" t="s">
        <v>5174</v>
      </c>
    </row>
    <row r="5643" spans="1:18" x14ac:dyDescent="0.25">
      <c r="A5643" s="6" t="str">
        <f>HYPERLINK("proteomic_fractions_linear_files/Yang_linear_img/21312814.jpg", "21312814")</f>
        <v>21312814</v>
      </c>
      <c r="B5643" s="7"/>
      <c r="C5643" s="6" t="str">
        <f>HYPERLINK("http://www.ncbi.nlm.nih.gov/protein/21312814","Pop1")</f>
        <v>Pop1</v>
      </c>
      <c r="D5643" s="8"/>
      <c r="E5643" s="8">
        <v>113898</v>
      </c>
      <c r="F5643" s="8"/>
      <c r="G5643" s="15" t="s">
        <v>10</v>
      </c>
      <c r="H5643" s="15" t="s">
        <v>10</v>
      </c>
      <c r="I5643" s="15" t="s">
        <v>10</v>
      </c>
      <c r="J5643" s="15" t="s">
        <v>10</v>
      </c>
      <c r="K5643" s="15">
        <v>1.1291370889922541</v>
      </c>
      <c r="L5643" s="15">
        <v>1.1291370889922541</v>
      </c>
      <c r="M5643" s="15">
        <v>1.1291370889922541</v>
      </c>
      <c r="N5643" s="15">
        <v>1.1291370889922541</v>
      </c>
      <c r="O5643" s="15" t="s">
        <v>10</v>
      </c>
      <c r="P5643" s="15" t="s">
        <v>10</v>
      </c>
      <c r="Q5643" s="8"/>
      <c r="R5643" s="9" t="s">
        <v>5175</v>
      </c>
    </row>
    <row r="5644" spans="1:18" x14ac:dyDescent="0.25">
      <c r="A5644" s="6" t="str">
        <f>HYPERLINK("proteomic_fractions_linear_files/Yang_linear_img/23097256.jpg", "23097256")</f>
        <v>23097256</v>
      </c>
      <c r="B5644" s="7"/>
      <c r="C5644" s="6" t="str">
        <f>HYPERLINK("http://www.ncbi.nlm.nih.gov/protein/23097256","Pop1")</f>
        <v>Pop1</v>
      </c>
      <c r="D5644" s="8"/>
      <c r="E5644" s="8">
        <v>117236</v>
      </c>
      <c r="F5644" s="8"/>
      <c r="G5644" s="15" t="s">
        <v>10</v>
      </c>
      <c r="H5644" s="15" t="s">
        <v>10</v>
      </c>
      <c r="I5644" s="15" t="s">
        <v>10</v>
      </c>
      <c r="J5644" s="15" t="s">
        <v>10</v>
      </c>
      <c r="K5644" s="15">
        <v>1.1001848559411707</v>
      </c>
      <c r="L5644" s="15">
        <v>1.1001848559411707</v>
      </c>
      <c r="M5644" s="15">
        <v>1.1001848559411707</v>
      </c>
      <c r="N5644" s="15">
        <v>1.1001848559411707</v>
      </c>
      <c r="O5644" s="15" t="s">
        <v>10</v>
      </c>
      <c r="P5644" s="15" t="s">
        <v>10</v>
      </c>
      <c r="Q5644" s="8"/>
      <c r="R5644" s="9" t="s">
        <v>5176</v>
      </c>
    </row>
    <row r="5645" spans="1:18" x14ac:dyDescent="0.25">
      <c r="A5645" s="6" t="str">
        <f>HYPERLINK("proteomic_fractions_linear_files/Yang_linear_img/13384772.jpg", "13384772")</f>
        <v>13384772</v>
      </c>
      <c r="B5645" s="7"/>
      <c r="C5645" s="6" t="str">
        <f>HYPERLINK("http://www.ncbi.nlm.nih.gov/protein/13384772","Pop4")</f>
        <v>Pop4</v>
      </c>
      <c r="D5645" s="8"/>
      <c r="E5645" s="8">
        <v>25506</v>
      </c>
      <c r="F5645" s="8"/>
      <c r="G5645" s="15" t="s">
        <v>10</v>
      </c>
      <c r="H5645" s="15" t="s">
        <v>10</v>
      </c>
      <c r="I5645" s="15" t="s">
        <v>10</v>
      </c>
      <c r="J5645" s="15" t="s">
        <v>10</v>
      </c>
      <c r="K5645" s="15">
        <v>0.94441617743372752</v>
      </c>
      <c r="L5645" s="15">
        <v>1.0057791582855768</v>
      </c>
      <c r="M5645" s="15">
        <v>0.94441617743372752</v>
      </c>
      <c r="N5645" s="15">
        <v>0.94441617743372752</v>
      </c>
      <c r="O5645" s="15" t="s">
        <v>10</v>
      </c>
      <c r="P5645" s="15" t="s">
        <v>10</v>
      </c>
      <c r="Q5645" s="8"/>
      <c r="R5645" s="9" t="s">
        <v>5177</v>
      </c>
    </row>
    <row r="5646" spans="1:18" x14ac:dyDescent="0.25">
      <c r="A5646" s="6" t="str">
        <f>HYPERLINK("proteomic_fractions_linear_files/Yang_linear_img/20270200.jpg", "20270200")</f>
        <v>20270200</v>
      </c>
      <c r="B5646" s="7"/>
      <c r="C5646" s="6" t="str">
        <f>HYPERLINK("http://www.ncbi.nlm.nih.gov/protein/20270200","Pop5")</f>
        <v>Pop5</v>
      </c>
      <c r="D5646" s="8"/>
      <c r="E5646" s="8">
        <v>19154</v>
      </c>
      <c r="F5646" s="8"/>
      <c r="G5646" s="15" t="s">
        <v>10</v>
      </c>
      <c r="H5646" s="15" t="s">
        <v>10</v>
      </c>
      <c r="I5646" s="15" t="s">
        <v>10</v>
      </c>
      <c r="J5646" s="15" t="s">
        <v>10</v>
      </c>
      <c r="K5646" s="15">
        <v>0.97343679813495176</v>
      </c>
      <c r="L5646" s="15">
        <v>0.97343679813495176</v>
      </c>
      <c r="M5646" s="15">
        <v>0.92473367186099831</v>
      </c>
      <c r="N5646" s="15">
        <v>0.92473367186099831</v>
      </c>
      <c r="O5646" s="15" t="s">
        <v>10</v>
      </c>
      <c r="P5646" s="15" t="s">
        <v>10</v>
      </c>
      <c r="Q5646" s="8"/>
      <c r="R5646" s="9" t="s">
        <v>5178</v>
      </c>
    </row>
    <row r="5647" spans="1:18" x14ac:dyDescent="0.25">
      <c r="A5647" s="6" t="str">
        <f>HYPERLINK("proteomic_fractions_linear_files/Yang_linear_img/13899215.jpg", "13899215")</f>
        <v>13899215</v>
      </c>
      <c r="B5647" s="7"/>
      <c r="C5647" s="6" t="str">
        <f>HYPERLINK("http://www.ncbi.nlm.nih.gov/protein/13899215","Pop7")</f>
        <v>Pop7</v>
      </c>
      <c r="D5647" s="8"/>
      <c r="E5647" s="8">
        <v>15646</v>
      </c>
      <c r="F5647" s="8"/>
      <c r="G5647" s="15" t="s">
        <v>10</v>
      </c>
      <c r="H5647" s="15" t="s">
        <v>10</v>
      </c>
      <c r="I5647" s="15" t="s">
        <v>10</v>
      </c>
      <c r="J5647" s="15" t="s">
        <v>10</v>
      </c>
      <c r="K5647" s="15" t="s">
        <v>10</v>
      </c>
      <c r="L5647" s="15" t="s">
        <v>10</v>
      </c>
      <c r="M5647" s="15">
        <v>1.0981212353349354</v>
      </c>
      <c r="N5647" s="15">
        <v>1.0981212353349354</v>
      </c>
      <c r="O5647" s="15" t="s">
        <v>10</v>
      </c>
      <c r="P5647" s="15" t="s">
        <v>10</v>
      </c>
      <c r="Q5647" s="8"/>
      <c r="R5647" s="9" t="s">
        <v>5179</v>
      </c>
    </row>
    <row r="5648" spans="1:18" x14ac:dyDescent="0.25">
      <c r="A5648" s="6" t="str">
        <f>HYPERLINK("proteomic_fractions_linear_files/Yang_linear_img/6679421.jpg", "6679421")</f>
        <v>6679421</v>
      </c>
      <c r="B5648" s="7"/>
      <c r="C5648" s="6" t="str">
        <f>HYPERLINK("http://www.ncbi.nlm.nih.gov/protein/6679421","Por")</f>
        <v>Por</v>
      </c>
      <c r="D5648" s="8"/>
      <c r="E5648" s="8">
        <v>76913</v>
      </c>
      <c r="F5648" s="8"/>
      <c r="G5648" s="15">
        <v>1.2333504049686299</v>
      </c>
      <c r="H5648" s="15">
        <v>1.2333504049686299</v>
      </c>
      <c r="I5648" s="15">
        <v>1.079203356794076</v>
      </c>
      <c r="J5648" s="15">
        <v>1.079203356794076</v>
      </c>
      <c r="K5648" s="15">
        <v>1.079203356794076</v>
      </c>
      <c r="L5648" s="15">
        <v>1.079203356794076</v>
      </c>
      <c r="M5648" s="15">
        <v>1.079203356794076</v>
      </c>
      <c r="N5648" s="15">
        <v>1.079203356794076</v>
      </c>
      <c r="O5648" s="15" t="s">
        <v>10</v>
      </c>
      <c r="P5648" s="15" t="s">
        <v>10</v>
      </c>
      <c r="Q5648" s="8"/>
      <c r="R5648" s="9" t="s">
        <v>5180</v>
      </c>
    </row>
    <row r="5649" spans="1:18" x14ac:dyDescent="0.25">
      <c r="A5649" s="6" t="str">
        <f>HYPERLINK("proteomic_fractions_linear_files/Yang_linear_img/27754065.jpg", "27754065")</f>
        <v>27754065</v>
      </c>
      <c r="B5649" s="7"/>
      <c r="C5649" s="6" t="str">
        <f>HYPERLINK("http://www.ncbi.nlm.nih.gov/protein/27754065","Ppa1")</f>
        <v>Ppa1</v>
      </c>
      <c r="D5649" s="8"/>
      <c r="E5649" s="8">
        <v>32536</v>
      </c>
      <c r="F5649" s="8"/>
      <c r="G5649" s="15" t="s">
        <v>10</v>
      </c>
      <c r="H5649" s="15" t="s">
        <v>10</v>
      </c>
      <c r="I5649" s="15">
        <v>0.9722446319919269</v>
      </c>
      <c r="J5649" s="15">
        <v>0.90561839065797367</v>
      </c>
      <c r="K5649" s="15">
        <v>0.9722446319919269</v>
      </c>
      <c r="L5649" s="15">
        <v>0.9722446319919269</v>
      </c>
      <c r="M5649" s="15">
        <v>0.9722446319919269</v>
      </c>
      <c r="N5649" s="15">
        <v>0.9722446319919269</v>
      </c>
      <c r="O5649" s="15">
        <v>0.84600640296006246</v>
      </c>
      <c r="P5649" s="15">
        <v>0.84600640296006246</v>
      </c>
      <c r="Q5649" s="8"/>
      <c r="R5649" s="9" t="s">
        <v>5181</v>
      </c>
    </row>
    <row r="5650" spans="1:18" x14ac:dyDescent="0.25">
      <c r="A5650" s="6" t="str">
        <f>HYPERLINK("proteomic_fractions_linear_files/Yang_linear_img/22203753.jpg", "22203753")</f>
        <v>22203753</v>
      </c>
      <c r="B5650" s="7"/>
      <c r="C5650" s="6" t="str">
        <f>HYPERLINK("http://www.ncbi.nlm.nih.gov/protein/22203753","Ppa2")</f>
        <v>Ppa2</v>
      </c>
      <c r="D5650" s="8"/>
      <c r="E5650" s="8">
        <v>35145</v>
      </c>
      <c r="F5650" s="8"/>
      <c r="G5650" s="15">
        <v>1.2607311213418706</v>
      </c>
      <c r="H5650" s="15">
        <v>1.2607311213418706</v>
      </c>
      <c r="I5650" s="15">
        <v>0.91668779587810256</v>
      </c>
      <c r="J5650" s="15">
        <v>0.91668779587810256</v>
      </c>
      <c r="K5650" s="15" t="s">
        <v>10</v>
      </c>
      <c r="L5650" s="15" t="s">
        <v>10</v>
      </c>
      <c r="M5650" s="15" t="s">
        <v>10</v>
      </c>
      <c r="N5650" s="15" t="s">
        <v>10</v>
      </c>
      <c r="O5650" s="15">
        <v>0.85386876833466085</v>
      </c>
      <c r="P5650" s="15">
        <v>0.85386876833466085</v>
      </c>
      <c r="Q5650" s="8"/>
      <c r="R5650" s="9" t="s">
        <v>5182</v>
      </c>
    </row>
    <row r="5651" spans="1:18" x14ac:dyDescent="0.25">
      <c r="A5651" s="6" t="str">
        <f>HYPERLINK("proteomic_fractions_linear_files/Yang_linear_img/110431341.jpg", "110431341")</f>
        <v>110431341</v>
      </c>
      <c r="B5651" s="7"/>
      <c r="C5651" s="6" t="str">
        <f>HYPERLINK("http://www.ncbi.nlm.nih.gov/protein/110431341","Ppap2c")</f>
        <v>Ppap2c</v>
      </c>
      <c r="D5651" s="8"/>
      <c r="E5651" s="8">
        <v>31062</v>
      </c>
      <c r="F5651" s="8"/>
      <c r="G5651" s="15">
        <v>1.557741147884363</v>
      </c>
      <c r="H5651" s="15">
        <v>1.557741147884363</v>
      </c>
      <c r="I5651" s="15">
        <v>1.3066876839749273</v>
      </c>
      <c r="J5651" s="15">
        <v>1.3066876839749273</v>
      </c>
      <c r="K5651" s="15">
        <v>1.3066876839749273</v>
      </c>
      <c r="L5651" s="15">
        <v>1.3066876839749273</v>
      </c>
      <c r="M5651" s="15">
        <v>1.2045589168749868</v>
      </c>
      <c r="N5651" s="15">
        <v>1.2045589168749868</v>
      </c>
      <c r="O5651" s="15" t="s">
        <v>10</v>
      </c>
      <c r="P5651" s="15" t="s">
        <v>10</v>
      </c>
      <c r="Q5651" s="8"/>
      <c r="R5651" s="9" t="s">
        <v>5183</v>
      </c>
    </row>
    <row r="5652" spans="1:18" x14ac:dyDescent="0.25">
      <c r="A5652" s="6" t="str">
        <f>HYPERLINK("proteomic_fractions_linear_files/Yang_linear_img/77861908.jpg", "77861908")</f>
        <v>77861908</v>
      </c>
      <c r="B5652" s="7"/>
      <c r="C5652" s="6" t="str">
        <f>HYPERLINK("http://www.ncbi.nlm.nih.gov/protein/77861908","Ppapdc2")</f>
        <v>Ppapdc2</v>
      </c>
      <c r="D5652" s="8"/>
      <c r="E5652" s="8">
        <v>31613</v>
      </c>
      <c r="F5652" s="8"/>
      <c r="G5652" s="15">
        <v>0.76733814416490365</v>
      </c>
      <c r="H5652" s="15">
        <v>0.76733814416490365</v>
      </c>
      <c r="I5652" s="15" t="s">
        <v>10</v>
      </c>
      <c r="J5652" s="15" t="s">
        <v>10</v>
      </c>
      <c r="K5652" s="15" t="s">
        <v>10</v>
      </c>
      <c r="L5652" s="15" t="s">
        <v>10</v>
      </c>
      <c r="M5652" s="15" t="s">
        <v>10</v>
      </c>
      <c r="N5652" s="15" t="s">
        <v>10</v>
      </c>
      <c r="O5652" s="15" t="s">
        <v>10</v>
      </c>
      <c r="P5652" s="15" t="s">
        <v>10</v>
      </c>
      <c r="Q5652" s="8"/>
      <c r="R5652" s="9" t="s">
        <v>5184</v>
      </c>
    </row>
    <row r="5653" spans="1:18" x14ac:dyDescent="0.25">
      <c r="A5653" s="6" t="str">
        <f>HYPERLINK("proteomic_fractions_linear_files/Yang_linear_img/26024309.jpg", "26024309")</f>
        <v>26024309</v>
      </c>
      <c r="B5653" s="7"/>
      <c r="C5653" s="6" t="str">
        <f>HYPERLINK("http://www.ncbi.nlm.nih.gov/protein/26024309","Ppat")</f>
        <v>Ppat</v>
      </c>
      <c r="D5653" s="8"/>
      <c r="E5653" s="8">
        <v>57272</v>
      </c>
      <c r="F5653" s="8"/>
      <c r="G5653" s="15" t="s">
        <v>10</v>
      </c>
      <c r="H5653" s="15" t="s">
        <v>10</v>
      </c>
      <c r="I5653" s="15">
        <v>1.0311089050104185</v>
      </c>
      <c r="J5653" s="15">
        <v>1.0311089050104185</v>
      </c>
      <c r="K5653" s="15">
        <v>1.1483028654481462</v>
      </c>
      <c r="L5653" s="15">
        <v>1.1483028654481462</v>
      </c>
      <c r="M5653" s="15">
        <v>1.1483028654481462</v>
      </c>
      <c r="N5653" s="15">
        <v>1.1483028654481462</v>
      </c>
      <c r="O5653" s="15">
        <v>1.0311089050104185</v>
      </c>
      <c r="P5653" s="15">
        <v>1.0311089050104185</v>
      </c>
      <c r="Q5653" s="8"/>
      <c r="R5653" s="9" t="s">
        <v>5185</v>
      </c>
    </row>
    <row r="5654" spans="1:18" x14ac:dyDescent="0.25">
      <c r="A5654" s="6" t="str">
        <f>HYPERLINK("proteomic_fractions_linear_files/Yang_linear_img/28849879.jpg", "28849879")</f>
        <v>28849879</v>
      </c>
      <c r="B5654" s="7"/>
      <c r="C5654" s="6" t="str">
        <f>HYPERLINK("http://www.ncbi.nlm.nih.gov/protein/28849879","Ppcdc")</f>
        <v>Ppcdc</v>
      </c>
      <c r="D5654" s="8"/>
      <c r="E5654" s="8">
        <v>22213</v>
      </c>
      <c r="F5654" s="8"/>
      <c r="G5654" s="15" t="s">
        <v>10</v>
      </c>
      <c r="H5654" s="15" t="s">
        <v>10</v>
      </c>
      <c r="I5654" s="15">
        <v>1.0504351533962475</v>
      </c>
      <c r="J5654" s="15">
        <v>1.0504351533962475</v>
      </c>
      <c r="K5654" s="15">
        <v>1.0504351533962475</v>
      </c>
      <c r="L5654" s="15">
        <v>1.0504351533962475</v>
      </c>
      <c r="M5654" s="15">
        <v>0.99071555775812503</v>
      </c>
      <c r="N5654" s="15">
        <v>0.99071555775812503</v>
      </c>
      <c r="O5654" s="15">
        <v>0.93624732666619426</v>
      </c>
      <c r="P5654" s="15">
        <v>0.93624732666619426</v>
      </c>
      <c r="Q5654" s="8"/>
      <c r="R5654" s="9" t="s">
        <v>5186</v>
      </c>
    </row>
    <row r="5655" spans="1:18" x14ac:dyDescent="0.25">
      <c r="A5655" s="6" t="str">
        <f>HYPERLINK("proteomic_fractions_linear_files/Yang_linear_img/76096364.jpg", "76096364")</f>
        <v>76096364</v>
      </c>
      <c r="B5655" s="7"/>
      <c r="C5655" s="6" t="str">
        <f>HYPERLINK("http://www.ncbi.nlm.nih.gov/protein/76096364","Ppcs")</f>
        <v>Ppcs</v>
      </c>
      <c r="D5655" s="8"/>
      <c r="E5655" s="8">
        <v>33663</v>
      </c>
      <c r="F5655" s="8"/>
      <c r="G5655" s="15" t="s">
        <v>10</v>
      </c>
      <c r="H5655" s="15" t="s">
        <v>10</v>
      </c>
      <c r="I5655" s="15" t="s">
        <v>10</v>
      </c>
      <c r="J5655" s="15" t="s">
        <v>10</v>
      </c>
      <c r="K5655" s="15" t="s">
        <v>10</v>
      </c>
      <c r="L5655" s="15" t="s">
        <v>10</v>
      </c>
      <c r="M5655" s="15" t="s">
        <v>10</v>
      </c>
      <c r="N5655" s="15" t="s">
        <v>10</v>
      </c>
      <c r="O5655" s="15">
        <v>0.82112386169653118</v>
      </c>
      <c r="P5655" s="15">
        <v>0.82112386169653118</v>
      </c>
      <c r="Q5655" s="8"/>
      <c r="R5655" s="9" t="s">
        <v>5187</v>
      </c>
    </row>
    <row r="5656" spans="1:18" x14ac:dyDescent="0.25">
      <c r="A5656" s="6" t="str">
        <f>HYPERLINK("proteomic_fractions_linear_files/Yang_linear_img/189491857.jpg", "189491857")</f>
        <v>189491857</v>
      </c>
      <c r="B5656" s="7"/>
      <c r="C5656" s="6" t="str">
        <f>HYPERLINK("http://www.ncbi.nlm.nih.gov/protein/189491857","Ppfia1")</f>
        <v>Ppfia1</v>
      </c>
      <c r="D5656" s="8"/>
      <c r="E5656" s="8">
        <v>140005</v>
      </c>
      <c r="F5656" s="8"/>
      <c r="G5656" s="15" t="s">
        <v>10</v>
      </c>
      <c r="H5656" s="15" t="s">
        <v>10</v>
      </c>
      <c r="I5656" s="15" t="s">
        <v>10</v>
      </c>
      <c r="J5656" s="15" t="s">
        <v>10</v>
      </c>
      <c r="K5656" s="15">
        <v>1.3340416545710025</v>
      </c>
      <c r="L5656" s="15">
        <v>1.3340416545710025</v>
      </c>
      <c r="M5656" s="15" t="s">
        <v>10</v>
      </c>
      <c r="N5656" s="15" t="s">
        <v>10</v>
      </c>
      <c r="O5656" s="15" t="s">
        <v>10</v>
      </c>
      <c r="P5656" s="15" t="s">
        <v>10</v>
      </c>
      <c r="Q5656" s="8"/>
      <c r="R5656" s="9" t="s">
        <v>5188</v>
      </c>
    </row>
    <row r="5657" spans="1:18" x14ac:dyDescent="0.25">
      <c r="A5657" s="6" t="str">
        <f>HYPERLINK("proteomic_fractions_linear_files/Yang_linear_img/304361734.jpg", "304361734")</f>
        <v>304361734</v>
      </c>
      <c r="B5657" s="7"/>
      <c r="C5657" s="6" t="str">
        <f>HYPERLINK("http://www.ncbi.nlm.nih.gov/protein/304361734","Ppfia1")</f>
        <v>Ppfia1</v>
      </c>
      <c r="D5657" s="8"/>
      <c r="E5657" s="8">
        <v>142546</v>
      </c>
      <c r="F5657" s="8"/>
      <c r="G5657" s="15" t="s">
        <v>10</v>
      </c>
      <c r="H5657" s="15" t="s">
        <v>10</v>
      </c>
      <c r="I5657" s="15" t="s">
        <v>10</v>
      </c>
      <c r="J5657" s="15" t="s">
        <v>10</v>
      </c>
      <c r="K5657" s="15">
        <v>1.3060547667128697</v>
      </c>
      <c r="L5657" s="15">
        <v>1.3060547667128697</v>
      </c>
      <c r="M5657" s="15" t="s">
        <v>10</v>
      </c>
      <c r="N5657" s="15" t="s">
        <v>10</v>
      </c>
      <c r="O5657" s="15" t="s">
        <v>10</v>
      </c>
      <c r="P5657" s="15" t="s">
        <v>10</v>
      </c>
      <c r="Q5657" s="8"/>
      <c r="R5657" s="9" t="s">
        <v>5189</v>
      </c>
    </row>
    <row r="5658" spans="1:18" x14ac:dyDescent="0.25">
      <c r="A5658" s="6" t="str">
        <f>HYPERLINK("proteomic_fractions_linear_files/Yang_linear_img/281371356.jpg", "281371356")</f>
        <v>281371356</v>
      </c>
      <c r="B5658" s="7"/>
      <c r="C5658" s="6" t="str">
        <f>HYPERLINK("http://www.ncbi.nlm.nih.gov/protein/281371356","Ppfibp1")</f>
        <v>Ppfibp1</v>
      </c>
      <c r="D5658" s="8"/>
      <c r="E5658" s="8">
        <v>109763</v>
      </c>
      <c r="F5658" s="8"/>
      <c r="G5658" s="15" t="s">
        <v>10</v>
      </c>
      <c r="H5658" s="15" t="s">
        <v>10</v>
      </c>
      <c r="I5658" s="15">
        <v>0.66760145674256588</v>
      </c>
      <c r="J5658" s="15">
        <v>0.66760145674256588</v>
      </c>
      <c r="K5658" s="15">
        <v>1.1701966195010634</v>
      </c>
      <c r="L5658" s="15">
        <v>1.3950261012385621</v>
      </c>
      <c r="M5658" s="15">
        <v>1.1701966195010634</v>
      </c>
      <c r="N5658" s="15">
        <v>1.1701966195010634</v>
      </c>
      <c r="O5658" s="15" t="s">
        <v>10</v>
      </c>
      <c r="P5658" s="15" t="s">
        <v>10</v>
      </c>
      <c r="Q5658" s="8"/>
      <c r="R5658" s="9" t="s">
        <v>5190</v>
      </c>
    </row>
    <row r="5659" spans="1:18" x14ac:dyDescent="0.25">
      <c r="A5659" s="6" t="str">
        <f>HYPERLINK("proteomic_fractions_linear_files/Yang_linear_img/49274606.jpg", "49274606")</f>
        <v>49274606</v>
      </c>
      <c r="B5659" s="7"/>
      <c r="C5659" s="6" t="str">
        <f>HYPERLINK("http://www.ncbi.nlm.nih.gov/protein/49274606","Ppfibp1")</f>
        <v>Ppfibp1</v>
      </c>
      <c r="D5659" s="8"/>
      <c r="E5659" s="8">
        <v>108410</v>
      </c>
      <c r="F5659" s="8"/>
      <c r="G5659" s="15" t="s">
        <v>10</v>
      </c>
      <c r="H5659" s="15" t="s">
        <v>10</v>
      </c>
      <c r="I5659" s="15">
        <v>0.67996444668224298</v>
      </c>
      <c r="J5659" s="15">
        <v>0.67996444668224298</v>
      </c>
      <c r="K5659" s="15">
        <v>1.1918669272696016</v>
      </c>
      <c r="L5659" s="15">
        <v>1.4208599179281651</v>
      </c>
      <c r="M5659" s="15">
        <v>1.1918669272696016</v>
      </c>
      <c r="N5659" s="15">
        <v>1.1918669272696016</v>
      </c>
      <c r="O5659" s="15" t="s">
        <v>10</v>
      </c>
      <c r="P5659" s="15" t="s">
        <v>10</v>
      </c>
      <c r="Q5659" s="8"/>
      <c r="R5659" s="9" t="s">
        <v>5191</v>
      </c>
    </row>
    <row r="5660" spans="1:18" x14ac:dyDescent="0.25">
      <c r="A5660" s="6" t="str">
        <f>HYPERLINK("proteomic_fractions_linear_files/Yang_linear_img/6679439.jpg", "6679439")</f>
        <v>6679439</v>
      </c>
      <c r="B5660" s="7"/>
      <c r="C5660" s="6" t="str">
        <f>HYPERLINK("http://www.ncbi.nlm.nih.gov/protein/6679439","Ppia")</f>
        <v>Ppia</v>
      </c>
      <c r="D5660" s="8"/>
      <c r="E5660" s="8">
        <v>17840</v>
      </c>
      <c r="F5660" s="8"/>
      <c r="G5660" s="15">
        <v>1.2838651874843026</v>
      </c>
      <c r="H5660" s="15">
        <v>1.2838651874843026</v>
      </c>
      <c r="I5660" s="15">
        <v>0.88485787684343198</v>
      </c>
      <c r="J5660" s="15">
        <v>0.88485787684343198</v>
      </c>
      <c r="K5660" s="15">
        <v>0.9286930289226123</v>
      </c>
      <c r="L5660" s="15">
        <v>0.9286930289226123</v>
      </c>
      <c r="M5660" s="15">
        <v>0.9286930289226123</v>
      </c>
      <c r="N5660" s="15">
        <v>0.9286930289226123</v>
      </c>
      <c r="O5660" s="15">
        <v>0.88485787684343198</v>
      </c>
      <c r="P5660" s="15">
        <v>0.88485787684343198</v>
      </c>
      <c r="Q5660" s="8"/>
      <c r="R5660" s="9" t="s">
        <v>5192</v>
      </c>
    </row>
    <row r="5661" spans="1:18" x14ac:dyDescent="0.25">
      <c r="A5661" s="6" t="str">
        <f>HYPERLINK("proteomic_fractions_linear_files/Yang_linear_img/71774133.jpg", "71774133")</f>
        <v>71774133</v>
      </c>
      <c r="B5661" s="7"/>
      <c r="C5661" s="6" t="str">
        <f>HYPERLINK("http://www.ncbi.nlm.nih.gov/protein/71774133","Ppib")</f>
        <v>Ppib</v>
      </c>
      <c r="D5661" s="8"/>
      <c r="E5661" s="8">
        <v>20218</v>
      </c>
      <c r="F5661" s="8"/>
      <c r="G5661" s="15">
        <v>1.395910564884103</v>
      </c>
      <c r="H5661" s="15">
        <v>1.395910564884103</v>
      </c>
      <c r="I5661" s="15">
        <v>0.92476495822820426</v>
      </c>
      <c r="J5661" s="15">
        <v>0.92476495822820426</v>
      </c>
      <c r="K5661" s="15">
        <v>0.92476495822820426</v>
      </c>
      <c r="L5661" s="15">
        <v>0.92476495822820426</v>
      </c>
      <c r="M5661" s="15">
        <v>0.92476495822820426</v>
      </c>
      <c r="N5661" s="15">
        <v>0.92476495822820426</v>
      </c>
      <c r="O5661" s="15">
        <v>0.92476495822820426</v>
      </c>
      <c r="P5661" s="15">
        <v>0.92476495822820426</v>
      </c>
      <c r="Q5661" s="8"/>
      <c r="R5661" s="9" t="s">
        <v>5193</v>
      </c>
    </row>
    <row r="5662" spans="1:18" x14ac:dyDescent="0.25">
      <c r="A5662" s="6" t="str">
        <f>HYPERLINK("proteomic_fractions_linear_files/Yang_linear_img/6679441.jpg", "6679441")</f>
        <v>6679441</v>
      </c>
      <c r="B5662" s="7"/>
      <c r="C5662" s="6" t="str">
        <f>HYPERLINK("http://www.ncbi.nlm.nih.gov/protein/6679441","Ppic")</f>
        <v>Ppic</v>
      </c>
      <c r="D5662" s="8"/>
      <c r="E5662" s="8">
        <v>20547</v>
      </c>
      <c r="F5662" s="8"/>
      <c r="G5662" s="15">
        <v>1.3294386332229553</v>
      </c>
      <c r="H5662" s="15">
        <v>1.3294386332229553</v>
      </c>
      <c r="I5662" s="15">
        <v>0.92862618228739402</v>
      </c>
      <c r="J5662" s="15">
        <v>0.92862618228739402</v>
      </c>
      <c r="K5662" s="15">
        <v>0.92862618228739402</v>
      </c>
      <c r="L5662" s="15">
        <v>0.92862618228739402</v>
      </c>
      <c r="M5662" s="15">
        <v>0.92862618228739402</v>
      </c>
      <c r="N5662" s="15">
        <v>0.92862618228739402</v>
      </c>
      <c r="O5662" s="15">
        <v>0.92862618228739402</v>
      </c>
      <c r="P5662" s="15">
        <v>0.92862618228739402</v>
      </c>
      <c r="Q5662" s="8"/>
      <c r="R5662" s="9" t="s">
        <v>5194</v>
      </c>
    </row>
    <row r="5663" spans="1:18" x14ac:dyDescent="0.25">
      <c r="A5663" s="6" t="str">
        <f>HYPERLINK("proteomic_fractions_linear_files/Yang_linear_img/13385854.jpg", "13385854")</f>
        <v>13385854</v>
      </c>
      <c r="B5663" s="7"/>
      <c r="C5663" s="6" t="str">
        <f>HYPERLINK("http://www.ncbi.nlm.nih.gov/protein/13385854","Ppid")</f>
        <v>Ppid</v>
      </c>
      <c r="D5663" s="8"/>
      <c r="E5663" s="8">
        <v>40612</v>
      </c>
      <c r="F5663" s="8"/>
      <c r="G5663" s="15">
        <v>1.2956236495122215</v>
      </c>
      <c r="H5663" s="15">
        <v>1.2956236495122215</v>
      </c>
      <c r="I5663" s="15">
        <v>0.98798337081031085</v>
      </c>
      <c r="J5663" s="15">
        <v>0.98798337081031085</v>
      </c>
      <c r="K5663" s="15">
        <v>0.98798337081031085</v>
      </c>
      <c r="L5663" s="15">
        <v>0.98798337081031085</v>
      </c>
      <c r="M5663" s="15">
        <v>0.98798337081031085</v>
      </c>
      <c r="N5663" s="15">
        <v>0.98798337081031085</v>
      </c>
      <c r="O5663" s="15">
        <v>0.84276528123110206</v>
      </c>
      <c r="P5663" s="15">
        <v>0.84276528123110206</v>
      </c>
      <c r="Q5663" s="8"/>
      <c r="R5663" s="9" t="s">
        <v>5195</v>
      </c>
    </row>
    <row r="5664" spans="1:18" x14ac:dyDescent="0.25">
      <c r="A5664" s="6" t="str">
        <f>HYPERLINK("proteomic_fractions_linear_files/Yang_linear_img/14196340.jpg", "14196340")</f>
        <v>14196340</v>
      </c>
      <c r="B5664" s="7"/>
      <c r="C5664" s="6" t="str">
        <f>HYPERLINK("http://www.ncbi.nlm.nih.gov/protein/14196340","Ppie")</f>
        <v>Ppie</v>
      </c>
      <c r="D5664" s="8"/>
      <c r="E5664" s="8">
        <v>33318</v>
      </c>
      <c r="F5664" s="8"/>
      <c r="G5664" s="15" t="s">
        <v>10</v>
      </c>
      <c r="H5664" s="15" t="s">
        <v>10</v>
      </c>
      <c r="I5664" s="15" t="s">
        <v>10</v>
      </c>
      <c r="J5664" s="15" t="s">
        <v>10</v>
      </c>
      <c r="K5664" s="15" t="s">
        <v>10</v>
      </c>
      <c r="L5664" s="15" t="s">
        <v>10</v>
      </c>
      <c r="M5664" s="15">
        <v>0.9722446319919269</v>
      </c>
      <c r="N5664" s="15">
        <v>0.9722446319919269</v>
      </c>
      <c r="O5664" s="15">
        <v>0.84600640296006246</v>
      </c>
      <c r="P5664" s="15">
        <v>0.84600640296006246</v>
      </c>
      <c r="Q5664" s="8"/>
      <c r="R5664" s="9" t="s">
        <v>5196</v>
      </c>
    </row>
    <row r="5665" spans="1:18" x14ac:dyDescent="0.25">
      <c r="A5665" s="6" t="str">
        <f>HYPERLINK("proteomic_fractions_linear_files/Yang_linear_img/19527310.jpg", "19527310")</f>
        <v>19527310</v>
      </c>
      <c r="B5665" s="7"/>
      <c r="C5665" s="6" t="str">
        <f>HYPERLINK("http://www.ncbi.nlm.nih.gov/protein/19527310","Ppif")</f>
        <v>Ppif</v>
      </c>
      <c r="D5665" s="8"/>
      <c r="E5665" s="8">
        <v>18720</v>
      </c>
      <c r="F5665" s="8"/>
      <c r="G5665" s="15" t="s">
        <v>10</v>
      </c>
      <c r="H5665" s="15" t="s">
        <v>10</v>
      </c>
      <c r="I5665" s="15">
        <v>0.92473367186099831</v>
      </c>
      <c r="J5665" s="15">
        <v>0.92473367186099831</v>
      </c>
      <c r="K5665" s="15" t="s">
        <v>10</v>
      </c>
      <c r="L5665" s="15" t="s">
        <v>10</v>
      </c>
      <c r="M5665" s="15" t="s">
        <v>10</v>
      </c>
      <c r="N5665" s="15" t="s">
        <v>10</v>
      </c>
      <c r="O5665" s="15" t="s">
        <v>10</v>
      </c>
      <c r="P5665" s="15" t="s">
        <v>10</v>
      </c>
      <c r="Q5665" s="8"/>
      <c r="R5665" s="9" t="s">
        <v>5197</v>
      </c>
    </row>
    <row r="5666" spans="1:18" x14ac:dyDescent="0.25">
      <c r="A5666" s="6" t="str">
        <f>HYPERLINK("proteomic_fractions_linear_files/Yang_linear_img/124487333.jpg", "124487333")</f>
        <v>124487333</v>
      </c>
      <c r="B5666" s="7"/>
      <c r="C5666" s="6" t="str">
        <f>HYPERLINK("http://www.ncbi.nlm.nih.gov/protein/124487333","Ppig")</f>
        <v>Ppig</v>
      </c>
      <c r="D5666" s="8"/>
      <c r="E5666" s="8">
        <v>88194</v>
      </c>
      <c r="F5666" s="8"/>
      <c r="G5666" s="15" t="s">
        <v>10</v>
      </c>
      <c r="H5666" s="15" t="s">
        <v>10</v>
      </c>
      <c r="I5666" s="15">
        <v>68.103409090909096</v>
      </c>
      <c r="J5666" s="15">
        <v>68.103409090909096</v>
      </c>
      <c r="K5666" s="15">
        <v>68.103409090909096</v>
      </c>
      <c r="L5666" s="15">
        <v>68.103409090909096</v>
      </c>
      <c r="M5666" s="15">
        <v>68.103409090909096</v>
      </c>
      <c r="N5666" s="15">
        <v>68.103409090909096</v>
      </c>
      <c r="O5666" s="15" t="s">
        <v>10</v>
      </c>
      <c r="P5666" s="15" t="s">
        <v>10</v>
      </c>
      <c r="Q5666" s="8"/>
      <c r="R5666" s="9" t="s">
        <v>5198</v>
      </c>
    </row>
    <row r="5667" spans="1:18" x14ac:dyDescent="0.25">
      <c r="A5667" s="6" t="str">
        <f>HYPERLINK("proteomic_fractions_linear_files/Yang_linear_img/158631196.jpg", "158631196")</f>
        <v>158631196</v>
      </c>
      <c r="B5667" s="7"/>
      <c r="C5667" s="6" t="str">
        <f>HYPERLINK("http://www.ncbi.nlm.nih.gov/protein/158631196","Ppih")</f>
        <v>Ppih</v>
      </c>
      <c r="D5667" s="8"/>
      <c r="E5667" s="8">
        <v>20333</v>
      </c>
      <c r="F5667" s="8"/>
      <c r="G5667" s="15">
        <v>1.2277410306638459</v>
      </c>
      <c r="H5667" s="15">
        <v>1.2277410306638459</v>
      </c>
      <c r="I5667" s="15">
        <v>0.87849698826794831</v>
      </c>
      <c r="J5667" s="15">
        <v>0.87849698826794831</v>
      </c>
      <c r="K5667" s="15">
        <v>0.87849698826794831</v>
      </c>
      <c r="L5667" s="15">
        <v>0.87849698826794831</v>
      </c>
      <c r="M5667" s="15">
        <v>0.92476495822820426</v>
      </c>
      <c r="N5667" s="15">
        <v>0.92476495822820426</v>
      </c>
      <c r="O5667" s="15">
        <v>0.87849698826794831</v>
      </c>
      <c r="P5667" s="15">
        <v>0.87849698826794831</v>
      </c>
      <c r="Q5667" s="8"/>
      <c r="R5667" s="9" t="s">
        <v>5199</v>
      </c>
    </row>
    <row r="5668" spans="1:18" x14ac:dyDescent="0.25">
      <c r="A5668" s="6" t="str">
        <f>HYPERLINK("proteomic_fractions_linear_files/Yang_linear_img/21312022.jpg", "21312022")</f>
        <v>21312022</v>
      </c>
      <c r="B5668" s="7"/>
      <c r="C5668" s="6" t="str">
        <f>HYPERLINK("http://www.ncbi.nlm.nih.gov/protein/21312022","Ppih")</f>
        <v>Ppih</v>
      </c>
      <c r="D5668" s="8"/>
      <c r="E5668" s="8">
        <v>19077</v>
      </c>
      <c r="F5668" s="8"/>
      <c r="G5668" s="15">
        <v>1.2923589796461534</v>
      </c>
      <c r="H5668" s="15">
        <v>1.2923589796461534</v>
      </c>
      <c r="I5668" s="15">
        <v>0.92473367186099831</v>
      </c>
      <c r="J5668" s="15">
        <v>0.92473367186099831</v>
      </c>
      <c r="K5668" s="15">
        <v>0.92473367186099831</v>
      </c>
      <c r="L5668" s="15">
        <v>0.92473367186099831</v>
      </c>
      <c r="M5668" s="15">
        <v>0.97343679813495176</v>
      </c>
      <c r="N5668" s="15">
        <v>0.97343679813495176</v>
      </c>
      <c r="O5668" s="15">
        <v>0.92473367186099831</v>
      </c>
      <c r="P5668" s="15">
        <v>0.92473367186099831</v>
      </c>
      <c r="Q5668" s="8"/>
      <c r="R5668" s="9" t="s">
        <v>5200</v>
      </c>
    </row>
    <row r="5669" spans="1:18" x14ac:dyDescent="0.25">
      <c r="A5669" s="6" t="str">
        <f>HYPERLINK("proteomic_fractions_linear_files/Yang_linear_img/21312784.jpg", "21312784")</f>
        <v>21312784</v>
      </c>
      <c r="B5669" s="7"/>
      <c r="C5669" s="6" t="str">
        <f>HYPERLINK("http://www.ncbi.nlm.nih.gov/protein/21312784","Ppil1")</f>
        <v>Ppil1</v>
      </c>
      <c r="D5669" s="8"/>
      <c r="E5669" s="8">
        <v>18106</v>
      </c>
      <c r="F5669" s="8"/>
      <c r="G5669" s="15">
        <v>1.2838651874843026</v>
      </c>
      <c r="H5669" s="15">
        <v>1.2838651874843026</v>
      </c>
      <c r="I5669" s="15">
        <v>0.9286930289226123</v>
      </c>
      <c r="J5669" s="15">
        <v>0.9286930289226123</v>
      </c>
      <c r="K5669" s="15">
        <v>0.9286930289226123</v>
      </c>
      <c r="L5669" s="15">
        <v>0.9286930289226123</v>
      </c>
      <c r="M5669" s="15">
        <v>0.9286930289226123</v>
      </c>
      <c r="N5669" s="15">
        <v>0.9286930289226123</v>
      </c>
      <c r="O5669" s="15">
        <v>0.9286930289226123</v>
      </c>
      <c r="P5669" s="15">
        <v>0.9286930289226123</v>
      </c>
      <c r="Q5669" s="8"/>
      <c r="R5669" s="9" t="s">
        <v>5201</v>
      </c>
    </row>
    <row r="5670" spans="1:18" x14ac:dyDescent="0.25">
      <c r="A5670" s="6" t="str">
        <f>HYPERLINK("proteomic_fractions_linear_files/Yang_linear_img/356995944;30025020.jpg", "356995944;30025020")</f>
        <v>356995944;30025020</v>
      </c>
      <c r="B5670" s="8"/>
      <c r="C5670" s="6" t="str">
        <f>HYPERLINK("http://www.ncbi.nlm.nih.gov/protein/356995944;30025020","Ppil2")</f>
        <v>Ppil2</v>
      </c>
      <c r="D5670" s="8"/>
      <c r="E5670" s="8">
        <v>58934</v>
      </c>
      <c r="F5670" s="8"/>
      <c r="G5670" s="15" t="s">
        <v>10</v>
      </c>
      <c r="H5670" s="15" t="s">
        <v>10</v>
      </c>
      <c r="I5670" s="15" t="s">
        <v>10</v>
      </c>
      <c r="J5670" s="15" t="s">
        <v>10</v>
      </c>
      <c r="K5670" s="15">
        <v>1.244680682062411</v>
      </c>
      <c r="L5670" s="15">
        <v>1.244680682062411</v>
      </c>
      <c r="M5670" s="15" t="s">
        <v>10</v>
      </c>
      <c r="N5670" s="15" t="s">
        <v>10</v>
      </c>
      <c r="O5670" s="15" t="s">
        <v>10</v>
      </c>
      <c r="P5670" s="15" t="s">
        <v>10</v>
      </c>
      <c r="Q5670" s="8"/>
      <c r="R5670" s="9" t="s">
        <v>5202</v>
      </c>
    </row>
    <row r="5671" spans="1:18" x14ac:dyDescent="0.25">
      <c r="A5671" s="6" t="str">
        <f>HYPERLINK("proteomic_fractions_linear_files/Yang_linear_img/30025020.jpg", "30025020")</f>
        <v>30025020</v>
      </c>
      <c r="B5671" s="7"/>
      <c r="C5671" s="6" t="str">
        <f>HYPERLINK("http://www.ncbi.nlm.nih.gov/protein/30025020","Ppil2")</f>
        <v>Ppil2</v>
      </c>
      <c r="D5671" s="8"/>
      <c r="E5671" s="8">
        <v>58934</v>
      </c>
      <c r="F5671" s="8"/>
      <c r="G5671" s="15" t="s">
        <v>10</v>
      </c>
      <c r="H5671" s="15" t="s">
        <v>10</v>
      </c>
      <c r="I5671" s="15">
        <v>1.1093773445854971</v>
      </c>
      <c r="J5671" s="15">
        <v>1.1093773445854971</v>
      </c>
      <c r="K5671" s="15" t="s">
        <v>10</v>
      </c>
      <c r="L5671" s="15" t="s">
        <v>10</v>
      </c>
      <c r="M5671" s="15">
        <v>1.1093773445854971</v>
      </c>
      <c r="N5671" s="15">
        <v>1.1093773445854971</v>
      </c>
      <c r="O5671" s="15">
        <v>1.1093773445854971</v>
      </c>
      <c r="P5671" s="15">
        <v>1.1093773445854971</v>
      </c>
      <c r="Q5671" s="8"/>
      <c r="R5671" s="9" t="s">
        <v>5202</v>
      </c>
    </row>
    <row r="5672" spans="1:18" x14ac:dyDescent="0.25">
      <c r="A5672" s="6" t="str">
        <f>HYPERLINK("proteomic_fractions_linear_files/Yang_linear_img/169790966.jpg", "169790966")</f>
        <v>169790966</v>
      </c>
      <c r="B5672" s="7"/>
      <c r="C5672" s="6" t="str">
        <f>HYPERLINK("http://www.ncbi.nlm.nih.gov/protein/169790966","Ppil3")</f>
        <v>Ppil3</v>
      </c>
      <c r="D5672" s="8"/>
      <c r="E5672" s="8">
        <v>13314</v>
      </c>
      <c r="F5672" s="8"/>
      <c r="G5672" s="15" t="s">
        <v>10</v>
      </c>
      <c r="H5672" s="15" t="s">
        <v>10</v>
      </c>
      <c r="I5672" s="15">
        <v>1.2251878294755212</v>
      </c>
      <c r="J5672" s="15">
        <v>1.2251878294755212</v>
      </c>
      <c r="K5672" s="15" t="s">
        <v>10</v>
      </c>
      <c r="L5672" s="15" t="s">
        <v>10</v>
      </c>
      <c r="M5672" s="15" t="s">
        <v>10</v>
      </c>
      <c r="N5672" s="15" t="s">
        <v>10</v>
      </c>
      <c r="O5672" s="15">
        <v>1.2251878294755212</v>
      </c>
      <c r="P5672" s="15">
        <v>1.2251878294755212</v>
      </c>
      <c r="Q5672" s="8"/>
      <c r="R5672" s="9" t="s">
        <v>5203</v>
      </c>
    </row>
    <row r="5673" spans="1:18" x14ac:dyDescent="0.25">
      <c r="A5673" s="6" t="str">
        <f>HYPERLINK("proteomic_fractions_linear_files/Yang_linear_img/21746159.jpg", "21746159")</f>
        <v>21746159</v>
      </c>
      <c r="B5673" s="7"/>
      <c r="C5673" s="6" t="str">
        <f>HYPERLINK("http://www.ncbi.nlm.nih.gov/protein/21746159","Ppil3")</f>
        <v>Ppil3</v>
      </c>
      <c r="D5673" s="8"/>
      <c r="E5673" s="8">
        <v>17996</v>
      </c>
      <c r="F5673" s="8"/>
      <c r="G5673" s="15" t="s">
        <v>10</v>
      </c>
      <c r="H5673" s="15" t="s">
        <v>10</v>
      </c>
      <c r="I5673" s="15">
        <v>0.88485787684343198</v>
      </c>
      <c r="J5673" s="15">
        <v>0.88485787684343198</v>
      </c>
      <c r="K5673" s="15" t="s">
        <v>10</v>
      </c>
      <c r="L5673" s="15" t="s">
        <v>10</v>
      </c>
      <c r="M5673" s="15" t="s">
        <v>10</v>
      </c>
      <c r="N5673" s="15" t="s">
        <v>10</v>
      </c>
      <c r="O5673" s="15">
        <v>0.88485787684343198</v>
      </c>
      <c r="P5673" s="15">
        <v>0.88485787684343198</v>
      </c>
      <c r="Q5673" s="8"/>
      <c r="R5673" s="9" t="s">
        <v>5204</v>
      </c>
    </row>
    <row r="5674" spans="1:18" x14ac:dyDescent="0.25">
      <c r="A5674" s="6" t="str">
        <f>HYPERLINK("proteomic_fractions_linear_files/Yang_linear_img/165972339.jpg", "165972339")</f>
        <v>165972339</v>
      </c>
      <c r="B5674" s="7"/>
      <c r="C5674" s="6" t="str">
        <f>HYPERLINK("http://www.ncbi.nlm.nih.gov/protein/165972339","Ppil4")</f>
        <v>Ppil4</v>
      </c>
      <c r="D5674" s="8"/>
      <c r="E5674" s="8">
        <v>57099</v>
      </c>
      <c r="F5674" s="8"/>
      <c r="G5674" s="15" t="s">
        <v>10</v>
      </c>
      <c r="H5674" s="15" t="s">
        <v>10</v>
      </c>
      <c r="I5674" s="15" t="s">
        <v>10</v>
      </c>
      <c r="J5674" s="15" t="s">
        <v>10</v>
      </c>
      <c r="K5674" s="15">
        <v>1.2883536884505657</v>
      </c>
      <c r="L5674" s="15">
        <v>1.2883536884505657</v>
      </c>
      <c r="M5674" s="15">
        <v>1.1483028654481462</v>
      </c>
      <c r="N5674" s="15">
        <v>1.1483028654481462</v>
      </c>
      <c r="O5674" s="15" t="s">
        <v>10</v>
      </c>
      <c r="P5674" s="15" t="s">
        <v>10</v>
      </c>
      <c r="Q5674" s="8"/>
      <c r="R5674" s="9" t="s">
        <v>5205</v>
      </c>
    </row>
    <row r="5675" spans="1:18" x14ac:dyDescent="0.25">
      <c r="A5675" s="6" t="str">
        <f>HYPERLINK("proteomic_fractions_linear_files/Yang_linear_img/145207986.jpg", "145207986")</f>
        <v>145207986</v>
      </c>
      <c r="B5675" s="7"/>
      <c r="C5675" s="6" t="str">
        <f>HYPERLINK("http://www.ncbi.nlm.nih.gov/protein/145207986","Ppip5k1")</f>
        <v>Ppip5k1</v>
      </c>
      <c r="D5675" s="8"/>
      <c r="E5675" s="8">
        <v>159792</v>
      </c>
      <c r="F5675" s="8"/>
      <c r="G5675" s="15" t="s">
        <v>10</v>
      </c>
      <c r="H5675" s="15" t="s">
        <v>10</v>
      </c>
      <c r="I5675" s="15">
        <v>0.95908044460151154</v>
      </c>
      <c r="J5675" s="15">
        <v>0.95908044460151154</v>
      </c>
      <c r="K5675" s="15">
        <v>0.95908044460151154</v>
      </c>
      <c r="L5675" s="15">
        <v>0.95908044460151154</v>
      </c>
      <c r="M5675" s="15" t="s">
        <v>10</v>
      </c>
      <c r="N5675" s="15" t="s">
        <v>10</v>
      </c>
      <c r="O5675" s="15" t="s">
        <v>10</v>
      </c>
      <c r="P5675" s="15" t="s">
        <v>10</v>
      </c>
      <c r="Q5675" s="8"/>
      <c r="R5675" s="9" t="s">
        <v>5206</v>
      </c>
    </row>
    <row r="5676" spans="1:18" x14ac:dyDescent="0.25">
      <c r="A5676" s="6" t="str">
        <f>HYPERLINK("proteomic_fractions_linear_files/Yang_linear_img/166706913.jpg", "166706913")</f>
        <v>166706913</v>
      </c>
      <c r="B5676" s="7"/>
      <c r="C5676" s="6" t="str">
        <f>HYPERLINK("http://www.ncbi.nlm.nih.gov/protein/166706913","Ppip5k2")</f>
        <v>Ppip5k2</v>
      </c>
      <c r="D5676" s="8"/>
      <c r="E5676" s="8">
        <v>127592</v>
      </c>
      <c r="F5676" s="8"/>
      <c r="G5676" s="15" t="s">
        <v>10</v>
      </c>
      <c r="H5676" s="15" t="s">
        <v>10</v>
      </c>
      <c r="I5676" s="15">
        <v>1.1988505557518894</v>
      </c>
      <c r="J5676" s="15">
        <v>1.1988505557518894</v>
      </c>
      <c r="K5676" s="15">
        <v>1.1988505557518894</v>
      </c>
      <c r="L5676" s="15">
        <v>1.1988505557518894</v>
      </c>
      <c r="M5676" s="15" t="s">
        <v>10</v>
      </c>
      <c r="N5676" s="15" t="s">
        <v>10</v>
      </c>
      <c r="O5676" s="15" t="s">
        <v>10</v>
      </c>
      <c r="P5676" s="15" t="s">
        <v>10</v>
      </c>
      <c r="Q5676" s="8"/>
      <c r="R5676" s="9" t="s">
        <v>5207</v>
      </c>
    </row>
    <row r="5677" spans="1:18" x14ac:dyDescent="0.25">
      <c r="A5677" s="6" t="str">
        <f>HYPERLINK("proteomic_fractions_linear_files/Yang_linear_img/112421039.jpg", "112421039")</f>
        <v>112421039</v>
      </c>
      <c r="B5677" s="7"/>
      <c r="C5677" s="6" t="str">
        <f>HYPERLINK("http://www.ncbi.nlm.nih.gov/protein/112421039","Ppl")</f>
        <v>Ppl</v>
      </c>
      <c r="D5677" s="8"/>
      <c r="E5677" s="8">
        <v>203649</v>
      </c>
      <c r="F5677" s="8"/>
      <c r="G5677" s="15">
        <v>1.1439257236659268</v>
      </c>
      <c r="H5677" s="15">
        <v>1.1439257236659268</v>
      </c>
      <c r="I5677" s="15">
        <v>1.1439257236659268</v>
      </c>
      <c r="J5677" s="15">
        <v>1.1439257236659268</v>
      </c>
      <c r="K5677" s="15">
        <v>1.1439257236659268</v>
      </c>
      <c r="L5677" s="15">
        <v>1.1439257236659268</v>
      </c>
      <c r="M5677" s="15">
        <v>1.1439257236659268</v>
      </c>
      <c r="N5677" s="15">
        <v>1.1439257236659268</v>
      </c>
      <c r="O5677" s="15">
        <v>1.1439257236659268</v>
      </c>
      <c r="P5677" s="15">
        <v>1.1439257236659268</v>
      </c>
      <c r="Q5677" s="8"/>
      <c r="R5677" s="9" t="s">
        <v>5208</v>
      </c>
    </row>
    <row r="5678" spans="1:18" x14ac:dyDescent="0.25">
      <c r="A5678" s="6" t="str">
        <f>HYPERLINK("proteomic_fractions_linear_files/Yang_linear_img/6679443.jpg", "6679443")</f>
        <v>6679443</v>
      </c>
      <c r="B5678" s="7"/>
      <c r="C5678" s="6" t="str">
        <f>HYPERLINK("http://www.ncbi.nlm.nih.gov/protein/6679443","Ppm1a")</f>
        <v>Ppm1a</v>
      </c>
      <c r="D5678" s="8"/>
      <c r="E5678" s="8">
        <v>42302</v>
      </c>
      <c r="F5678" s="8"/>
      <c r="G5678" s="15" t="s">
        <v>10</v>
      </c>
      <c r="H5678" s="15" t="s">
        <v>10</v>
      </c>
      <c r="I5678" s="15">
        <v>1.0506092677848922</v>
      </c>
      <c r="J5678" s="15">
        <v>1.0506092677848922</v>
      </c>
      <c r="K5678" s="15">
        <v>1.0506092677848922</v>
      </c>
      <c r="L5678" s="15">
        <v>1.0506092677848922</v>
      </c>
      <c r="M5678" s="15" t="s">
        <v>10</v>
      </c>
      <c r="N5678" s="15" t="s">
        <v>10</v>
      </c>
      <c r="O5678" s="15">
        <v>0.96445995721958921</v>
      </c>
      <c r="P5678" s="15">
        <v>0.96445995721958921</v>
      </c>
      <c r="Q5678" s="8"/>
      <c r="R5678" s="9" t="s">
        <v>5209</v>
      </c>
    </row>
    <row r="5679" spans="1:18" x14ac:dyDescent="0.25">
      <c r="A5679" s="6" t="str">
        <f>HYPERLINK("proteomic_fractions_linear_files/Yang_linear_img/226958356.jpg", "226958356")</f>
        <v>226958356</v>
      </c>
      <c r="B5679" s="7"/>
      <c r="C5679" s="6" t="str">
        <f>HYPERLINK("http://www.ncbi.nlm.nih.gov/protein/226958356","Ppm1b")</f>
        <v>Ppm1b</v>
      </c>
      <c r="D5679" s="8"/>
      <c r="E5679" s="8">
        <v>42757</v>
      </c>
      <c r="F5679" s="8"/>
      <c r="G5679" s="15" t="s">
        <v>10</v>
      </c>
      <c r="H5679" s="15" t="s">
        <v>10</v>
      </c>
      <c r="I5679" s="15" t="s">
        <v>10</v>
      </c>
      <c r="J5679" s="15" t="s">
        <v>10</v>
      </c>
      <c r="K5679" s="15">
        <v>1.0261764941154761</v>
      </c>
      <c r="L5679" s="15">
        <v>1.0261764941154761</v>
      </c>
      <c r="M5679" s="15" t="s">
        <v>10</v>
      </c>
      <c r="N5679" s="15" t="s">
        <v>10</v>
      </c>
      <c r="O5679" s="15">
        <v>0.942030655888901</v>
      </c>
      <c r="P5679" s="15">
        <v>0.942030655888901</v>
      </c>
      <c r="Q5679" s="8"/>
      <c r="R5679" s="9" t="s">
        <v>5210</v>
      </c>
    </row>
    <row r="5680" spans="1:18" x14ac:dyDescent="0.25">
      <c r="A5680" s="6" t="str">
        <f>HYPERLINK("proteomic_fractions_linear_files/Yang_linear_img/226958358.jpg", "226958358")</f>
        <v>226958358</v>
      </c>
      <c r="B5680" s="7"/>
      <c r="C5680" s="6" t="str">
        <f>HYPERLINK("http://www.ncbi.nlm.nih.gov/protein/226958358","Ppm1b")</f>
        <v>Ppm1b</v>
      </c>
      <c r="D5680" s="8"/>
      <c r="E5680" s="8">
        <v>43282</v>
      </c>
      <c r="F5680" s="8"/>
      <c r="G5680" s="15" t="s">
        <v>10</v>
      </c>
      <c r="H5680" s="15" t="s">
        <v>10</v>
      </c>
      <c r="I5680" s="15" t="s">
        <v>10</v>
      </c>
      <c r="J5680" s="15" t="s">
        <v>10</v>
      </c>
      <c r="K5680" s="15">
        <v>1.0261764941154761</v>
      </c>
      <c r="L5680" s="15">
        <v>1.0261764941154761</v>
      </c>
      <c r="M5680" s="15" t="s">
        <v>10</v>
      </c>
      <c r="N5680" s="15" t="s">
        <v>10</v>
      </c>
      <c r="O5680" s="15">
        <v>0.942030655888901</v>
      </c>
      <c r="P5680" s="15">
        <v>0.942030655888901</v>
      </c>
      <c r="Q5680" s="8"/>
      <c r="R5680" s="9" t="s">
        <v>5211</v>
      </c>
    </row>
    <row r="5681" spans="1:18" x14ac:dyDescent="0.25">
      <c r="A5681" s="6" t="str">
        <f>HYPERLINK("proteomic_fractions_linear_files/Yang_linear_img/33859600.jpg", "33859600")</f>
        <v>33859600</v>
      </c>
      <c r="B5681" s="7"/>
      <c r="C5681" s="6" t="str">
        <f>HYPERLINK("http://www.ncbi.nlm.nih.gov/protein/33859600","Ppm1b")</f>
        <v>Ppm1b</v>
      </c>
      <c r="D5681" s="8"/>
      <c r="E5681" s="8">
        <v>42664</v>
      </c>
      <c r="F5681" s="8"/>
      <c r="G5681" s="15" t="s">
        <v>10</v>
      </c>
      <c r="H5681" s="15" t="s">
        <v>10</v>
      </c>
      <c r="I5681" s="15" t="s">
        <v>10</v>
      </c>
      <c r="J5681" s="15" t="s">
        <v>10</v>
      </c>
      <c r="K5681" s="15">
        <v>1.0261764941154761</v>
      </c>
      <c r="L5681" s="15">
        <v>1.0261764941154761</v>
      </c>
      <c r="M5681" s="15" t="s">
        <v>10</v>
      </c>
      <c r="N5681" s="15" t="s">
        <v>10</v>
      </c>
      <c r="O5681" s="15">
        <v>0.942030655888901</v>
      </c>
      <c r="P5681" s="15">
        <v>0.942030655888901</v>
      </c>
      <c r="Q5681" s="8"/>
      <c r="R5681" s="9" t="s">
        <v>5212</v>
      </c>
    </row>
    <row r="5682" spans="1:18" x14ac:dyDescent="0.25">
      <c r="A5682" s="6" t="str">
        <f>HYPERLINK("proteomic_fractions_linear_files/Yang_linear_img/226958354.jpg", "226958354")</f>
        <v>226958354</v>
      </c>
      <c r="B5682" s="7"/>
      <c r="C5682" s="6" t="str">
        <f>HYPERLINK("http://www.ncbi.nlm.nih.gov/protein/226958354","Ppm1b")</f>
        <v>Ppm1b</v>
      </c>
      <c r="D5682" s="8"/>
      <c r="E5682" s="8">
        <v>51980</v>
      </c>
      <c r="F5682" s="8"/>
      <c r="G5682" s="15">
        <v>0.71810243121393447</v>
      </c>
      <c r="H5682" s="15">
        <v>0.71810243121393447</v>
      </c>
      <c r="I5682" s="15" t="s">
        <v>10</v>
      </c>
      <c r="J5682" s="15" t="s">
        <v>10</v>
      </c>
      <c r="K5682" s="15">
        <v>0.84856902398010514</v>
      </c>
      <c r="L5682" s="15">
        <v>0.84856902398010514</v>
      </c>
      <c r="M5682" s="15" t="s">
        <v>10</v>
      </c>
      <c r="N5682" s="15" t="s">
        <v>10</v>
      </c>
      <c r="O5682" s="15">
        <v>0.77898688852351428</v>
      </c>
      <c r="P5682" s="15">
        <v>0.77898688852351428</v>
      </c>
      <c r="Q5682" s="8"/>
      <c r="R5682" s="9" t="s">
        <v>5213</v>
      </c>
    </row>
    <row r="5683" spans="1:18" x14ac:dyDescent="0.25">
      <c r="A5683" s="6" t="str">
        <f>HYPERLINK("proteomic_fractions_linear_files/Yang_linear_img/28849881.jpg", "28849881")</f>
        <v>28849881</v>
      </c>
      <c r="B5683" s="7"/>
      <c r="C5683" s="6" t="str">
        <f>HYPERLINK("http://www.ncbi.nlm.nih.gov/protein/28849881","Ppm1f")</f>
        <v>Ppm1f</v>
      </c>
      <c r="D5683" s="8"/>
      <c r="E5683" s="8">
        <v>49480</v>
      </c>
      <c r="F5683" s="8"/>
      <c r="G5683" s="15" t="s">
        <v>10</v>
      </c>
      <c r="H5683" s="15" t="s">
        <v>10</v>
      </c>
      <c r="I5683" s="15" t="s">
        <v>10</v>
      </c>
      <c r="J5683" s="15" t="s">
        <v>10</v>
      </c>
      <c r="K5683" s="15" t="s">
        <v>10</v>
      </c>
      <c r="L5683" s="15" t="s">
        <v>10</v>
      </c>
      <c r="M5683" s="15" t="s">
        <v>10</v>
      </c>
      <c r="N5683" s="15" t="s">
        <v>10</v>
      </c>
      <c r="O5683" s="15">
        <v>1.0840932577551241</v>
      </c>
      <c r="P5683" s="15">
        <v>1.0840932577551241</v>
      </c>
      <c r="Q5683" s="8"/>
      <c r="R5683" s="9" t="s">
        <v>5214</v>
      </c>
    </row>
    <row r="5684" spans="1:18" x14ac:dyDescent="0.25">
      <c r="A5684" s="6" t="str">
        <f>HYPERLINK("proteomic_fractions_linear_files/Yang_linear_img/6679793.jpg", "6679793")</f>
        <v>6679793</v>
      </c>
      <c r="B5684" s="7"/>
      <c r="C5684" s="6" t="str">
        <f>HYPERLINK("http://www.ncbi.nlm.nih.gov/protein/6679793","Ppm1g")</f>
        <v>Ppm1g</v>
      </c>
      <c r="D5684" s="8"/>
      <c r="E5684" s="8">
        <v>58597</v>
      </c>
      <c r="F5684" s="8"/>
      <c r="G5684" s="15" t="s">
        <v>10</v>
      </c>
      <c r="H5684" s="15" t="s">
        <v>10</v>
      </c>
      <c r="I5684" s="15">
        <v>1.4084518385278619</v>
      </c>
      <c r="J5684" s="15">
        <v>1.4084518385278619</v>
      </c>
      <c r="K5684" s="15">
        <v>1.4084518385278619</v>
      </c>
      <c r="L5684" s="15">
        <v>1.4084518385278619</v>
      </c>
      <c r="M5684" s="15">
        <v>1.4084518385278619</v>
      </c>
      <c r="N5684" s="15">
        <v>1.4084518385278619</v>
      </c>
      <c r="O5684" s="15">
        <v>1.244680682062411</v>
      </c>
      <c r="P5684" s="15">
        <v>1.244680682062411</v>
      </c>
      <c r="Q5684" s="8"/>
      <c r="R5684" s="9" t="s">
        <v>5215</v>
      </c>
    </row>
    <row r="5685" spans="1:18" x14ac:dyDescent="0.25">
      <c r="A5685" s="6" t="str">
        <f>HYPERLINK("proteomic_fractions_linear_files/Yang_linear_img/160358864.jpg", "160358864")</f>
        <v>160358864</v>
      </c>
      <c r="B5685" s="7"/>
      <c r="C5685" s="6" t="str">
        <f>HYPERLINK("http://www.ncbi.nlm.nih.gov/protein/160358864","Ppm1h")</f>
        <v>Ppm1h</v>
      </c>
      <c r="D5685" s="8"/>
      <c r="E5685" s="8">
        <v>51383</v>
      </c>
      <c r="F5685" s="8"/>
      <c r="G5685" s="15" t="s">
        <v>10</v>
      </c>
      <c r="H5685" s="15" t="s">
        <v>10</v>
      </c>
      <c r="I5685" s="15" t="s">
        <v>10</v>
      </c>
      <c r="J5685" s="15" t="s">
        <v>10</v>
      </c>
      <c r="K5685" s="15">
        <v>1.1524158350116442</v>
      </c>
      <c r="L5685" s="15">
        <v>1.1524158350116442</v>
      </c>
      <c r="M5685" s="15">
        <v>1.1524158350116442</v>
      </c>
      <c r="N5685" s="15">
        <v>1.1524158350116442</v>
      </c>
      <c r="O5685" s="15" t="s">
        <v>10</v>
      </c>
      <c r="P5685" s="15" t="s">
        <v>10</v>
      </c>
      <c r="Q5685" s="8"/>
      <c r="R5685" s="9" t="s">
        <v>5216</v>
      </c>
    </row>
    <row r="5686" spans="1:18" x14ac:dyDescent="0.25">
      <c r="A5686" s="6" t="str">
        <f>HYPERLINK("proteomic_fractions_linear_files/Yang_linear_img/160358866.jpg", "160358866")</f>
        <v>160358866</v>
      </c>
      <c r="B5686" s="7"/>
      <c r="C5686" s="6" t="str">
        <f>HYPERLINK("http://www.ncbi.nlm.nih.gov/protein/160358866","Ppm1h")</f>
        <v>Ppm1h</v>
      </c>
      <c r="D5686" s="8"/>
      <c r="E5686" s="8">
        <v>56249</v>
      </c>
      <c r="F5686" s="8"/>
      <c r="G5686" s="15" t="s">
        <v>10</v>
      </c>
      <c r="H5686" s="15" t="s">
        <v>10</v>
      </c>
      <c r="I5686" s="15" t="s">
        <v>10</v>
      </c>
      <c r="J5686" s="15" t="s">
        <v>10</v>
      </c>
      <c r="K5686" s="15">
        <v>1.0495215640284616</v>
      </c>
      <c r="L5686" s="15">
        <v>1.0495215640284616</v>
      </c>
      <c r="M5686" s="15">
        <v>1.0495215640284616</v>
      </c>
      <c r="N5686" s="15">
        <v>1.0495215640284616</v>
      </c>
      <c r="O5686" s="15" t="s">
        <v>10</v>
      </c>
      <c r="P5686" s="15" t="s">
        <v>10</v>
      </c>
      <c r="Q5686" s="8"/>
      <c r="R5686" s="9" t="s">
        <v>5217</v>
      </c>
    </row>
    <row r="5687" spans="1:18" x14ac:dyDescent="0.25">
      <c r="A5687" s="6" t="str">
        <f>HYPERLINK("proteomic_fractions_linear_files/Yang_linear_img/66392585.jpg", "66392585")</f>
        <v>66392585</v>
      </c>
      <c r="B5687" s="7"/>
      <c r="C5687" s="6" t="str">
        <f>HYPERLINK("http://www.ncbi.nlm.nih.gov/protein/66392585","Ppm1l")</f>
        <v>Ppm1l</v>
      </c>
      <c r="D5687" s="8"/>
      <c r="E5687" s="8">
        <v>40918</v>
      </c>
      <c r="F5687" s="8"/>
      <c r="G5687" s="15" t="s">
        <v>10</v>
      </c>
      <c r="H5687" s="15" t="s">
        <v>10</v>
      </c>
      <c r="I5687" s="15">
        <v>0.78253836233496554</v>
      </c>
      <c r="J5687" s="15">
        <v>0.78253836233496554</v>
      </c>
      <c r="K5687" s="15" t="s">
        <v>10</v>
      </c>
      <c r="L5687" s="15" t="s">
        <v>10</v>
      </c>
      <c r="M5687" s="15" t="s">
        <v>10</v>
      </c>
      <c r="N5687" s="15" t="s">
        <v>10</v>
      </c>
      <c r="O5687" s="15" t="s">
        <v>10</v>
      </c>
      <c r="P5687" s="15" t="s">
        <v>10</v>
      </c>
      <c r="Q5687" s="8"/>
      <c r="R5687" s="9" t="s">
        <v>5218</v>
      </c>
    </row>
    <row r="5688" spans="1:18" x14ac:dyDescent="0.25">
      <c r="A5688" s="6" t="str">
        <f>HYPERLINK("proteomic_fractions_linear_files/Yang_linear_img/30794138.jpg", "30794138")</f>
        <v>30794138</v>
      </c>
      <c r="B5688" s="7"/>
      <c r="C5688" s="6" t="str">
        <f>HYPERLINK("http://www.ncbi.nlm.nih.gov/protein/30794138","Ppme1")</f>
        <v>Ppme1</v>
      </c>
      <c r="D5688" s="8"/>
      <c r="E5688" s="8">
        <v>42125</v>
      </c>
      <c r="F5688" s="8"/>
      <c r="G5688" s="15" t="s">
        <v>10</v>
      </c>
      <c r="H5688" s="15" t="s">
        <v>10</v>
      </c>
      <c r="I5688" s="15">
        <v>1.0506092677848922</v>
      </c>
      <c r="J5688" s="15">
        <v>1.0506092677848922</v>
      </c>
      <c r="K5688" s="15">
        <v>1.0506092677848922</v>
      </c>
      <c r="L5688" s="15">
        <v>1.0506092677848922</v>
      </c>
      <c r="M5688" s="15" t="s">
        <v>10</v>
      </c>
      <c r="N5688" s="15" t="s">
        <v>10</v>
      </c>
      <c r="O5688" s="15">
        <v>0.96445995721958921</v>
      </c>
      <c r="P5688" s="15">
        <v>0.96445995721958921</v>
      </c>
      <c r="Q5688" s="8"/>
      <c r="R5688" s="9" t="s">
        <v>5219</v>
      </c>
    </row>
    <row r="5689" spans="1:18" x14ac:dyDescent="0.25">
      <c r="A5689" s="6" t="str">
        <f>HYPERLINK("proteomic_fractions_linear_files/Yang_linear_img/6679445.jpg", "6679445")</f>
        <v>6679445</v>
      </c>
      <c r="B5689" s="7"/>
      <c r="C5689" s="6" t="str">
        <f>HYPERLINK("http://www.ncbi.nlm.nih.gov/protein/6679445","Ppox")</f>
        <v>Ppox</v>
      </c>
      <c r="D5689" s="8"/>
      <c r="E5689" s="8">
        <v>50740</v>
      </c>
      <c r="F5689" s="8"/>
      <c r="G5689" s="15" t="s">
        <v>10</v>
      </c>
      <c r="H5689" s="15" t="s">
        <v>10</v>
      </c>
      <c r="I5689" s="15">
        <v>0.94686226636108339</v>
      </c>
      <c r="J5689" s="15">
        <v>0.94686226636108339</v>
      </c>
      <c r="K5689" s="15" t="s">
        <v>10</v>
      </c>
      <c r="L5689" s="15" t="s">
        <v>10</v>
      </c>
      <c r="M5689" s="15" t="s">
        <v>10</v>
      </c>
      <c r="N5689" s="15" t="s">
        <v>10</v>
      </c>
      <c r="O5689" s="15" t="s">
        <v>10</v>
      </c>
      <c r="P5689" s="15" t="s">
        <v>10</v>
      </c>
      <c r="Q5689" s="8"/>
      <c r="R5689" s="9" t="s">
        <v>5220</v>
      </c>
    </row>
    <row r="5690" spans="1:18" x14ac:dyDescent="0.25">
      <c r="A5690" s="6" t="str">
        <f>HYPERLINK("proteomic_fractions_linear_files/Yang_linear_img/13994195.jpg", "13994195")</f>
        <v>13994195</v>
      </c>
      <c r="B5690" s="7"/>
      <c r="C5690" s="6" t="str">
        <f>HYPERLINK("http://www.ncbi.nlm.nih.gov/protein/13994195","Ppp1ca")</f>
        <v>Ppp1ca</v>
      </c>
      <c r="D5690" s="8"/>
      <c r="E5690" s="8">
        <v>37409</v>
      </c>
      <c r="F5690" s="8"/>
      <c r="G5690" s="15">
        <v>1.3051344752544662</v>
      </c>
      <c r="H5690" s="15">
        <v>1.3051344752544662</v>
      </c>
      <c r="I5690" s="15">
        <v>0.93387504136419419</v>
      </c>
      <c r="J5690" s="15">
        <v>0.93387504136419419</v>
      </c>
      <c r="K5690" s="15">
        <v>1.0092250384628267</v>
      </c>
      <c r="L5690" s="15">
        <v>1.0092250384628267</v>
      </c>
      <c r="M5690" s="15">
        <v>0.93387504136419419</v>
      </c>
      <c r="N5690" s="15">
        <v>0.93387504136419419</v>
      </c>
      <c r="O5690" s="15">
        <v>0.86713710420901591</v>
      </c>
      <c r="P5690" s="15">
        <v>0.86713710420901591</v>
      </c>
      <c r="Q5690" s="8"/>
      <c r="R5690" s="9" t="s">
        <v>5221</v>
      </c>
    </row>
    <row r="5691" spans="1:18" x14ac:dyDescent="0.25">
      <c r="A5691" s="6" t="str">
        <f>HYPERLINK("proteomic_fractions_linear_files/Yang_linear_img/161484668.jpg", "161484668")</f>
        <v>161484668</v>
      </c>
      <c r="B5691" s="7"/>
      <c r="C5691" s="6" t="str">
        <f>HYPERLINK("http://www.ncbi.nlm.nih.gov/protein/161484668","Ppp1cb")</f>
        <v>Ppp1cb</v>
      </c>
      <c r="D5691" s="8"/>
      <c r="E5691" s="8">
        <v>37056</v>
      </c>
      <c r="F5691" s="8"/>
      <c r="G5691" s="15">
        <v>1.3051344752544662</v>
      </c>
      <c r="H5691" s="15">
        <v>1.3051344752544662</v>
      </c>
      <c r="I5691" s="15">
        <v>0.93387504136419419</v>
      </c>
      <c r="J5691" s="15">
        <v>0.93387504136419419</v>
      </c>
      <c r="K5691" s="15">
        <v>1.0092250384628267</v>
      </c>
      <c r="L5691" s="15">
        <v>1.0092250384628267</v>
      </c>
      <c r="M5691" s="15">
        <v>0.93387504136419419</v>
      </c>
      <c r="N5691" s="15">
        <v>0.93387504136419419</v>
      </c>
      <c r="O5691" s="15">
        <v>0.86713710420901591</v>
      </c>
      <c r="P5691" s="15">
        <v>0.86713710420901591</v>
      </c>
      <c r="Q5691" s="8"/>
      <c r="R5691" s="9" t="s">
        <v>5222</v>
      </c>
    </row>
    <row r="5692" spans="1:18" x14ac:dyDescent="0.25">
      <c r="A5692" s="6" t="str">
        <f>HYPERLINK("proteomic_fractions_linear_files/Yang_linear_img/31980772.jpg", "31980772")</f>
        <v>31980772</v>
      </c>
      <c r="B5692" s="7"/>
      <c r="C5692" s="6" t="str">
        <f>HYPERLINK("http://www.ncbi.nlm.nih.gov/protein/31980772","Ppp1cc")</f>
        <v>Ppp1cc</v>
      </c>
      <c r="D5692" s="8"/>
      <c r="E5692" s="8">
        <v>36853</v>
      </c>
      <c r="F5692" s="8"/>
      <c r="G5692" s="15">
        <v>1.3051344752544662</v>
      </c>
      <c r="H5692" s="15">
        <v>1.3051344752544662</v>
      </c>
      <c r="I5692" s="15">
        <v>0.93387504136419419</v>
      </c>
      <c r="J5692" s="15">
        <v>0.93387504136419419</v>
      </c>
      <c r="K5692" s="15">
        <v>1.0092250384628267</v>
      </c>
      <c r="L5692" s="15">
        <v>1.0092250384628267</v>
      </c>
      <c r="M5692" s="15">
        <v>0.93387504136419419</v>
      </c>
      <c r="N5692" s="15">
        <v>0.93387504136419419</v>
      </c>
      <c r="O5692" s="15">
        <v>0.86713710420901591</v>
      </c>
      <c r="P5692" s="15">
        <v>0.86713710420901591</v>
      </c>
      <c r="Q5692" s="8"/>
      <c r="R5692" s="9" t="s">
        <v>5223</v>
      </c>
    </row>
    <row r="5693" spans="1:18" x14ac:dyDescent="0.25">
      <c r="A5693" s="6" t="str">
        <f>HYPERLINK("proteomic_fractions_linear_files/Yang_linear_img/255308881.jpg", "255308881")</f>
        <v>255308881</v>
      </c>
      <c r="B5693" s="7"/>
      <c r="C5693" s="6" t="str">
        <f>HYPERLINK("http://www.ncbi.nlm.nih.gov/protein/255308881","Ppp1r10")</f>
        <v>Ppp1r10</v>
      </c>
      <c r="D5693" s="8"/>
      <c r="E5693" s="8">
        <v>94241</v>
      </c>
      <c r="F5693" s="8"/>
      <c r="G5693" s="15" t="s">
        <v>10</v>
      </c>
      <c r="H5693" s="15" t="s">
        <v>10</v>
      </c>
      <c r="I5693" s="15" t="s">
        <v>10</v>
      </c>
      <c r="J5693" s="15" t="s">
        <v>10</v>
      </c>
      <c r="K5693" s="15">
        <v>1.3693790228203933</v>
      </c>
      <c r="L5693" s="15">
        <v>1.3693790228203933</v>
      </c>
      <c r="M5693" s="15" t="s">
        <v>10</v>
      </c>
      <c r="N5693" s="15" t="s">
        <v>10</v>
      </c>
      <c r="O5693" s="15" t="s">
        <v>10</v>
      </c>
      <c r="P5693" s="15" t="s">
        <v>10</v>
      </c>
      <c r="Q5693" s="8"/>
      <c r="R5693" s="9" t="s">
        <v>5224</v>
      </c>
    </row>
    <row r="5694" spans="1:18" x14ac:dyDescent="0.25">
      <c r="A5694" s="6" t="str">
        <f>HYPERLINK("proteomic_fractions_linear_files/Yang_linear_img/18390327.jpg", "18390327")</f>
        <v>18390327</v>
      </c>
      <c r="B5694" s="7"/>
      <c r="C5694" s="6" t="str">
        <f>HYPERLINK("http://www.ncbi.nlm.nih.gov/protein/18390327","Ppp1r11")</f>
        <v>Ppp1r11</v>
      </c>
      <c r="D5694" s="8"/>
      <c r="E5694" s="8">
        <v>14401</v>
      </c>
      <c r="F5694" s="8"/>
      <c r="G5694" s="15" t="s">
        <v>10</v>
      </c>
      <c r="H5694" s="15" t="s">
        <v>10</v>
      </c>
      <c r="I5694" s="15" t="s">
        <v>10</v>
      </c>
      <c r="J5694" s="15" t="s">
        <v>10</v>
      </c>
      <c r="K5694" s="15" t="s">
        <v>10</v>
      </c>
      <c r="L5694" s="15" t="s">
        <v>10</v>
      </c>
      <c r="M5694" s="15" t="s">
        <v>10</v>
      </c>
      <c r="N5694" s="15" t="s">
        <v>10</v>
      </c>
      <c r="O5694" s="15">
        <v>1.4712457990468766</v>
      </c>
      <c r="P5694" s="15">
        <v>1.4712457990468766</v>
      </c>
      <c r="Q5694" s="8"/>
      <c r="R5694" s="9" t="s">
        <v>5225</v>
      </c>
    </row>
    <row r="5695" spans="1:18" x14ac:dyDescent="0.25">
      <c r="A5695" s="6" t="str">
        <f>HYPERLINK("proteomic_fractions_linear_files/Yang_linear_img/95772123.jpg", "95772123")</f>
        <v>95772123</v>
      </c>
      <c r="B5695" s="7"/>
      <c r="C5695" s="6" t="str">
        <f>HYPERLINK("http://www.ncbi.nlm.nih.gov/protein/95772123","Ppp1r12a")</f>
        <v>Ppp1r12a</v>
      </c>
      <c r="D5695" s="8"/>
      <c r="E5695" s="8">
        <v>111678</v>
      </c>
      <c r="F5695" s="8"/>
      <c r="G5695" s="15" t="s">
        <v>10</v>
      </c>
      <c r="H5695" s="15" t="s">
        <v>10</v>
      </c>
      <c r="I5695" s="15">
        <v>1.3701149208593022</v>
      </c>
      <c r="J5695" s="15">
        <v>1.3701149208593022</v>
      </c>
      <c r="K5695" s="15">
        <v>1.3701149208593022</v>
      </c>
      <c r="L5695" s="15">
        <v>1.3701149208593022</v>
      </c>
      <c r="M5695" s="15">
        <v>0.17411740917888638</v>
      </c>
      <c r="N5695" s="15">
        <v>0.17411740917888638</v>
      </c>
      <c r="O5695" s="15">
        <v>1.3701149208593022</v>
      </c>
      <c r="P5695" s="15">
        <v>1.3701149208593022</v>
      </c>
      <c r="Q5695" s="8"/>
      <c r="R5695" s="9" t="s">
        <v>5226</v>
      </c>
    </row>
    <row r="5696" spans="1:18" x14ac:dyDescent="0.25">
      <c r="A5696" s="6" t="str">
        <f>HYPERLINK("proteomic_fractions_linear_files/Yang_linear_img/124486803.jpg", "124486803")</f>
        <v>124486803</v>
      </c>
      <c r="B5696" s="7"/>
      <c r="C5696" s="6" t="str">
        <f>HYPERLINK("http://www.ncbi.nlm.nih.gov/protein/124486803","Ppp1r12b")</f>
        <v>Ppp1r12b</v>
      </c>
      <c r="D5696" s="8"/>
      <c r="E5696" s="8">
        <v>110842</v>
      </c>
      <c r="F5696" s="8"/>
      <c r="G5696" s="15" t="s">
        <v>10</v>
      </c>
      <c r="H5696" s="15" t="s">
        <v>10</v>
      </c>
      <c r="I5696" s="15">
        <v>1.3824582985247011</v>
      </c>
      <c r="J5696" s="15">
        <v>1.3824582985247011</v>
      </c>
      <c r="K5696" s="15" t="s">
        <v>10</v>
      </c>
      <c r="L5696" s="15" t="s">
        <v>10</v>
      </c>
      <c r="M5696" s="15">
        <v>0.17568603448680428</v>
      </c>
      <c r="N5696" s="15">
        <v>0.17568603448680428</v>
      </c>
      <c r="O5696" s="15">
        <v>1.3824582985247011</v>
      </c>
      <c r="P5696" s="15">
        <v>1.3824582985247011</v>
      </c>
      <c r="Q5696" s="8"/>
      <c r="R5696" s="9" t="s">
        <v>5227</v>
      </c>
    </row>
    <row r="5697" spans="1:18" x14ac:dyDescent="0.25">
      <c r="A5697" s="6" t="str">
        <f>HYPERLINK("proteomic_fractions_linear_files/Yang_linear_img/45592936.jpg", "45592936")</f>
        <v>45592936</v>
      </c>
      <c r="B5697" s="7"/>
      <c r="C5697" s="6" t="str">
        <f>HYPERLINK("http://www.ncbi.nlm.nih.gov/protein/45592936","Ppp1r13b")</f>
        <v>Ppp1r13b</v>
      </c>
      <c r="D5697" s="8"/>
      <c r="E5697" s="8">
        <v>119039</v>
      </c>
      <c r="F5697" s="8"/>
      <c r="G5697" s="15" t="s">
        <v>10</v>
      </c>
      <c r="H5697" s="15" t="s">
        <v>10</v>
      </c>
      <c r="I5697" s="15">
        <v>0.2696140576112066</v>
      </c>
      <c r="J5697" s="15">
        <v>0.2696140576112066</v>
      </c>
      <c r="K5697" s="15">
        <v>0.2696140576112066</v>
      </c>
      <c r="L5697" s="15">
        <v>0.2696140576112066</v>
      </c>
      <c r="M5697" s="15">
        <v>0.2696140576112066</v>
      </c>
      <c r="N5697" s="15">
        <v>0.2696140576112066</v>
      </c>
      <c r="O5697" s="15">
        <v>0.25113787303960616</v>
      </c>
      <c r="P5697" s="15">
        <v>0.25113787303960616</v>
      </c>
      <c r="Q5697" s="8"/>
      <c r="R5697" s="9" t="s">
        <v>5228</v>
      </c>
    </row>
    <row r="5698" spans="1:18" x14ac:dyDescent="0.25">
      <c r="A5698" s="6" t="str">
        <f>HYPERLINK("proteomic_fractions_linear_files/Yang_linear_img/58082069.jpg", "58082069")</f>
        <v>58082069</v>
      </c>
      <c r="B5698" s="7"/>
      <c r="C5698" s="6" t="str">
        <f>HYPERLINK("http://www.ncbi.nlm.nih.gov/protein/58082069","Ppp1r13l")</f>
        <v>Ppp1r13l</v>
      </c>
      <c r="D5698" s="8"/>
      <c r="E5698" s="8">
        <v>88845</v>
      </c>
      <c r="F5698" s="8"/>
      <c r="G5698" s="15" t="s">
        <v>10</v>
      </c>
      <c r="H5698" s="15" t="s">
        <v>10</v>
      </c>
      <c r="I5698" s="15">
        <v>1.2337254361924883</v>
      </c>
      <c r="J5698" s="15">
        <v>1.2337254361924883</v>
      </c>
      <c r="K5698" s="15">
        <v>1.4463104285968198</v>
      </c>
      <c r="L5698" s="15">
        <v>1.4463104285968198</v>
      </c>
      <c r="M5698" s="15" t="s">
        <v>10</v>
      </c>
      <c r="N5698" s="15" t="s">
        <v>10</v>
      </c>
      <c r="O5698" s="15" t="s">
        <v>10</v>
      </c>
      <c r="P5698" s="15" t="s">
        <v>10</v>
      </c>
      <c r="Q5698" s="8"/>
      <c r="R5698" s="9" t="s">
        <v>5229</v>
      </c>
    </row>
    <row r="5699" spans="1:18" x14ac:dyDescent="0.25">
      <c r="A5699" s="6" t="str">
        <f>HYPERLINK("proteomic_fractions_linear_files/Yang_linear_img/62122946.jpg", "62122946")</f>
        <v>62122946</v>
      </c>
      <c r="B5699" s="7"/>
      <c r="C5699" s="6" t="str">
        <f>HYPERLINK("http://www.ncbi.nlm.nih.gov/protein/62122946","Ppp1r14b")</f>
        <v>Ppp1r14b</v>
      </c>
      <c r="D5699" s="8"/>
      <c r="E5699" s="8">
        <v>15826</v>
      </c>
      <c r="F5699" s="8"/>
      <c r="G5699" s="15" t="s">
        <v>10</v>
      </c>
      <c r="H5699" s="15" t="s">
        <v>10</v>
      </c>
      <c r="I5699" s="15">
        <v>1.1559561977852553</v>
      </c>
      <c r="J5699" s="15">
        <v>1.1559561977852553</v>
      </c>
      <c r="K5699" s="15" t="s">
        <v>10</v>
      </c>
      <c r="L5699" s="15" t="s">
        <v>10</v>
      </c>
      <c r="M5699" s="15" t="s">
        <v>10</v>
      </c>
      <c r="N5699" s="15" t="s">
        <v>10</v>
      </c>
      <c r="O5699" s="15">
        <v>1.1559561977852553</v>
      </c>
      <c r="P5699" s="15">
        <v>1.1559561977852553</v>
      </c>
      <c r="Q5699" s="8"/>
      <c r="R5699" s="9" t="s">
        <v>5230</v>
      </c>
    </row>
    <row r="5700" spans="1:18" x14ac:dyDescent="0.25">
      <c r="A5700" s="6" t="str">
        <f>HYPERLINK("proteomic_fractions_linear_files/Yang_linear_img/226443075;226443079.jpg", "226443075;226443079")</f>
        <v>226443075;226443079</v>
      </c>
      <c r="B5700" s="8"/>
      <c r="C5700" s="6" t="str">
        <f>HYPERLINK("http://www.ncbi.nlm.nih.gov/protein/226443075;226443079","Ppp1r18")</f>
        <v>Ppp1r18</v>
      </c>
      <c r="D5700" s="8"/>
      <c r="E5700" s="8">
        <v>65499</v>
      </c>
      <c r="F5700" s="8"/>
      <c r="G5700" s="15" t="s">
        <v>10</v>
      </c>
      <c r="H5700" s="15" t="s">
        <v>10</v>
      </c>
      <c r="I5700" s="15" t="s">
        <v>10</v>
      </c>
      <c r="J5700" s="15" t="s">
        <v>10</v>
      </c>
      <c r="K5700" s="15">
        <v>1.6892548280174071</v>
      </c>
      <c r="L5700" s="15">
        <v>1.6892548280174071</v>
      </c>
      <c r="M5700" s="15" t="s">
        <v>10</v>
      </c>
      <c r="N5700" s="15" t="s">
        <v>10</v>
      </c>
      <c r="O5700" s="15" t="s">
        <v>10</v>
      </c>
      <c r="P5700" s="15" t="s">
        <v>10</v>
      </c>
      <c r="Q5700" s="8"/>
      <c r="R5700" s="9" t="s">
        <v>5231</v>
      </c>
    </row>
    <row r="5701" spans="1:18" x14ac:dyDescent="0.25">
      <c r="A5701" s="6" t="str">
        <f>HYPERLINK("proteomic_fractions_linear_files/Yang_linear_img/21536256.jpg", "21536256")</f>
        <v>21536256</v>
      </c>
      <c r="B5701" s="7"/>
      <c r="C5701" s="6" t="str">
        <f>HYPERLINK("http://www.ncbi.nlm.nih.gov/protein/21536256","Ppp1r1b")</f>
        <v>Ppp1r1b</v>
      </c>
      <c r="D5701" s="8"/>
      <c r="E5701" s="8">
        <v>21649</v>
      </c>
      <c r="F5701" s="8"/>
      <c r="G5701" s="15" t="s">
        <v>10</v>
      </c>
      <c r="H5701" s="15" t="s">
        <v>10</v>
      </c>
      <c r="I5701" s="15" t="s">
        <v>10</v>
      </c>
      <c r="J5701" s="15" t="s">
        <v>10</v>
      </c>
      <c r="K5701" s="15" t="s">
        <v>10</v>
      </c>
      <c r="L5701" s="15" t="s">
        <v>10</v>
      </c>
      <c r="M5701" s="15" t="s">
        <v>10</v>
      </c>
      <c r="N5701" s="15" t="s">
        <v>10</v>
      </c>
      <c r="O5701" s="15">
        <v>1.2690096044400936</v>
      </c>
      <c r="P5701" s="15">
        <v>1.2690096044400936</v>
      </c>
      <c r="Q5701" s="8"/>
      <c r="R5701" s="9" t="s">
        <v>5232</v>
      </c>
    </row>
    <row r="5702" spans="1:18" x14ac:dyDescent="0.25">
      <c r="A5702" s="6" t="str">
        <f>HYPERLINK("proteomic_fractions_linear_files/Yang_linear_img/18859587.jpg", "18859587")</f>
        <v>18859587</v>
      </c>
      <c r="B5702" s="7"/>
      <c r="C5702" s="6" t="str">
        <f>HYPERLINK("http://www.ncbi.nlm.nih.gov/protein/18859587","Ppp1r2")</f>
        <v>Ppp1r2</v>
      </c>
      <c r="D5702" s="8"/>
      <c r="E5702" s="8">
        <v>22988</v>
      </c>
      <c r="F5702" s="8"/>
      <c r="G5702" s="15" t="s">
        <v>10</v>
      </c>
      <c r="H5702" s="15" t="s">
        <v>10</v>
      </c>
      <c r="I5702" s="15" t="s">
        <v>10</v>
      </c>
      <c r="J5702" s="15" t="s">
        <v>10</v>
      </c>
      <c r="K5702" s="15">
        <v>1.2993655170310057</v>
      </c>
      <c r="L5702" s="15">
        <v>1.2993655170310057</v>
      </c>
      <c r="M5702" s="15" t="s">
        <v>10</v>
      </c>
      <c r="N5702" s="15" t="s">
        <v>10</v>
      </c>
      <c r="O5702" s="15" t="s">
        <v>10</v>
      </c>
      <c r="P5702" s="15" t="s">
        <v>10</v>
      </c>
      <c r="Q5702" s="8"/>
      <c r="R5702" s="9" t="s">
        <v>5233</v>
      </c>
    </row>
    <row r="5703" spans="1:18" x14ac:dyDescent="0.25">
      <c r="A5703" s="6" t="str">
        <f>HYPERLINK("proteomic_fractions_linear_files/Yang_linear_img/254911014.jpg", "254911014")</f>
        <v>254911014</v>
      </c>
      <c r="B5703" s="7"/>
      <c r="C5703" s="6" t="str">
        <f>HYPERLINK("http://www.ncbi.nlm.nih.gov/protein/254911014","Ppp1r21")</f>
        <v>Ppp1r21</v>
      </c>
      <c r="D5703" s="8"/>
      <c r="E5703" s="8">
        <v>88207</v>
      </c>
      <c r="F5703" s="8"/>
      <c r="G5703" s="15" t="s">
        <v>10</v>
      </c>
      <c r="H5703" s="15" t="s">
        <v>10</v>
      </c>
      <c r="I5703" s="15">
        <v>1.0791816043475513</v>
      </c>
      <c r="J5703" s="15">
        <v>1.0791816043475513</v>
      </c>
      <c r="K5703" s="15">
        <v>1.2477450434219486</v>
      </c>
      <c r="L5703" s="15">
        <v>1.2477450434219486</v>
      </c>
      <c r="M5703" s="15">
        <v>1.0791816043475513</v>
      </c>
      <c r="N5703" s="15">
        <v>1.0791816043475513</v>
      </c>
      <c r="O5703" s="15">
        <v>1.0791816043475513</v>
      </c>
      <c r="P5703" s="15">
        <v>1.0791816043475513</v>
      </c>
      <c r="Q5703" s="8"/>
      <c r="R5703" s="9" t="s">
        <v>5234</v>
      </c>
    </row>
    <row r="5704" spans="1:18" x14ac:dyDescent="0.25">
      <c r="A5704" s="6" t="str">
        <f>HYPERLINK("proteomic_fractions_linear_files/Yang_linear_img/12963569.jpg", "12963569")</f>
        <v>12963569</v>
      </c>
      <c r="B5704" s="7"/>
      <c r="C5704" s="6" t="str">
        <f>HYPERLINK("http://www.ncbi.nlm.nih.gov/protein/12963569","Ppp1r7")</f>
        <v>Ppp1r7</v>
      </c>
      <c r="D5704" s="8"/>
      <c r="E5704" s="8">
        <v>41161</v>
      </c>
      <c r="F5704" s="8"/>
      <c r="G5704" s="15" t="s">
        <v>10</v>
      </c>
      <c r="H5704" s="15" t="s">
        <v>10</v>
      </c>
      <c r="I5704" s="15">
        <v>1.0762338840723285</v>
      </c>
      <c r="J5704" s="15">
        <v>1.0762338840723285</v>
      </c>
      <c r="K5704" s="15">
        <v>1.1778042825467134</v>
      </c>
      <c r="L5704" s="15">
        <v>1.1778042825467134</v>
      </c>
      <c r="M5704" s="15" t="s">
        <v>10</v>
      </c>
      <c r="N5704" s="15" t="s">
        <v>10</v>
      </c>
      <c r="O5704" s="15">
        <v>1.0762338840723285</v>
      </c>
      <c r="P5704" s="15">
        <v>1.0762338840723285</v>
      </c>
      <c r="Q5704" s="8"/>
      <c r="R5704" s="9" t="s">
        <v>5235</v>
      </c>
    </row>
    <row r="5705" spans="1:18" x14ac:dyDescent="0.25">
      <c r="A5705" s="6" t="str">
        <f>HYPERLINK("proteomic_fractions_linear_files/Yang_linear_img/22122685.jpg", "22122685")</f>
        <v>22122685</v>
      </c>
      <c r="B5705" s="7"/>
      <c r="C5705" s="6" t="str">
        <f>HYPERLINK("http://www.ncbi.nlm.nih.gov/protein/22122685","Ppp1r8")</f>
        <v>Ppp1r8</v>
      </c>
      <c r="D5705" s="8"/>
      <c r="E5705" s="8">
        <v>38397</v>
      </c>
      <c r="F5705" s="8"/>
      <c r="G5705" s="15" t="s">
        <v>10</v>
      </c>
      <c r="H5705" s="15" t="s">
        <v>10</v>
      </c>
      <c r="I5705" s="15" t="s">
        <v>10</v>
      </c>
      <c r="J5705" s="15" t="s">
        <v>10</v>
      </c>
      <c r="K5705" s="15" t="s">
        <v>10</v>
      </c>
      <c r="L5705" s="15" t="s">
        <v>10</v>
      </c>
      <c r="M5705" s="15" t="s">
        <v>10</v>
      </c>
      <c r="N5705" s="15" t="s">
        <v>10</v>
      </c>
      <c r="O5705" s="15">
        <v>0.90929938238092589</v>
      </c>
      <c r="P5705" s="15">
        <v>0.90929938238092589</v>
      </c>
      <c r="Q5705" s="8"/>
      <c r="R5705" s="9" t="s">
        <v>5236</v>
      </c>
    </row>
    <row r="5706" spans="1:18" x14ac:dyDescent="0.25">
      <c r="A5706" s="6" t="str">
        <f>HYPERLINK("proteomic_fractions_linear_files/Yang_linear_img/31711997.jpg", "31711997")</f>
        <v>31711997</v>
      </c>
      <c r="B5706" s="7"/>
      <c r="C5706" s="6" t="str">
        <f>HYPERLINK("http://www.ncbi.nlm.nih.gov/protein/31711997","Ppp1r9a")</f>
        <v>Ppp1r9a</v>
      </c>
      <c r="D5706" s="8"/>
      <c r="E5706" s="8">
        <v>122824</v>
      </c>
      <c r="F5706" s="8"/>
      <c r="G5706" s="15">
        <v>0.43187454983740714</v>
      </c>
      <c r="H5706" s="15">
        <v>0.43187454983740714</v>
      </c>
      <c r="I5706" s="15">
        <v>0.32932779027010362</v>
      </c>
      <c r="J5706" s="15">
        <v>0.32932779027010362</v>
      </c>
      <c r="K5706" s="15">
        <v>0.32932779027010362</v>
      </c>
      <c r="L5706" s="15">
        <v>0.32932779027010362</v>
      </c>
      <c r="M5706" s="15" t="s">
        <v>10</v>
      </c>
      <c r="N5706" s="15" t="s">
        <v>10</v>
      </c>
      <c r="O5706" s="15" t="s">
        <v>10</v>
      </c>
      <c r="P5706" s="15" t="s">
        <v>10</v>
      </c>
      <c r="Q5706" s="8"/>
      <c r="R5706" s="9" t="s">
        <v>5237</v>
      </c>
    </row>
    <row r="5707" spans="1:18" x14ac:dyDescent="0.25">
      <c r="A5707" s="6" t="str">
        <f>HYPERLINK("proteomic_fractions_linear_files/Yang_linear_img/50053703.jpg", "50053703")</f>
        <v>50053703</v>
      </c>
      <c r="B5707" s="7"/>
      <c r="C5707" s="6" t="str">
        <f>HYPERLINK("http://www.ncbi.nlm.nih.gov/protein/50053703","Ppp1r9b")</f>
        <v>Ppp1r9b</v>
      </c>
      <c r="D5707" s="8"/>
      <c r="E5707" s="8">
        <v>89390</v>
      </c>
      <c r="F5707" s="8"/>
      <c r="G5707" s="15">
        <v>0.59686033292136043</v>
      </c>
      <c r="H5707" s="15">
        <v>0.59686033292136043</v>
      </c>
      <c r="I5707" s="15">
        <v>0.45513840677778367</v>
      </c>
      <c r="J5707" s="15">
        <v>0.45513840677778367</v>
      </c>
      <c r="K5707" s="15">
        <v>0.45513840677778367</v>
      </c>
      <c r="L5707" s="15">
        <v>0.45513840677778367</v>
      </c>
      <c r="M5707" s="15" t="s">
        <v>10</v>
      </c>
      <c r="N5707" s="15" t="s">
        <v>10</v>
      </c>
      <c r="O5707" s="15" t="s">
        <v>10</v>
      </c>
      <c r="P5707" s="15" t="s">
        <v>10</v>
      </c>
      <c r="Q5707" s="8"/>
      <c r="R5707" s="9" t="s">
        <v>5238</v>
      </c>
    </row>
    <row r="5708" spans="1:18" x14ac:dyDescent="0.25">
      <c r="A5708" s="6" t="str">
        <f>HYPERLINK("proteomic_fractions_linear_files/Yang_linear_img/9506983.jpg", "9506983")</f>
        <v>9506983</v>
      </c>
      <c r="B5708" s="7"/>
      <c r="C5708" s="6" t="str">
        <f>HYPERLINK("http://www.ncbi.nlm.nih.gov/protein/9506983","Ppp2ca")</f>
        <v>Ppp2ca</v>
      </c>
      <c r="D5708" s="8"/>
      <c r="E5708" s="8">
        <v>35477</v>
      </c>
      <c r="F5708" s="8"/>
      <c r="G5708" s="15">
        <v>1.2607311213418706</v>
      </c>
      <c r="H5708" s="15">
        <v>1.2607311213418706</v>
      </c>
      <c r="I5708" s="15">
        <v>0.91668779587810256</v>
      </c>
      <c r="J5708" s="15">
        <v>0.91668779587810256</v>
      </c>
      <c r="K5708" s="15">
        <v>0.98723932944214809</v>
      </c>
      <c r="L5708" s="15">
        <v>0.98723932944214809</v>
      </c>
      <c r="M5708" s="15">
        <v>0.91668779587810256</v>
      </c>
      <c r="N5708" s="15">
        <v>0.91668779587810256</v>
      </c>
      <c r="O5708" s="15">
        <v>0.85386876833466085</v>
      </c>
      <c r="P5708" s="15">
        <v>0.85386876833466085</v>
      </c>
      <c r="Q5708" s="8"/>
      <c r="R5708" s="9" t="s">
        <v>5239</v>
      </c>
    </row>
    <row r="5709" spans="1:18" x14ac:dyDescent="0.25">
      <c r="A5709" s="6" t="str">
        <f>HYPERLINK("proteomic_fractions_linear_files/Yang_linear_img/8394024.jpg", "8394024")</f>
        <v>8394024</v>
      </c>
      <c r="B5709" s="7"/>
      <c r="C5709" s="6" t="str">
        <f>HYPERLINK("http://www.ncbi.nlm.nih.gov/protein/8394024","Ppp2cb")</f>
        <v>Ppp2cb</v>
      </c>
      <c r="D5709" s="8"/>
      <c r="E5709" s="8">
        <v>35444</v>
      </c>
      <c r="F5709" s="8"/>
      <c r="G5709" s="15">
        <v>1.2607311213418706</v>
      </c>
      <c r="H5709" s="15">
        <v>1.2607311213418706</v>
      </c>
      <c r="I5709" s="15">
        <v>0.91668779587810256</v>
      </c>
      <c r="J5709" s="15">
        <v>0.91668779587810256</v>
      </c>
      <c r="K5709" s="15">
        <v>0.98723932944214809</v>
      </c>
      <c r="L5709" s="15">
        <v>0.98723932944214809</v>
      </c>
      <c r="M5709" s="15">
        <v>0.91668779587810256</v>
      </c>
      <c r="N5709" s="15">
        <v>0.91668779587810256</v>
      </c>
      <c r="O5709" s="15">
        <v>0.85386876833466085</v>
      </c>
      <c r="P5709" s="15">
        <v>0.85386876833466085</v>
      </c>
      <c r="Q5709" s="8"/>
      <c r="R5709" s="9" t="s">
        <v>5240</v>
      </c>
    </row>
    <row r="5710" spans="1:18" x14ac:dyDescent="0.25">
      <c r="A5710" s="6" t="str">
        <f>HYPERLINK("proteomic_fractions_linear_files/Yang_linear_img/8394027.jpg", "8394027")</f>
        <v>8394027</v>
      </c>
      <c r="B5710" s="7"/>
      <c r="C5710" s="6" t="str">
        <f>HYPERLINK("http://www.ncbi.nlm.nih.gov/protein/8394027","Ppp2r1a")</f>
        <v>Ppp2r1a</v>
      </c>
      <c r="D5710" s="8"/>
      <c r="E5710" s="8">
        <v>65192</v>
      </c>
      <c r="F5710" s="8"/>
      <c r="G5710" s="15">
        <v>1.2784408995868286</v>
      </c>
      <c r="H5710" s="15">
        <v>1.2784408995868286</v>
      </c>
      <c r="I5710" s="15">
        <v>1.0069732820083743</v>
      </c>
      <c r="J5710" s="15">
        <v>1.0069732820083743</v>
      </c>
      <c r="K5710" s="15">
        <v>1.0069732820083743</v>
      </c>
      <c r="L5710" s="15">
        <v>1.0069732820083743</v>
      </c>
      <c r="M5710" s="15">
        <v>1.0069732820083743</v>
      </c>
      <c r="N5710" s="15">
        <v>1.0069732820083743</v>
      </c>
      <c r="O5710" s="15">
        <v>0.90420319362452084</v>
      </c>
      <c r="P5710" s="15">
        <v>0.90420319362452084</v>
      </c>
      <c r="Q5710" s="8"/>
      <c r="R5710" s="9" t="s">
        <v>5241</v>
      </c>
    </row>
    <row r="5711" spans="1:18" x14ac:dyDescent="0.25">
      <c r="A5711" s="6" t="str">
        <f>HYPERLINK("proteomic_fractions_linear_files/Yang_linear_img/557440787.jpg", "557440787")</f>
        <v>557440787</v>
      </c>
      <c r="B5711" s="7"/>
      <c r="C5711" s="6" t="str">
        <f>HYPERLINK("http://www.ncbi.nlm.nih.gov/protein/557440787","Ppp2r1b")</f>
        <v>Ppp2r1b</v>
      </c>
      <c r="D5711" s="8"/>
      <c r="E5711" s="8">
        <v>75934</v>
      </c>
      <c r="F5711" s="8"/>
      <c r="G5711" s="15">
        <v>1.0934034009624192</v>
      </c>
      <c r="H5711" s="15">
        <v>1.0934034009624192</v>
      </c>
      <c r="I5711" s="15" t="s">
        <v>10</v>
      </c>
      <c r="J5711" s="15" t="s">
        <v>10</v>
      </c>
      <c r="K5711" s="15" t="s">
        <v>10</v>
      </c>
      <c r="L5711" s="15" t="s">
        <v>10</v>
      </c>
      <c r="M5711" s="15" t="s">
        <v>10</v>
      </c>
      <c r="N5711" s="15" t="s">
        <v>10</v>
      </c>
      <c r="O5711" s="15" t="s">
        <v>10</v>
      </c>
      <c r="P5711" s="15" t="s">
        <v>10</v>
      </c>
      <c r="Q5711" s="8"/>
      <c r="R5711" s="9" t="s">
        <v>5242</v>
      </c>
    </row>
    <row r="5712" spans="1:18" x14ac:dyDescent="0.25">
      <c r="A5712" s="6" t="str">
        <f>HYPERLINK("proteomic_fractions_linear_files/Yang_linear_img/77539770.jpg", "77539770")</f>
        <v>77539770</v>
      </c>
      <c r="B5712" s="7"/>
      <c r="C5712" s="6" t="str">
        <f>HYPERLINK("http://www.ncbi.nlm.nih.gov/protein/77539770","Ppp2r1b")</f>
        <v>Ppp2r1b</v>
      </c>
      <c r="D5712" s="8"/>
      <c r="E5712" s="8">
        <v>72612</v>
      </c>
      <c r="F5712" s="8"/>
      <c r="G5712" s="15">
        <v>0.80511243267936783</v>
      </c>
      <c r="H5712" s="15">
        <v>1.1383377873033405</v>
      </c>
      <c r="I5712" s="15">
        <v>0.89662004562389497</v>
      </c>
      <c r="J5712" s="15">
        <v>0.89662004562389497</v>
      </c>
      <c r="K5712" s="15">
        <v>0.89662004562389497</v>
      </c>
      <c r="L5712" s="15">
        <v>0.89662004562389497</v>
      </c>
      <c r="M5712" s="15">
        <v>0.89662004562389497</v>
      </c>
      <c r="N5712" s="15">
        <v>0.89662004562389497</v>
      </c>
      <c r="O5712" s="15">
        <v>0.89662004562389497</v>
      </c>
      <c r="P5712" s="15">
        <v>0.89662004562389497</v>
      </c>
      <c r="Q5712" s="8"/>
      <c r="R5712" s="9" t="s">
        <v>5243</v>
      </c>
    </row>
    <row r="5713" spans="1:18" x14ac:dyDescent="0.25">
      <c r="A5713" s="6" t="str">
        <f>HYPERLINK("proteomic_fractions_linear_files/Yang_linear_img/77539776.jpg", "77539776")</f>
        <v>77539776</v>
      </c>
      <c r="B5713" s="7"/>
      <c r="C5713" s="6" t="str">
        <f>HYPERLINK("http://www.ncbi.nlm.nih.gov/protein/77539776","Ppp2r1b")</f>
        <v>Ppp2r1b</v>
      </c>
      <c r="D5713" s="8"/>
      <c r="E5713" s="8">
        <v>65803</v>
      </c>
      <c r="F5713" s="8"/>
      <c r="G5713" s="15">
        <v>0.8905031452362705</v>
      </c>
      <c r="H5713" s="15">
        <v>1.2590705829264222</v>
      </c>
      <c r="I5713" s="15">
        <v>0.99171611106885349</v>
      </c>
      <c r="J5713" s="15">
        <v>0.99171611106885349</v>
      </c>
      <c r="K5713" s="15">
        <v>0.99171611106885349</v>
      </c>
      <c r="L5713" s="15">
        <v>0.99171611106885349</v>
      </c>
      <c r="M5713" s="15">
        <v>0.99171611106885349</v>
      </c>
      <c r="N5713" s="15">
        <v>0.99171611106885349</v>
      </c>
      <c r="O5713" s="15">
        <v>0.99171611106885349</v>
      </c>
      <c r="P5713" s="15">
        <v>0.99171611106885349</v>
      </c>
      <c r="Q5713" s="8"/>
      <c r="R5713" s="9" t="s">
        <v>5244</v>
      </c>
    </row>
    <row r="5714" spans="1:18" x14ac:dyDescent="0.25">
      <c r="A5714" s="6" t="str">
        <f>HYPERLINK("proteomic_fractions_linear_files/Yang_linear_img/110625886.jpg", "110625886")</f>
        <v>110625886</v>
      </c>
      <c r="B5714" s="7"/>
      <c r="C5714" s="6" t="str">
        <f>HYPERLINK("http://www.ncbi.nlm.nih.gov/protein/110625886","Ppp2r2a")</f>
        <v>Ppp2r2a</v>
      </c>
      <c r="D5714" s="8"/>
      <c r="E5714" s="8">
        <v>51561</v>
      </c>
      <c r="F5714" s="8"/>
      <c r="G5714" s="15" t="s">
        <v>10</v>
      </c>
      <c r="H5714" s="15" t="s">
        <v>10</v>
      </c>
      <c r="I5714" s="15">
        <v>1.0215494159615592</v>
      </c>
      <c r="J5714" s="15">
        <v>0.92865337662337022</v>
      </c>
      <c r="K5714" s="15">
        <v>1.0215494159615592</v>
      </c>
      <c r="L5714" s="15">
        <v>1.0215494159615592</v>
      </c>
      <c r="M5714" s="15">
        <v>1.0215494159615592</v>
      </c>
      <c r="N5714" s="15">
        <v>1.0215494159615592</v>
      </c>
      <c r="O5714" s="15">
        <v>0.92865337662337022</v>
      </c>
      <c r="P5714" s="15">
        <v>0.92865337662337022</v>
      </c>
      <c r="Q5714" s="8"/>
      <c r="R5714" s="9" t="s">
        <v>5245</v>
      </c>
    </row>
    <row r="5715" spans="1:18" x14ac:dyDescent="0.25">
      <c r="A5715" s="6" t="str">
        <f>HYPERLINK("proteomic_fractions_linear_files/Yang_linear_img/327180707.jpg", "327180707")</f>
        <v>327180707</v>
      </c>
      <c r="B5715" s="7"/>
      <c r="C5715" s="6" t="str">
        <f>HYPERLINK("http://www.ncbi.nlm.nih.gov/protein/327180707","Ppp2r2a")</f>
        <v>Ppp2r2a</v>
      </c>
      <c r="D5715" s="8"/>
      <c r="E5715" s="8">
        <v>42475</v>
      </c>
      <c r="F5715" s="8"/>
      <c r="G5715" s="15" t="s">
        <v>10</v>
      </c>
      <c r="H5715" s="15" t="s">
        <v>10</v>
      </c>
      <c r="I5715" s="15">
        <v>1.2647754673809781</v>
      </c>
      <c r="J5715" s="15">
        <v>1.1497613234384585</v>
      </c>
      <c r="K5715" s="15">
        <v>1.2647754673809781</v>
      </c>
      <c r="L5715" s="15">
        <v>1.2647754673809781</v>
      </c>
      <c r="M5715" s="15">
        <v>1.2647754673809781</v>
      </c>
      <c r="N5715" s="15">
        <v>1.2647754673809781</v>
      </c>
      <c r="O5715" s="15">
        <v>1.1497613234384585</v>
      </c>
      <c r="P5715" s="15">
        <v>1.1497613234384585</v>
      </c>
      <c r="Q5715" s="8"/>
      <c r="R5715" s="9" t="s">
        <v>5246</v>
      </c>
    </row>
    <row r="5716" spans="1:18" x14ac:dyDescent="0.25">
      <c r="A5716" s="6" t="str">
        <f>HYPERLINK("proteomic_fractions_linear_files/Yang_linear_img/21312161.jpg", "21312161")</f>
        <v>21312161</v>
      </c>
      <c r="B5716" s="7"/>
      <c r="C5716" s="6" t="str">
        <f>HYPERLINK("http://www.ncbi.nlm.nih.gov/protein/21312161","Ppp2r2b")</f>
        <v>Ppp2r2b</v>
      </c>
      <c r="D5716" s="8"/>
      <c r="E5716" s="8">
        <v>51886</v>
      </c>
      <c r="F5716" s="8"/>
      <c r="G5716" s="15" t="s">
        <v>10</v>
      </c>
      <c r="H5716" s="15" t="s">
        <v>10</v>
      </c>
      <c r="I5716" s="15">
        <v>1.0215494159615592</v>
      </c>
      <c r="J5716" s="15">
        <v>1.0215494159615592</v>
      </c>
      <c r="K5716" s="15" t="s">
        <v>10</v>
      </c>
      <c r="L5716" s="15" t="s">
        <v>10</v>
      </c>
      <c r="M5716" s="15">
        <v>1.0215494159615592</v>
      </c>
      <c r="N5716" s="15">
        <v>1.0215494159615592</v>
      </c>
      <c r="O5716" s="15">
        <v>0.92865337662337022</v>
      </c>
      <c r="P5716" s="15">
        <v>0.92865337662337022</v>
      </c>
      <c r="Q5716" s="8"/>
      <c r="R5716" s="9" t="s">
        <v>5247</v>
      </c>
    </row>
    <row r="5717" spans="1:18" x14ac:dyDescent="0.25">
      <c r="A5717" s="6" t="str">
        <f>HYPERLINK("proteomic_fractions_linear_files/Yang_linear_img/27370502.jpg", "27370502")</f>
        <v>27370502</v>
      </c>
      <c r="B5717" s="7"/>
      <c r="C5717" s="6" t="str">
        <f>HYPERLINK("http://www.ncbi.nlm.nih.gov/protein/27370502","Ppp2r2c")</f>
        <v>Ppp2r2c</v>
      </c>
      <c r="D5717" s="8"/>
      <c r="E5717" s="8">
        <v>51331</v>
      </c>
      <c r="F5717" s="8"/>
      <c r="G5717" s="15" t="s">
        <v>10</v>
      </c>
      <c r="H5717" s="15" t="s">
        <v>10</v>
      </c>
      <c r="I5717" s="15">
        <v>1.0415797966666878</v>
      </c>
      <c r="J5717" s="15">
        <v>1.0415797966666878</v>
      </c>
      <c r="K5717" s="15">
        <v>1.0415797966666878</v>
      </c>
      <c r="L5717" s="15">
        <v>1.0415797966666878</v>
      </c>
      <c r="M5717" s="15">
        <v>0.94686226636108339</v>
      </c>
      <c r="N5717" s="15">
        <v>0.94686226636108339</v>
      </c>
      <c r="O5717" s="15">
        <v>0.94686226636108339</v>
      </c>
      <c r="P5717" s="15">
        <v>0.94686226636108339</v>
      </c>
      <c r="Q5717" s="8"/>
      <c r="R5717" s="9" t="s">
        <v>5248</v>
      </c>
    </row>
    <row r="5718" spans="1:18" x14ac:dyDescent="0.25">
      <c r="A5718" s="6" t="str">
        <f>HYPERLINK("proteomic_fractions_linear_files/Yang_linear_img/22726177.jpg", "22726177")</f>
        <v>22726177</v>
      </c>
      <c r="B5718" s="7"/>
      <c r="C5718" s="6" t="str">
        <f>HYPERLINK("http://www.ncbi.nlm.nih.gov/protein/22726177","Ppp2r2d")</f>
        <v>Ppp2r2d</v>
      </c>
      <c r="D5718" s="8"/>
      <c r="E5718" s="8">
        <v>51827</v>
      </c>
      <c r="F5718" s="8"/>
      <c r="G5718" s="15" t="s">
        <v>10</v>
      </c>
      <c r="H5718" s="15" t="s">
        <v>10</v>
      </c>
      <c r="I5718" s="15">
        <v>1.0215494159615592</v>
      </c>
      <c r="J5718" s="15">
        <v>1.0215494159615592</v>
      </c>
      <c r="K5718" s="15" t="s">
        <v>10</v>
      </c>
      <c r="L5718" s="15" t="s">
        <v>10</v>
      </c>
      <c r="M5718" s="15">
        <v>1.0215494159615592</v>
      </c>
      <c r="N5718" s="15">
        <v>1.0215494159615592</v>
      </c>
      <c r="O5718" s="15">
        <v>0.92865337662337022</v>
      </c>
      <c r="P5718" s="15">
        <v>0.92865337662337022</v>
      </c>
      <c r="Q5718" s="8"/>
      <c r="R5718" s="9" t="s">
        <v>5249</v>
      </c>
    </row>
    <row r="5719" spans="1:18" x14ac:dyDescent="0.25">
      <c r="A5719" s="6" t="str">
        <f>HYPERLINK("proteomic_fractions_linear_files/Yang_linear_img/254587947.jpg", "254587947")</f>
        <v>254587947</v>
      </c>
      <c r="B5719" s="7"/>
      <c r="C5719" s="6" t="str">
        <f>HYPERLINK("http://www.ncbi.nlm.nih.gov/protein/254587947","Ppp2r4")</f>
        <v>Ppp2r4</v>
      </c>
      <c r="D5719" s="8"/>
      <c r="E5719" s="8">
        <v>36579</v>
      </c>
      <c r="F5719" s="8"/>
      <c r="G5719" s="15" t="s">
        <v>10</v>
      </c>
      <c r="H5719" s="15" t="s">
        <v>10</v>
      </c>
      <c r="I5719" s="15">
        <v>1.0092250384628267</v>
      </c>
      <c r="J5719" s="15">
        <v>1.0092250384628267</v>
      </c>
      <c r="K5719" s="15">
        <v>1.0947923838708851</v>
      </c>
      <c r="L5719" s="15">
        <v>1.0947923838708851</v>
      </c>
      <c r="M5719" s="15">
        <v>1.0092250384628267</v>
      </c>
      <c r="N5719" s="15">
        <v>1.0092250384628267</v>
      </c>
      <c r="O5719" s="15">
        <v>0.93387504136419419</v>
      </c>
      <c r="P5719" s="15">
        <v>0.93387504136419419</v>
      </c>
      <c r="Q5719" s="8"/>
      <c r="R5719" s="9" t="s">
        <v>5250</v>
      </c>
    </row>
    <row r="5720" spans="1:18" x14ac:dyDescent="0.25">
      <c r="A5720" s="6" t="str">
        <f>HYPERLINK("proteomic_fractions_linear_files/Yang_linear_img/47059051.jpg", "47059051")</f>
        <v>47059051</v>
      </c>
      <c r="B5720" s="7"/>
      <c r="C5720" s="6" t="str">
        <f>HYPERLINK("http://www.ncbi.nlm.nih.gov/protein/47059051","Ppp2r5a")</f>
        <v>Ppp2r5a</v>
      </c>
      <c r="D5720" s="8"/>
      <c r="E5720" s="8">
        <v>56216</v>
      </c>
      <c r="F5720" s="8"/>
      <c r="G5720" s="15" t="s">
        <v>10</v>
      </c>
      <c r="H5720" s="15" t="s">
        <v>10</v>
      </c>
      <c r="I5720" s="15">
        <v>0.94858160053573359</v>
      </c>
      <c r="J5720" s="15">
        <v>0.94858160053573359</v>
      </c>
      <c r="K5720" s="15">
        <v>0.94858160053573359</v>
      </c>
      <c r="L5720" s="15">
        <v>0.94858160053573359</v>
      </c>
      <c r="M5720" s="15">
        <v>0.94858160053573359</v>
      </c>
      <c r="N5720" s="15">
        <v>0.94858160053573359</v>
      </c>
      <c r="O5720" s="15">
        <v>0.86232099257884376</v>
      </c>
      <c r="P5720" s="15">
        <v>0.86232099257884376</v>
      </c>
      <c r="Q5720" s="8"/>
      <c r="R5720" s="9" t="s">
        <v>5251</v>
      </c>
    </row>
    <row r="5721" spans="1:18" x14ac:dyDescent="0.25">
      <c r="A5721" s="6" t="str">
        <f>HYPERLINK("proteomic_fractions_linear_files/Yang_linear_img/37718993.jpg", "37718993")</f>
        <v>37718993</v>
      </c>
      <c r="B5721" s="7"/>
      <c r="C5721" s="6" t="str">
        <f>HYPERLINK("http://www.ncbi.nlm.nih.gov/protein/37718993","Ppp2r5b")</f>
        <v>Ppp2r5b</v>
      </c>
      <c r="D5721" s="8"/>
      <c r="E5721" s="8">
        <v>57211</v>
      </c>
      <c r="F5721" s="8"/>
      <c r="G5721" s="15" t="s">
        <v>10</v>
      </c>
      <c r="H5721" s="15" t="s">
        <v>10</v>
      </c>
      <c r="I5721" s="15" t="s">
        <v>10</v>
      </c>
      <c r="J5721" s="15" t="s">
        <v>10</v>
      </c>
      <c r="K5721" s="15">
        <v>1.0311089050104185</v>
      </c>
      <c r="L5721" s="15">
        <v>1.0311089050104185</v>
      </c>
      <c r="M5721" s="15">
        <v>0.93193981807019433</v>
      </c>
      <c r="N5721" s="15">
        <v>0.93193981807019433</v>
      </c>
      <c r="O5721" s="15">
        <v>0.93193981807019433</v>
      </c>
      <c r="P5721" s="15">
        <v>0.93193981807019433</v>
      </c>
      <c r="Q5721" s="8"/>
      <c r="R5721" s="9" t="s">
        <v>5252</v>
      </c>
    </row>
    <row r="5722" spans="1:18" x14ac:dyDescent="0.25">
      <c r="A5722" s="6" t="str">
        <f>HYPERLINK("proteomic_fractions_linear_files/Yang_linear_img/125346006.jpg", "125346006")</f>
        <v>125346006</v>
      </c>
      <c r="B5722" s="7"/>
      <c r="C5722" s="6" t="str">
        <f>HYPERLINK("http://www.ncbi.nlm.nih.gov/protein/125346006","Ppp2r5c")</f>
        <v>Ppp2r5c</v>
      </c>
      <c r="D5722" s="8"/>
      <c r="E5722" s="8">
        <v>56421</v>
      </c>
      <c r="F5722" s="8"/>
      <c r="G5722" s="15">
        <v>33.677935788089123</v>
      </c>
      <c r="H5722" s="15">
        <v>33.677935788089123</v>
      </c>
      <c r="I5722" s="15">
        <v>1.3113600043157543</v>
      </c>
      <c r="J5722" s="15">
        <v>1.3113600043157543</v>
      </c>
      <c r="K5722" s="15">
        <v>7.3043492453471393</v>
      </c>
      <c r="L5722" s="15">
        <v>7.3043492453471393</v>
      </c>
      <c r="M5722" s="15">
        <v>10.598085815523289</v>
      </c>
      <c r="N5722" s="15">
        <v>10.598085815523289</v>
      </c>
      <c r="O5722" s="15">
        <v>5.3889879399374783</v>
      </c>
      <c r="P5722" s="15">
        <v>5.3889879399374783</v>
      </c>
      <c r="Q5722" s="8"/>
      <c r="R5722" s="9" t="s">
        <v>5253</v>
      </c>
    </row>
    <row r="5723" spans="1:18" x14ac:dyDescent="0.25">
      <c r="A5723" s="6" t="str">
        <f>HYPERLINK("proteomic_fractions_linear_files/Yang_linear_img/125346020.jpg", "125346020")</f>
        <v>125346020</v>
      </c>
      <c r="B5723" s="7"/>
      <c r="C5723" s="6" t="str">
        <f>HYPERLINK("http://www.ncbi.nlm.nih.gov/protein/125346020","Ppp2r5c")</f>
        <v>Ppp2r5c</v>
      </c>
      <c r="D5723" s="8"/>
      <c r="E5723" s="8">
        <v>60694</v>
      </c>
      <c r="F5723" s="8"/>
      <c r="G5723" s="15">
        <v>30.917449248081819</v>
      </c>
      <c r="H5723" s="15">
        <v>30.917449248081819</v>
      </c>
      <c r="I5723" s="15">
        <v>1.2038714793718401</v>
      </c>
      <c r="J5723" s="15">
        <v>1.2038714793718401</v>
      </c>
      <c r="K5723" s="15">
        <v>6.7056320940891769</v>
      </c>
      <c r="L5723" s="15">
        <v>6.7056320940891769</v>
      </c>
      <c r="M5723" s="15">
        <v>9.7293902568738382</v>
      </c>
      <c r="N5723" s="15">
        <v>9.7293902568738382</v>
      </c>
      <c r="O5723" s="15">
        <v>4.9472676169917831</v>
      </c>
      <c r="P5723" s="15">
        <v>4.9472676169917831</v>
      </c>
      <c r="Q5723" s="8"/>
      <c r="R5723" s="9" t="s">
        <v>5254</v>
      </c>
    </row>
    <row r="5724" spans="1:18" x14ac:dyDescent="0.25">
      <c r="A5724" s="6" t="str">
        <f>HYPERLINK("proteomic_fractions_linear_files/Yang_linear_img/125346154.jpg", "125346154")</f>
        <v>125346154</v>
      </c>
      <c r="B5724" s="7"/>
      <c r="C5724" s="6" t="str">
        <f>HYPERLINK("http://www.ncbi.nlm.nih.gov/protein/125346154","Ppp2r5c")</f>
        <v>Ppp2r5c</v>
      </c>
      <c r="D5724" s="8"/>
      <c r="E5724" s="8">
        <v>52687</v>
      </c>
      <c r="F5724" s="8"/>
      <c r="G5724" s="15">
        <v>35.584234040245114</v>
      </c>
      <c r="H5724" s="15">
        <v>35.584234040245114</v>
      </c>
      <c r="I5724" s="15">
        <v>1.3855879290883442</v>
      </c>
      <c r="J5724" s="15">
        <v>1.3855879290883442</v>
      </c>
      <c r="K5724" s="15">
        <v>7.7178029762158449</v>
      </c>
      <c r="L5724" s="15">
        <v>7.7178029762158449</v>
      </c>
      <c r="M5724" s="15">
        <v>11.197977465458569</v>
      </c>
      <c r="N5724" s="15">
        <v>11.197977465458569</v>
      </c>
      <c r="O5724" s="15">
        <v>5.6940249931414861</v>
      </c>
      <c r="P5724" s="15">
        <v>5.6940249931414861</v>
      </c>
      <c r="Q5724" s="8"/>
      <c r="R5724" s="9" t="s">
        <v>5255</v>
      </c>
    </row>
    <row r="5725" spans="1:18" x14ac:dyDescent="0.25">
      <c r="A5725" s="6" t="str">
        <f>HYPERLINK("proteomic_fractions_linear_files/Yang_linear_img/218751908.jpg", "218751908")</f>
        <v>218751908</v>
      </c>
      <c r="B5725" s="7"/>
      <c r="C5725" s="6" t="str">
        <f>HYPERLINK("http://www.ncbi.nlm.nih.gov/protein/218751908","Ppp2r5c")</f>
        <v>Ppp2r5c</v>
      </c>
      <c r="D5725" s="8"/>
      <c r="E5725" s="8">
        <v>59234</v>
      </c>
      <c r="F5725" s="8"/>
      <c r="G5725" s="15">
        <v>31.965498375135439</v>
      </c>
      <c r="H5725" s="15">
        <v>31.965498375135439</v>
      </c>
      <c r="I5725" s="15">
        <v>1.244680682062411</v>
      </c>
      <c r="J5725" s="15">
        <v>1.244680682062411</v>
      </c>
      <c r="K5725" s="15">
        <v>6.9329416566006747</v>
      </c>
      <c r="L5725" s="15">
        <v>6.9329416566006747</v>
      </c>
      <c r="M5725" s="15">
        <v>10.059200096089901</v>
      </c>
      <c r="N5725" s="15">
        <v>10.059200096089901</v>
      </c>
      <c r="O5725" s="15">
        <v>5.1149716040084536</v>
      </c>
      <c r="P5725" s="15">
        <v>5.1149716040084536</v>
      </c>
      <c r="Q5725" s="8"/>
      <c r="R5725" s="9" t="s">
        <v>5256</v>
      </c>
    </row>
    <row r="5726" spans="1:18" x14ac:dyDescent="0.25">
      <c r="A5726" s="6" t="str">
        <f>HYPERLINK("proteomic_fractions_linear_files/Yang_linear_img/33942059.jpg", "33942059")</f>
        <v>33942059</v>
      </c>
      <c r="B5726" s="7"/>
      <c r="C5726" s="6" t="str">
        <f>HYPERLINK("http://www.ncbi.nlm.nih.gov/protein/33942059","Ppp2r5d")</f>
        <v>Ppp2r5d</v>
      </c>
      <c r="D5726" s="8"/>
      <c r="E5726" s="8">
        <v>68864</v>
      </c>
      <c r="F5726" s="8"/>
      <c r="G5726" s="15" t="s">
        <v>10</v>
      </c>
      <c r="H5726" s="15" t="s">
        <v>10</v>
      </c>
      <c r="I5726" s="15">
        <v>1.0642921774156846</v>
      </c>
      <c r="J5726" s="15">
        <v>1.0642921774156846</v>
      </c>
      <c r="K5726" s="15">
        <v>1.0642921774156846</v>
      </c>
      <c r="L5726" s="15">
        <v>1.0642921774156846</v>
      </c>
      <c r="M5726" s="15">
        <v>1.0642921774156846</v>
      </c>
      <c r="N5726" s="15">
        <v>1.0642921774156846</v>
      </c>
      <c r="O5726" s="15">
        <v>1.0642921774156846</v>
      </c>
      <c r="P5726" s="15">
        <v>1.0642921774156846</v>
      </c>
      <c r="Q5726" s="8"/>
      <c r="R5726" s="9" t="s">
        <v>5257</v>
      </c>
    </row>
    <row r="5727" spans="1:18" x14ac:dyDescent="0.25">
      <c r="A5727" s="6" t="str">
        <f>HYPERLINK("proteomic_fractions_linear_files/Yang_linear_img/33859660.jpg", "33859660")</f>
        <v>33859660</v>
      </c>
      <c r="B5727" s="7"/>
      <c r="C5727" s="6" t="str">
        <f>HYPERLINK("http://www.ncbi.nlm.nih.gov/protein/33859660","Ppp2r5e")</f>
        <v>Ppp2r5e</v>
      </c>
      <c r="D5727" s="8"/>
      <c r="E5727" s="8">
        <v>54583</v>
      </c>
      <c r="F5727" s="8"/>
      <c r="G5727" s="15" t="s">
        <v>10</v>
      </c>
      <c r="H5727" s="15" t="s">
        <v>10</v>
      </c>
      <c r="I5727" s="15">
        <v>0.87799955608027735</v>
      </c>
      <c r="J5727" s="15">
        <v>0.87799955608027735</v>
      </c>
      <c r="K5727" s="15">
        <v>0.96582853872729235</v>
      </c>
      <c r="L5727" s="15">
        <v>0.96582853872729235</v>
      </c>
      <c r="M5727" s="15">
        <v>0.96582853872729235</v>
      </c>
      <c r="N5727" s="15">
        <v>0.96582853872729235</v>
      </c>
      <c r="O5727" s="15">
        <v>0.87799955608027735</v>
      </c>
      <c r="P5727" s="15">
        <v>0.87799955608027735</v>
      </c>
      <c r="Q5727" s="8"/>
      <c r="R5727" s="9" t="s">
        <v>5258</v>
      </c>
    </row>
    <row r="5728" spans="1:18" x14ac:dyDescent="0.25">
      <c r="A5728" s="6" t="str">
        <f>HYPERLINK("proteomic_fractions_linear_files/Yang_linear_img/42415473.jpg", "42415473")</f>
        <v>42415473</v>
      </c>
      <c r="B5728" s="7"/>
      <c r="C5728" s="6" t="str">
        <f>HYPERLINK("http://www.ncbi.nlm.nih.gov/protein/42415473","Ppp3ca")</f>
        <v>Ppp3ca</v>
      </c>
      <c r="D5728" s="8"/>
      <c r="E5728" s="8">
        <v>58513</v>
      </c>
      <c r="F5728" s="8"/>
      <c r="G5728" s="15" t="s">
        <v>10</v>
      </c>
      <c r="H5728" s="15" t="s">
        <v>10</v>
      </c>
      <c r="I5728" s="15">
        <v>0.99615606077277719</v>
      </c>
      <c r="J5728" s="15">
        <v>0.99615606077277719</v>
      </c>
      <c r="K5728" s="15">
        <v>0.99615606077277719</v>
      </c>
      <c r="L5728" s="15">
        <v>0.99615606077277719</v>
      </c>
      <c r="M5728" s="15">
        <v>0.99615606077277719</v>
      </c>
      <c r="N5728" s="15">
        <v>0.99615606077277719</v>
      </c>
      <c r="O5728" s="15">
        <v>0.90034863779662844</v>
      </c>
      <c r="P5728" s="15">
        <v>0.90034863779662844</v>
      </c>
      <c r="Q5728" s="8"/>
      <c r="R5728" s="9" t="s">
        <v>5259</v>
      </c>
    </row>
    <row r="5729" spans="1:18" x14ac:dyDescent="0.25">
      <c r="A5729" s="6" t="str">
        <f>HYPERLINK("proteomic_fractions_linear_files/Yang_linear_img/45592930.jpg", "45592930")</f>
        <v>45592930</v>
      </c>
      <c r="B5729" s="7"/>
      <c r="C5729" s="6" t="str">
        <f>HYPERLINK("http://www.ncbi.nlm.nih.gov/protein/45592930","Ppp3cb")</f>
        <v>Ppp3cb</v>
      </c>
      <c r="D5729" s="8"/>
      <c r="E5729" s="8">
        <v>59043</v>
      </c>
      <c r="F5729" s="8"/>
      <c r="G5729" s="15" t="s">
        <v>10</v>
      </c>
      <c r="H5729" s="15" t="s">
        <v>10</v>
      </c>
      <c r="I5729" s="15" t="s">
        <v>10</v>
      </c>
      <c r="J5729" s="15" t="s">
        <v>10</v>
      </c>
      <c r="K5729" s="15">
        <v>0.99615606077277719</v>
      </c>
      <c r="L5729" s="15">
        <v>0.99615606077277719</v>
      </c>
      <c r="M5729" s="15">
        <v>0.99615606077277719</v>
      </c>
      <c r="N5729" s="15">
        <v>0.99615606077277719</v>
      </c>
      <c r="O5729" s="15">
        <v>0.90034863779662844</v>
      </c>
      <c r="P5729" s="15">
        <v>0.90034863779662844</v>
      </c>
      <c r="Q5729" s="8"/>
      <c r="R5729" s="9" t="s">
        <v>5260</v>
      </c>
    </row>
    <row r="5730" spans="1:18" x14ac:dyDescent="0.25">
      <c r="A5730" s="6" t="str">
        <f>HYPERLINK("proteomic_fractions_linear_files/Yang_linear_img/6679447.jpg", "6679447")</f>
        <v>6679447</v>
      </c>
      <c r="B5730" s="7"/>
      <c r="C5730" s="6" t="str">
        <f>HYPERLINK("http://www.ncbi.nlm.nih.gov/protein/6679447","Ppp3cc")</f>
        <v>Ppp3cc</v>
      </c>
      <c r="D5730" s="8"/>
      <c r="E5730" s="8">
        <v>58568</v>
      </c>
      <c r="F5730" s="8"/>
      <c r="G5730" s="15" t="s">
        <v>10</v>
      </c>
      <c r="H5730" s="15" t="s">
        <v>10</v>
      </c>
      <c r="I5730" s="15" t="s">
        <v>10</v>
      </c>
      <c r="J5730" s="15" t="s">
        <v>10</v>
      </c>
      <c r="K5730" s="15">
        <v>0.74789134316890626</v>
      </c>
      <c r="L5730" s="15">
        <v>0.74789134316890626</v>
      </c>
      <c r="M5730" s="15" t="s">
        <v>10</v>
      </c>
      <c r="N5730" s="15" t="s">
        <v>10</v>
      </c>
      <c r="O5730" s="15">
        <v>0.90034863779662844</v>
      </c>
      <c r="P5730" s="15">
        <v>0.90034863779662844</v>
      </c>
      <c r="Q5730" s="8"/>
      <c r="R5730" s="9" t="s">
        <v>5261</v>
      </c>
    </row>
    <row r="5731" spans="1:18" x14ac:dyDescent="0.25">
      <c r="A5731" s="6" t="str">
        <f>HYPERLINK("proteomic_fractions_linear_files/Yang_linear_img/84794597.jpg", "84794597")</f>
        <v>84794597</v>
      </c>
      <c r="B5731" s="7"/>
      <c r="C5731" s="6" t="str">
        <f>HYPERLINK("http://www.ncbi.nlm.nih.gov/protein/84794597","Ppp3r1")</f>
        <v>Ppp3r1</v>
      </c>
      <c r="D5731" s="8"/>
      <c r="E5731" s="8">
        <v>19169</v>
      </c>
      <c r="F5731" s="8"/>
      <c r="G5731" s="15" t="s">
        <v>10</v>
      </c>
      <c r="H5731" s="15" t="s">
        <v>10</v>
      </c>
      <c r="I5731" s="15" t="s">
        <v>10</v>
      </c>
      <c r="J5731" s="15" t="s">
        <v>10</v>
      </c>
      <c r="K5731" s="15">
        <v>0.79980727862180456</v>
      </c>
      <c r="L5731" s="15">
        <v>0.79980727862180456</v>
      </c>
      <c r="M5731" s="15">
        <v>0.83828640964114609</v>
      </c>
      <c r="N5731" s="15">
        <v>0.83828640964114609</v>
      </c>
      <c r="O5731" s="15" t="s">
        <v>10</v>
      </c>
      <c r="P5731" s="15" t="s">
        <v>10</v>
      </c>
      <c r="Q5731" s="8"/>
      <c r="R5731" s="9" t="s">
        <v>5262</v>
      </c>
    </row>
    <row r="5732" spans="1:18" x14ac:dyDescent="0.25">
      <c r="A5732" s="6" t="str">
        <f>HYPERLINK("proteomic_fractions_linear_files/Yang_linear_img/9790175.jpg", "9790175")</f>
        <v>9790175</v>
      </c>
      <c r="B5732" s="7"/>
      <c r="C5732" s="6" t="str">
        <f>HYPERLINK("http://www.ncbi.nlm.nih.gov/protein/9790175","Ppp4c")</f>
        <v>Ppp4c</v>
      </c>
      <c r="D5732" s="8"/>
      <c r="E5732" s="8">
        <v>34949</v>
      </c>
      <c r="F5732" s="8"/>
      <c r="G5732" s="15" t="s">
        <v>10</v>
      </c>
      <c r="H5732" s="15" t="s">
        <v>10</v>
      </c>
      <c r="I5732" s="15">
        <v>0.91668779587810256</v>
      </c>
      <c r="J5732" s="15">
        <v>0.91668779587810256</v>
      </c>
      <c r="K5732" s="15">
        <v>0.98723932944214809</v>
      </c>
      <c r="L5732" s="15">
        <v>0.98723932944214809</v>
      </c>
      <c r="M5732" s="15">
        <v>0.91668779587810256</v>
      </c>
      <c r="N5732" s="15">
        <v>0.91668779587810256</v>
      </c>
      <c r="O5732" s="15">
        <v>0.79766317993377311</v>
      </c>
      <c r="P5732" s="15">
        <v>0.79766317993377311</v>
      </c>
      <c r="Q5732" s="8"/>
      <c r="R5732" s="9" t="s">
        <v>5263</v>
      </c>
    </row>
    <row r="5733" spans="1:18" x14ac:dyDescent="0.25">
      <c r="A5733" s="6" t="str">
        <f>HYPERLINK("proteomic_fractions_linear_files/Yang_linear_img/166706860.jpg", "166706860")</f>
        <v>166706860</v>
      </c>
      <c r="B5733" s="7"/>
      <c r="C5733" s="6" t="str">
        <f>HYPERLINK("http://www.ncbi.nlm.nih.gov/protein/166706860","Ppp4r1")</f>
        <v>Ppp4r1</v>
      </c>
      <c r="D5733" s="8"/>
      <c r="E5733" s="8">
        <v>106195</v>
      </c>
      <c r="F5733" s="8"/>
      <c r="G5733" s="15" t="s">
        <v>10</v>
      </c>
      <c r="H5733" s="15" t="s">
        <v>10</v>
      </c>
      <c r="I5733" s="15" t="s">
        <v>10</v>
      </c>
      <c r="J5733" s="15" t="s">
        <v>10</v>
      </c>
      <c r="K5733" s="15">
        <v>1.4476685956249231</v>
      </c>
      <c r="L5733" s="15">
        <v>1.4476685956249231</v>
      </c>
      <c r="M5733" s="15">
        <v>1.4476685956249231</v>
      </c>
      <c r="N5733" s="15">
        <v>1.4476685956249231</v>
      </c>
      <c r="O5733" s="15">
        <v>1.2143549825011035</v>
      </c>
      <c r="P5733" s="15">
        <v>1.2143549825011035</v>
      </c>
      <c r="Q5733" s="8"/>
      <c r="R5733" s="9" t="s">
        <v>5264</v>
      </c>
    </row>
    <row r="5734" spans="1:18" x14ac:dyDescent="0.25">
      <c r="A5734" s="6" t="str">
        <f>HYPERLINK("proteomic_fractions_linear_files/Yang_linear_img/166706862.jpg", "166706862")</f>
        <v>166706862</v>
      </c>
      <c r="B5734" s="7"/>
      <c r="C5734" s="6" t="str">
        <f>HYPERLINK("http://www.ncbi.nlm.nih.gov/protein/166706862","Ppp4r1")</f>
        <v>Ppp4r1</v>
      </c>
      <c r="D5734" s="8"/>
      <c r="E5734" s="8">
        <v>104372</v>
      </c>
      <c r="F5734" s="8"/>
      <c r="G5734" s="15" t="s">
        <v>10</v>
      </c>
      <c r="H5734" s="15" t="s">
        <v>10</v>
      </c>
      <c r="I5734" s="15" t="s">
        <v>10</v>
      </c>
      <c r="J5734" s="15" t="s">
        <v>10</v>
      </c>
      <c r="K5734" s="15">
        <v>1.4755083763100176</v>
      </c>
      <c r="L5734" s="15">
        <v>1.4755083763100176</v>
      </c>
      <c r="M5734" s="15">
        <v>1.4755083763100176</v>
      </c>
      <c r="N5734" s="15">
        <v>1.4755083763100176</v>
      </c>
      <c r="O5734" s="15">
        <v>1.237707962933817</v>
      </c>
      <c r="P5734" s="15">
        <v>1.237707962933817</v>
      </c>
      <c r="Q5734" s="8"/>
      <c r="R5734" s="9" t="s">
        <v>5265</v>
      </c>
    </row>
    <row r="5735" spans="1:18" x14ac:dyDescent="0.25">
      <c r="A5735" s="6" t="str">
        <f>HYPERLINK("proteomic_fractions_linear_files/Yang_linear_img/33636709.jpg", "33636709")</f>
        <v>33636709</v>
      </c>
      <c r="B5735" s="7"/>
      <c r="C5735" s="6" t="str">
        <f>HYPERLINK("http://www.ncbi.nlm.nih.gov/protein/33636709","Ppp4r2")</f>
        <v>Ppp4r2</v>
      </c>
      <c r="D5735" s="8"/>
      <c r="E5735" s="8">
        <v>46318</v>
      </c>
      <c r="F5735" s="8"/>
      <c r="G5735" s="15" t="s">
        <v>10</v>
      </c>
      <c r="H5735" s="15" t="s">
        <v>10</v>
      </c>
      <c r="I5735" s="15">
        <v>1.4228970289248768</v>
      </c>
      <c r="J5735" s="15">
        <v>1.4228970289248768</v>
      </c>
      <c r="K5735" s="15">
        <v>1.596438266123527</v>
      </c>
      <c r="L5735" s="15">
        <v>1.596438266123527</v>
      </c>
      <c r="M5735" s="15">
        <v>1.596438266123527</v>
      </c>
      <c r="N5735" s="15">
        <v>1.596438266123527</v>
      </c>
      <c r="O5735" s="15">
        <v>1.4228970289248768</v>
      </c>
      <c r="P5735" s="15">
        <v>1.4228970289248768</v>
      </c>
      <c r="Q5735" s="8"/>
      <c r="R5735" s="9" t="s">
        <v>5266</v>
      </c>
    </row>
    <row r="5736" spans="1:18" x14ac:dyDescent="0.25">
      <c r="A5736" s="6" t="str">
        <f>HYPERLINK("proteomic_fractions_linear_files/Yang_linear_img/199559777.jpg", "199559777")</f>
        <v>199559777</v>
      </c>
      <c r="B5736" s="7"/>
      <c r="C5736" s="6" t="str">
        <f>HYPERLINK("http://www.ncbi.nlm.nih.gov/protein/199559777","Ppp5c")</f>
        <v>Ppp5c</v>
      </c>
      <c r="D5736" s="8"/>
      <c r="E5736" s="8">
        <v>56746</v>
      </c>
      <c r="F5736" s="8"/>
      <c r="G5736" s="15" t="s">
        <v>10</v>
      </c>
      <c r="H5736" s="15" t="s">
        <v>10</v>
      </c>
      <c r="I5736" s="15">
        <v>1.0311089050104185</v>
      </c>
      <c r="J5736" s="15">
        <v>1.0311089050104185</v>
      </c>
      <c r="K5736" s="15">
        <v>1.1483028654481462</v>
      </c>
      <c r="L5736" s="15">
        <v>1.1483028654481462</v>
      </c>
      <c r="M5736" s="15">
        <v>1.0311089050104185</v>
      </c>
      <c r="N5736" s="15">
        <v>1.0311089050104185</v>
      </c>
      <c r="O5736" s="15">
        <v>0.93193981807019433</v>
      </c>
      <c r="P5736" s="15">
        <v>0.93193981807019433</v>
      </c>
      <c r="Q5736" s="8"/>
      <c r="R5736" s="9" t="s">
        <v>5267</v>
      </c>
    </row>
    <row r="5737" spans="1:18" x14ac:dyDescent="0.25">
      <c r="A5737" s="6" t="str">
        <f>HYPERLINK("proteomic_fractions_linear_files/Yang_linear_img/21312758.jpg", "21312758")</f>
        <v>21312758</v>
      </c>
      <c r="B5737" s="7"/>
      <c r="C5737" s="6" t="str">
        <f>HYPERLINK("http://www.ncbi.nlm.nih.gov/protein/21312758","Ppp6c")</f>
        <v>Ppp6c</v>
      </c>
      <c r="D5737" s="8"/>
      <c r="E5737" s="8">
        <v>35028</v>
      </c>
      <c r="F5737" s="8"/>
      <c r="G5737" s="15" t="s">
        <v>10</v>
      </c>
      <c r="H5737" s="15" t="s">
        <v>10</v>
      </c>
      <c r="I5737" s="15">
        <v>0.91668779587810256</v>
      </c>
      <c r="J5737" s="15">
        <v>0.91668779587810256</v>
      </c>
      <c r="K5737" s="15">
        <v>0.91668779587810256</v>
      </c>
      <c r="L5737" s="15">
        <v>0.91668779587810256</v>
      </c>
      <c r="M5737" s="15">
        <v>0.91668779587810256</v>
      </c>
      <c r="N5737" s="15">
        <v>0.91668779587810256</v>
      </c>
      <c r="O5737" s="15">
        <v>0.85386876833466085</v>
      </c>
      <c r="P5737" s="15">
        <v>0.85386876833466085</v>
      </c>
      <c r="Q5737" s="8"/>
      <c r="R5737" s="9" t="s">
        <v>5268</v>
      </c>
    </row>
    <row r="5738" spans="1:18" x14ac:dyDescent="0.25">
      <c r="A5738" s="6" t="str">
        <f>HYPERLINK("proteomic_fractions_linear_files/Yang_linear_img/34536815.jpg", "34536815")</f>
        <v>34536815</v>
      </c>
      <c r="B5738" s="7"/>
      <c r="C5738" s="6" t="str">
        <f>HYPERLINK("http://www.ncbi.nlm.nih.gov/protein/34536815","Ppp6r1")</f>
        <v>Ppp6r1</v>
      </c>
      <c r="D5738" s="8"/>
      <c r="E5738" s="8">
        <v>94397</v>
      </c>
      <c r="F5738" s="8"/>
      <c r="G5738" s="15" t="s">
        <v>10</v>
      </c>
      <c r="H5738" s="15" t="s">
        <v>10</v>
      </c>
      <c r="I5738" s="15" t="s">
        <v>10</v>
      </c>
      <c r="J5738" s="15" t="s">
        <v>10</v>
      </c>
      <c r="K5738" s="15" t="s">
        <v>10</v>
      </c>
      <c r="L5738" s="15" t="s">
        <v>10</v>
      </c>
      <c r="M5738" s="15">
        <v>1.632477352513211</v>
      </c>
      <c r="N5738" s="15">
        <v>1.632477352513211</v>
      </c>
      <c r="O5738" s="15">
        <v>1.3693790228203933</v>
      </c>
      <c r="P5738" s="15">
        <v>1.3693790228203933</v>
      </c>
      <c r="Q5738" s="8"/>
      <c r="R5738" s="9" t="s">
        <v>5269</v>
      </c>
    </row>
    <row r="5739" spans="1:18" x14ac:dyDescent="0.25">
      <c r="A5739" s="6" t="str">
        <f>HYPERLINK("proteomic_fractions_linear_files/Yang_linear_img/28076987.jpg", "28076987")</f>
        <v>28076987</v>
      </c>
      <c r="B5739" s="7"/>
      <c r="C5739" s="6" t="str">
        <f>HYPERLINK("http://www.ncbi.nlm.nih.gov/protein/28076987","Ppp6r2")</f>
        <v>Ppp6r2</v>
      </c>
      <c r="D5739" s="8"/>
      <c r="E5739" s="8">
        <v>28773</v>
      </c>
      <c r="F5739" s="8"/>
      <c r="G5739" s="15" t="s">
        <v>10</v>
      </c>
      <c r="H5739" s="15" t="s">
        <v>10</v>
      </c>
      <c r="I5739" s="15" t="s">
        <v>10</v>
      </c>
      <c r="J5739" s="15" t="s">
        <v>10</v>
      </c>
      <c r="K5739" s="15" t="s">
        <v>10</v>
      </c>
      <c r="L5739" s="15" t="s">
        <v>10</v>
      </c>
      <c r="M5739" s="15">
        <v>5.2914783150428217</v>
      </c>
      <c r="N5739" s="15">
        <v>5.2914783150428217</v>
      </c>
      <c r="O5739" s="15" t="s">
        <v>10</v>
      </c>
      <c r="P5739" s="15" t="s">
        <v>10</v>
      </c>
      <c r="Q5739" s="8"/>
      <c r="R5739" s="9" t="s">
        <v>5270</v>
      </c>
    </row>
    <row r="5740" spans="1:18" x14ac:dyDescent="0.25">
      <c r="A5740" s="6" t="str">
        <f>HYPERLINK("proteomic_fractions_linear_files/Yang_linear_img/54145496.jpg", "54145496")</f>
        <v>54145496</v>
      </c>
      <c r="B5740" s="7"/>
      <c r="C5740" s="6" t="str">
        <f>HYPERLINK("http://www.ncbi.nlm.nih.gov/protein/54145496","Ppp6r2")</f>
        <v>Ppp6r2</v>
      </c>
      <c r="D5740" s="8"/>
      <c r="E5740" s="8">
        <v>100329</v>
      </c>
      <c r="F5740" s="8"/>
      <c r="G5740" s="15" t="s">
        <v>10</v>
      </c>
      <c r="H5740" s="15" t="s">
        <v>10</v>
      </c>
      <c r="I5740" s="15" t="s">
        <v>10</v>
      </c>
      <c r="J5740" s="15" t="s">
        <v>10</v>
      </c>
      <c r="K5740" s="15" t="s">
        <v>10</v>
      </c>
      <c r="L5740" s="15" t="s">
        <v>10</v>
      </c>
      <c r="M5740" s="15">
        <v>1.5345287113624184</v>
      </c>
      <c r="N5740" s="15">
        <v>1.5345287113624184</v>
      </c>
      <c r="O5740" s="15" t="s">
        <v>10</v>
      </c>
      <c r="P5740" s="15" t="s">
        <v>10</v>
      </c>
      <c r="Q5740" s="8"/>
      <c r="R5740" s="9" t="s">
        <v>5271</v>
      </c>
    </row>
    <row r="5741" spans="1:18" x14ac:dyDescent="0.25">
      <c r="A5741" s="6" t="str">
        <f>HYPERLINK("proteomic_fractions_linear_files/Yang_linear_img/22726197.jpg", "22726197")</f>
        <v>22726197</v>
      </c>
      <c r="B5741" s="7"/>
      <c r="C5741" s="6" t="str">
        <f>HYPERLINK("http://www.ncbi.nlm.nih.gov/protein/22726197","Ppp6r3")</f>
        <v>Ppp6r3</v>
      </c>
      <c r="D5741" s="8"/>
      <c r="E5741" s="8">
        <v>94522</v>
      </c>
      <c r="F5741" s="8"/>
      <c r="G5741" s="15" t="s">
        <v>10</v>
      </c>
      <c r="H5741" s="15" t="s">
        <v>10</v>
      </c>
      <c r="I5741" s="15">
        <v>1.6152933803814931</v>
      </c>
      <c r="J5741" s="15">
        <v>1.6152933803814931</v>
      </c>
      <c r="K5741" s="15">
        <v>1.6152933803814931</v>
      </c>
      <c r="L5741" s="15">
        <v>1.6152933803814931</v>
      </c>
      <c r="M5741" s="15">
        <v>1.6152933803814931</v>
      </c>
      <c r="N5741" s="15">
        <v>1.6152933803814931</v>
      </c>
      <c r="O5741" s="15">
        <v>1.6152933803814931</v>
      </c>
      <c r="P5741" s="15">
        <v>1.6152933803814931</v>
      </c>
      <c r="Q5741" s="8"/>
      <c r="R5741" s="9" t="s">
        <v>5272</v>
      </c>
    </row>
    <row r="5742" spans="1:18" x14ac:dyDescent="0.25">
      <c r="A5742" s="6" t="str">
        <f>HYPERLINK("proteomic_fractions_linear_files/Yang_linear_img/255918184.jpg", "255918184")</f>
        <v>255918184</v>
      </c>
      <c r="B5742" s="7"/>
      <c r="C5742" s="6" t="str">
        <f>HYPERLINK("http://www.ncbi.nlm.nih.gov/protein/255918184","Ppp6r3")</f>
        <v>Ppp6r3</v>
      </c>
      <c r="D5742" s="8"/>
      <c r="E5742" s="8">
        <v>92486</v>
      </c>
      <c r="F5742" s="8"/>
      <c r="G5742" s="15" t="s">
        <v>10</v>
      </c>
      <c r="H5742" s="15" t="s">
        <v>10</v>
      </c>
      <c r="I5742" s="15">
        <v>1.6679659906113244</v>
      </c>
      <c r="J5742" s="15">
        <v>1.6679659906113244</v>
      </c>
      <c r="K5742" s="15">
        <v>1.6679659906113244</v>
      </c>
      <c r="L5742" s="15">
        <v>1.6679659906113244</v>
      </c>
      <c r="M5742" s="15">
        <v>1.6679659906113244</v>
      </c>
      <c r="N5742" s="15">
        <v>1.6679659906113244</v>
      </c>
      <c r="O5742" s="15">
        <v>1.6679659906113244</v>
      </c>
      <c r="P5742" s="15">
        <v>1.6679659906113244</v>
      </c>
      <c r="Q5742" s="8"/>
      <c r="R5742" s="9" t="s">
        <v>5273</v>
      </c>
    </row>
    <row r="5743" spans="1:18" x14ac:dyDescent="0.25">
      <c r="A5743" s="6" t="str">
        <f>HYPERLINK("proteomic_fractions_linear_files/Yang_linear_img/255918186.jpg", "255918186")</f>
        <v>255918186</v>
      </c>
      <c r="B5743" s="7"/>
      <c r="C5743" s="6" t="str">
        <f>HYPERLINK("http://www.ncbi.nlm.nih.gov/protein/255918186","Ppp6r3")</f>
        <v>Ppp6r3</v>
      </c>
      <c r="D5743" s="8"/>
      <c r="E5743" s="8">
        <v>97733</v>
      </c>
      <c r="F5743" s="8"/>
      <c r="G5743" s="15" t="s">
        <v>10</v>
      </c>
      <c r="H5743" s="15" t="s">
        <v>10</v>
      </c>
      <c r="I5743" s="15">
        <v>1.5658456238392024</v>
      </c>
      <c r="J5743" s="15">
        <v>1.5658456238392024</v>
      </c>
      <c r="K5743" s="15">
        <v>1.5658456238392024</v>
      </c>
      <c r="L5743" s="15">
        <v>1.5658456238392024</v>
      </c>
      <c r="M5743" s="15">
        <v>1.5658456238392024</v>
      </c>
      <c r="N5743" s="15">
        <v>1.5658456238392024</v>
      </c>
      <c r="O5743" s="15">
        <v>1.5658456238392024</v>
      </c>
      <c r="P5743" s="15">
        <v>1.5658456238392024</v>
      </c>
      <c r="Q5743" s="8"/>
      <c r="R5743" s="9" t="s">
        <v>5274</v>
      </c>
    </row>
    <row r="5744" spans="1:18" x14ac:dyDescent="0.25">
      <c r="A5744" s="6" t="str">
        <f>HYPERLINK("proteomic_fractions_linear_files/Yang_linear_img/121674797.jpg", "121674797")</f>
        <v>121674797</v>
      </c>
      <c r="B5744" s="7"/>
      <c r="C5744" s="6" t="str">
        <f>HYPERLINK("http://www.ncbi.nlm.nih.gov/protein/121674797","Ppt1")</f>
        <v>Ppt1</v>
      </c>
      <c r="D5744" s="8"/>
      <c r="E5744" s="8">
        <v>31636</v>
      </c>
      <c r="F5744" s="8"/>
      <c r="G5744" s="15">
        <v>1.3789246639676709</v>
      </c>
      <c r="H5744" s="15">
        <v>1.3789246639676709</v>
      </c>
      <c r="I5744" s="15">
        <v>1.0026272767416746</v>
      </c>
      <c r="J5744" s="15">
        <v>1.0026272767416746</v>
      </c>
      <c r="K5744" s="15" t="s">
        <v>10</v>
      </c>
      <c r="L5744" s="15" t="s">
        <v>10</v>
      </c>
      <c r="M5744" s="15">
        <v>1.0026272767416746</v>
      </c>
      <c r="N5744" s="15">
        <v>1.0026272767416746</v>
      </c>
      <c r="O5744" s="15">
        <v>0.87244410305256437</v>
      </c>
      <c r="P5744" s="15">
        <v>0.87244410305256437</v>
      </c>
      <c r="Q5744" s="8"/>
      <c r="R5744" s="9" t="s">
        <v>5275</v>
      </c>
    </row>
    <row r="5745" spans="1:18" x14ac:dyDescent="0.25">
      <c r="A5745" s="6" t="str">
        <f>HYPERLINK("proteomic_fractions_linear_files/Yang_linear_img/9506985.jpg", "9506985")</f>
        <v>9506985</v>
      </c>
      <c r="B5745" s="7"/>
      <c r="C5745" s="6" t="str">
        <f>HYPERLINK("http://www.ncbi.nlm.nih.gov/protein/9506985","Ppt2")</f>
        <v>Ppt2</v>
      </c>
      <c r="D5745" s="8"/>
      <c r="E5745" s="8">
        <v>31283</v>
      </c>
      <c r="F5745" s="8"/>
      <c r="G5745" s="15" t="s">
        <v>10</v>
      </c>
      <c r="H5745" s="15" t="s">
        <v>10</v>
      </c>
      <c r="I5745" s="15">
        <v>1.1146250493701673</v>
      </c>
      <c r="J5745" s="15">
        <v>1.1146250493701673</v>
      </c>
      <c r="K5745" s="15" t="s">
        <v>10</v>
      </c>
      <c r="L5745" s="15" t="s">
        <v>10</v>
      </c>
      <c r="M5745" s="15" t="s">
        <v>10</v>
      </c>
      <c r="N5745" s="15" t="s">
        <v>10</v>
      </c>
      <c r="O5745" s="15">
        <v>0.96404538360364944</v>
      </c>
      <c r="P5745" s="15">
        <v>0.96404538360364944</v>
      </c>
      <c r="Q5745" s="8"/>
      <c r="R5745" s="9" t="s">
        <v>5276</v>
      </c>
    </row>
    <row r="5746" spans="1:18" x14ac:dyDescent="0.25">
      <c r="A5746" s="6" t="str">
        <f>HYPERLINK("proteomic_fractions_linear_files/Yang_linear_img/46195809.jpg", "46195809")</f>
        <v>46195809</v>
      </c>
      <c r="B5746" s="7"/>
      <c r="C5746" s="6" t="str">
        <f>HYPERLINK("http://www.ncbi.nlm.nih.gov/protein/46195809","Pptc7")</f>
        <v>Pptc7</v>
      </c>
      <c r="D5746" s="8"/>
      <c r="E5746" s="8">
        <v>32917</v>
      </c>
      <c r="F5746" s="8"/>
      <c r="G5746" s="15" t="s">
        <v>10</v>
      </c>
      <c r="H5746" s="15" t="s">
        <v>10</v>
      </c>
      <c r="I5746" s="15">
        <v>0.84600640296006246</v>
      </c>
      <c r="J5746" s="15">
        <v>0.84600640296006246</v>
      </c>
      <c r="K5746" s="15" t="s">
        <v>10</v>
      </c>
      <c r="L5746" s="15" t="s">
        <v>10</v>
      </c>
      <c r="M5746" s="15" t="s">
        <v>10</v>
      </c>
      <c r="N5746" s="15" t="s">
        <v>10</v>
      </c>
      <c r="O5746" s="15" t="s">
        <v>10</v>
      </c>
      <c r="P5746" s="15" t="s">
        <v>10</v>
      </c>
      <c r="Q5746" s="8"/>
      <c r="R5746" s="9" t="s">
        <v>5277</v>
      </c>
    </row>
    <row r="5747" spans="1:18" x14ac:dyDescent="0.25">
      <c r="A5747" s="6" t="str">
        <f>HYPERLINK("proteomic_fractions_linear_files/Yang_linear_img/255683299.jpg", "255683299")</f>
        <v>255683299</v>
      </c>
      <c r="B5747" s="7"/>
      <c r="C5747" s="6" t="str">
        <f>HYPERLINK("http://www.ncbi.nlm.nih.gov/protein/255683299","Ppwd1")</f>
        <v>Ppwd1</v>
      </c>
      <c r="D5747" s="8"/>
      <c r="E5747" s="8">
        <v>73254</v>
      </c>
      <c r="F5747" s="8"/>
      <c r="G5747" s="15" t="s">
        <v>10</v>
      </c>
      <c r="H5747" s="15" t="s">
        <v>10</v>
      </c>
      <c r="I5747" s="15" t="s">
        <v>10</v>
      </c>
      <c r="J5747" s="15" t="s">
        <v>10</v>
      </c>
      <c r="K5747" s="15">
        <v>1.1383377873033405</v>
      </c>
      <c r="L5747" s="15">
        <v>1.1383377873033405</v>
      </c>
      <c r="M5747" s="15">
        <v>1.1383377873033405</v>
      </c>
      <c r="N5747" s="15">
        <v>1.1383377873033405</v>
      </c>
      <c r="O5747" s="15" t="s">
        <v>10</v>
      </c>
      <c r="P5747" s="15" t="s">
        <v>10</v>
      </c>
      <c r="Q5747" s="8"/>
      <c r="R5747" s="9" t="s">
        <v>5278</v>
      </c>
    </row>
    <row r="5748" spans="1:18" x14ac:dyDescent="0.25">
      <c r="A5748" s="6" t="str">
        <f>HYPERLINK("proteomic_fractions_linear_files/Yang_linear_img/238550113.jpg", "238550113")</f>
        <v>238550113</v>
      </c>
      <c r="B5748" s="7"/>
      <c r="C5748" s="6" t="str">
        <f>HYPERLINK("http://www.ncbi.nlm.nih.gov/protein/238550113","Pqlc3")</f>
        <v>Pqlc3</v>
      </c>
      <c r="D5748" s="8"/>
      <c r="E5748" s="8">
        <v>20685</v>
      </c>
      <c r="F5748" s="8"/>
      <c r="G5748" s="15" t="s">
        <v>10</v>
      </c>
      <c r="H5748" s="15" t="s">
        <v>10</v>
      </c>
      <c r="I5748" s="15">
        <v>0.83666379835042703</v>
      </c>
      <c r="J5748" s="15">
        <v>0.83666379835042703</v>
      </c>
      <c r="K5748" s="15">
        <v>0.83666379835042703</v>
      </c>
      <c r="L5748" s="15">
        <v>0.83666379835042703</v>
      </c>
      <c r="M5748" s="15" t="s">
        <v>10</v>
      </c>
      <c r="N5748" s="15" t="s">
        <v>10</v>
      </c>
      <c r="O5748" s="15" t="s">
        <v>10</v>
      </c>
      <c r="P5748" s="15" t="s">
        <v>10</v>
      </c>
      <c r="Q5748" s="8"/>
      <c r="R5748" s="9" t="s">
        <v>5279</v>
      </c>
    </row>
    <row r="5749" spans="1:18" x14ac:dyDescent="0.25">
      <c r="A5749" s="6" t="str">
        <f>HYPERLINK("proteomic_fractions_linear_files/Yang_linear_img/238550118.jpg", "238550118")</f>
        <v>238550118</v>
      </c>
      <c r="B5749" s="7"/>
      <c r="C5749" s="6" t="str">
        <f>HYPERLINK("http://www.ncbi.nlm.nih.gov/protein/238550118","Pqlc3")</f>
        <v>Pqlc3</v>
      </c>
      <c r="D5749" s="8"/>
      <c r="E5749" s="8">
        <v>17030</v>
      </c>
      <c r="F5749" s="8"/>
      <c r="G5749" s="15" t="s">
        <v>10</v>
      </c>
      <c r="H5749" s="15" t="s">
        <v>10</v>
      </c>
      <c r="I5749" s="15">
        <v>1.0335258685505275</v>
      </c>
      <c r="J5749" s="15">
        <v>1.0335258685505275</v>
      </c>
      <c r="K5749" s="15">
        <v>1.0335258685505275</v>
      </c>
      <c r="L5749" s="15">
        <v>1.0335258685505275</v>
      </c>
      <c r="M5749" s="15" t="s">
        <v>10</v>
      </c>
      <c r="N5749" s="15" t="s">
        <v>10</v>
      </c>
      <c r="O5749" s="15" t="s">
        <v>10</v>
      </c>
      <c r="P5749" s="15" t="s">
        <v>10</v>
      </c>
      <c r="Q5749" s="8"/>
      <c r="R5749" s="9" t="s">
        <v>5280</v>
      </c>
    </row>
    <row r="5750" spans="1:18" x14ac:dyDescent="0.25">
      <c r="A5750" s="6" t="str">
        <f>HYPERLINK("proteomic_fractions_linear_files/Yang_linear_img/254750692.jpg", "254750692")</f>
        <v>254750692</v>
      </c>
      <c r="B5750" s="7"/>
      <c r="C5750" s="6" t="str">
        <f>HYPERLINK("http://www.ncbi.nlm.nih.gov/protein/254750692","Pradc1")</f>
        <v>Pradc1</v>
      </c>
      <c r="D5750" s="8"/>
      <c r="E5750" s="8">
        <v>18895</v>
      </c>
      <c r="F5750" s="8"/>
      <c r="G5750" s="15" t="s">
        <v>10</v>
      </c>
      <c r="H5750" s="15" t="s">
        <v>10</v>
      </c>
      <c r="I5750" s="15" t="s">
        <v>10</v>
      </c>
      <c r="J5750" s="15" t="s">
        <v>10</v>
      </c>
      <c r="K5750" s="15">
        <v>1.2162933355114445</v>
      </c>
      <c r="L5750" s="15">
        <v>1.2162933355114445</v>
      </c>
      <c r="M5750" s="15" t="s">
        <v>10</v>
      </c>
      <c r="N5750" s="15" t="s">
        <v>10</v>
      </c>
      <c r="O5750" s="15" t="s">
        <v>10</v>
      </c>
      <c r="P5750" s="15" t="s">
        <v>10</v>
      </c>
      <c r="Q5750" s="8"/>
      <c r="R5750" s="9" t="s">
        <v>5281</v>
      </c>
    </row>
    <row r="5751" spans="1:18" x14ac:dyDescent="0.25">
      <c r="A5751" s="6" t="str">
        <f>HYPERLINK("proteomic_fractions_linear_files/Yang_linear_img/20070422.jpg", "20070422")</f>
        <v>20070422</v>
      </c>
      <c r="B5751" s="7"/>
      <c r="C5751" s="6" t="str">
        <f>HYPERLINK("http://www.ncbi.nlm.nih.gov/protein/20070422","Praf2")</f>
        <v>Praf2</v>
      </c>
      <c r="D5751" s="8"/>
      <c r="E5751" s="8">
        <v>19347</v>
      </c>
      <c r="F5751" s="8"/>
      <c r="G5751" s="15">
        <v>1.2923589796461534</v>
      </c>
      <c r="H5751" s="15">
        <v>1.2923589796461534</v>
      </c>
      <c r="I5751" s="15">
        <v>0.87981444845300116</v>
      </c>
      <c r="J5751" s="15">
        <v>0.87981444845300116</v>
      </c>
      <c r="K5751" s="15">
        <v>0.92473367186099831</v>
      </c>
      <c r="L5751" s="15">
        <v>0.92473367186099831</v>
      </c>
      <c r="M5751" s="15">
        <v>0.92473367186099831</v>
      </c>
      <c r="N5751" s="15">
        <v>0.92473367186099831</v>
      </c>
      <c r="O5751" s="15" t="s">
        <v>10</v>
      </c>
      <c r="P5751" s="15" t="s">
        <v>10</v>
      </c>
      <c r="Q5751" s="8"/>
      <c r="R5751" s="9" t="s">
        <v>5282</v>
      </c>
    </row>
    <row r="5752" spans="1:18" x14ac:dyDescent="0.25">
      <c r="A5752" s="6" t="str">
        <f>HYPERLINK("proteomic_fractions_linear_files/Yang_linear_img/255308896.jpg", "255308896")</f>
        <v>255308896</v>
      </c>
      <c r="B5752" s="7"/>
      <c r="C5752" s="6" t="str">
        <f>HYPERLINK("http://www.ncbi.nlm.nih.gov/protein/255308896","Pram1")</f>
        <v>Pram1</v>
      </c>
      <c r="D5752" s="8"/>
      <c r="E5752" s="8">
        <v>75377</v>
      </c>
      <c r="F5752" s="8"/>
      <c r="G5752" s="15" t="s">
        <v>10</v>
      </c>
      <c r="H5752" s="15" t="s">
        <v>10</v>
      </c>
      <c r="I5752" s="15" t="s">
        <v>10</v>
      </c>
      <c r="J5752" s="15" t="s">
        <v>10</v>
      </c>
      <c r="K5752" s="15">
        <v>0.37224281730242748</v>
      </c>
      <c r="L5752" s="15">
        <v>0.37224281730242748</v>
      </c>
      <c r="M5752" s="15" t="s">
        <v>10</v>
      </c>
      <c r="N5752" s="15" t="s">
        <v>10</v>
      </c>
      <c r="O5752" s="15" t="s">
        <v>10</v>
      </c>
      <c r="P5752" s="15" t="s">
        <v>10</v>
      </c>
      <c r="Q5752" s="8"/>
      <c r="R5752" s="9" t="s">
        <v>5283</v>
      </c>
    </row>
    <row r="5753" spans="1:18" x14ac:dyDescent="0.25">
      <c r="A5753" s="6" t="str">
        <f>HYPERLINK("proteomic_fractions_linear_files/Yang_linear_img/188219557.jpg", "188219557")</f>
        <v>188219557</v>
      </c>
      <c r="B5753" s="7"/>
      <c r="C5753" s="6" t="str">
        <f>HYPERLINK("http://www.ncbi.nlm.nih.gov/protein/188219557","Prc1")</f>
        <v>Prc1</v>
      </c>
      <c r="D5753" s="8"/>
      <c r="E5753" s="8">
        <v>70543</v>
      </c>
      <c r="F5753" s="8"/>
      <c r="G5753" s="15" t="s">
        <v>10</v>
      </c>
      <c r="H5753" s="15" t="s">
        <v>10</v>
      </c>
      <c r="I5753" s="15" t="s">
        <v>10</v>
      </c>
      <c r="J5753" s="15" t="s">
        <v>10</v>
      </c>
      <c r="K5753" s="15">
        <v>1.1704036404668148</v>
      </c>
      <c r="L5753" s="15">
        <v>1.1704036404668148</v>
      </c>
      <c r="M5753" s="15" t="s">
        <v>10</v>
      </c>
      <c r="N5753" s="15" t="s">
        <v>10</v>
      </c>
      <c r="O5753" s="15" t="s">
        <v>10</v>
      </c>
      <c r="P5753" s="15" t="s">
        <v>10</v>
      </c>
      <c r="Q5753" s="8"/>
      <c r="R5753" s="9" t="s">
        <v>5284</v>
      </c>
    </row>
    <row r="5754" spans="1:18" x14ac:dyDescent="0.25">
      <c r="A5754" s="6" t="str">
        <f>HYPERLINK("proteomic_fractions_linear_files/Yang_linear_img/33469015.jpg", "33469015")</f>
        <v>33469015</v>
      </c>
      <c r="B5754" s="7"/>
      <c r="C5754" s="6" t="str">
        <f>HYPERLINK("http://www.ncbi.nlm.nih.gov/protein/33469015","Prcp")</f>
        <v>Prcp</v>
      </c>
      <c r="D5754" s="8"/>
      <c r="E5754" s="8">
        <v>50676</v>
      </c>
      <c r="F5754" s="8"/>
      <c r="G5754" s="15">
        <v>1.2833973202067517</v>
      </c>
      <c r="H5754" s="15">
        <v>1.2833973202067517</v>
      </c>
      <c r="I5754" s="15">
        <v>1.0415797966666878</v>
      </c>
      <c r="J5754" s="15">
        <v>1.0415797966666878</v>
      </c>
      <c r="K5754" s="15">
        <v>1.0415797966666878</v>
      </c>
      <c r="L5754" s="15">
        <v>1.0415797966666878</v>
      </c>
      <c r="M5754" s="15" t="s">
        <v>10</v>
      </c>
      <c r="N5754" s="15" t="s">
        <v>10</v>
      </c>
      <c r="O5754" s="15">
        <v>0.94686226636108339</v>
      </c>
      <c r="P5754" s="15">
        <v>0.94686226636108339</v>
      </c>
      <c r="Q5754" s="8"/>
      <c r="R5754" s="9" t="s">
        <v>5285</v>
      </c>
    </row>
    <row r="5755" spans="1:18" x14ac:dyDescent="0.25">
      <c r="A5755" s="6" t="str">
        <f>HYPERLINK("proteomic_fractions_linear_files/Yang_linear_img/172073164.jpg", "172073164")</f>
        <v>172073164</v>
      </c>
      <c r="B5755" s="7"/>
      <c r="C5755" s="6" t="str">
        <f>HYPERLINK("http://www.ncbi.nlm.nih.gov/protein/172073164","Prdm1")</f>
        <v>Prdm1</v>
      </c>
      <c r="D5755" s="8"/>
      <c r="E5755" s="8">
        <v>91599</v>
      </c>
      <c r="F5755" s="8"/>
      <c r="G5755" s="15" t="s">
        <v>10</v>
      </c>
      <c r="H5755" s="15" t="s">
        <v>10</v>
      </c>
      <c r="I5755" s="15" t="s">
        <v>10</v>
      </c>
      <c r="J5755" s="15" t="s">
        <v>10</v>
      </c>
      <c r="K5755" s="15">
        <v>2.5365309524766202</v>
      </c>
      <c r="L5755" s="15">
        <v>2.5365309524766202</v>
      </c>
      <c r="M5755" s="15" t="s">
        <v>10</v>
      </c>
      <c r="N5755" s="15" t="s">
        <v>10</v>
      </c>
      <c r="O5755" s="15" t="s">
        <v>10</v>
      </c>
      <c r="P5755" s="15" t="s">
        <v>10</v>
      </c>
      <c r="Q5755" s="8"/>
      <c r="R5755" s="9" t="s">
        <v>5286</v>
      </c>
    </row>
    <row r="5756" spans="1:18" x14ac:dyDescent="0.25">
      <c r="A5756" s="6" t="str">
        <f>HYPERLINK("proteomic_fractions_linear_files/Yang_linear_img/294712532.jpg", "294712532")</f>
        <v>294712532</v>
      </c>
      <c r="B5756" s="7"/>
      <c r="C5756" s="6" t="str">
        <f>HYPERLINK("http://www.ncbi.nlm.nih.gov/protein/294712532","Prdm11")</f>
        <v>Prdm11</v>
      </c>
      <c r="D5756" s="8"/>
      <c r="E5756" s="8">
        <v>63252</v>
      </c>
      <c r="F5756" s="8"/>
      <c r="G5756" s="15" t="s">
        <v>10</v>
      </c>
      <c r="H5756" s="15" t="s">
        <v>10</v>
      </c>
      <c r="I5756" s="15">
        <v>0.76650754895897222</v>
      </c>
      <c r="J5756" s="15">
        <v>0.76650754895897222</v>
      </c>
      <c r="K5756" s="15" t="s">
        <v>10</v>
      </c>
      <c r="L5756" s="15" t="s">
        <v>10</v>
      </c>
      <c r="M5756" s="15" t="s">
        <v>10</v>
      </c>
      <c r="N5756" s="15" t="s">
        <v>10</v>
      </c>
      <c r="O5756" s="15" t="s">
        <v>10</v>
      </c>
      <c r="P5756" s="15" t="s">
        <v>10</v>
      </c>
      <c r="Q5756" s="8"/>
      <c r="R5756" s="9" t="s">
        <v>5287</v>
      </c>
    </row>
    <row r="5757" spans="1:18" x14ac:dyDescent="0.25">
      <c r="A5757" s="6" t="str">
        <f>HYPERLINK("proteomic_fractions_linear_files/Yang_linear_img/6754976.jpg", "6754976")</f>
        <v>6754976</v>
      </c>
      <c r="B5757" s="7"/>
      <c r="C5757" s="6" t="str">
        <f>HYPERLINK("http://www.ncbi.nlm.nih.gov/protein/6754976","Prdx1")</f>
        <v>Prdx1</v>
      </c>
      <c r="D5757" s="8"/>
      <c r="E5757" s="8">
        <v>22045</v>
      </c>
      <c r="F5757" s="8"/>
      <c r="G5757" s="15">
        <v>0.93624732666619426</v>
      </c>
      <c r="H5757" s="15">
        <v>0.93624732666619426</v>
      </c>
      <c r="I5757" s="15">
        <v>0.99071555775812503</v>
      </c>
      <c r="J5757" s="15">
        <v>0.99071555775812503</v>
      </c>
      <c r="K5757" s="15">
        <v>0.99071555775812503</v>
      </c>
      <c r="L5757" s="15">
        <v>0.99071555775812503</v>
      </c>
      <c r="M5757" s="15">
        <v>0.99071555775812503</v>
      </c>
      <c r="N5757" s="15">
        <v>0.99071555775812503</v>
      </c>
      <c r="O5757" s="15">
        <v>0.99071555775812503</v>
      </c>
      <c r="P5757" s="15">
        <v>0.99071555775812503</v>
      </c>
      <c r="Q5757" s="8"/>
      <c r="R5757" s="9" t="s">
        <v>5288</v>
      </c>
    </row>
    <row r="5758" spans="1:18" x14ac:dyDescent="0.25">
      <c r="A5758" s="6" t="str">
        <f>HYPERLINK("proteomic_fractions_linear_files/Yang_linear_img/148747558.jpg", "148747558")</f>
        <v>148747558</v>
      </c>
      <c r="B5758" s="7"/>
      <c r="C5758" s="6" t="str">
        <f>HYPERLINK("http://www.ncbi.nlm.nih.gov/protein/148747558","Prdx2")</f>
        <v>Prdx2</v>
      </c>
      <c r="D5758" s="8"/>
      <c r="E5758" s="8">
        <v>21648</v>
      </c>
      <c r="F5758" s="8"/>
      <c r="G5758" s="15">
        <v>0.88641590127433068</v>
      </c>
      <c r="H5758" s="15">
        <v>0.88641590127433068</v>
      </c>
      <c r="I5758" s="15">
        <v>0.93624732666619426</v>
      </c>
      <c r="J5758" s="15">
        <v>0.93624732666619426</v>
      </c>
      <c r="K5758" s="15">
        <v>0.93624732666619426</v>
      </c>
      <c r="L5758" s="15">
        <v>0.93624732666619426</v>
      </c>
      <c r="M5758" s="15">
        <v>0.93624732666619426</v>
      </c>
      <c r="N5758" s="15">
        <v>0.93624732666619426</v>
      </c>
      <c r="O5758" s="15">
        <v>0.88641590127433068</v>
      </c>
      <c r="P5758" s="15">
        <v>0.88641590127433068</v>
      </c>
      <c r="Q5758" s="8"/>
      <c r="R5758" s="9" t="s">
        <v>5289</v>
      </c>
    </row>
    <row r="5759" spans="1:18" x14ac:dyDescent="0.25">
      <c r="A5759" s="6" t="str">
        <f>HYPERLINK("proteomic_fractions_linear_files/Yang_linear_img/6680690.jpg", "6680690")</f>
        <v>6680690</v>
      </c>
      <c r="B5759" s="7"/>
      <c r="C5759" s="6" t="str">
        <f>HYPERLINK("http://www.ncbi.nlm.nih.gov/protein/6680690","Prdx3")</f>
        <v>Prdx3</v>
      </c>
      <c r="D5759" s="8"/>
      <c r="E5759" s="8">
        <v>21565</v>
      </c>
      <c r="F5759" s="8"/>
      <c r="G5759" s="15">
        <v>1.4583669479878905</v>
      </c>
      <c r="H5759" s="15">
        <v>1.4583669479878905</v>
      </c>
      <c r="I5759" s="15">
        <v>0.99071555775812503</v>
      </c>
      <c r="J5759" s="15">
        <v>0.99071555775812503</v>
      </c>
      <c r="K5759" s="15">
        <v>0.93624732666619426</v>
      </c>
      <c r="L5759" s="15">
        <v>0.93624732666619426</v>
      </c>
      <c r="M5759" s="15">
        <v>0.93624732666619426</v>
      </c>
      <c r="N5759" s="15">
        <v>0.93624732666619426</v>
      </c>
      <c r="O5759" s="15">
        <v>0.93624732666619426</v>
      </c>
      <c r="P5759" s="15">
        <v>0.93624732666619426</v>
      </c>
      <c r="Q5759" s="8"/>
      <c r="R5759" s="9" t="s">
        <v>5290</v>
      </c>
    </row>
    <row r="5760" spans="1:18" x14ac:dyDescent="0.25">
      <c r="A5760" s="6" t="str">
        <f>HYPERLINK("proteomic_fractions_linear_files/Yang_linear_img/7948999.jpg", "7948999")</f>
        <v>7948999</v>
      </c>
      <c r="B5760" s="7"/>
      <c r="C5760" s="6" t="str">
        <f>HYPERLINK("http://www.ncbi.nlm.nih.gov/protein/7948999","Prdx4")</f>
        <v>Prdx4</v>
      </c>
      <c r="D5760" s="8"/>
      <c r="E5760" s="8">
        <v>26476</v>
      </c>
      <c r="F5760" s="8"/>
      <c r="G5760" s="15">
        <v>1.2340028021435996</v>
      </c>
      <c r="H5760" s="15">
        <v>1.2340028021435996</v>
      </c>
      <c r="I5760" s="15">
        <v>0.83829777964149044</v>
      </c>
      <c r="J5760" s="15">
        <v>0.83829777964149044</v>
      </c>
      <c r="K5760" s="15">
        <v>0.83829777964149044</v>
      </c>
      <c r="L5760" s="15">
        <v>0.83829777964149044</v>
      </c>
      <c r="M5760" s="15">
        <v>0.83829777964149044</v>
      </c>
      <c r="N5760" s="15">
        <v>0.83829777964149044</v>
      </c>
      <c r="O5760" s="15">
        <v>0.79220927640985661</v>
      </c>
      <c r="P5760" s="15">
        <v>0.79220927640985661</v>
      </c>
      <c r="Q5760" s="8"/>
      <c r="R5760" s="9" t="s">
        <v>5291</v>
      </c>
    </row>
    <row r="5761" spans="1:18" x14ac:dyDescent="0.25">
      <c r="A5761" s="6" t="str">
        <f>HYPERLINK("proteomic_fractions_linear_files/Yang_linear_img/6755114.jpg", "6755114")</f>
        <v>6755114</v>
      </c>
      <c r="B5761" s="7"/>
      <c r="C5761" s="6" t="str">
        <f>HYPERLINK("http://www.ncbi.nlm.nih.gov/protein/6755114","Prdx5")</f>
        <v>Prdx5</v>
      </c>
      <c r="D5761" s="8"/>
      <c r="E5761" s="8">
        <v>17015</v>
      </c>
      <c r="F5761" s="8"/>
      <c r="G5761" s="15">
        <v>1.2821024865105148</v>
      </c>
      <c r="H5761" s="15">
        <v>1.2821024865105148</v>
      </c>
      <c r="I5761" s="15">
        <v>0.89390225257731093</v>
      </c>
      <c r="J5761" s="15">
        <v>0.89390225257731093</v>
      </c>
      <c r="K5761" s="15">
        <v>0.93690834018716329</v>
      </c>
      <c r="L5761" s="15">
        <v>0.93690834018716329</v>
      </c>
      <c r="M5761" s="15">
        <v>0.93690834018716329</v>
      </c>
      <c r="N5761" s="15">
        <v>0.93690834018716329</v>
      </c>
      <c r="O5761" s="15">
        <v>0.85396904246296157</v>
      </c>
      <c r="P5761" s="15">
        <v>0.85396904246296157</v>
      </c>
      <c r="Q5761" s="8"/>
      <c r="R5761" s="9" t="s">
        <v>5292</v>
      </c>
    </row>
    <row r="5762" spans="1:18" x14ac:dyDescent="0.25">
      <c r="A5762" s="6" t="str">
        <f>HYPERLINK("proteomic_fractions_linear_files/Yang_linear_img/6671549.jpg", "6671549")</f>
        <v>6671549</v>
      </c>
      <c r="B5762" s="7"/>
      <c r="C5762" s="6" t="str">
        <f>HYPERLINK("http://www.ncbi.nlm.nih.gov/protein/6671549","Prdx6")</f>
        <v>Prdx6</v>
      </c>
      <c r="D5762" s="8"/>
      <c r="E5762" s="8">
        <v>24696</v>
      </c>
      <c r="F5762" s="8"/>
      <c r="G5762" s="15">
        <v>0.87182969082715001</v>
      </c>
      <c r="H5762" s="15">
        <v>0.87182969082715001</v>
      </c>
      <c r="I5762" s="15">
        <v>0.92438293498869784</v>
      </c>
      <c r="J5762" s="15">
        <v>0.92438293498869784</v>
      </c>
      <c r="K5762" s="15">
        <v>0.9821928245310767</v>
      </c>
      <c r="L5762" s="15">
        <v>0.9821928245310767</v>
      </c>
      <c r="M5762" s="15">
        <v>0.92438293498869784</v>
      </c>
      <c r="N5762" s="15">
        <v>0.92438293498869784</v>
      </c>
      <c r="O5762" s="15">
        <v>0.82389764746625094</v>
      </c>
      <c r="P5762" s="15">
        <v>0.82389764746625094</v>
      </c>
      <c r="Q5762" s="8"/>
      <c r="R5762" s="9" t="s">
        <v>5293</v>
      </c>
    </row>
    <row r="5763" spans="1:18" x14ac:dyDescent="0.25">
      <c r="A5763" s="6" t="str">
        <f>HYPERLINK("proteomic_fractions_linear_files/Yang_linear_img/28916703.jpg", "28916703")</f>
        <v>28916703</v>
      </c>
      <c r="B5763" s="7"/>
      <c r="C5763" s="6" t="str">
        <f>HYPERLINK("http://www.ncbi.nlm.nih.gov/protein/28916703","Prdx6b")</f>
        <v>Prdx6b</v>
      </c>
      <c r="D5763" s="8"/>
      <c r="E5763" s="8">
        <v>24865</v>
      </c>
      <c r="F5763" s="8"/>
      <c r="G5763" s="15">
        <v>0.87182969082715001</v>
      </c>
      <c r="H5763" s="15">
        <v>0.87182969082715001</v>
      </c>
      <c r="I5763" s="15">
        <v>0.92438293498869784</v>
      </c>
      <c r="J5763" s="15">
        <v>0.92438293498869784</v>
      </c>
      <c r="K5763" s="15">
        <v>0.9821928245310767</v>
      </c>
      <c r="L5763" s="15">
        <v>0.9821928245310767</v>
      </c>
      <c r="M5763" s="15">
        <v>0.92438293498869784</v>
      </c>
      <c r="N5763" s="15">
        <v>0.92438293498869784</v>
      </c>
      <c r="O5763" s="15">
        <v>0.82389764746625094</v>
      </c>
      <c r="P5763" s="15">
        <v>0.82389764746625094</v>
      </c>
      <c r="Q5763" s="8"/>
      <c r="R5763" s="9" t="s">
        <v>5294</v>
      </c>
    </row>
    <row r="5764" spans="1:18" x14ac:dyDescent="0.25">
      <c r="A5764" s="6" t="str">
        <f>HYPERLINK("proteomic_fractions_linear_files/Yang_linear_img/158749640.jpg", "158749640")</f>
        <v>158749640</v>
      </c>
      <c r="B5764" s="7"/>
      <c r="C5764" s="6" t="str">
        <f>HYPERLINK("http://www.ncbi.nlm.nih.gov/protein/158749640","Preb")</f>
        <v>Preb</v>
      </c>
      <c r="D5764" s="8"/>
      <c r="E5764" s="8">
        <v>45306</v>
      </c>
      <c r="F5764" s="8"/>
      <c r="G5764" s="15" t="s">
        <v>10</v>
      </c>
      <c r="H5764" s="15" t="s">
        <v>10</v>
      </c>
      <c r="I5764" s="15">
        <v>0.90016262673828318</v>
      </c>
      <c r="J5764" s="15">
        <v>0.90016262673828318</v>
      </c>
      <c r="K5764" s="15" t="s">
        <v>10</v>
      </c>
      <c r="L5764" s="15" t="s">
        <v>10</v>
      </c>
      <c r="M5764" s="15" t="s">
        <v>10</v>
      </c>
      <c r="N5764" s="15" t="s">
        <v>10</v>
      </c>
      <c r="O5764" s="15" t="s">
        <v>10</v>
      </c>
      <c r="P5764" s="15" t="s">
        <v>10</v>
      </c>
      <c r="Q5764" s="8"/>
      <c r="R5764" s="9" t="s">
        <v>5295</v>
      </c>
    </row>
    <row r="5765" spans="1:18" x14ac:dyDescent="0.25">
      <c r="A5765" s="6" t="str">
        <f>HYPERLINK("proteomic_fractions_linear_files/Yang_linear_img/6755152.jpg", "6755152")</f>
        <v>6755152</v>
      </c>
      <c r="B5765" s="7"/>
      <c r="C5765" s="6" t="str">
        <f>HYPERLINK("http://www.ncbi.nlm.nih.gov/protein/6755152","Prep")</f>
        <v>Prep</v>
      </c>
      <c r="D5765" s="8"/>
      <c r="E5765" s="8">
        <v>80621</v>
      </c>
      <c r="F5765" s="8"/>
      <c r="G5765" s="15">
        <v>1.1724442121306728</v>
      </c>
      <c r="H5765" s="15">
        <v>1.1724442121306728</v>
      </c>
      <c r="I5765" s="15">
        <v>1.0259093638659735</v>
      </c>
      <c r="J5765" s="15">
        <v>1.0259093638659735</v>
      </c>
      <c r="K5765" s="15">
        <v>1.0259093638659735</v>
      </c>
      <c r="L5765" s="15">
        <v>1.0259093638659735</v>
      </c>
      <c r="M5765" s="15">
        <v>1.0259093638659735</v>
      </c>
      <c r="N5765" s="15">
        <v>1.0259093638659735</v>
      </c>
      <c r="O5765" s="15">
        <v>0.90661926224299072</v>
      </c>
      <c r="P5765" s="15">
        <v>0.90661926224299072</v>
      </c>
      <c r="Q5765" s="8"/>
      <c r="R5765" s="9" t="s">
        <v>5296</v>
      </c>
    </row>
    <row r="5766" spans="1:18" x14ac:dyDescent="0.25">
      <c r="A5766" s="6" t="str">
        <f>HYPERLINK("proteomic_fractions_linear_files/Yang_linear_img/6679459.jpg", "6679459")</f>
        <v>6679459</v>
      </c>
      <c r="B5766" s="7"/>
      <c r="C5766" s="6" t="str">
        <f>HYPERLINK("http://www.ncbi.nlm.nih.gov/protein/6679459","Prim1")</f>
        <v>Prim1</v>
      </c>
      <c r="D5766" s="8"/>
      <c r="E5766" s="8">
        <v>49165</v>
      </c>
      <c r="F5766" s="8"/>
      <c r="G5766" s="15" t="s">
        <v>10</v>
      </c>
      <c r="H5766" s="15" t="s">
        <v>10</v>
      </c>
      <c r="I5766" s="15">
        <v>0.9855097058043929</v>
      </c>
      <c r="J5766" s="15">
        <v>0.9855097058043929</v>
      </c>
      <c r="K5766" s="15">
        <v>0.9855097058043929</v>
      </c>
      <c r="L5766" s="15">
        <v>0.9855097058043929</v>
      </c>
      <c r="M5766" s="15">
        <v>0.9855097058043929</v>
      </c>
      <c r="N5766" s="15">
        <v>0.9855097058043929</v>
      </c>
      <c r="O5766" s="15">
        <v>0.90052222952990757</v>
      </c>
      <c r="P5766" s="15">
        <v>0.90052222952990757</v>
      </c>
      <c r="Q5766" s="8"/>
      <c r="R5766" s="9" t="s">
        <v>5297</v>
      </c>
    </row>
    <row r="5767" spans="1:18" x14ac:dyDescent="0.25">
      <c r="A5767" s="6" t="str">
        <f>HYPERLINK("proteomic_fractions_linear_files/Yang_linear_img/6679461.jpg", "6679461")</f>
        <v>6679461</v>
      </c>
      <c r="B5767" s="7"/>
      <c r="C5767" s="6" t="str">
        <f>HYPERLINK("http://www.ncbi.nlm.nih.gov/protein/6679461","Prim2")</f>
        <v>Prim2</v>
      </c>
      <c r="D5767" s="8"/>
      <c r="E5767" s="8">
        <v>58278</v>
      </c>
      <c r="F5767" s="8"/>
      <c r="G5767" s="15">
        <v>0.91587189017243242</v>
      </c>
      <c r="H5767" s="15">
        <v>0.91587189017243242</v>
      </c>
      <c r="I5767" s="15">
        <v>1.0133311652688595</v>
      </c>
      <c r="J5767" s="15">
        <v>1.0133311652688595</v>
      </c>
      <c r="K5767" s="15">
        <v>1.0133311652688595</v>
      </c>
      <c r="L5767" s="15">
        <v>1.0133311652688595</v>
      </c>
      <c r="M5767" s="15">
        <v>1.0133311652688595</v>
      </c>
      <c r="N5767" s="15">
        <v>1.0133311652688595</v>
      </c>
      <c r="O5767" s="15">
        <v>0.91587189017243242</v>
      </c>
      <c r="P5767" s="15">
        <v>0.91587189017243242</v>
      </c>
      <c r="Q5767" s="8"/>
      <c r="R5767" s="9" t="s">
        <v>5298</v>
      </c>
    </row>
    <row r="5768" spans="1:18" x14ac:dyDescent="0.25">
      <c r="A5768" s="6" t="str">
        <f>HYPERLINK("proteomic_fractions_linear_files/Yang_linear_img/94681061.jpg", "94681061")</f>
        <v>94681061</v>
      </c>
      <c r="B5768" s="7"/>
      <c r="C5768" s="6" t="str">
        <f>HYPERLINK("http://www.ncbi.nlm.nih.gov/protein/94681061","Prkaa1")</f>
        <v>Prkaa1</v>
      </c>
      <c r="D5768" s="8"/>
      <c r="E5768" s="8">
        <v>63798</v>
      </c>
      <c r="F5768" s="8"/>
      <c r="G5768" s="15">
        <v>1.1474400037762851</v>
      </c>
      <c r="H5768" s="15">
        <v>1.2984165386428728</v>
      </c>
      <c r="I5768" s="15">
        <v>1.0227072395397552</v>
      </c>
      <c r="J5768" s="15">
        <v>1.0227072395397552</v>
      </c>
      <c r="K5768" s="15">
        <v>1.0227072395397552</v>
      </c>
      <c r="L5768" s="15">
        <v>1.0227072395397552</v>
      </c>
      <c r="M5768" s="15">
        <v>1.0227072395397552</v>
      </c>
      <c r="N5768" s="15">
        <v>1.0227072395397552</v>
      </c>
      <c r="O5768" s="15">
        <v>0.83000890046876685</v>
      </c>
      <c r="P5768" s="15">
        <v>0.91833136852490393</v>
      </c>
      <c r="Q5768" s="8"/>
      <c r="R5768" s="9" t="s">
        <v>5299</v>
      </c>
    </row>
    <row r="5769" spans="1:18" x14ac:dyDescent="0.25">
      <c r="A5769" s="6" t="str">
        <f>HYPERLINK("proteomic_fractions_linear_files/Yang_linear_img/227452236.jpg", "227452236")</f>
        <v>227452236</v>
      </c>
      <c r="B5769" s="7"/>
      <c r="C5769" s="6" t="str">
        <f>HYPERLINK("http://www.ncbi.nlm.nih.gov/protein/227452236","Prkaa2")</f>
        <v>Prkaa2</v>
      </c>
      <c r="D5769" s="8"/>
      <c r="E5769" s="8">
        <v>61891</v>
      </c>
      <c r="F5769" s="8"/>
      <c r="G5769" s="15" t="s">
        <v>10</v>
      </c>
      <c r="H5769" s="15" t="s">
        <v>10</v>
      </c>
      <c r="I5769" s="15">
        <v>1.0556977956539408</v>
      </c>
      <c r="J5769" s="15">
        <v>1.0556977956539408</v>
      </c>
      <c r="K5769" s="15">
        <v>1.0556977956539408</v>
      </c>
      <c r="L5769" s="15">
        <v>1.0556977956539408</v>
      </c>
      <c r="M5769" s="15">
        <v>1.0556977956539408</v>
      </c>
      <c r="N5769" s="15">
        <v>1.0556977956539408</v>
      </c>
      <c r="O5769" s="15">
        <v>0.85678338112904961</v>
      </c>
      <c r="P5769" s="15">
        <v>0.85678338112904961</v>
      </c>
      <c r="Q5769" s="8"/>
      <c r="R5769" s="9" t="s">
        <v>5300</v>
      </c>
    </row>
    <row r="5770" spans="1:18" x14ac:dyDescent="0.25">
      <c r="A5770" s="6" t="str">
        <f>HYPERLINK("proteomic_fractions_linear_files/Yang_linear_img/23956234.jpg", "23956234")</f>
        <v>23956234</v>
      </c>
      <c r="B5770" s="7"/>
      <c r="C5770" s="6" t="str">
        <f>HYPERLINK("http://www.ncbi.nlm.nih.gov/protein/23956234","Prkab1")</f>
        <v>Prkab1</v>
      </c>
      <c r="D5770" s="8"/>
      <c r="E5770" s="8">
        <v>30177</v>
      </c>
      <c r="F5770" s="8"/>
      <c r="G5770" s="15" t="s">
        <v>10</v>
      </c>
      <c r="H5770" s="15" t="s">
        <v>10</v>
      </c>
      <c r="I5770" s="15">
        <v>1.1517792176825061</v>
      </c>
      <c r="J5770" s="15">
        <v>1.1517792176825061</v>
      </c>
      <c r="K5770" s="15">
        <v>1.1517792176825061</v>
      </c>
      <c r="L5770" s="15">
        <v>1.1517792176825061</v>
      </c>
      <c r="M5770" s="15">
        <v>1.1517792176825061</v>
      </c>
      <c r="N5770" s="15">
        <v>1.1517792176825061</v>
      </c>
      <c r="O5770" s="15">
        <v>0.99618022972377107</v>
      </c>
      <c r="P5770" s="15">
        <v>0.99618022972377107</v>
      </c>
      <c r="Q5770" s="8"/>
      <c r="R5770" s="9" t="s">
        <v>5301</v>
      </c>
    </row>
    <row r="5771" spans="1:18" x14ac:dyDescent="0.25">
      <c r="A5771" s="6" t="str">
        <f>HYPERLINK("proteomic_fractions_linear_files/Yang_linear_img/72384347.jpg", "72384347")</f>
        <v>72384347</v>
      </c>
      <c r="B5771" s="7"/>
      <c r="C5771" s="6" t="str">
        <f>HYPERLINK("http://www.ncbi.nlm.nih.gov/protein/72384347","Prkab2")</f>
        <v>Prkab2</v>
      </c>
      <c r="D5771" s="8"/>
      <c r="E5771" s="8">
        <v>30078</v>
      </c>
      <c r="F5771" s="8"/>
      <c r="G5771" s="15" t="s">
        <v>10</v>
      </c>
      <c r="H5771" s="15" t="s">
        <v>10</v>
      </c>
      <c r="I5771" s="15" t="s">
        <v>10</v>
      </c>
      <c r="J5771" s="15" t="s">
        <v>10</v>
      </c>
      <c r="K5771" s="15">
        <v>1.1517792176825061</v>
      </c>
      <c r="L5771" s="15">
        <v>1.1517792176825061</v>
      </c>
      <c r="M5771" s="15">
        <v>1.1517792176825061</v>
      </c>
      <c r="N5771" s="15">
        <v>1.1517792176825061</v>
      </c>
      <c r="O5771" s="15">
        <v>0.99618022972377107</v>
      </c>
      <c r="P5771" s="15">
        <v>0.99618022972377107</v>
      </c>
      <c r="Q5771" s="8"/>
      <c r="R5771" s="9" t="s">
        <v>5302</v>
      </c>
    </row>
    <row r="5772" spans="1:18" x14ac:dyDescent="0.25">
      <c r="A5772" s="6" t="str">
        <f>HYPERLINK("proteomic_fractions_linear_files/Yang_linear_img/483968030.jpg", "483968030")</f>
        <v>483968030</v>
      </c>
      <c r="B5772" s="7"/>
      <c r="C5772" s="6" t="str">
        <f>HYPERLINK("http://www.ncbi.nlm.nih.gov/protein/483968030","Prkaca")</f>
        <v>Prkaca</v>
      </c>
      <c r="D5772" s="8"/>
      <c r="E5772" s="8">
        <v>39672</v>
      </c>
      <c r="F5772" s="8"/>
      <c r="G5772" s="15">
        <v>1.3280142407500271</v>
      </c>
      <c r="H5772" s="15">
        <v>1.3280142407500271</v>
      </c>
      <c r="I5772" s="15" t="s">
        <v>10</v>
      </c>
      <c r="J5772" s="15" t="s">
        <v>10</v>
      </c>
      <c r="K5772" s="15">
        <v>0.93353316057811475</v>
      </c>
      <c r="L5772" s="15">
        <v>0.93353316057811475</v>
      </c>
      <c r="M5772" s="15" t="s">
        <v>10</v>
      </c>
      <c r="N5772" s="15" t="s">
        <v>10</v>
      </c>
      <c r="O5772" s="15" t="s">
        <v>10</v>
      </c>
      <c r="P5772" s="15" t="s">
        <v>10</v>
      </c>
      <c r="Q5772" s="8"/>
      <c r="R5772" s="9" t="s">
        <v>5303</v>
      </c>
    </row>
    <row r="5773" spans="1:18" x14ac:dyDescent="0.25">
      <c r="A5773" s="6" t="str">
        <f>HYPERLINK("proteomic_fractions_linear_files/Yang_linear_img/7110693.jpg", "7110693")</f>
        <v>7110693</v>
      </c>
      <c r="B5773" s="7"/>
      <c r="C5773" s="6" t="str">
        <f>HYPERLINK("http://www.ncbi.nlm.nih.gov/protein/7110693","Prkaca")</f>
        <v>Prkaca</v>
      </c>
      <c r="D5773" s="8"/>
      <c r="E5773" s="8">
        <v>40440</v>
      </c>
      <c r="F5773" s="8"/>
      <c r="G5773" s="15">
        <v>1.3280142407500271</v>
      </c>
      <c r="H5773" s="15">
        <v>1.3280142407500271</v>
      </c>
      <c r="I5773" s="15">
        <v>1.0126829550805687</v>
      </c>
      <c r="J5773" s="15">
        <v>1.0126829550805687</v>
      </c>
      <c r="K5773" s="15">
        <v>1.0126829550805687</v>
      </c>
      <c r="L5773" s="15">
        <v>1.0126829550805687</v>
      </c>
      <c r="M5773" s="15">
        <v>0.93353316057811475</v>
      </c>
      <c r="N5773" s="15">
        <v>0.93353316057811475</v>
      </c>
      <c r="O5773" s="15">
        <v>0.8638344132618796</v>
      </c>
      <c r="P5773" s="15">
        <v>0.8638344132618796</v>
      </c>
      <c r="Q5773" s="8"/>
      <c r="R5773" s="9" t="s">
        <v>5304</v>
      </c>
    </row>
    <row r="5774" spans="1:18" x14ac:dyDescent="0.25">
      <c r="A5774" s="6" t="str">
        <f>HYPERLINK("proteomic_fractions_linear_files/Yang_linear_img/255958156.jpg", "255958156")</f>
        <v>255958156</v>
      </c>
      <c r="B5774" s="7"/>
      <c r="C5774" s="6" t="str">
        <f>HYPERLINK("http://www.ncbi.nlm.nih.gov/protein/255958156","Prkacb")</f>
        <v>Prkacb</v>
      </c>
      <c r="D5774" s="8"/>
      <c r="E5774" s="8">
        <v>45883</v>
      </c>
      <c r="F5774" s="8"/>
      <c r="G5774" s="15">
        <v>1.1547949919565452</v>
      </c>
      <c r="H5774" s="15">
        <v>1.1547949919565452</v>
      </c>
      <c r="I5774" s="15">
        <v>0.81176796572009979</v>
      </c>
      <c r="J5774" s="15">
        <v>0.81176796572009979</v>
      </c>
      <c r="K5774" s="15">
        <v>0.88059387398310318</v>
      </c>
      <c r="L5774" s="15">
        <v>0.88059387398310318</v>
      </c>
      <c r="M5774" s="15">
        <v>0.81176796572009979</v>
      </c>
      <c r="N5774" s="15">
        <v>0.81176796572009979</v>
      </c>
      <c r="O5774" s="15">
        <v>0.75116035935815617</v>
      </c>
      <c r="P5774" s="15">
        <v>0.75116035935815617</v>
      </c>
      <c r="Q5774" s="8"/>
      <c r="R5774" s="9" t="s">
        <v>5305</v>
      </c>
    </row>
    <row r="5775" spans="1:18" x14ac:dyDescent="0.25">
      <c r="A5775" s="6" t="str">
        <f>HYPERLINK("proteomic_fractions_linear_files/Yang_linear_img/255958318.jpg", "255958318")</f>
        <v>255958318</v>
      </c>
      <c r="B5775" s="7"/>
      <c r="C5775" s="6" t="str">
        <f>HYPERLINK("http://www.ncbi.nlm.nih.gov/protein/255958318","Prkacb")</f>
        <v>Prkacb</v>
      </c>
      <c r="D5775" s="8"/>
      <c r="E5775" s="8">
        <v>39318</v>
      </c>
      <c r="F5775" s="8"/>
      <c r="G5775" s="15">
        <v>1.3620658879487455</v>
      </c>
      <c r="H5775" s="15">
        <v>1.3620658879487455</v>
      </c>
      <c r="I5775" s="15">
        <v>0.95746990828524592</v>
      </c>
      <c r="J5775" s="15">
        <v>0.95746990828524592</v>
      </c>
      <c r="K5775" s="15">
        <v>1.038649184698019</v>
      </c>
      <c r="L5775" s="15">
        <v>1.038649184698019</v>
      </c>
      <c r="M5775" s="15">
        <v>0.95746990828524592</v>
      </c>
      <c r="N5775" s="15">
        <v>0.95746990828524592</v>
      </c>
      <c r="O5775" s="15">
        <v>0.8859840136019278</v>
      </c>
      <c r="P5775" s="15">
        <v>0.8859840136019278</v>
      </c>
      <c r="Q5775" s="8"/>
      <c r="R5775" s="9" t="s">
        <v>5306</v>
      </c>
    </row>
    <row r="5776" spans="1:18" x14ac:dyDescent="0.25">
      <c r="A5776" s="6" t="str">
        <f>HYPERLINK("proteomic_fractions_linear_files/Yang_linear_img/255958320.jpg", "255958320")</f>
        <v>255958320</v>
      </c>
      <c r="B5776" s="7"/>
      <c r="C5776" s="6" t="str">
        <f>HYPERLINK("http://www.ncbi.nlm.nih.gov/protein/255958320","Prkacb")</f>
        <v>Prkacb</v>
      </c>
      <c r="D5776" s="8"/>
      <c r="E5776" s="8">
        <v>39389</v>
      </c>
      <c r="F5776" s="8"/>
      <c r="G5776" s="15">
        <v>1.3620658879487455</v>
      </c>
      <c r="H5776" s="15">
        <v>1.3620658879487455</v>
      </c>
      <c r="I5776" s="15">
        <v>0.95746990828524592</v>
      </c>
      <c r="J5776" s="15">
        <v>0.95746990828524592</v>
      </c>
      <c r="K5776" s="15">
        <v>1.038649184698019</v>
      </c>
      <c r="L5776" s="15">
        <v>1.038649184698019</v>
      </c>
      <c r="M5776" s="15">
        <v>0.95746990828524592</v>
      </c>
      <c r="N5776" s="15">
        <v>0.95746990828524592</v>
      </c>
      <c r="O5776" s="15">
        <v>0.8859840136019278</v>
      </c>
      <c r="P5776" s="15">
        <v>0.8859840136019278</v>
      </c>
      <c r="Q5776" s="8"/>
      <c r="R5776" s="9" t="s">
        <v>5307</v>
      </c>
    </row>
    <row r="5777" spans="1:18" x14ac:dyDescent="0.25">
      <c r="A5777" s="6" t="str">
        <f>HYPERLINK("proteomic_fractions_linear_files/Yang_linear_img/6755076.jpg", "6755076")</f>
        <v>6755076</v>
      </c>
      <c r="B5777" s="7"/>
      <c r="C5777" s="6" t="str">
        <f>HYPERLINK("http://www.ncbi.nlm.nih.gov/protein/6755076","Prkacb")</f>
        <v>Prkacb</v>
      </c>
      <c r="D5777" s="8"/>
      <c r="E5777" s="8">
        <v>40577</v>
      </c>
      <c r="F5777" s="8"/>
      <c r="G5777" s="15">
        <v>1.2956236495122215</v>
      </c>
      <c r="H5777" s="15">
        <v>1.2956236495122215</v>
      </c>
      <c r="I5777" s="15">
        <v>0.91076405910059977</v>
      </c>
      <c r="J5777" s="15">
        <v>0.91076405910059977</v>
      </c>
      <c r="K5777" s="15">
        <v>0.98798337081031085</v>
      </c>
      <c r="L5777" s="15">
        <v>0.98798337081031085</v>
      </c>
      <c r="M5777" s="15">
        <v>0.91076405910059977</v>
      </c>
      <c r="N5777" s="15">
        <v>0.91076405910059977</v>
      </c>
      <c r="O5777" s="15">
        <v>0.84276528123110206</v>
      </c>
      <c r="P5777" s="15">
        <v>0.84276528123110206</v>
      </c>
      <c r="Q5777" s="8"/>
      <c r="R5777" s="9" t="s">
        <v>5308</v>
      </c>
    </row>
    <row r="5778" spans="1:18" x14ac:dyDescent="0.25">
      <c r="A5778" s="6" t="str">
        <f>HYPERLINK("proteomic_fractions_linear_files/Yang_linear_img/124107596.jpg", "124107596")</f>
        <v>124107596</v>
      </c>
      <c r="B5778" s="7"/>
      <c r="C5778" s="6" t="str">
        <f>HYPERLINK("http://www.ncbi.nlm.nih.gov/protein/124107596","Prkag1")</f>
        <v>Prkag1</v>
      </c>
      <c r="D5778" s="8"/>
      <c r="E5778" s="8">
        <v>37389</v>
      </c>
      <c r="F5778" s="8"/>
      <c r="G5778" s="15">
        <v>1.3051344752544662</v>
      </c>
      <c r="H5778" s="15">
        <v>1.3051344752544662</v>
      </c>
      <c r="I5778" s="15">
        <v>0.93387504136419419</v>
      </c>
      <c r="J5778" s="15">
        <v>0.93387504136419419</v>
      </c>
      <c r="K5778" s="15">
        <v>0.93387504136419419</v>
      </c>
      <c r="L5778" s="15">
        <v>0.93387504136419419</v>
      </c>
      <c r="M5778" s="15">
        <v>0.93387504136419419</v>
      </c>
      <c r="N5778" s="15">
        <v>0.93387504136419419</v>
      </c>
      <c r="O5778" s="15">
        <v>0.86713710420901591</v>
      </c>
      <c r="P5778" s="15">
        <v>0.86713710420901591</v>
      </c>
      <c r="Q5778" s="8"/>
      <c r="R5778" s="9" t="s">
        <v>5309</v>
      </c>
    </row>
    <row r="5779" spans="1:18" x14ac:dyDescent="0.25">
      <c r="A5779" s="6" t="str">
        <f>HYPERLINK("proteomic_fractions_linear_files/Yang_linear_img/282847325.jpg", "282847325")</f>
        <v>282847325</v>
      </c>
      <c r="B5779" s="7"/>
      <c r="C5779" s="6" t="str">
        <f>HYPERLINK("http://www.ncbi.nlm.nih.gov/protein/282847325","Prkag2")</f>
        <v>Prkag2</v>
      </c>
      <c r="D5779" s="8"/>
      <c r="E5779" s="8">
        <v>62818</v>
      </c>
      <c r="F5779" s="8"/>
      <c r="G5779" s="15" t="s">
        <v>10</v>
      </c>
      <c r="H5779" s="15" t="s">
        <v>10</v>
      </c>
      <c r="I5779" s="15">
        <v>0.50927099771005691</v>
      </c>
      <c r="J5779" s="15">
        <v>0.50927099771005691</v>
      </c>
      <c r="K5779" s="15">
        <v>0.54846629413452674</v>
      </c>
      <c r="L5779" s="15">
        <v>0.54846629413452674</v>
      </c>
      <c r="M5779" s="15">
        <v>0.50927099771005691</v>
      </c>
      <c r="N5779" s="15">
        <v>0.59271946703372369</v>
      </c>
      <c r="O5779" s="15">
        <v>0.47437153796370052</v>
      </c>
      <c r="P5779" s="15">
        <v>0.47437153796370052</v>
      </c>
      <c r="Q5779" s="8"/>
      <c r="R5779" s="9" t="s">
        <v>5310</v>
      </c>
    </row>
    <row r="5780" spans="1:18" x14ac:dyDescent="0.25">
      <c r="A5780" s="6" t="str">
        <f>HYPERLINK("proteomic_fractions_linear_files/Yang_linear_img/282847327.jpg", "282847327")</f>
        <v>282847327</v>
      </c>
      <c r="B5780" s="7"/>
      <c r="C5780" s="6" t="str">
        <f>HYPERLINK("http://www.ncbi.nlm.nih.gov/protein/282847327","Prkag2")</f>
        <v>Prkag2</v>
      </c>
      <c r="D5780" s="8"/>
      <c r="E5780" s="8">
        <v>37252</v>
      </c>
      <c r="F5780" s="8"/>
      <c r="G5780" s="15" t="s">
        <v>10</v>
      </c>
      <c r="H5780" s="15" t="s">
        <v>10</v>
      </c>
      <c r="I5780" s="15">
        <v>0.86713710420901591</v>
      </c>
      <c r="J5780" s="15">
        <v>0.86713710420901591</v>
      </c>
      <c r="K5780" s="15">
        <v>0.93387504136419419</v>
      </c>
      <c r="L5780" s="15">
        <v>0.93387504136419419</v>
      </c>
      <c r="M5780" s="15">
        <v>0.86713710420901591</v>
      </c>
      <c r="N5780" s="15">
        <v>1.0092250384628267</v>
      </c>
      <c r="O5780" s="15">
        <v>0.80771369977603058</v>
      </c>
      <c r="P5780" s="15">
        <v>0.80771369977603058</v>
      </c>
      <c r="Q5780" s="8"/>
      <c r="R5780" s="9" t="s">
        <v>5311</v>
      </c>
    </row>
    <row r="5781" spans="1:18" x14ac:dyDescent="0.25">
      <c r="A5781" s="6" t="str">
        <f>HYPERLINK("proteomic_fractions_linear_files/Yang_linear_img/282847331.jpg", "282847331")</f>
        <v>282847331</v>
      </c>
      <c r="B5781" s="7"/>
      <c r="C5781" s="6" t="str">
        <f>HYPERLINK("http://www.ncbi.nlm.nih.gov/protein/282847331","Prkag2")</f>
        <v>Prkag2</v>
      </c>
      <c r="D5781" s="8"/>
      <c r="E5781" s="8">
        <v>37181</v>
      </c>
      <c r="F5781" s="8"/>
      <c r="G5781" s="15" t="s">
        <v>10</v>
      </c>
      <c r="H5781" s="15" t="s">
        <v>10</v>
      </c>
      <c r="I5781" s="15">
        <v>0.86713710420901591</v>
      </c>
      <c r="J5781" s="15">
        <v>0.86713710420901591</v>
      </c>
      <c r="K5781" s="15">
        <v>0.93387504136419419</v>
      </c>
      <c r="L5781" s="15">
        <v>0.93387504136419419</v>
      </c>
      <c r="M5781" s="15">
        <v>0.86713710420901591</v>
      </c>
      <c r="N5781" s="15">
        <v>1.0092250384628267</v>
      </c>
      <c r="O5781" s="15">
        <v>0.80771369977603058</v>
      </c>
      <c r="P5781" s="15">
        <v>0.80771369977603058</v>
      </c>
      <c r="Q5781" s="8"/>
      <c r="R5781" s="9" t="s">
        <v>5312</v>
      </c>
    </row>
    <row r="5782" spans="1:18" x14ac:dyDescent="0.25">
      <c r="A5782" s="6" t="str">
        <f>HYPERLINK("proteomic_fractions_linear_files/Yang_linear_img/30794476.jpg", "30794476")</f>
        <v>30794476</v>
      </c>
      <c r="B5782" s="7"/>
      <c r="C5782" s="6" t="str">
        <f>HYPERLINK("http://www.ncbi.nlm.nih.gov/protein/30794476","Prkar1a")</f>
        <v>Prkar1a</v>
      </c>
      <c r="D5782" s="8"/>
      <c r="E5782" s="8">
        <v>43054</v>
      </c>
      <c r="F5782" s="8"/>
      <c r="G5782" s="15" t="s">
        <v>10</v>
      </c>
      <c r="H5782" s="15" t="s">
        <v>10</v>
      </c>
      <c r="I5782" s="15">
        <v>1.123022688009657</v>
      </c>
      <c r="J5782" s="15">
        <v>1.123022688009657</v>
      </c>
      <c r="K5782" s="15">
        <v>1.123022688009657</v>
      </c>
      <c r="L5782" s="15">
        <v>1.123022688009657</v>
      </c>
      <c r="M5782" s="15">
        <v>1.123022688009657</v>
      </c>
      <c r="N5782" s="15">
        <v>1.123022688009657</v>
      </c>
      <c r="O5782" s="15">
        <v>1.0261764941154761</v>
      </c>
      <c r="P5782" s="15">
        <v>1.0261764941154761</v>
      </c>
      <c r="Q5782" s="8"/>
      <c r="R5782" s="9" t="s">
        <v>5313</v>
      </c>
    </row>
    <row r="5783" spans="1:18" x14ac:dyDescent="0.25">
      <c r="A5783" s="6" t="str">
        <f>HYPERLINK("proteomic_fractions_linear_files/Yang_linear_img/359751382;254675178.jpg", "359751382;254675178")</f>
        <v>359751382;254675178</v>
      </c>
      <c r="B5783" s="8"/>
      <c r="C5783" s="6" t="str">
        <f>HYPERLINK("http://www.ncbi.nlm.nih.gov/protein/359751382;254675178","Prkar1b")</f>
        <v>Prkar1b</v>
      </c>
      <c r="D5783" s="8"/>
      <c r="E5783" s="8">
        <v>43093</v>
      </c>
      <c r="F5783" s="8"/>
      <c r="G5783" s="15" t="s">
        <v>10</v>
      </c>
      <c r="H5783" s="15" t="s">
        <v>10</v>
      </c>
      <c r="I5783" s="15" t="s">
        <v>10</v>
      </c>
      <c r="J5783" s="15" t="s">
        <v>10</v>
      </c>
      <c r="K5783" s="15">
        <v>1.123022688009657</v>
      </c>
      <c r="L5783" s="15">
        <v>1.123022688009657</v>
      </c>
      <c r="M5783" s="15">
        <v>1.123022688009657</v>
      </c>
      <c r="N5783" s="15">
        <v>1.123022688009657</v>
      </c>
      <c r="O5783" s="15">
        <v>1.0261764941154761</v>
      </c>
      <c r="P5783" s="15">
        <v>1.0261764941154761</v>
      </c>
      <c r="Q5783" s="8"/>
      <c r="R5783" s="9" t="s">
        <v>5314</v>
      </c>
    </row>
    <row r="5784" spans="1:18" x14ac:dyDescent="0.25">
      <c r="A5784" s="6" t="str">
        <f>HYPERLINK("proteomic_fractions_linear_files/Yang_linear_img/22550094.jpg", "22550094")</f>
        <v>22550094</v>
      </c>
      <c r="B5784" s="7"/>
      <c r="C5784" s="6" t="str">
        <f>HYPERLINK("http://www.ncbi.nlm.nih.gov/protein/22550094","Prkar2a")</f>
        <v>Prkar2a</v>
      </c>
      <c r="D5784" s="8"/>
      <c r="E5784" s="8">
        <v>45458</v>
      </c>
      <c r="F5784" s="8"/>
      <c r="G5784" s="15" t="s">
        <v>10</v>
      </c>
      <c r="H5784" s="15" t="s">
        <v>10</v>
      </c>
      <c r="I5784" s="15">
        <v>1.1804571028889128</v>
      </c>
      <c r="J5784" s="15">
        <v>1.1804571028889128</v>
      </c>
      <c r="K5784" s="15">
        <v>1.1804571028889128</v>
      </c>
      <c r="L5784" s="15">
        <v>1.1804571028889128</v>
      </c>
      <c r="M5784" s="15">
        <v>1.1804571028889128</v>
      </c>
      <c r="N5784" s="15">
        <v>1.1804571028889128</v>
      </c>
      <c r="O5784" s="15">
        <v>1.0731105685425613</v>
      </c>
      <c r="P5784" s="15">
        <v>1.0731105685425613</v>
      </c>
      <c r="Q5784" s="8"/>
      <c r="R5784" s="9" t="s">
        <v>5315</v>
      </c>
    </row>
    <row r="5785" spans="1:18" x14ac:dyDescent="0.25">
      <c r="A5785" s="6" t="str">
        <f>HYPERLINK("proteomic_fractions_linear_files/Yang_linear_img/45598396.jpg", "45598396")</f>
        <v>45598396</v>
      </c>
      <c r="B5785" s="7"/>
      <c r="C5785" s="6" t="str">
        <f>HYPERLINK("http://www.ncbi.nlm.nih.gov/protein/45598396","Prkar2b")</f>
        <v>Prkar2b</v>
      </c>
      <c r="D5785" s="8"/>
      <c r="E5785" s="8">
        <v>46036</v>
      </c>
      <c r="F5785" s="8"/>
      <c r="G5785" s="15">
        <v>1.4228970289248768</v>
      </c>
      <c r="H5785" s="15">
        <v>1.4228970289248768</v>
      </c>
      <c r="I5785" s="15">
        <v>1.0497820779220708</v>
      </c>
      <c r="J5785" s="15">
        <v>1.0497820779220708</v>
      </c>
      <c r="K5785" s="15">
        <v>1.1547949919565452</v>
      </c>
      <c r="L5785" s="15">
        <v>1.1547949919565452</v>
      </c>
      <c r="M5785" s="15">
        <v>1.1547949919565452</v>
      </c>
      <c r="N5785" s="15">
        <v>1.1547949919565452</v>
      </c>
      <c r="O5785" s="15">
        <v>1.0497820779220708</v>
      </c>
      <c r="P5785" s="15">
        <v>1.0497820779220708</v>
      </c>
      <c r="Q5785" s="8"/>
      <c r="R5785" s="9" t="s">
        <v>5316</v>
      </c>
    </row>
    <row r="5786" spans="1:18" x14ac:dyDescent="0.25">
      <c r="A5786" s="6" t="str">
        <f>HYPERLINK("proteomic_fractions_linear_files/Yang_linear_img/164663791.jpg", "164663791")</f>
        <v>164663791</v>
      </c>
      <c r="B5786" s="7"/>
      <c r="C5786" s="6" t="str">
        <f>HYPERLINK("http://www.ncbi.nlm.nih.gov/protein/164663791","Prkca")</f>
        <v>Prkca</v>
      </c>
      <c r="D5786" s="8"/>
      <c r="E5786" s="8">
        <v>76693</v>
      </c>
      <c r="F5786" s="8"/>
      <c r="G5786" s="15" t="s">
        <v>10</v>
      </c>
      <c r="H5786" s="15" t="s">
        <v>10</v>
      </c>
      <c r="I5786" s="15">
        <v>1.079203356794076</v>
      </c>
      <c r="J5786" s="15">
        <v>1.079203356794076</v>
      </c>
      <c r="K5786" s="15">
        <v>1.079203356794076</v>
      </c>
      <c r="L5786" s="15">
        <v>1.079203356794076</v>
      </c>
      <c r="M5786" s="15" t="s">
        <v>10</v>
      </c>
      <c r="N5786" s="15" t="s">
        <v>10</v>
      </c>
      <c r="O5786" s="15" t="s">
        <v>10</v>
      </c>
      <c r="P5786" s="15" t="s">
        <v>10</v>
      </c>
      <c r="Q5786" s="8"/>
      <c r="R5786" s="9" t="s">
        <v>5317</v>
      </c>
    </row>
    <row r="5787" spans="1:18" x14ac:dyDescent="0.25">
      <c r="A5787" s="6" t="str">
        <f>HYPERLINK("proteomic_fractions_linear_files/Yang_linear_img/6679345.jpg", "6679345")</f>
        <v>6679345</v>
      </c>
      <c r="B5787" s="7"/>
      <c r="C5787" s="6" t="str">
        <f>HYPERLINK("http://www.ncbi.nlm.nih.gov/protein/6679345","Prkcb")</f>
        <v>Prkcb</v>
      </c>
      <c r="D5787" s="8"/>
      <c r="E5787" s="8">
        <v>76763</v>
      </c>
      <c r="F5787" s="8"/>
      <c r="G5787" s="15" t="s">
        <v>10</v>
      </c>
      <c r="H5787" s="15" t="s">
        <v>10</v>
      </c>
      <c r="I5787" s="15">
        <v>1.079203356794076</v>
      </c>
      <c r="J5787" s="15">
        <v>1.079203356794076</v>
      </c>
      <c r="K5787" s="15">
        <v>1.079203356794076</v>
      </c>
      <c r="L5787" s="15">
        <v>1.079203356794076</v>
      </c>
      <c r="M5787" s="15" t="s">
        <v>10</v>
      </c>
      <c r="N5787" s="15" t="s">
        <v>10</v>
      </c>
      <c r="O5787" s="15" t="s">
        <v>10</v>
      </c>
      <c r="P5787" s="15" t="s">
        <v>10</v>
      </c>
      <c r="Q5787" s="8"/>
      <c r="R5787" s="9" t="s">
        <v>5318</v>
      </c>
    </row>
    <row r="5788" spans="1:18" x14ac:dyDescent="0.25">
      <c r="A5788" s="6" t="str">
        <f>HYPERLINK("proteomic_fractions_linear_files/Yang_linear_img/6755082.jpg", "6755082")</f>
        <v>6755082</v>
      </c>
      <c r="B5788" s="7"/>
      <c r="C5788" s="6" t="str">
        <f>HYPERLINK("http://www.ncbi.nlm.nih.gov/protein/6755082","Prkcd")</f>
        <v>Prkcd</v>
      </c>
      <c r="D5788" s="8"/>
      <c r="E5788" s="8">
        <v>77417</v>
      </c>
      <c r="F5788" s="8"/>
      <c r="G5788" s="15">
        <v>0.95371636677509408</v>
      </c>
      <c r="H5788" s="15">
        <v>0.95371636677509408</v>
      </c>
      <c r="I5788" s="15">
        <v>1.079203356794076</v>
      </c>
      <c r="J5788" s="15">
        <v>1.079203356794076</v>
      </c>
      <c r="K5788" s="15">
        <v>1.079203356794076</v>
      </c>
      <c r="L5788" s="15">
        <v>1.079203356794076</v>
      </c>
      <c r="M5788" s="15">
        <v>1.079203356794076</v>
      </c>
      <c r="N5788" s="15">
        <v>1.079203356794076</v>
      </c>
      <c r="O5788" s="15">
        <v>0.95371636677509408</v>
      </c>
      <c r="P5788" s="15">
        <v>0.95371636677509408</v>
      </c>
      <c r="Q5788" s="8"/>
      <c r="R5788" s="9" t="s">
        <v>5319</v>
      </c>
    </row>
    <row r="5789" spans="1:18" x14ac:dyDescent="0.25">
      <c r="A5789" s="6" t="str">
        <f>HYPERLINK("proteomic_fractions_linear_files/Yang_linear_img/6755084.jpg", "6755084")</f>
        <v>6755084</v>
      </c>
      <c r="B5789" s="7"/>
      <c r="C5789" s="6" t="str">
        <f>HYPERLINK("http://www.ncbi.nlm.nih.gov/protein/6755084","Prkce")</f>
        <v>Prkce</v>
      </c>
      <c r="D5789" s="8"/>
      <c r="E5789" s="8">
        <v>83430</v>
      </c>
      <c r="F5789" s="8"/>
      <c r="G5789" s="15" t="s">
        <v>10</v>
      </c>
      <c r="H5789" s="15" t="s">
        <v>10</v>
      </c>
      <c r="I5789" s="15" t="s">
        <v>10</v>
      </c>
      <c r="J5789" s="15" t="s">
        <v>10</v>
      </c>
      <c r="K5789" s="15">
        <v>0.64000686301206122</v>
      </c>
      <c r="L5789" s="15">
        <v>0.64000686301206122</v>
      </c>
      <c r="M5789" s="15" t="s">
        <v>10</v>
      </c>
      <c r="N5789" s="15" t="s">
        <v>10</v>
      </c>
      <c r="O5789" s="15" t="s">
        <v>10</v>
      </c>
      <c r="P5789" s="15" t="s">
        <v>10</v>
      </c>
      <c r="Q5789" s="8"/>
      <c r="R5789" s="9" t="s">
        <v>5320</v>
      </c>
    </row>
    <row r="5790" spans="1:18" x14ac:dyDescent="0.25">
      <c r="A5790" s="6" t="str">
        <f>HYPERLINK("proteomic_fractions_linear_files/Yang_linear_img/6755080.jpg", "6755080")</f>
        <v>6755080</v>
      </c>
      <c r="B5790" s="7"/>
      <c r="C5790" s="6" t="str">
        <f>HYPERLINK("http://www.ncbi.nlm.nih.gov/protein/6755080","Prkcg")</f>
        <v>Prkcg</v>
      </c>
      <c r="D5790" s="8"/>
      <c r="E5790" s="8">
        <v>78227</v>
      </c>
      <c r="F5790" s="8"/>
      <c r="G5790" s="15" t="s">
        <v>10</v>
      </c>
      <c r="H5790" s="15" t="s">
        <v>10</v>
      </c>
      <c r="I5790" s="15" t="s">
        <v>10</v>
      </c>
      <c r="J5790" s="15" t="s">
        <v>10</v>
      </c>
      <c r="K5790" s="15" t="s">
        <v>10</v>
      </c>
      <c r="L5790" s="15" t="s">
        <v>10</v>
      </c>
      <c r="M5790" s="15">
        <v>0.38314624220145038</v>
      </c>
      <c r="N5790" s="15">
        <v>0.38314624220145038</v>
      </c>
      <c r="O5790" s="15" t="s">
        <v>10</v>
      </c>
      <c r="P5790" s="15" t="s">
        <v>10</v>
      </c>
      <c r="Q5790" s="8"/>
      <c r="R5790" s="9" t="s">
        <v>5321</v>
      </c>
    </row>
    <row r="5791" spans="1:18" x14ac:dyDescent="0.25">
      <c r="A5791" s="6" t="str">
        <f>HYPERLINK("proteomic_fractions_linear_files/Yang_linear_img/31543511.jpg", "31543511")</f>
        <v>31543511</v>
      </c>
      <c r="B5791" s="7"/>
      <c r="C5791" s="6" t="str">
        <f>HYPERLINK("http://www.ncbi.nlm.nih.gov/protein/31543511","Prkch")</f>
        <v>Prkch</v>
      </c>
      <c r="D5791" s="8"/>
      <c r="E5791" s="8">
        <v>77788</v>
      </c>
      <c r="F5791" s="8"/>
      <c r="G5791" s="15" t="s">
        <v>10</v>
      </c>
      <c r="H5791" s="15" t="s">
        <v>10</v>
      </c>
      <c r="I5791" s="15" t="s">
        <v>10</v>
      </c>
      <c r="J5791" s="15" t="s">
        <v>10</v>
      </c>
      <c r="K5791" s="15">
        <v>1.0653674163223572</v>
      </c>
      <c r="L5791" s="15">
        <v>1.0653674163223572</v>
      </c>
      <c r="M5791" s="15" t="s">
        <v>10</v>
      </c>
      <c r="N5791" s="15" t="s">
        <v>10</v>
      </c>
      <c r="O5791" s="15" t="s">
        <v>10</v>
      </c>
      <c r="P5791" s="15" t="s">
        <v>10</v>
      </c>
      <c r="Q5791" s="8"/>
      <c r="R5791" s="9" t="s">
        <v>5322</v>
      </c>
    </row>
    <row r="5792" spans="1:18" x14ac:dyDescent="0.25">
      <c r="A5792" s="6" t="str">
        <f>HYPERLINK("proteomic_fractions_linear_files/Yang_linear_img/133778989.jpg", "133778989")</f>
        <v>133778989</v>
      </c>
      <c r="B5792" s="7"/>
      <c r="C5792" s="6" t="str">
        <f>HYPERLINK("http://www.ncbi.nlm.nih.gov/protein/133778989","Prkci")</f>
        <v>Prkci</v>
      </c>
      <c r="D5792" s="8"/>
      <c r="E5792" s="8">
        <v>68073</v>
      </c>
      <c r="F5792" s="8"/>
      <c r="G5792" s="15">
        <v>1.3965879585674192</v>
      </c>
      <c r="H5792" s="15">
        <v>1.3965879585674192</v>
      </c>
      <c r="I5792" s="15">
        <v>1.222039095193292</v>
      </c>
      <c r="J5792" s="15">
        <v>1.222039095193292</v>
      </c>
      <c r="K5792" s="15">
        <v>1.222039095193292</v>
      </c>
      <c r="L5792" s="15">
        <v>1.222039095193292</v>
      </c>
      <c r="M5792" s="15">
        <v>1.222039095193292</v>
      </c>
      <c r="N5792" s="15">
        <v>1.222039095193292</v>
      </c>
      <c r="O5792" s="15">
        <v>1.0799435329659153</v>
      </c>
      <c r="P5792" s="15">
        <v>1.0799435329659153</v>
      </c>
      <c r="Q5792" s="8"/>
      <c r="R5792" s="9" t="s">
        <v>5323</v>
      </c>
    </row>
    <row r="5793" spans="1:18" x14ac:dyDescent="0.25">
      <c r="A5793" s="6" t="str">
        <f>HYPERLINK("proteomic_fractions_linear_files/Yang_linear_img/6679353.jpg", "6679353")</f>
        <v>6679353</v>
      </c>
      <c r="B5793" s="7"/>
      <c r="C5793" s="6" t="str">
        <f>HYPERLINK("http://www.ncbi.nlm.nih.gov/protein/6679353","Prkcq")</f>
        <v>Prkcq</v>
      </c>
      <c r="D5793" s="8"/>
      <c r="E5793" s="8">
        <v>81442</v>
      </c>
      <c r="F5793" s="8"/>
      <c r="G5793" s="15" t="s">
        <v>10</v>
      </c>
      <c r="H5793" s="15" t="s">
        <v>10</v>
      </c>
      <c r="I5793" s="15" t="s">
        <v>10</v>
      </c>
      <c r="J5793" s="15" t="s">
        <v>10</v>
      </c>
      <c r="K5793" s="15">
        <v>1.0259093638659735</v>
      </c>
      <c r="L5793" s="15">
        <v>1.0259093638659735</v>
      </c>
      <c r="M5793" s="15" t="s">
        <v>10</v>
      </c>
      <c r="N5793" s="15" t="s">
        <v>10</v>
      </c>
      <c r="O5793" s="15" t="s">
        <v>10</v>
      </c>
      <c r="P5793" s="15" t="s">
        <v>10</v>
      </c>
      <c r="Q5793" s="8"/>
      <c r="R5793" s="9" t="s">
        <v>5324</v>
      </c>
    </row>
    <row r="5794" spans="1:18" x14ac:dyDescent="0.25">
      <c r="A5794" s="6" t="str">
        <f>HYPERLINK("proteomic_fractions_linear_files/Yang_linear_img/6679465.jpg", "6679465")</f>
        <v>6679465</v>
      </c>
      <c r="B5794" s="7"/>
      <c r="C5794" s="6" t="str">
        <f>HYPERLINK("http://www.ncbi.nlm.nih.gov/protein/6679465","Prkcsh")</f>
        <v>Prkcsh</v>
      </c>
      <c r="D5794" s="8"/>
      <c r="E5794" s="8">
        <v>57186</v>
      </c>
      <c r="F5794" s="8"/>
      <c r="G5794" s="15">
        <v>1.9263432249321311</v>
      </c>
      <c r="H5794" s="15">
        <v>1.9263432249321311</v>
      </c>
      <c r="I5794" s="15">
        <v>1.4578712012832256</v>
      </c>
      <c r="J5794" s="15">
        <v>1.4578712012832256</v>
      </c>
      <c r="K5794" s="15">
        <v>1.6661049330277984</v>
      </c>
      <c r="L5794" s="15">
        <v>1.6661049330277984</v>
      </c>
      <c r="M5794" s="15">
        <v>0.24361141227959035</v>
      </c>
      <c r="N5794" s="15">
        <v>0.24361141227959035</v>
      </c>
      <c r="O5794" s="15">
        <v>1.4578712012832256</v>
      </c>
      <c r="P5794" s="15">
        <v>1.4578712012832256</v>
      </c>
      <c r="Q5794" s="8"/>
      <c r="R5794" s="9" t="s">
        <v>5325</v>
      </c>
    </row>
    <row r="5795" spans="1:18" x14ac:dyDescent="0.25">
      <c r="A5795" s="6" t="str">
        <f>HYPERLINK("proteomic_fractions_linear_files/Yang_linear_img/84872200.jpg", "84872200")</f>
        <v>84872200</v>
      </c>
      <c r="B5795" s="7"/>
      <c r="C5795" s="6" t="str">
        <f>HYPERLINK("http://www.ncbi.nlm.nih.gov/protein/84872200","Prkcz")</f>
        <v>Prkcz</v>
      </c>
      <c r="D5795" s="8"/>
      <c r="E5795" s="8">
        <v>67551</v>
      </c>
      <c r="F5795" s="8"/>
      <c r="G5795" s="15" t="s">
        <v>10</v>
      </c>
      <c r="H5795" s="15" t="s">
        <v>10</v>
      </c>
      <c r="I5795" s="15" t="s">
        <v>10</v>
      </c>
      <c r="J5795" s="15" t="s">
        <v>10</v>
      </c>
      <c r="K5795" s="15">
        <v>1.222039095193292</v>
      </c>
      <c r="L5795" s="15">
        <v>1.222039095193292</v>
      </c>
      <c r="M5795" s="15" t="s">
        <v>10</v>
      </c>
      <c r="N5795" s="15" t="s">
        <v>10</v>
      </c>
      <c r="O5795" s="15" t="s">
        <v>10</v>
      </c>
      <c r="P5795" s="15" t="s">
        <v>10</v>
      </c>
      <c r="Q5795" s="8"/>
      <c r="R5795" s="9" t="s">
        <v>5326</v>
      </c>
    </row>
    <row r="5796" spans="1:18" x14ac:dyDescent="0.25">
      <c r="A5796" s="6" t="str">
        <f>HYPERLINK("proteomic_fractions_linear_files/Yang_linear_img/84872205.jpg", "84872205")</f>
        <v>84872205</v>
      </c>
      <c r="B5796" s="7"/>
      <c r="C5796" s="6" t="str">
        <f>HYPERLINK("http://www.ncbi.nlm.nih.gov/protein/84872205","Prkcz")</f>
        <v>Prkcz</v>
      </c>
      <c r="D5796" s="8"/>
      <c r="E5796" s="8">
        <v>46470</v>
      </c>
      <c r="F5796" s="8"/>
      <c r="G5796" s="15" t="s">
        <v>10</v>
      </c>
      <c r="H5796" s="15" t="s">
        <v>10</v>
      </c>
      <c r="I5796" s="15" t="s">
        <v>10</v>
      </c>
      <c r="J5796" s="15" t="s">
        <v>10</v>
      </c>
      <c r="K5796" s="15">
        <v>1.8064925755031274</v>
      </c>
      <c r="L5796" s="15">
        <v>1.8064925755031274</v>
      </c>
      <c r="M5796" s="15" t="s">
        <v>10</v>
      </c>
      <c r="N5796" s="15" t="s">
        <v>10</v>
      </c>
      <c r="O5796" s="15" t="s">
        <v>10</v>
      </c>
      <c r="P5796" s="15" t="s">
        <v>10</v>
      </c>
      <c r="Q5796" s="8"/>
      <c r="R5796" s="9" t="s">
        <v>5327</v>
      </c>
    </row>
    <row r="5797" spans="1:18" x14ac:dyDescent="0.25">
      <c r="A5797" s="6" t="str">
        <f>HYPERLINK("proteomic_fractions_linear_files/Yang_linear_img/356995870;30725754.jpg", "356995870;30725754")</f>
        <v>356995870;30725754</v>
      </c>
      <c r="B5797" s="8"/>
      <c r="C5797" s="6" t="str">
        <f>HYPERLINK("http://www.ncbi.nlm.nih.gov/protein/356995870;30725754","Prkd2")</f>
        <v>Prkd2</v>
      </c>
      <c r="D5797" s="8"/>
      <c r="E5797" s="8">
        <v>96411</v>
      </c>
      <c r="F5797" s="8"/>
      <c r="G5797" s="15" t="s">
        <v>10</v>
      </c>
      <c r="H5797" s="15" t="s">
        <v>10</v>
      </c>
      <c r="I5797" s="15" t="s">
        <v>10</v>
      </c>
      <c r="J5797" s="15" t="s">
        <v>10</v>
      </c>
      <c r="K5797" s="15">
        <v>1.3408502931783017</v>
      </c>
      <c r="L5797" s="15">
        <v>1.3408502931783017</v>
      </c>
      <c r="M5797" s="15" t="s">
        <v>10</v>
      </c>
      <c r="N5797" s="15" t="s">
        <v>10</v>
      </c>
      <c r="O5797" s="15" t="s">
        <v>10</v>
      </c>
      <c r="P5797" s="15" t="s">
        <v>10</v>
      </c>
      <c r="Q5797" s="8"/>
      <c r="R5797" s="9" t="s">
        <v>5328</v>
      </c>
    </row>
    <row r="5798" spans="1:18" x14ac:dyDescent="0.25">
      <c r="A5798" s="6" t="str">
        <f>HYPERLINK("proteomic_fractions_linear_files/Yang_linear_img/30725754.jpg", "30725754")</f>
        <v>30725754</v>
      </c>
      <c r="B5798" s="7"/>
      <c r="C5798" s="6" t="str">
        <f>HYPERLINK("http://www.ncbi.nlm.nih.gov/protein/30725754","Prkd2")</f>
        <v>Prkd2</v>
      </c>
      <c r="D5798" s="8"/>
      <c r="E5798" s="8">
        <v>96411</v>
      </c>
      <c r="F5798" s="8"/>
      <c r="G5798" s="15">
        <v>1.1437662898034529</v>
      </c>
      <c r="H5798" s="15">
        <v>1.1437662898034529</v>
      </c>
      <c r="I5798" s="15" t="s">
        <v>10</v>
      </c>
      <c r="J5798" s="15" t="s">
        <v>10</v>
      </c>
      <c r="K5798" s="15" t="s">
        <v>10</v>
      </c>
      <c r="L5798" s="15" t="s">
        <v>10</v>
      </c>
      <c r="M5798" s="15">
        <v>1.3408502931783017</v>
      </c>
      <c r="N5798" s="15">
        <v>1.3408502931783017</v>
      </c>
      <c r="O5798" s="15" t="s">
        <v>10</v>
      </c>
      <c r="P5798" s="15" t="s">
        <v>10</v>
      </c>
      <c r="Q5798" s="8"/>
      <c r="R5798" s="9" t="s">
        <v>5328</v>
      </c>
    </row>
    <row r="5799" spans="1:18" x14ac:dyDescent="0.25">
      <c r="A5799" s="6" t="str">
        <f>HYPERLINK("proteomic_fractions_linear_files/Yang_linear_img/124517706.jpg", "124517706")</f>
        <v>124517706</v>
      </c>
      <c r="B5799" s="7"/>
      <c r="C5799" s="6" t="str">
        <f>HYPERLINK("http://www.ncbi.nlm.nih.gov/protein/124517706","Prkdc")</f>
        <v>Prkdc</v>
      </c>
      <c r="D5799" s="8"/>
      <c r="E5799" s="8">
        <v>471342</v>
      </c>
      <c r="F5799" s="8"/>
      <c r="G5799" s="15" t="s">
        <v>10</v>
      </c>
      <c r="H5799" s="15" t="s">
        <v>10</v>
      </c>
      <c r="I5799" s="15">
        <v>0.64072892704139872</v>
      </c>
      <c r="J5799" s="15">
        <v>0.64072892704139872</v>
      </c>
      <c r="K5799" s="15">
        <v>0.86845765974403355</v>
      </c>
      <c r="L5799" s="15">
        <v>0.86845765974403355</v>
      </c>
      <c r="M5799" s="15">
        <v>1.2600696511025566</v>
      </c>
      <c r="N5799" s="15">
        <v>1.2600696511025566</v>
      </c>
      <c r="O5799" s="15" t="s">
        <v>10</v>
      </c>
      <c r="P5799" s="15" t="s">
        <v>10</v>
      </c>
      <c r="Q5799" s="8"/>
      <c r="R5799" s="9" t="s">
        <v>5329</v>
      </c>
    </row>
    <row r="5800" spans="1:18" x14ac:dyDescent="0.25">
      <c r="A5800" s="6" t="str">
        <f>HYPERLINK("proteomic_fractions_linear_files/Yang_linear_img/6755162.jpg", "6755162")</f>
        <v>6755162</v>
      </c>
      <c r="B5800" s="7"/>
      <c r="C5800" s="6" t="str">
        <f>HYPERLINK("http://www.ncbi.nlm.nih.gov/protein/6755162","Prkra")</f>
        <v>Prkra</v>
      </c>
      <c r="D5800" s="8"/>
      <c r="E5800" s="8">
        <v>34240</v>
      </c>
      <c r="F5800" s="8"/>
      <c r="G5800" s="15">
        <v>1.7286237525174661</v>
      </c>
      <c r="H5800" s="15">
        <v>1.7286237525174661</v>
      </c>
      <c r="I5800" s="15">
        <v>0.94364920163922317</v>
      </c>
      <c r="J5800" s="15">
        <v>0.94364920163922317</v>
      </c>
      <c r="K5800" s="15">
        <v>1.4202933995416251</v>
      </c>
      <c r="L5800" s="15">
        <v>1.4202933995416251</v>
      </c>
      <c r="M5800" s="15">
        <v>0.94364920163922317</v>
      </c>
      <c r="N5800" s="15">
        <v>0.94364920163922317</v>
      </c>
      <c r="O5800" s="15">
        <v>0.82112386169653118</v>
      </c>
      <c r="P5800" s="15">
        <v>0.82112386169653118</v>
      </c>
      <c r="Q5800" s="8"/>
      <c r="R5800" s="9" t="s">
        <v>5330</v>
      </c>
    </row>
    <row r="5801" spans="1:18" x14ac:dyDescent="0.25">
      <c r="A5801" s="6" t="str">
        <f>HYPERLINK("proteomic_fractions_linear_files/Yang_linear_img/357197160.jpg", "357197160")</f>
        <v>357197160</v>
      </c>
      <c r="B5801" s="7"/>
      <c r="C5801" s="6" t="str">
        <f>HYPERLINK("http://www.ncbi.nlm.nih.gov/protein/357197160","Prmt1")</f>
        <v>Prmt1</v>
      </c>
      <c r="D5801" s="8"/>
      <c r="E5801" s="8">
        <v>28778</v>
      </c>
      <c r="F5801" s="8"/>
      <c r="G5801" s="15" t="s">
        <v>10</v>
      </c>
      <c r="H5801" s="15" t="s">
        <v>10</v>
      </c>
      <c r="I5801" s="15">
        <v>1.3968040759731981</v>
      </c>
      <c r="J5801" s="15">
        <v>1.3968040759731981</v>
      </c>
      <c r="K5801" s="15">
        <v>1.3968040759731981</v>
      </c>
      <c r="L5801" s="15">
        <v>1.3968040759731981</v>
      </c>
      <c r="M5801" s="15">
        <v>1.3968040759731981</v>
      </c>
      <c r="N5801" s="15">
        <v>1.3968040759731981</v>
      </c>
      <c r="O5801" s="15">
        <v>1.2876319456249858</v>
      </c>
      <c r="P5801" s="15">
        <v>1.2876319456249858</v>
      </c>
      <c r="Q5801" s="8"/>
      <c r="R5801" s="9" t="s">
        <v>5331</v>
      </c>
    </row>
    <row r="5802" spans="1:18" x14ac:dyDescent="0.25">
      <c r="A5802" s="6" t="str">
        <f>HYPERLINK("proteomic_fractions_linear_files/Yang_linear_img/357197158.jpg", "357197158")</f>
        <v>357197158</v>
      </c>
      <c r="B5802" s="7"/>
      <c r="C5802" s="6" t="str">
        <f>HYPERLINK("http://www.ncbi.nlm.nih.gov/protein/357197158","Prmt1")</f>
        <v>Prmt1</v>
      </c>
      <c r="D5802" s="8"/>
      <c r="E5802" s="8">
        <v>40391</v>
      </c>
      <c r="F5802" s="8"/>
      <c r="G5802" s="15">
        <v>0.93353316057811475</v>
      </c>
      <c r="H5802" s="15">
        <v>0.93353316057811475</v>
      </c>
      <c r="I5802" s="15">
        <v>1.0126829550805687</v>
      </c>
      <c r="J5802" s="15">
        <v>1.0126829550805687</v>
      </c>
      <c r="K5802" s="15">
        <v>1.0126829550805687</v>
      </c>
      <c r="L5802" s="15">
        <v>1.0126829550805687</v>
      </c>
      <c r="M5802" s="15">
        <v>1.0126829550805687</v>
      </c>
      <c r="N5802" s="15">
        <v>1.0126829550805687</v>
      </c>
      <c r="O5802" s="15">
        <v>0.93353316057811475</v>
      </c>
      <c r="P5802" s="15">
        <v>0.93353316057811475</v>
      </c>
      <c r="Q5802" s="8"/>
      <c r="R5802" s="9" t="s">
        <v>5332</v>
      </c>
    </row>
    <row r="5803" spans="1:18" x14ac:dyDescent="0.25">
      <c r="A5803" s="6" t="str">
        <f>HYPERLINK("proteomic_fractions_linear_files/Yang_linear_img/9790109.jpg", "9790109")</f>
        <v>9790109</v>
      </c>
      <c r="B5803" s="7"/>
      <c r="C5803" s="6" t="str">
        <f>HYPERLINK("http://www.ncbi.nlm.nih.gov/protein/9790109","Prmt1")</f>
        <v>Prmt1</v>
      </c>
      <c r="D5803" s="8"/>
      <c r="E5803" s="8">
        <v>42305</v>
      </c>
      <c r="F5803" s="8"/>
      <c r="G5803" s="15">
        <v>0.88907920055058554</v>
      </c>
      <c r="H5803" s="15">
        <v>0.88907920055058554</v>
      </c>
      <c r="I5803" s="15">
        <v>0.96445995721958921</v>
      </c>
      <c r="J5803" s="15">
        <v>0.96445995721958921</v>
      </c>
      <c r="K5803" s="15">
        <v>0.96445995721958921</v>
      </c>
      <c r="L5803" s="15">
        <v>0.96445995721958921</v>
      </c>
      <c r="M5803" s="15">
        <v>0.96445995721958921</v>
      </c>
      <c r="N5803" s="15">
        <v>0.96445995721958921</v>
      </c>
      <c r="O5803" s="15">
        <v>0.88907920055058554</v>
      </c>
      <c r="P5803" s="15">
        <v>0.88907920055058554</v>
      </c>
      <c r="Q5803" s="8"/>
      <c r="R5803" s="9" t="s">
        <v>5333</v>
      </c>
    </row>
    <row r="5804" spans="1:18" x14ac:dyDescent="0.25">
      <c r="A5804" s="6" t="str">
        <f>HYPERLINK("proteomic_fractions_linear_files/Yang_linear_img/117938280.jpg", "117938280")</f>
        <v>117938280</v>
      </c>
      <c r="B5804" s="7"/>
      <c r="C5804" s="6" t="str">
        <f>HYPERLINK("http://www.ncbi.nlm.nih.gov/protein/117938280","Prmt2")</f>
        <v>Prmt2</v>
      </c>
      <c r="D5804" s="8"/>
      <c r="E5804" s="8">
        <v>50371</v>
      </c>
      <c r="F5804" s="8"/>
      <c r="G5804" s="15">
        <v>1.0624113926000216</v>
      </c>
      <c r="H5804" s="15">
        <v>1.0624113926000216</v>
      </c>
      <c r="I5804" s="15" t="s">
        <v>10</v>
      </c>
      <c r="J5804" s="15" t="s">
        <v>10</v>
      </c>
      <c r="K5804" s="15">
        <v>0.81014636406445495</v>
      </c>
      <c r="L5804" s="15">
        <v>0.81014636406445495</v>
      </c>
      <c r="M5804" s="15">
        <v>0.74682652846249187</v>
      </c>
      <c r="N5804" s="15">
        <v>0.74682652846249187</v>
      </c>
      <c r="O5804" s="15" t="s">
        <v>10</v>
      </c>
      <c r="P5804" s="15" t="s">
        <v>10</v>
      </c>
      <c r="Q5804" s="8"/>
      <c r="R5804" s="9" t="s">
        <v>5334</v>
      </c>
    </row>
    <row r="5805" spans="1:18" x14ac:dyDescent="0.25">
      <c r="A5805" s="6" t="str">
        <f>HYPERLINK("proteomic_fractions_linear_files/Yang_linear_img/29789323.jpg", "29789323")</f>
        <v>29789323</v>
      </c>
      <c r="B5805" s="7"/>
      <c r="C5805" s="6" t="str">
        <f>HYPERLINK("http://www.ncbi.nlm.nih.gov/protein/29789323","Prmt3")</f>
        <v>Prmt3</v>
      </c>
      <c r="D5805" s="8"/>
      <c r="E5805" s="8">
        <v>59340</v>
      </c>
      <c r="F5805" s="8"/>
      <c r="G5805" s="15" t="s">
        <v>10</v>
      </c>
      <c r="H5805" s="15" t="s">
        <v>10</v>
      </c>
      <c r="I5805" s="15" t="s">
        <v>10</v>
      </c>
      <c r="J5805" s="15" t="s">
        <v>10</v>
      </c>
      <c r="K5805" s="15">
        <v>1.244680682062411</v>
      </c>
      <c r="L5805" s="15">
        <v>1.244680682062411</v>
      </c>
      <c r="M5805" s="15" t="s">
        <v>10</v>
      </c>
      <c r="N5805" s="15" t="s">
        <v>10</v>
      </c>
      <c r="O5805" s="15">
        <v>1.1093773445854971</v>
      </c>
      <c r="P5805" s="15">
        <v>1.1093773445854971</v>
      </c>
      <c r="Q5805" s="8"/>
      <c r="R5805" s="9" t="s">
        <v>5335</v>
      </c>
    </row>
    <row r="5806" spans="1:18" x14ac:dyDescent="0.25">
      <c r="A5806" s="6" t="str">
        <f>HYPERLINK("proteomic_fractions_linear_files/Yang_linear_img/188528624.jpg", "188528624")</f>
        <v>188528624</v>
      </c>
      <c r="B5806" s="7"/>
      <c r="C5806" s="6" t="str">
        <f>HYPERLINK("http://www.ncbi.nlm.nih.gov/protein/188528624","Prmt5")</f>
        <v>Prmt5</v>
      </c>
      <c r="D5806" s="8"/>
      <c r="E5806" s="8">
        <v>72607</v>
      </c>
      <c r="F5806" s="8"/>
      <c r="G5806" s="15" t="s">
        <v>10</v>
      </c>
      <c r="H5806" s="15" t="s">
        <v>10</v>
      </c>
      <c r="I5806" s="15">
        <v>1.0059747978312636</v>
      </c>
      <c r="J5806" s="15">
        <v>1.0059747978312636</v>
      </c>
      <c r="K5806" s="15">
        <v>1.0059747978312636</v>
      </c>
      <c r="L5806" s="15">
        <v>1.0059747978312636</v>
      </c>
      <c r="M5806" s="15">
        <v>1.0059747978312636</v>
      </c>
      <c r="N5806" s="15">
        <v>1.0059747978312636</v>
      </c>
      <c r="O5806" s="15">
        <v>1.0059747978312636</v>
      </c>
      <c r="P5806" s="15">
        <v>1.0059747978312636</v>
      </c>
      <c r="Q5806" s="8"/>
      <c r="R5806" s="9" t="s">
        <v>5336</v>
      </c>
    </row>
    <row r="5807" spans="1:18" x14ac:dyDescent="0.25">
      <c r="A5807" s="6" t="str">
        <f>HYPERLINK("proteomic_fractions_linear_files/Yang_linear_img/126432554.jpg", "126432554")</f>
        <v>126432554</v>
      </c>
      <c r="B5807" s="7"/>
      <c r="C5807" s="6" t="str">
        <f>HYPERLINK("http://www.ncbi.nlm.nih.gov/protein/126432554","Prmt6")</f>
        <v>Prmt6</v>
      </c>
      <c r="D5807" s="8"/>
      <c r="E5807" s="8">
        <v>41735</v>
      </c>
      <c r="F5807" s="8"/>
      <c r="G5807" s="15" t="s">
        <v>10</v>
      </c>
      <c r="H5807" s="15" t="s">
        <v>10</v>
      </c>
      <c r="I5807" s="15" t="s">
        <v>10</v>
      </c>
      <c r="J5807" s="15" t="s">
        <v>10</v>
      </c>
      <c r="K5807" s="15" t="s">
        <v>10</v>
      </c>
      <c r="L5807" s="15" t="s">
        <v>10</v>
      </c>
      <c r="M5807" s="15">
        <v>0.96445995721958921</v>
      </c>
      <c r="N5807" s="15">
        <v>0.96445995721958921</v>
      </c>
      <c r="O5807" s="15">
        <v>0.96445995721958921</v>
      </c>
      <c r="P5807" s="15">
        <v>0.96445995721958921</v>
      </c>
      <c r="Q5807" s="8"/>
      <c r="R5807" s="9" t="s">
        <v>5337</v>
      </c>
    </row>
    <row r="5808" spans="1:18" x14ac:dyDescent="0.25">
      <c r="A5808" s="6" t="str">
        <f>HYPERLINK("proteomic_fractions_linear_files/Yang_linear_img/21703808.jpg", "21703808")</f>
        <v>21703808</v>
      </c>
      <c r="B5808" s="7"/>
      <c r="C5808" s="6" t="str">
        <f>HYPERLINK("http://www.ncbi.nlm.nih.gov/protein/21703808","Prmt7")</f>
        <v>Prmt7</v>
      </c>
      <c r="D5808" s="8"/>
      <c r="E5808" s="8">
        <v>78170</v>
      </c>
      <c r="F5808" s="8"/>
      <c r="G5808" s="15" t="s">
        <v>10</v>
      </c>
      <c r="H5808" s="15" t="s">
        <v>10</v>
      </c>
      <c r="I5808" s="15" t="s">
        <v>10</v>
      </c>
      <c r="J5808" s="15" t="s">
        <v>10</v>
      </c>
      <c r="K5808" s="15" t="s">
        <v>10</v>
      </c>
      <c r="L5808" s="15" t="s">
        <v>10</v>
      </c>
      <c r="M5808" s="15" t="s">
        <v>10</v>
      </c>
      <c r="N5808" s="15" t="s">
        <v>10</v>
      </c>
      <c r="O5808" s="15">
        <v>1.0653674163223572</v>
      </c>
      <c r="P5808" s="15">
        <v>1.0653674163223572</v>
      </c>
      <c r="Q5808" s="8"/>
      <c r="R5808" s="9" t="s">
        <v>5338</v>
      </c>
    </row>
    <row r="5809" spans="1:18" x14ac:dyDescent="0.25">
      <c r="A5809" s="6" t="str">
        <f>HYPERLINK("proteomic_fractions_linear_files/Yang_linear_img/357527369.jpg", "357527369")</f>
        <v>357527369</v>
      </c>
      <c r="B5809" s="7"/>
      <c r="C5809" s="6" t="str">
        <f>HYPERLINK("http://www.ncbi.nlm.nih.gov/protein/357527369","Prmt8")</f>
        <v>Prmt8</v>
      </c>
      <c r="D5809" s="8"/>
      <c r="E5809" s="8">
        <v>45145</v>
      </c>
      <c r="F5809" s="8"/>
      <c r="G5809" s="15" t="s">
        <v>10</v>
      </c>
      <c r="H5809" s="15" t="s">
        <v>10</v>
      </c>
      <c r="I5809" s="15" t="s">
        <v>10</v>
      </c>
      <c r="J5809" s="15" t="s">
        <v>10</v>
      </c>
      <c r="K5809" s="15">
        <v>0.90016262673828318</v>
      </c>
      <c r="L5809" s="15">
        <v>0.90016262673828318</v>
      </c>
      <c r="M5809" s="15">
        <v>0.90016262673828318</v>
      </c>
      <c r="N5809" s="15">
        <v>0.90016262673828318</v>
      </c>
      <c r="O5809" s="15">
        <v>0.8298072538472131</v>
      </c>
      <c r="P5809" s="15">
        <v>0.8298072538472131</v>
      </c>
      <c r="Q5809" s="8"/>
      <c r="R5809" s="9" t="s">
        <v>5339</v>
      </c>
    </row>
    <row r="5810" spans="1:18" x14ac:dyDescent="0.25">
      <c r="A5810" s="6" t="str">
        <f>HYPERLINK("proteomic_fractions_linear_files/Yang_linear_img/118601004.jpg", "118601004")</f>
        <v>118601004</v>
      </c>
      <c r="B5810" s="7"/>
      <c r="C5810" s="6" t="str">
        <f>HYPERLINK("http://www.ncbi.nlm.nih.gov/protein/118601004","Prodh")</f>
        <v>Prodh</v>
      </c>
      <c r="D5810" s="8"/>
      <c r="E5810" s="8">
        <v>66056</v>
      </c>
      <c r="F5810" s="8"/>
      <c r="G5810" s="15">
        <v>1.2590705829264222</v>
      </c>
      <c r="H5810" s="15">
        <v>1.2590705829264222</v>
      </c>
      <c r="I5810" s="15">
        <v>0.99171611106885349</v>
      </c>
      <c r="J5810" s="15">
        <v>0.99171611106885349</v>
      </c>
      <c r="K5810" s="15" t="s">
        <v>10</v>
      </c>
      <c r="L5810" s="15" t="s">
        <v>10</v>
      </c>
      <c r="M5810" s="15" t="s">
        <v>10</v>
      </c>
      <c r="N5810" s="15" t="s">
        <v>10</v>
      </c>
      <c r="O5810" s="15" t="s">
        <v>10</v>
      </c>
      <c r="P5810" s="15" t="s">
        <v>10</v>
      </c>
      <c r="Q5810" s="8"/>
      <c r="R5810" s="9" t="s">
        <v>5340</v>
      </c>
    </row>
    <row r="5811" spans="1:18" x14ac:dyDescent="0.25">
      <c r="A5811" s="6" t="str">
        <f>HYPERLINK("proteomic_fractions_linear_files/Yang_linear_img/254675296.jpg", "254675296")</f>
        <v>254675296</v>
      </c>
      <c r="B5811" s="7"/>
      <c r="C5811" s="6" t="str">
        <f>HYPERLINK("http://www.ncbi.nlm.nih.gov/protein/254675296","Prom1")</f>
        <v>Prom1</v>
      </c>
      <c r="D5811" s="8"/>
      <c r="E5811" s="8">
        <v>94247</v>
      </c>
      <c r="F5811" s="8"/>
      <c r="G5811" s="15" t="s">
        <v>10</v>
      </c>
      <c r="H5811" s="15" t="s">
        <v>10</v>
      </c>
      <c r="I5811" s="15">
        <v>1.632477352513211</v>
      </c>
      <c r="J5811" s="15">
        <v>1.632477352513211</v>
      </c>
      <c r="K5811" s="15">
        <v>1.632477352513211</v>
      </c>
      <c r="L5811" s="15">
        <v>1.632477352513211</v>
      </c>
      <c r="M5811" s="15">
        <v>1.632477352513211</v>
      </c>
      <c r="N5811" s="15">
        <v>1.632477352513211</v>
      </c>
      <c r="O5811" s="15" t="s">
        <v>10</v>
      </c>
      <c r="P5811" s="15" t="s">
        <v>10</v>
      </c>
      <c r="Q5811" s="8"/>
      <c r="R5811" s="9" t="s">
        <v>5341</v>
      </c>
    </row>
    <row r="5812" spans="1:18" x14ac:dyDescent="0.25">
      <c r="A5812" s="6" t="str">
        <f>HYPERLINK("proteomic_fractions_linear_files/Yang_linear_img/254675298.jpg", "254675298")</f>
        <v>254675298</v>
      </c>
      <c r="B5812" s="7"/>
      <c r="C5812" s="6" t="str">
        <f>HYPERLINK("http://www.ncbi.nlm.nih.gov/protein/254675298","Prom1")</f>
        <v>Prom1</v>
      </c>
      <c r="D5812" s="8"/>
      <c r="E5812" s="8">
        <v>95224</v>
      </c>
      <c r="F5812" s="8"/>
      <c r="G5812" s="15" t="s">
        <v>10</v>
      </c>
      <c r="H5812" s="15" t="s">
        <v>10</v>
      </c>
      <c r="I5812" s="15">
        <v>1.6152933803814931</v>
      </c>
      <c r="J5812" s="15">
        <v>1.6152933803814931</v>
      </c>
      <c r="K5812" s="15">
        <v>1.6152933803814931</v>
      </c>
      <c r="L5812" s="15">
        <v>1.6152933803814931</v>
      </c>
      <c r="M5812" s="15">
        <v>1.6152933803814931</v>
      </c>
      <c r="N5812" s="15">
        <v>1.6152933803814931</v>
      </c>
      <c r="O5812" s="15" t="s">
        <v>10</v>
      </c>
      <c r="P5812" s="15" t="s">
        <v>10</v>
      </c>
      <c r="Q5812" s="8"/>
      <c r="R5812" s="9" t="s">
        <v>5342</v>
      </c>
    </row>
    <row r="5813" spans="1:18" x14ac:dyDescent="0.25">
      <c r="A5813" s="6" t="str">
        <f>HYPERLINK("proteomic_fractions_linear_files/Yang_linear_img/254675304.jpg", "254675304")</f>
        <v>254675304</v>
      </c>
      <c r="B5813" s="7"/>
      <c r="C5813" s="6" t="str">
        <f>HYPERLINK("http://www.ncbi.nlm.nih.gov/protein/254675304","Prom1")</f>
        <v>Prom1</v>
      </c>
      <c r="D5813" s="8"/>
      <c r="E5813" s="8">
        <v>91527</v>
      </c>
      <c r="F5813" s="8"/>
      <c r="G5813" s="15" t="s">
        <v>10</v>
      </c>
      <c r="H5813" s="15" t="s">
        <v>10</v>
      </c>
      <c r="I5813" s="15">
        <v>1.6679659906113244</v>
      </c>
      <c r="J5813" s="15">
        <v>1.6679659906113244</v>
      </c>
      <c r="K5813" s="15">
        <v>1.6679659906113244</v>
      </c>
      <c r="L5813" s="15">
        <v>1.6679659906113244</v>
      </c>
      <c r="M5813" s="15">
        <v>1.6679659906113244</v>
      </c>
      <c r="N5813" s="15">
        <v>1.6679659906113244</v>
      </c>
      <c r="O5813" s="15" t="s">
        <v>10</v>
      </c>
      <c r="P5813" s="15" t="s">
        <v>10</v>
      </c>
      <c r="Q5813" s="8"/>
      <c r="R5813" s="9" t="s">
        <v>5343</v>
      </c>
    </row>
    <row r="5814" spans="1:18" x14ac:dyDescent="0.25">
      <c r="A5814" s="6" t="str">
        <f>HYPERLINK("proteomic_fractions_linear_files/Yang_linear_img/254675312.jpg", "254675312")</f>
        <v>254675312</v>
      </c>
      <c r="B5814" s="7"/>
      <c r="C5814" s="6" t="str">
        <f>HYPERLINK("http://www.ncbi.nlm.nih.gov/protein/254675312","Prom1")</f>
        <v>Prom1</v>
      </c>
      <c r="D5814" s="8"/>
      <c r="E5814" s="8">
        <v>88098</v>
      </c>
      <c r="F5814" s="8"/>
      <c r="G5814" s="15" t="s">
        <v>10</v>
      </c>
      <c r="H5814" s="15" t="s">
        <v>10</v>
      </c>
      <c r="I5814" s="15">
        <v>1.7437826265482028</v>
      </c>
      <c r="J5814" s="15">
        <v>1.7437826265482028</v>
      </c>
      <c r="K5814" s="15">
        <v>1.7437826265482028</v>
      </c>
      <c r="L5814" s="15">
        <v>1.7437826265482028</v>
      </c>
      <c r="M5814" s="15">
        <v>1.7437826265482028</v>
      </c>
      <c r="N5814" s="15">
        <v>1.7437826265482028</v>
      </c>
      <c r="O5814" s="15" t="s">
        <v>10</v>
      </c>
      <c r="P5814" s="15" t="s">
        <v>10</v>
      </c>
      <c r="Q5814" s="8"/>
      <c r="R5814" s="9" t="s">
        <v>5344</v>
      </c>
    </row>
    <row r="5815" spans="1:18" x14ac:dyDescent="0.25">
      <c r="A5815" s="6" t="str">
        <f>HYPERLINK("proteomic_fractions_linear_files/Yang_linear_img/254675314.jpg", "254675314")</f>
        <v>254675314</v>
      </c>
      <c r="B5815" s="7"/>
      <c r="C5815" s="6" t="str">
        <f>HYPERLINK("http://www.ncbi.nlm.nih.gov/protein/254675314","Prom1")</f>
        <v>Prom1</v>
      </c>
      <c r="D5815" s="8"/>
      <c r="E5815" s="8">
        <v>88688</v>
      </c>
      <c r="F5815" s="8"/>
      <c r="G5815" s="15" t="s">
        <v>10</v>
      </c>
      <c r="H5815" s="15" t="s">
        <v>10</v>
      </c>
      <c r="I5815" s="15">
        <v>1.72418956332856</v>
      </c>
      <c r="J5815" s="15">
        <v>1.72418956332856</v>
      </c>
      <c r="K5815" s="15">
        <v>1.72418956332856</v>
      </c>
      <c r="L5815" s="15">
        <v>1.72418956332856</v>
      </c>
      <c r="M5815" s="15">
        <v>1.72418956332856</v>
      </c>
      <c r="N5815" s="15">
        <v>1.72418956332856</v>
      </c>
      <c r="O5815" s="15" t="s">
        <v>10</v>
      </c>
      <c r="P5815" s="15" t="s">
        <v>10</v>
      </c>
      <c r="Q5815" s="8"/>
      <c r="R5815" s="9" t="s">
        <v>5345</v>
      </c>
    </row>
    <row r="5816" spans="1:18" x14ac:dyDescent="0.25">
      <c r="A5816" s="6" t="str">
        <f>HYPERLINK("proteomic_fractions_linear_files/Yang_linear_img/254675316.jpg", "254675316")</f>
        <v>254675316</v>
      </c>
      <c r="B5816" s="7"/>
      <c r="C5816" s="6" t="str">
        <f>HYPERLINK("http://www.ncbi.nlm.nih.gov/protein/254675316","Prom1")</f>
        <v>Prom1</v>
      </c>
      <c r="D5816" s="8"/>
      <c r="E5816" s="8">
        <v>90308</v>
      </c>
      <c r="F5816" s="8"/>
      <c r="G5816" s="15" t="s">
        <v>10</v>
      </c>
      <c r="H5816" s="15" t="s">
        <v>10</v>
      </c>
      <c r="I5816" s="15">
        <v>1.7050319015137982</v>
      </c>
      <c r="J5816" s="15">
        <v>1.7050319015137982</v>
      </c>
      <c r="K5816" s="15">
        <v>1.7050319015137982</v>
      </c>
      <c r="L5816" s="15">
        <v>1.7050319015137982</v>
      </c>
      <c r="M5816" s="15">
        <v>1.7050319015137982</v>
      </c>
      <c r="N5816" s="15">
        <v>1.7050319015137982</v>
      </c>
      <c r="O5816" s="15" t="s">
        <v>10</v>
      </c>
      <c r="P5816" s="15" t="s">
        <v>10</v>
      </c>
      <c r="Q5816" s="8"/>
      <c r="R5816" s="9" t="s">
        <v>5346</v>
      </c>
    </row>
    <row r="5817" spans="1:18" x14ac:dyDescent="0.25">
      <c r="A5817" s="6" t="str">
        <f>HYPERLINK("proteomic_fractions_linear_files/Yang_linear_img/254675318.jpg", "254675318")</f>
        <v>254675318</v>
      </c>
      <c r="B5817" s="7"/>
      <c r="C5817" s="6" t="str">
        <f>HYPERLINK("http://www.ncbi.nlm.nih.gov/protein/254675318","Prom1")</f>
        <v>Prom1</v>
      </c>
      <c r="D5817" s="8"/>
      <c r="E5817" s="8">
        <v>90797</v>
      </c>
      <c r="F5817" s="8"/>
      <c r="G5817" s="15" t="s">
        <v>10</v>
      </c>
      <c r="H5817" s="15" t="s">
        <v>10</v>
      </c>
      <c r="I5817" s="15">
        <v>1.6862952872114487</v>
      </c>
      <c r="J5817" s="15">
        <v>1.6862952872114487</v>
      </c>
      <c r="K5817" s="15">
        <v>1.6862952872114487</v>
      </c>
      <c r="L5817" s="15">
        <v>1.6862952872114487</v>
      </c>
      <c r="M5817" s="15">
        <v>1.6862952872114487</v>
      </c>
      <c r="N5817" s="15">
        <v>1.6862952872114487</v>
      </c>
      <c r="O5817" s="15" t="s">
        <v>10</v>
      </c>
      <c r="P5817" s="15" t="s">
        <v>10</v>
      </c>
      <c r="Q5817" s="8"/>
      <c r="R5817" s="9" t="s">
        <v>5347</v>
      </c>
    </row>
    <row r="5818" spans="1:18" x14ac:dyDescent="0.25">
      <c r="A5818" s="6" t="str">
        <f>HYPERLINK("proteomic_fractions_linear_files/Yang_linear_img/254675320.jpg", "254675320")</f>
        <v>254675320</v>
      </c>
      <c r="B5818" s="7"/>
      <c r="C5818" s="6" t="str">
        <f>HYPERLINK("http://www.ncbi.nlm.nih.gov/protein/254675320","Prom1")</f>
        <v>Prom1</v>
      </c>
      <c r="D5818" s="8"/>
      <c r="E5818" s="8">
        <v>92561</v>
      </c>
      <c r="F5818" s="8"/>
      <c r="G5818" s="15" t="s">
        <v>10</v>
      </c>
      <c r="H5818" s="15" t="s">
        <v>10</v>
      </c>
      <c r="I5818" s="15">
        <v>1.650030872432708</v>
      </c>
      <c r="J5818" s="15">
        <v>1.650030872432708</v>
      </c>
      <c r="K5818" s="15">
        <v>1.650030872432708</v>
      </c>
      <c r="L5818" s="15">
        <v>1.650030872432708</v>
      </c>
      <c r="M5818" s="15">
        <v>1.650030872432708</v>
      </c>
      <c r="N5818" s="15">
        <v>1.650030872432708</v>
      </c>
      <c r="O5818" s="15" t="s">
        <v>10</v>
      </c>
      <c r="P5818" s="15" t="s">
        <v>10</v>
      </c>
      <c r="Q5818" s="8"/>
      <c r="R5818" s="9" t="s">
        <v>5348</v>
      </c>
    </row>
    <row r="5819" spans="1:18" x14ac:dyDescent="0.25">
      <c r="A5819" s="6" t="str">
        <f>HYPERLINK("proteomic_fractions_linear_files/Yang_linear_img/224994182.jpg", "224994182")</f>
        <v>224994182</v>
      </c>
      <c r="B5819" s="7"/>
      <c r="C5819" s="6" t="str">
        <f>HYPERLINK("http://www.ncbi.nlm.nih.gov/protein/224994182","Prom2")</f>
        <v>Prom2</v>
      </c>
      <c r="D5819" s="8"/>
      <c r="E5819" s="8">
        <v>90487</v>
      </c>
      <c r="F5819" s="8"/>
      <c r="G5819" s="15">
        <v>1.7050319015137982</v>
      </c>
      <c r="H5819" s="15">
        <v>1.7050319015137982</v>
      </c>
      <c r="I5819" s="15">
        <v>1.7050319015137982</v>
      </c>
      <c r="J5819" s="15">
        <v>1.7050319015137982</v>
      </c>
      <c r="K5819" s="15">
        <v>1.7050319015137982</v>
      </c>
      <c r="L5819" s="15">
        <v>1.7050319015137982</v>
      </c>
      <c r="M5819" s="15" t="s">
        <v>10</v>
      </c>
      <c r="N5819" s="15" t="s">
        <v>10</v>
      </c>
      <c r="O5819" s="15" t="s">
        <v>10</v>
      </c>
      <c r="P5819" s="15" t="s">
        <v>10</v>
      </c>
      <c r="Q5819" s="8"/>
      <c r="R5819" s="9" t="s">
        <v>5349</v>
      </c>
    </row>
    <row r="5820" spans="1:18" x14ac:dyDescent="0.25">
      <c r="A5820" s="6" t="str">
        <f>HYPERLINK("proteomic_fractions_linear_files/Yang_linear_img/224994184.jpg", "224994184")</f>
        <v>224994184</v>
      </c>
      <c r="B5820" s="7"/>
      <c r="C5820" s="6" t="str">
        <f>HYPERLINK("http://www.ncbi.nlm.nih.gov/protein/224994184","Prom2")</f>
        <v>Prom2</v>
      </c>
      <c r="D5820" s="8"/>
      <c r="E5820" s="8">
        <v>89553</v>
      </c>
      <c r="F5820" s="8"/>
      <c r="G5820" s="15">
        <v>1.7050319015137982</v>
      </c>
      <c r="H5820" s="15">
        <v>1.7050319015137982</v>
      </c>
      <c r="I5820" s="15">
        <v>1.7050319015137982</v>
      </c>
      <c r="J5820" s="15">
        <v>1.7050319015137982</v>
      </c>
      <c r="K5820" s="15">
        <v>1.7050319015137982</v>
      </c>
      <c r="L5820" s="15">
        <v>1.7050319015137982</v>
      </c>
      <c r="M5820" s="15" t="s">
        <v>10</v>
      </c>
      <c r="N5820" s="15" t="s">
        <v>10</v>
      </c>
      <c r="O5820" s="15" t="s">
        <v>10</v>
      </c>
      <c r="P5820" s="15" t="s">
        <v>10</v>
      </c>
      <c r="Q5820" s="8"/>
      <c r="R5820" s="9" t="s">
        <v>5350</v>
      </c>
    </row>
    <row r="5821" spans="1:18" x14ac:dyDescent="0.25">
      <c r="A5821" s="6" t="str">
        <f>HYPERLINK("proteomic_fractions_linear_files/Yang_linear_img/254540216.jpg", "254540216")</f>
        <v>254540216</v>
      </c>
      <c r="B5821" s="7"/>
      <c r="C5821" s="6" t="str">
        <f>HYPERLINK("http://www.ncbi.nlm.nih.gov/protein/254540216","Prorsd1")</f>
        <v>Prorsd1</v>
      </c>
      <c r="D5821" s="8"/>
      <c r="E5821" s="8">
        <v>6926</v>
      </c>
      <c r="F5821" s="8"/>
      <c r="G5821" s="15" t="s">
        <v>10</v>
      </c>
      <c r="H5821" s="15" t="s">
        <v>10</v>
      </c>
      <c r="I5821" s="15" t="s">
        <v>10</v>
      </c>
      <c r="J5821" s="15" t="s">
        <v>10</v>
      </c>
      <c r="K5821" s="15" t="s">
        <v>10</v>
      </c>
      <c r="L5821" s="15" t="s">
        <v>10</v>
      </c>
      <c r="M5821" s="15" t="s">
        <v>10</v>
      </c>
      <c r="N5821" s="15" t="s">
        <v>10</v>
      </c>
      <c r="O5821" s="15">
        <v>2.3880677886581458</v>
      </c>
      <c r="P5821" s="15">
        <v>2.3880677886581458</v>
      </c>
      <c r="Q5821" s="8"/>
      <c r="R5821" s="9" t="s">
        <v>5351</v>
      </c>
    </row>
    <row r="5822" spans="1:18" x14ac:dyDescent="0.25">
      <c r="A5822" s="6" t="str">
        <f>HYPERLINK("proteomic_fractions_linear_files/Yang_linear_img/21312706.jpg", "21312706")</f>
        <v>21312706</v>
      </c>
      <c r="B5822" s="7"/>
      <c r="C5822" s="6" t="str">
        <f>HYPERLINK("http://www.ncbi.nlm.nih.gov/protein/21312706","Prorsd1")</f>
        <v>Prorsd1</v>
      </c>
      <c r="D5822" s="8"/>
      <c r="E5822" s="8">
        <v>18731</v>
      </c>
      <c r="F5822" s="8"/>
      <c r="G5822" s="15" t="s">
        <v>10</v>
      </c>
      <c r="H5822" s="15" t="s">
        <v>10</v>
      </c>
      <c r="I5822" s="15">
        <v>0.87981444845300116</v>
      </c>
      <c r="J5822" s="15">
        <v>0.87981444845300116</v>
      </c>
      <c r="K5822" s="15">
        <v>0.87981444845300116</v>
      </c>
      <c r="L5822" s="15">
        <v>0.87981444845300116</v>
      </c>
      <c r="M5822" s="15" t="s">
        <v>10</v>
      </c>
      <c r="N5822" s="15" t="s">
        <v>10</v>
      </c>
      <c r="O5822" s="15">
        <v>0.87981444845300116</v>
      </c>
      <c r="P5822" s="15">
        <v>0.87981444845300116</v>
      </c>
      <c r="Q5822" s="8"/>
      <c r="R5822" s="9" t="s">
        <v>5352</v>
      </c>
    </row>
    <row r="5823" spans="1:18" x14ac:dyDescent="0.25">
      <c r="A5823" s="6" t="str">
        <f>HYPERLINK("proteomic_fractions_linear_files/Yang_linear_img/84872187.jpg", "84872187")</f>
        <v>84872187</v>
      </c>
      <c r="B5823" s="7"/>
      <c r="C5823" s="6" t="str">
        <f>HYPERLINK("http://www.ncbi.nlm.nih.gov/protein/84872187","Prosc")</f>
        <v>Prosc</v>
      </c>
      <c r="D5823" s="8"/>
      <c r="E5823" s="8">
        <v>15468</v>
      </c>
      <c r="F5823" s="8"/>
      <c r="G5823" s="15" t="s">
        <v>10</v>
      </c>
      <c r="H5823" s="15" t="s">
        <v>10</v>
      </c>
      <c r="I5823" s="15">
        <v>1.6369880408851278</v>
      </c>
      <c r="J5823" s="15">
        <v>1.6369880408851278</v>
      </c>
      <c r="K5823" s="15" t="s">
        <v>10</v>
      </c>
      <c r="L5823" s="15" t="s">
        <v>10</v>
      </c>
      <c r="M5823" s="15" t="s">
        <v>10</v>
      </c>
      <c r="N5823" s="15" t="s">
        <v>10</v>
      </c>
      <c r="O5823" s="15">
        <v>1.4530494847119166</v>
      </c>
      <c r="P5823" s="15">
        <v>1.4530494847119166</v>
      </c>
      <c r="Q5823" s="8"/>
      <c r="R5823" s="9" t="s">
        <v>5353</v>
      </c>
    </row>
    <row r="5824" spans="1:18" x14ac:dyDescent="0.25">
      <c r="A5824" s="6" t="str">
        <f>HYPERLINK("proteomic_fractions_linear_files/Yang_linear_img/16930823.jpg", "16930823")</f>
        <v>16930823</v>
      </c>
      <c r="B5824" s="7"/>
      <c r="C5824" s="6" t="str">
        <f>HYPERLINK("http://www.ncbi.nlm.nih.gov/protein/16930823","Prosc")</f>
        <v>Prosc</v>
      </c>
      <c r="D5824" s="8"/>
      <c r="E5824" s="8">
        <v>29918</v>
      </c>
      <c r="F5824" s="8"/>
      <c r="G5824" s="15">
        <v>1.2447108807708198</v>
      </c>
      <c r="H5824" s="15">
        <v>1.2447108807708198</v>
      </c>
      <c r="I5824" s="15">
        <v>0.81849402044256392</v>
      </c>
      <c r="J5824" s="15">
        <v>0.81849402044256392</v>
      </c>
      <c r="K5824" s="15" t="s">
        <v>10</v>
      </c>
      <c r="L5824" s="15" t="s">
        <v>10</v>
      </c>
      <c r="M5824" s="15" t="s">
        <v>10</v>
      </c>
      <c r="N5824" s="15" t="s">
        <v>10</v>
      </c>
      <c r="O5824" s="15">
        <v>0.72652474235595832</v>
      </c>
      <c r="P5824" s="15">
        <v>0.72652474235595832</v>
      </c>
      <c r="Q5824" s="8"/>
      <c r="R5824" s="9" t="s">
        <v>5354</v>
      </c>
    </row>
    <row r="5825" spans="1:18" x14ac:dyDescent="0.25">
      <c r="A5825" s="6" t="str">
        <f>HYPERLINK("proteomic_fractions_linear_files/Yang_linear_img/84872182.jpg", "84872182")</f>
        <v>84872182</v>
      </c>
      <c r="B5825" s="7"/>
      <c r="C5825" s="6" t="str">
        <f>HYPERLINK("http://www.ncbi.nlm.nih.gov/protein/84872182","Prosc")</f>
        <v>Prosc</v>
      </c>
      <c r="D5825" s="8"/>
      <c r="E5825" s="8">
        <v>16805</v>
      </c>
      <c r="F5825" s="8"/>
      <c r="G5825" s="15">
        <v>2.1965486131249761</v>
      </c>
      <c r="H5825" s="15">
        <v>2.1965486131249761</v>
      </c>
      <c r="I5825" s="15">
        <v>1.4444012125457011</v>
      </c>
      <c r="J5825" s="15">
        <v>1.4444012125457011</v>
      </c>
      <c r="K5825" s="15" t="s">
        <v>10</v>
      </c>
      <c r="L5825" s="15" t="s">
        <v>10</v>
      </c>
      <c r="M5825" s="15" t="s">
        <v>10</v>
      </c>
      <c r="N5825" s="15" t="s">
        <v>10</v>
      </c>
      <c r="O5825" s="15">
        <v>1.2821024865105148</v>
      </c>
      <c r="P5825" s="15">
        <v>1.2821024865105148</v>
      </c>
      <c r="Q5825" s="8"/>
      <c r="R5825" s="9" t="s">
        <v>5355</v>
      </c>
    </row>
    <row r="5826" spans="1:18" x14ac:dyDescent="0.25">
      <c r="A5826" s="6" t="str">
        <f>HYPERLINK("proteomic_fractions_linear_files/Yang_linear_img/110625904.jpg", "110625904")</f>
        <v>110625904</v>
      </c>
      <c r="B5826" s="7"/>
      <c r="C5826" s="6" t="str">
        <f>HYPERLINK("http://www.ncbi.nlm.nih.gov/protein/110625904","Proser2")</f>
        <v>Proser2</v>
      </c>
      <c r="D5826" s="8"/>
      <c r="E5826" s="8">
        <v>50290</v>
      </c>
      <c r="F5826" s="8"/>
      <c r="G5826" s="15" t="s">
        <v>10</v>
      </c>
      <c r="H5826" s="15" t="s">
        <v>10</v>
      </c>
      <c r="I5826" s="15" t="s">
        <v>10</v>
      </c>
      <c r="J5826" s="15" t="s">
        <v>10</v>
      </c>
      <c r="K5826" s="15">
        <v>1.4687232048336449</v>
      </c>
      <c r="L5826" s="15">
        <v>1.4687232048336449</v>
      </c>
      <c r="M5826" s="15" t="s">
        <v>10</v>
      </c>
      <c r="N5826" s="15" t="s">
        <v>10</v>
      </c>
      <c r="O5826" s="15">
        <v>1.0624113926000216</v>
      </c>
      <c r="P5826" s="15">
        <v>1.0624113926000216</v>
      </c>
      <c r="Q5826" s="8"/>
      <c r="R5826" s="9" t="s">
        <v>5356</v>
      </c>
    </row>
    <row r="5827" spans="1:18" x14ac:dyDescent="0.25">
      <c r="A5827" s="6" t="str">
        <f>HYPERLINK("proteomic_fractions_linear_files/Yang_linear_img/40254503.jpg", "40254503")</f>
        <v>40254503</v>
      </c>
      <c r="B5827" s="7"/>
      <c r="C5827" s="6" t="str">
        <f>HYPERLINK("http://www.ncbi.nlm.nih.gov/protein/40254503","Prpf18")</f>
        <v>Prpf18</v>
      </c>
      <c r="D5827" s="8"/>
      <c r="E5827" s="8">
        <v>39759</v>
      </c>
      <c r="F5827" s="8"/>
      <c r="G5827" s="15" t="s">
        <v>10</v>
      </c>
      <c r="H5827" s="15" t="s">
        <v>10</v>
      </c>
      <c r="I5827" s="15" t="s">
        <v>10</v>
      </c>
      <c r="J5827" s="15" t="s">
        <v>10</v>
      </c>
      <c r="K5827" s="15" t="s">
        <v>10</v>
      </c>
      <c r="L5827" s="15" t="s">
        <v>10</v>
      </c>
      <c r="M5827" s="15">
        <v>0.93353316057811475</v>
      </c>
      <c r="N5827" s="15">
        <v>0.93353316057811475</v>
      </c>
      <c r="O5827" s="15" t="s">
        <v>10</v>
      </c>
      <c r="P5827" s="15" t="s">
        <v>10</v>
      </c>
      <c r="Q5827" s="8"/>
      <c r="R5827" s="9" t="s">
        <v>5357</v>
      </c>
    </row>
    <row r="5828" spans="1:18" x14ac:dyDescent="0.25">
      <c r="A5828" s="6" t="str">
        <f>HYPERLINK("proteomic_fractions_linear_files/Yang_linear_img/19527358.jpg", "19527358")</f>
        <v>19527358</v>
      </c>
      <c r="B5828" s="7"/>
      <c r="C5828" s="6" t="str">
        <f>HYPERLINK("http://www.ncbi.nlm.nih.gov/protein/19527358","Prpf19")</f>
        <v>Prpf19</v>
      </c>
      <c r="D5828" s="8"/>
      <c r="E5828" s="8">
        <v>55108</v>
      </c>
      <c r="F5828" s="8"/>
      <c r="G5828" s="15">
        <v>1.1900593332826241</v>
      </c>
      <c r="H5828" s="15">
        <v>1.1900593332826241</v>
      </c>
      <c r="I5828" s="15">
        <v>0.96582853872729235</v>
      </c>
      <c r="J5828" s="15">
        <v>0.96582853872729235</v>
      </c>
      <c r="K5828" s="15">
        <v>1.0686037742835246</v>
      </c>
      <c r="L5828" s="15">
        <v>1.0686037742835246</v>
      </c>
      <c r="M5828" s="15">
        <v>0.96582853872729235</v>
      </c>
      <c r="N5828" s="15">
        <v>1.0686037742835246</v>
      </c>
      <c r="O5828" s="15">
        <v>0.96582853872729235</v>
      </c>
      <c r="P5828" s="15">
        <v>0.96582853872729235</v>
      </c>
      <c r="Q5828" s="8"/>
      <c r="R5828" s="9" t="s">
        <v>5358</v>
      </c>
    </row>
    <row r="5829" spans="1:18" x14ac:dyDescent="0.25">
      <c r="A5829" s="6" t="str">
        <f>HYPERLINK("proteomic_fractions_linear_files/Yang_linear_img/359718917.jpg", "359718917")</f>
        <v>359718917</v>
      </c>
      <c r="B5829" s="7"/>
      <c r="C5829" s="6" t="str">
        <f>HYPERLINK("http://www.ncbi.nlm.nih.gov/protein/359718917","Prpf19")</f>
        <v>Prpf19</v>
      </c>
      <c r="D5829" s="8"/>
      <c r="E5829" s="8">
        <v>57171</v>
      </c>
      <c r="F5829" s="8"/>
      <c r="G5829" s="15">
        <v>1.1483028654481462</v>
      </c>
      <c r="H5829" s="15">
        <v>1.1483028654481462</v>
      </c>
      <c r="I5829" s="15">
        <v>0.93193981807019433</v>
      </c>
      <c r="J5829" s="15">
        <v>0.93193981807019433</v>
      </c>
      <c r="K5829" s="15">
        <v>1.0311089050104185</v>
      </c>
      <c r="L5829" s="15">
        <v>1.0311089050104185</v>
      </c>
      <c r="M5829" s="15">
        <v>1.0311089050104185</v>
      </c>
      <c r="N5829" s="15">
        <v>1.0311089050104185</v>
      </c>
      <c r="O5829" s="15">
        <v>0.93193981807019433</v>
      </c>
      <c r="P5829" s="15">
        <v>0.93193981807019433</v>
      </c>
      <c r="Q5829" s="8"/>
      <c r="R5829" s="9" t="s">
        <v>5359</v>
      </c>
    </row>
    <row r="5830" spans="1:18" x14ac:dyDescent="0.25">
      <c r="A5830" s="6" t="str">
        <f>HYPERLINK("proteomic_fractions_linear_files/Yang_linear_img/359718922.jpg", "359718922")</f>
        <v>359718922</v>
      </c>
      <c r="B5830" s="7"/>
      <c r="C5830" s="6" t="str">
        <f>HYPERLINK("http://www.ncbi.nlm.nih.gov/protein/359718922","Prpf19")</f>
        <v>Prpf19</v>
      </c>
      <c r="D5830" s="8"/>
      <c r="E5830" s="8">
        <v>45658</v>
      </c>
      <c r="F5830" s="8"/>
      <c r="G5830" s="15">
        <v>1.4228970289248768</v>
      </c>
      <c r="H5830" s="15">
        <v>1.4228970289248768</v>
      </c>
      <c r="I5830" s="15">
        <v>1.1547949919565452</v>
      </c>
      <c r="J5830" s="15">
        <v>1.1547949919565452</v>
      </c>
      <c r="K5830" s="15">
        <v>1.2776784257737794</v>
      </c>
      <c r="L5830" s="15">
        <v>1.2776784257737794</v>
      </c>
      <c r="M5830" s="15">
        <v>1.2776784257737794</v>
      </c>
      <c r="N5830" s="15">
        <v>1.2776784257737794</v>
      </c>
      <c r="O5830" s="15">
        <v>1.1547949919565452</v>
      </c>
      <c r="P5830" s="15">
        <v>1.1547949919565452</v>
      </c>
      <c r="Q5830" s="8"/>
      <c r="R5830" s="9" t="s">
        <v>5360</v>
      </c>
    </row>
    <row r="5831" spans="1:18" x14ac:dyDescent="0.25">
      <c r="A5831" s="6" t="str">
        <f>HYPERLINK("proteomic_fractions_linear_files/Yang_linear_img/31980657.jpg", "31980657")</f>
        <v>31980657</v>
      </c>
      <c r="B5831" s="7"/>
      <c r="C5831" s="6" t="str">
        <f>HYPERLINK("http://www.ncbi.nlm.nih.gov/protein/31980657","Prpf3")</f>
        <v>Prpf3</v>
      </c>
      <c r="D5831" s="8"/>
      <c r="E5831" s="8">
        <v>77324</v>
      </c>
      <c r="F5831" s="8"/>
      <c r="G5831" s="15">
        <v>1.4259943353393696</v>
      </c>
      <c r="H5831" s="15">
        <v>1.4259943353393696</v>
      </c>
      <c r="I5831" s="15" t="s">
        <v>10</v>
      </c>
      <c r="J5831" s="15" t="s">
        <v>10</v>
      </c>
      <c r="K5831" s="15">
        <v>1.2333504049686299</v>
      </c>
      <c r="L5831" s="15">
        <v>1.2333504049686299</v>
      </c>
      <c r="M5831" s="15">
        <v>1.2333504049686299</v>
      </c>
      <c r="N5831" s="15">
        <v>1.2333504049686299</v>
      </c>
      <c r="O5831" s="15" t="s">
        <v>10</v>
      </c>
      <c r="P5831" s="15" t="s">
        <v>10</v>
      </c>
      <c r="Q5831" s="8"/>
      <c r="R5831" s="9" t="s">
        <v>5361</v>
      </c>
    </row>
    <row r="5832" spans="1:18" x14ac:dyDescent="0.25">
      <c r="A5832" s="6" t="str">
        <f>HYPERLINK("proteomic_fractions_linear_files/Yang_linear_img/228480236.jpg", "228480236")</f>
        <v>228480236</v>
      </c>
      <c r="B5832" s="7"/>
      <c r="C5832" s="6" t="str">
        <f>HYPERLINK("http://www.ncbi.nlm.nih.gov/protein/228480236","Prpf31")</f>
        <v>Prpf31</v>
      </c>
      <c r="D5832" s="8"/>
      <c r="E5832" s="8">
        <v>55299</v>
      </c>
      <c r="F5832" s="8"/>
      <c r="G5832" s="15" t="s">
        <v>10</v>
      </c>
      <c r="H5832" s="15" t="s">
        <v>10</v>
      </c>
      <c r="I5832" s="15">
        <v>1.0686037742835246</v>
      </c>
      <c r="J5832" s="15">
        <v>1.0686037742835246</v>
      </c>
      <c r="K5832" s="15">
        <v>1.1900593332826241</v>
      </c>
      <c r="L5832" s="15">
        <v>1.1900593332826241</v>
      </c>
      <c r="M5832" s="15">
        <v>1.0686037742835246</v>
      </c>
      <c r="N5832" s="15">
        <v>1.0686037742835246</v>
      </c>
      <c r="O5832" s="15" t="s">
        <v>10</v>
      </c>
      <c r="P5832" s="15" t="s">
        <v>10</v>
      </c>
      <c r="Q5832" s="8"/>
      <c r="R5832" s="9" t="s">
        <v>5362</v>
      </c>
    </row>
    <row r="5833" spans="1:18" x14ac:dyDescent="0.25">
      <c r="A5833" s="6" t="str">
        <f>HYPERLINK("proteomic_fractions_linear_files/Yang_linear_img/228480238.jpg", "228480238")</f>
        <v>228480238</v>
      </c>
      <c r="B5833" s="7"/>
      <c r="C5833" s="6" t="str">
        <f>HYPERLINK("http://www.ncbi.nlm.nih.gov/protein/228480238","Prpf31")</f>
        <v>Prpf31</v>
      </c>
      <c r="D5833" s="8"/>
      <c r="E5833" s="8">
        <v>54609</v>
      </c>
      <c r="F5833" s="8"/>
      <c r="G5833" s="15" t="s">
        <v>10</v>
      </c>
      <c r="H5833" s="15" t="s">
        <v>10</v>
      </c>
      <c r="I5833" s="15">
        <v>1.0686037742835246</v>
      </c>
      <c r="J5833" s="15">
        <v>1.0686037742835246</v>
      </c>
      <c r="K5833" s="15">
        <v>1.1900593332826241</v>
      </c>
      <c r="L5833" s="15">
        <v>1.1900593332826241</v>
      </c>
      <c r="M5833" s="15">
        <v>1.0686037742835246</v>
      </c>
      <c r="N5833" s="15">
        <v>1.0686037742835246</v>
      </c>
      <c r="O5833" s="15" t="s">
        <v>10</v>
      </c>
      <c r="P5833" s="15" t="s">
        <v>10</v>
      </c>
      <c r="Q5833" s="8"/>
      <c r="R5833" s="9" t="s">
        <v>5363</v>
      </c>
    </row>
    <row r="5834" spans="1:18" x14ac:dyDescent="0.25">
      <c r="A5834" s="6" t="str">
        <f>HYPERLINK("proteomic_fractions_linear_files/Yang_linear_img/227497256.jpg", "227497256")</f>
        <v>227497256</v>
      </c>
      <c r="B5834" s="7"/>
      <c r="C5834" s="6" t="str">
        <f>HYPERLINK("http://www.ncbi.nlm.nih.gov/protein/227497256","Prpf38a")</f>
        <v>Prpf38a</v>
      </c>
      <c r="D5834" s="8"/>
      <c r="E5834" s="8">
        <v>37306</v>
      </c>
      <c r="F5834" s="8"/>
      <c r="G5834" s="15" t="s">
        <v>10</v>
      </c>
      <c r="H5834" s="15" t="s">
        <v>10</v>
      </c>
      <c r="I5834" s="15">
        <v>161.97567567567569</v>
      </c>
      <c r="J5834" s="15">
        <v>161.97567567567569</v>
      </c>
      <c r="K5834" s="15">
        <v>161.97567567567569</v>
      </c>
      <c r="L5834" s="15">
        <v>161.97567567567569</v>
      </c>
      <c r="M5834" s="15" t="s">
        <v>10</v>
      </c>
      <c r="N5834" s="15" t="s">
        <v>10</v>
      </c>
      <c r="O5834" s="15" t="s">
        <v>10</v>
      </c>
      <c r="P5834" s="15" t="s">
        <v>10</v>
      </c>
      <c r="Q5834" s="8"/>
      <c r="R5834" s="9" t="s">
        <v>5364</v>
      </c>
    </row>
    <row r="5835" spans="1:18" x14ac:dyDescent="0.25">
      <c r="A5835" s="6" t="str">
        <f>HYPERLINK("proteomic_fractions_linear_files/Yang_linear_img/30794464.jpg", "30794464")</f>
        <v>30794464</v>
      </c>
      <c r="B5835" s="7"/>
      <c r="C5835" s="6" t="str">
        <f>HYPERLINK("http://www.ncbi.nlm.nih.gov/protein/30794464","Prpf38b")</f>
        <v>Prpf38b</v>
      </c>
      <c r="D5835" s="8"/>
      <c r="E5835" s="8">
        <v>63622</v>
      </c>
      <c r="F5835" s="8"/>
      <c r="G5835" s="15" t="s">
        <v>10</v>
      </c>
      <c r="H5835" s="15" t="s">
        <v>10</v>
      </c>
      <c r="I5835" s="15">
        <v>93.642187500000006</v>
      </c>
      <c r="J5835" s="15">
        <v>93.642187500000006</v>
      </c>
      <c r="K5835" s="15">
        <v>93.642187500000006</v>
      </c>
      <c r="L5835" s="15">
        <v>93.642187500000006</v>
      </c>
      <c r="M5835" s="15" t="s">
        <v>10</v>
      </c>
      <c r="N5835" s="15" t="s">
        <v>10</v>
      </c>
      <c r="O5835" s="15" t="s">
        <v>10</v>
      </c>
      <c r="P5835" s="15" t="s">
        <v>10</v>
      </c>
      <c r="Q5835" s="8"/>
      <c r="R5835" s="9" t="s">
        <v>5365</v>
      </c>
    </row>
    <row r="5836" spans="1:18" x14ac:dyDescent="0.25">
      <c r="A5836" s="6" t="str">
        <f>HYPERLINK("proteomic_fractions_linear_files/Yang_linear_img/156546892.jpg", "156546892")</f>
        <v>156546892</v>
      </c>
      <c r="B5836" s="7"/>
      <c r="C5836" s="6" t="str">
        <f>HYPERLINK("http://www.ncbi.nlm.nih.gov/protein/156546892","Prpf39")</f>
        <v>Prpf39</v>
      </c>
      <c r="D5836" s="8"/>
      <c r="E5836" s="8">
        <v>77794</v>
      </c>
      <c r="F5836" s="8"/>
      <c r="G5836" s="15" t="s">
        <v>10</v>
      </c>
      <c r="H5836" s="15" t="s">
        <v>10</v>
      </c>
      <c r="I5836" s="15" t="s">
        <v>10</v>
      </c>
      <c r="J5836" s="15" t="s">
        <v>10</v>
      </c>
      <c r="K5836" s="15" t="s">
        <v>10</v>
      </c>
      <c r="L5836" s="15" t="s">
        <v>10</v>
      </c>
      <c r="M5836" s="15" t="s">
        <v>10</v>
      </c>
      <c r="N5836" s="15" t="s">
        <v>10</v>
      </c>
      <c r="O5836" s="15">
        <v>1.0653674163223572</v>
      </c>
      <c r="P5836" s="15">
        <v>1.0653674163223572</v>
      </c>
      <c r="Q5836" s="8"/>
      <c r="R5836" s="9" t="s">
        <v>5366</v>
      </c>
    </row>
    <row r="5837" spans="1:18" x14ac:dyDescent="0.25">
      <c r="A5837" s="6" t="str">
        <f>HYPERLINK("proteomic_fractions_linear_files/Yang_linear_img/55925589.jpg", "55925589")</f>
        <v>55925589</v>
      </c>
      <c r="B5837" s="7"/>
      <c r="C5837" s="6" t="str">
        <f>HYPERLINK("http://www.ncbi.nlm.nih.gov/protein/55925589","Prpf4")</f>
        <v>Prpf4</v>
      </c>
      <c r="D5837" s="8"/>
      <c r="E5837" s="8">
        <v>58239</v>
      </c>
      <c r="F5837" s="8"/>
      <c r="G5837" s="15">
        <v>1.2661406938221076</v>
      </c>
      <c r="H5837" s="15">
        <v>1.2661406938221076</v>
      </c>
      <c r="I5837" s="15">
        <v>1.0133311652688595</v>
      </c>
      <c r="J5837" s="15">
        <v>1.0133311652688595</v>
      </c>
      <c r="K5837" s="15">
        <v>1.1285045401817988</v>
      </c>
      <c r="L5837" s="15">
        <v>1.1285045401817988</v>
      </c>
      <c r="M5837" s="15">
        <v>1.0133311652688595</v>
      </c>
      <c r="N5837" s="15">
        <v>1.0133311652688595</v>
      </c>
      <c r="O5837" s="15" t="s">
        <v>10</v>
      </c>
      <c r="P5837" s="15" t="s">
        <v>10</v>
      </c>
      <c r="Q5837" s="8"/>
      <c r="R5837" s="9" t="s">
        <v>5367</v>
      </c>
    </row>
    <row r="5838" spans="1:18" x14ac:dyDescent="0.25">
      <c r="A5838" s="6" t="str">
        <f>HYPERLINK("proteomic_fractions_linear_files/Yang_linear_img/9055218.jpg", "9055218")</f>
        <v>9055218</v>
      </c>
      <c r="B5838" s="7"/>
      <c r="C5838" s="6" t="str">
        <f>HYPERLINK("http://www.ncbi.nlm.nih.gov/protein/9055218","Prpf40a")</f>
        <v>Prpf40a</v>
      </c>
      <c r="D5838" s="8"/>
      <c r="E5838" s="8">
        <v>108350</v>
      </c>
      <c r="F5838" s="8"/>
      <c r="G5838" s="15">
        <v>1.4208599179281651</v>
      </c>
      <c r="H5838" s="15">
        <v>1.4208599179281651</v>
      </c>
      <c r="I5838" s="15">
        <v>55.491666666666667</v>
      </c>
      <c r="J5838" s="15">
        <v>55.491666666666667</v>
      </c>
      <c r="K5838" s="15">
        <v>55.491666666666667</v>
      </c>
      <c r="L5838" s="15">
        <v>55.491666666666667</v>
      </c>
      <c r="M5838" s="15">
        <v>55.491666666666667</v>
      </c>
      <c r="N5838" s="15">
        <v>55.491666666666667</v>
      </c>
      <c r="O5838" s="15" t="s">
        <v>10</v>
      </c>
      <c r="P5838" s="15" t="s">
        <v>10</v>
      </c>
      <c r="Q5838" s="8"/>
      <c r="R5838" s="9" t="s">
        <v>5368</v>
      </c>
    </row>
    <row r="5839" spans="1:18" x14ac:dyDescent="0.25">
      <c r="A5839" s="6" t="str">
        <f>HYPERLINK("proteomic_fractions_linear_files/Yang_linear_img/9055244.jpg", "9055244")</f>
        <v>9055244</v>
      </c>
      <c r="B5839" s="7"/>
      <c r="C5839" s="6" t="str">
        <f>HYPERLINK("http://www.ncbi.nlm.nih.gov/protein/9055244","Prpf40b")</f>
        <v>Prpf40b</v>
      </c>
      <c r="D5839" s="8"/>
      <c r="E5839" s="8">
        <v>99567</v>
      </c>
      <c r="F5839" s="8"/>
      <c r="G5839" s="15" t="s">
        <v>10</v>
      </c>
      <c r="H5839" s="15" t="s">
        <v>10</v>
      </c>
      <c r="I5839" s="15">
        <v>59.931000000000004</v>
      </c>
      <c r="J5839" s="15">
        <v>59.931000000000004</v>
      </c>
      <c r="K5839" s="15" t="s">
        <v>10</v>
      </c>
      <c r="L5839" s="15" t="s">
        <v>10</v>
      </c>
      <c r="M5839" s="15" t="s">
        <v>10</v>
      </c>
      <c r="N5839" s="15" t="s">
        <v>10</v>
      </c>
      <c r="O5839" s="15" t="s">
        <v>10</v>
      </c>
      <c r="P5839" s="15" t="s">
        <v>10</v>
      </c>
      <c r="Q5839" s="8"/>
      <c r="R5839" s="9" t="s">
        <v>5369</v>
      </c>
    </row>
    <row r="5840" spans="1:18" x14ac:dyDescent="0.25">
      <c r="A5840" s="6" t="str">
        <f>HYPERLINK("proteomic_fractions_linear_files/Yang_linear_img/158854005.jpg", "158854005")</f>
        <v>158854005</v>
      </c>
      <c r="B5840" s="7"/>
      <c r="C5840" s="6" t="str">
        <f>HYPERLINK("http://www.ncbi.nlm.nih.gov/protein/158854005","Prpf4b")</f>
        <v>Prpf4b</v>
      </c>
      <c r="D5840" s="8"/>
      <c r="E5840" s="8">
        <v>116845</v>
      </c>
      <c r="F5840" s="8"/>
      <c r="G5840" s="15" t="s">
        <v>10</v>
      </c>
      <c r="H5840" s="15" t="s">
        <v>10</v>
      </c>
      <c r="I5840" s="15" t="s">
        <v>10</v>
      </c>
      <c r="J5840" s="15" t="s">
        <v>10</v>
      </c>
      <c r="K5840" s="15">
        <v>51.223076923076924</v>
      </c>
      <c r="L5840" s="15">
        <v>51.223076923076924</v>
      </c>
      <c r="M5840" s="15">
        <v>51.223076923076924</v>
      </c>
      <c r="N5840" s="15">
        <v>51.223076923076924</v>
      </c>
      <c r="O5840" s="15" t="s">
        <v>10</v>
      </c>
      <c r="P5840" s="15" t="s">
        <v>10</v>
      </c>
      <c r="Q5840" s="8"/>
      <c r="R5840" s="9" t="s">
        <v>5370</v>
      </c>
    </row>
    <row r="5841" spans="1:18" x14ac:dyDescent="0.25">
      <c r="A5841" s="6" t="str">
        <f>HYPERLINK("proteomic_fractions_linear_files/Yang_linear_img/21539655.jpg", "21539655")</f>
        <v>21539655</v>
      </c>
      <c r="B5841" s="7"/>
      <c r="C5841" s="6" t="str">
        <f>HYPERLINK("http://www.ncbi.nlm.nih.gov/protein/21539655","Prpf6")</f>
        <v>Prpf6</v>
      </c>
      <c r="D5841" s="8"/>
      <c r="E5841" s="8">
        <v>106591</v>
      </c>
      <c r="F5841" s="8"/>
      <c r="G5841" s="15">
        <v>1.2030058705151119</v>
      </c>
      <c r="H5841" s="15">
        <v>1.2030058705151119</v>
      </c>
      <c r="I5841" s="15">
        <v>0.77662297638452205</v>
      </c>
      <c r="J5841" s="15">
        <v>0.77662297638452205</v>
      </c>
      <c r="K5841" s="15">
        <v>1.2030058705151119</v>
      </c>
      <c r="L5841" s="15">
        <v>1.2030058705151119</v>
      </c>
      <c r="M5841" s="15">
        <v>1.2030058705151119</v>
      </c>
      <c r="N5841" s="15">
        <v>1.2030058705151119</v>
      </c>
      <c r="O5841" s="15" t="s">
        <v>10</v>
      </c>
      <c r="P5841" s="15" t="s">
        <v>10</v>
      </c>
      <c r="Q5841" s="8"/>
      <c r="R5841" s="9" t="s">
        <v>5371</v>
      </c>
    </row>
    <row r="5842" spans="1:18" x14ac:dyDescent="0.25">
      <c r="A5842" s="6" t="str">
        <f>HYPERLINK("proteomic_fractions_linear_files/Yang_linear_img/115583687.jpg", "115583687")</f>
        <v>115583687</v>
      </c>
      <c r="B5842" s="7"/>
      <c r="C5842" s="6" t="str">
        <f>HYPERLINK("http://www.ncbi.nlm.nih.gov/protein/115583687","Prpf8")</f>
        <v>Prpf8</v>
      </c>
      <c r="D5842" s="8"/>
      <c r="E5842" s="8">
        <v>273487</v>
      </c>
      <c r="F5842" s="8"/>
      <c r="G5842" s="15">
        <v>0.85480163966245082</v>
      </c>
      <c r="H5842" s="15">
        <v>0.85480163966245082</v>
      </c>
      <c r="I5842" s="15">
        <v>0.85480163966245082</v>
      </c>
      <c r="J5842" s="15">
        <v>0.85480163966245082</v>
      </c>
      <c r="K5842" s="15">
        <v>1.1054334235769185</v>
      </c>
      <c r="L5842" s="15">
        <v>1.1054334235769185</v>
      </c>
      <c r="M5842" s="15">
        <v>1.1054334235769185</v>
      </c>
      <c r="N5842" s="15">
        <v>1.1054334235769185</v>
      </c>
      <c r="O5842" s="15" t="s">
        <v>10</v>
      </c>
      <c r="P5842" s="15" t="s">
        <v>10</v>
      </c>
      <c r="Q5842" s="8"/>
      <c r="R5842" s="9" t="s">
        <v>5372</v>
      </c>
    </row>
    <row r="5843" spans="1:18" x14ac:dyDescent="0.25">
      <c r="A5843" s="6" t="str">
        <f>HYPERLINK("proteomic_fractions_linear_files/Yang_linear_img/254675335.jpg", "254675335")</f>
        <v>254675335</v>
      </c>
      <c r="B5843" s="7"/>
      <c r="C5843" s="6" t="str">
        <f>HYPERLINK("http://www.ncbi.nlm.nih.gov/protein/254675335","Prph")</f>
        <v>Prph</v>
      </c>
      <c r="D5843" s="8"/>
      <c r="E5843" s="8">
        <v>57733</v>
      </c>
      <c r="F5843" s="8"/>
      <c r="G5843" s="15">
        <v>1.2661406938221076</v>
      </c>
      <c r="H5843" s="15">
        <v>1.2661406938221076</v>
      </c>
      <c r="I5843" s="15" t="s">
        <v>10</v>
      </c>
      <c r="J5843" s="15" t="s">
        <v>10</v>
      </c>
      <c r="K5843" s="15">
        <v>1.0133311652688595</v>
      </c>
      <c r="L5843" s="15">
        <v>1.0133311652688595</v>
      </c>
      <c r="M5843" s="15" t="s">
        <v>10</v>
      </c>
      <c r="N5843" s="15" t="s">
        <v>10</v>
      </c>
      <c r="O5843" s="15" t="s">
        <v>10</v>
      </c>
      <c r="P5843" s="15" t="s">
        <v>10</v>
      </c>
      <c r="Q5843" s="8"/>
      <c r="R5843" s="9" t="s">
        <v>5373</v>
      </c>
    </row>
    <row r="5844" spans="1:18" x14ac:dyDescent="0.25">
      <c r="A5844" s="6" t="str">
        <f>HYPERLINK("proteomic_fractions_linear_files/Yang_linear_img/254675337.jpg", "254675337")</f>
        <v>254675337</v>
      </c>
      <c r="B5844" s="7"/>
      <c r="C5844" s="6" t="str">
        <f>HYPERLINK("http://www.ncbi.nlm.nih.gov/protein/254675337","Prph")</f>
        <v>Prph</v>
      </c>
      <c r="D5844" s="8"/>
      <c r="E5844" s="8">
        <v>57605</v>
      </c>
      <c r="F5844" s="8"/>
      <c r="G5844" s="15">
        <v>1.2661406938221076</v>
      </c>
      <c r="H5844" s="15">
        <v>1.2661406938221076</v>
      </c>
      <c r="I5844" s="15" t="s">
        <v>10</v>
      </c>
      <c r="J5844" s="15" t="s">
        <v>10</v>
      </c>
      <c r="K5844" s="15">
        <v>1.0133311652688595</v>
      </c>
      <c r="L5844" s="15">
        <v>1.0133311652688595</v>
      </c>
      <c r="M5844" s="15" t="s">
        <v>10</v>
      </c>
      <c r="N5844" s="15" t="s">
        <v>10</v>
      </c>
      <c r="O5844" s="15" t="s">
        <v>10</v>
      </c>
      <c r="P5844" s="15" t="s">
        <v>10</v>
      </c>
      <c r="Q5844" s="8"/>
      <c r="R5844" s="9" t="s">
        <v>5374</v>
      </c>
    </row>
    <row r="5845" spans="1:18" x14ac:dyDescent="0.25">
      <c r="A5845" s="6" t="str">
        <f>HYPERLINK("proteomic_fractions_linear_files/Yang_linear_img/254675339.jpg", "254675339")</f>
        <v>254675339</v>
      </c>
      <c r="B5845" s="7"/>
      <c r="C5845" s="6" t="str">
        <f>HYPERLINK("http://www.ncbi.nlm.nih.gov/protein/254675339","Prph")</f>
        <v>Prph</v>
      </c>
      <c r="D5845" s="8"/>
      <c r="E5845" s="8">
        <v>54167</v>
      </c>
      <c r="F5845" s="8"/>
      <c r="G5845" s="15">
        <v>1.359928893364486</v>
      </c>
      <c r="H5845" s="15">
        <v>1.359928893364486</v>
      </c>
      <c r="I5845" s="15" t="s">
        <v>10</v>
      </c>
      <c r="J5845" s="15" t="s">
        <v>10</v>
      </c>
      <c r="K5845" s="15">
        <v>1.0883927330665528</v>
      </c>
      <c r="L5845" s="15">
        <v>1.0883927330665528</v>
      </c>
      <c r="M5845" s="15" t="s">
        <v>10</v>
      </c>
      <c r="N5845" s="15" t="s">
        <v>10</v>
      </c>
      <c r="O5845" s="15" t="s">
        <v>10</v>
      </c>
      <c r="P5845" s="15" t="s">
        <v>10</v>
      </c>
      <c r="Q5845" s="8"/>
      <c r="R5845" s="9" t="s">
        <v>5375</v>
      </c>
    </row>
    <row r="5846" spans="1:18" x14ac:dyDescent="0.25">
      <c r="A5846" s="6" t="str">
        <f>HYPERLINK("proteomic_fractions_linear_files/Yang_linear_img/10946854.jpg", "10946854")</f>
        <v>10946854</v>
      </c>
      <c r="B5846" s="7"/>
      <c r="C5846" s="6" t="str">
        <f>HYPERLINK("http://www.ncbi.nlm.nih.gov/protein/10946854","Prps1")</f>
        <v>Prps1</v>
      </c>
      <c r="D5846" s="8"/>
      <c r="E5846" s="8">
        <v>34703</v>
      </c>
      <c r="F5846" s="8"/>
      <c r="G5846" s="15">
        <v>0.85386876833466085</v>
      </c>
      <c r="H5846" s="15">
        <v>0.85386876833466085</v>
      </c>
      <c r="I5846" s="15">
        <v>0.91668779587810256</v>
      </c>
      <c r="J5846" s="15">
        <v>0.91668779587810256</v>
      </c>
      <c r="K5846" s="15">
        <v>0.91668779587810256</v>
      </c>
      <c r="L5846" s="15">
        <v>0.91668779587810256</v>
      </c>
      <c r="M5846" s="15">
        <v>0.91668779587810256</v>
      </c>
      <c r="N5846" s="15">
        <v>0.91668779587810256</v>
      </c>
      <c r="O5846" s="15">
        <v>0.85386876833466085</v>
      </c>
      <c r="P5846" s="15">
        <v>0.85386876833466085</v>
      </c>
      <c r="Q5846" s="8"/>
      <c r="R5846" s="9" t="s">
        <v>5376</v>
      </c>
    </row>
    <row r="5847" spans="1:18" x14ac:dyDescent="0.25">
      <c r="A5847" s="6" t="str">
        <f>HYPERLINK("proteomic_fractions_linear_files/Yang_linear_img/30794182.jpg", "30794182")</f>
        <v>30794182</v>
      </c>
      <c r="B5847" s="7"/>
      <c r="C5847" s="6" t="str">
        <f>HYPERLINK("http://www.ncbi.nlm.nih.gov/protein/30794182","Prps1l1")</f>
        <v>Prps1l1</v>
      </c>
      <c r="D5847" s="8"/>
      <c r="E5847" s="8">
        <v>34689</v>
      </c>
      <c r="F5847" s="8"/>
      <c r="G5847" s="15">
        <v>0.85386876833466085</v>
      </c>
      <c r="H5847" s="15">
        <v>0.85386876833466085</v>
      </c>
      <c r="I5847" s="15">
        <v>0.91668779587810256</v>
      </c>
      <c r="J5847" s="15">
        <v>0.91668779587810256</v>
      </c>
      <c r="K5847" s="15">
        <v>0.91668779587810256</v>
      </c>
      <c r="L5847" s="15">
        <v>0.98723932944214809</v>
      </c>
      <c r="M5847" s="15">
        <v>0.91668779587810256</v>
      </c>
      <c r="N5847" s="15">
        <v>0.91668779587810256</v>
      </c>
      <c r="O5847" s="15">
        <v>0.85386876833466085</v>
      </c>
      <c r="P5847" s="15">
        <v>0.85386876833466085</v>
      </c>
      <c r="Q5847" s="8"/>
      <c r="R5847" s="9" t="s">
        <v>5377</v>
      </c>
    </row>
    <row r="5848" spans="1:18" x14ac:dyDescent="0.25">
      <c r="A5848" s="6" t="str">
        <f>HYPERLINK("proteomic_fractions_linear_files/Yang_linear_img/256418956.jpg", "256418956")</f>
        <v>256418956</v>
      </c>
      <c r="B5848" s="7"/>
      <c r="C5848" s="6" t="str">
        <f>HYPERLINK("http://www.ncbi.nlm.nih.gov/protein/256418956","Prps1l3")</f>
        <v>Prps1l3</v>
      </c>
      <c r="D5848" s="8"/>
      <c r="E5848" s="8">
        <v>34693</v>
      </c>
      <c r="F5848" s="8"/>
      <c r="G5848" s="15">
        <v>0.85386876833466085</v>
      </c>
      <c r="H5848" s="15">
        <v>0.85386876833466085</v>
      </c>
      <c r="I5848" s="15">
        <v>0.91668779587810256</v>
      </c>
      <c r="J5848" s="15">
        <v>0.91668779587810256</v>
      </c>
      <c r="K5848" s="15">
        <v>0.91668779587810256</v>
      </c>
      <c r="L5848" s="15">
        <v>0.91668779587810256</v>
      </c>
      <c r="M5848" s="15">
        <v>0.91668779587810256</v>
      </c>
      <c r="N5848" s="15">
        <v>0.91668779587810256</v>
      </c>
      <c r="O5848" s="15">
        <v>0.85386876833466085</v>
      </c>
      <c r="P5848" s="15">
        <v>0.85386876833466085</v>
      </c>
      <c r="Q5848" s="8"/>
      <c r="R5848" s="9" t="s">
        <v>5378</v>
      </c>
    </row>
    <row r="5849" spans="1:18" x14ac:dyDescent="0.25">
      <c r="A5849" s="6" t="str">
        <f>HYPERLINK("proteomic_fractions_linear_files/Yang_linear_img/13386146.jpg", "13386146")</f>
        <v>13386146</v>
      </c>
      <c r="B5849" s="7"/>
      <c r="C5849" s="6" t="str">
        <f>HYPERLINK("http://www.ncbi.nlm.nih.gov/protein/13386146","Prps2")</f>
        <v>Prps2</v>
      </c>
      <c r="D5849" s="8"/>
      <c r="E5849" s="8">
        <v>34655</v>
      </c>
      <c r="F5849" s="8"/>
      <c r="G5849" s="15" t="s">
        <v>10</v>
      </c>
      <c r="H5849" s="15" t="s">
        <v>10</v>
      </c>
      <c r="I5849" s="15">
        <v>0.91668779587810256</v>
      </c>
      <c r="J5849" s="15">
        <v>0.91668779587810256</v>
      </c>
      <c r="K5849" s="15">
        <v>0.91668779587810256</v>
      </c>
      <c r="L5849" s="15">
        <v>0.91668779587810256</v>
      </c>
      <c r="M5849" s="15">
        <v>0.91668779587810256</v>
      </c>
      <c r="N5849" s="15">
        <v>0.91668779587810256</v>
      </c>
      <c r="O5849" s="15">
        <v>0.85386876833466085</v>
      </c>
      <c r="P5849" s="15">
        <v>0.85386876833466085</v>
      </c>
      <c r="Q5849" s="8"/>
      <c r="R5849" s="9" t="s">
        <v>5379</v>
      </c>
    </row>
    <row r="5850" spans="1:18" x14ac:dyDescent="0.25">
      <c r="A5850" s="6" t="str">
        <f>HYPERLINK("proteomic_fractions_linear_files/Yang_linear_img/254540089.jpg", "254540089")</f>
        <v>254540089</v>
      </c>
      <c r="B5850" s="7"/>
      <c r="C5850" s="6" t="str">
        <f>HYPERLINK("http://www.ncbi.nlm.nih.gov/protein/254540089","Prpsap1")</f>
        <v>Prpsap1</v>
      </c>
      <c r="D5850" s="8"/>
      <c r="E5850" s="8">
        <v>42337</v>
      </c>
      <c r="F5850" s="8"/>
      <c r="G5850" s="15" t="s">
        <v>10</v>
      </c>
      <c r="H5850" s="15" t="s">
        <v>10</v>
      </c>
      <c r="I5850" s="15">
        <v>0.82269944120179006</v>
      </c>
      <c r="J5850" s="15">
        <v>0.82269944120179006</v>
      </c>
      <c r="K5850" s="15">
        <v>0.88907920055058554</v>
      </c>
      <c r="L5850" s="15">
        <v>0.88907920055058554</v>
      </c>
      <c r="M5850" s="15">
        <v>0.88907920055058554</v>
      </c>
      <c r="N5850" s="15">
        <v>0.88907920055058554</v>
      </c>
      <c r="O5850" s="15">
        <v>0.76390649656508547</v>
      </c>
      <c r="P5850" s="15">
        <v>0.76390649656508547</v>
      </c>
      <c r="Q5850" s="8"/>
      <c r="R5850" s="9" t="s">
        <v>5380</v>
      </c>
    </row>
    <row r="5851" spans="1:18" x14ac:dyDescent="0.25">
      <c r="A5851" s="6" t="str">
        <f>HYPERLINK("proteomic_fractions_linear_files/Yang_linear_img/21450169.jpg", "21450169")</f>
        <v>21450169</v>
      </c>
      <c r="B5851" s="7"/>
      <c r="C5851" s="6" t="str">
        <f>HYPERLINK("http://www.ncbi.nlm.nih.gov/protein/21450169","Prpsap2")</f>
        <v>Prpsap2</v>
      </c>
      <c r="D5851" s="8"/>
      <c r="E5851" s="8">
        <v>40750</v>
      </c>
      <c r="F5851" s="8"/>
      <c r="G5851" s="15" t="s">
        <v>10</v>
      </c>
      <c r="H5851" s="15" t="s">
        <v>10</v>
      </c>
      <c r="I5851" s="15" t="s">
        <v>10</v>
      </c>
      <c r="J5851" s="15" t="s">
        <v>10</v>
      </c>
      <c r="K5851" s="15">
        <v>0.91076405910059977</v>
      </c>
      <c r="L5851" s="15">
        <v>0.91076405910059977</v>
      </c>
      <c r="M5851" s="15">
        <v>0.91076405910059977</v>
      </c>
      <c r="N5851" s="15">
        <v>0.91076405910059977</v>
      </c>
      <c r="O5851" s="15">
        <v>0.84276528123110206</v>
      </c>
      <c r="P5851" s="15">
        <v>0.84276528123110206</v>
      </c>
      <c r="Q5851" s="8"/>
      <c r="R5851" s="9" t="s">
        <v>5381</v>
      </c>
    </row>
    <row r="5852" spans="1:18" x14ac:dyDescent="0.25">
      <c r="A5852" s="6" t="str">
        <f>HYPERLINK("proteomic_fractions_linear_files/Yang_linear_img/256773295.jpg", "256773295")</f>
        <v>256773295</v>
      </c>
      <c r="B5852" s="7"/>
      <c r="C5852" s="6" t="str">
        <f>HYPERLINK("http://www.ncbi.nlm.nih.gov/protein/256773295","Prpsap2")</f>
        <v>Prpsap2</v>
      </c>
      <c r="D5852" s="8"/>
      <c r="E5852" s="8">
        <v>31162</v>
      </c>
      <c r="F5852" s="8"/>
      <c r="G5852" s="15" t="s">
        <v>10</v>
      </c>
      <c r="H5852" s="15" t="s">
        <v>10</v>
      </c>
      <c r="I5852" s="15" t="s">
        <v>10</v>
      </c>
      <c r="J5852" s="15" t="s">
        <v>10</v>
      </c>
      <c r="K5852" s="15">
        <v>1.2045589168749868</v>
      </c>
      <c r="L5852" s="15">
        <v>1.2045589168749868</v>
      </c>
      <c r="M5852" s="15">
        <v>1.2045589168749868</v>
      </c>
      <c r="N5852" s="15">
        <v>1.2045589168749868</v>
      </c>
      <c r="O5852" s="15">
        <v>1.1146250493701673</v>
      </c>
      <c r="P5852" s="15">
        <v>1.1146250493701673</v>
      </c>
      <c r="Q5852" s="8"/>
      <c r="R5852" s="9" t="s">
        <v>5382</v>
      </c>
    </row>
    <row r="5853" spans="1:18" x14ac:dyDescent="0.25">
      <c r="A5853" s="6" t="str">
        <f>HYPERLINK("proteomic_fractions_linear_files/Yang_linear_img/110625811.jpg", "110625811")</f>
        <v>110625811</v>
      </c>
      <c r="B5853" s="7"/>
      <c r="C5853" s="6" t="str">
        <f>HYPERLINK("http://www.ncbi.nlm.nih.gov/protein/110625811","Prrc1")</f>
        <v>Prrc1</v>
      </c>
      <c r="D5853" s="8"/>
      <c r="E5853" s="8">
        <v>46167</v>
      </c>
      <c r="F5853" s="8"/>
      <c r="G5853" s="15" t="s">
        <v>10</v>
      </c>
      <c r="H5853" s="15" t="s">
        <v>10</v>
      </c>
      <c r="I5853" s="15">
        <v>1.1547949919565452</v>
      </c>
      <c r="J5853" s="15">
        <v>1.1547949919565452</v>
      </c>
      <c r="K5853" s="15">
        <v>1.2776784257737794</v>
      </c>
      <c r="L5853" s="15">
        <v>1.2776784257737794</v>
      </c>
      <c r="M5853" s="15" t="s">
        <v>10</v>
      </c>
      <c r="N5853" s="15" t="s">
        <v>10</v>
      </c>
      <c r="O5853" s="15">
        <v>1.0497820779220708</v>
      </c>
      <c r="P5853" s="15">
        <v>1.0497820779220708</v>
      </c>
      <c r="Q5853" s="8"/>
      <c r="R5853" s="9" t="s">
        <v>5383</v>
      </c>
    </row>
    <row r="5854" spans="1:18" x14ac:dyDescent="0.25">
      <c r="A5854" s="6" t="str">
        <f>HYPERLINK("proteomic_fractions_linear_files/Yang_linear_img/312261233.jpg", "312261233")</f>
        <v>312261233</v>
      </c>
      <c r="B5854" s="7"/>
      <c r="C5854" s="6" t="str">
        <f>HYPERLINK("http://www.ncbi.nlm.nih.gov/protein/312261233","Prrc2a")</f>
        <v>Prrc2a</v>
      </c>
      <c r="D5854" s="8"/>
      <c r="E5854" s="8">
        <v>228944</v>
      </c>
      <c r="F5854" s="8"/>
      <c r="G5854" s="15" t="s">
        <v>10</v>
      </c>
      <c r="H5854" s="15" t="s">
        <v>10</v>
      </c>
      <c r="I5854" s="15" t="s">
        <v>10</v>
      </c>
      <c r="J5854" s="15" t="s">
        <v>10</v>
      </c>
      <c r="K5854" s="15">
        <v>1.019043002741699</v>
      </c>
      <c r="L5854" s="15">
        <v>1.019043002741699</v>
      </c>
      <c r="M5854" s="15" t="s">
        <v>10</v>
      </c>
      <c r="N5854" s="15" t="s">
        <v>10</v>
      </c>
      <c r="O5854" s="15" t="s">
        <v>10</v>
      </c>
      <c r="P5854" s="15" t="s">
        <v>10</v>
      </c>
      <c r="Q5854" s="8"/>
      <c r="R5854" s="9" t="s">
        <v>5384</v>
      </c>
    </row>
    <row r="5855" spans="1:18" x14ac:dyDescent="0.25">
      <c r="A5855" s="6" t="str">
        <f>HYPERLINK("proteomic_fractions_linear_files/Yang_linear_img/92110037.jpg", "92110037")</f>
        <v>92110037</v>
      </c>
      <c r="B5855" s="7"/>
      <c r="C5855" s="6" t="str">
        <f>HYPERLINK("http://www.ncbi.nlm.nih.gov/protein/92110037","Prrc2a")</f>
        <v>Prrc2a</v>
      </c>
      <c r="D5855" s="8"/>
      <c r="E5855" s="8">
        <v>229072</v>
      </c>
      <c r="F5855" s="8"/>
      <c r="G5855" s="15" t="s">
        <v>10</v>
      </c>
      <c r="H5855" s="15" t="s">
        <v>10</v>
      </c>
      <c r="I5855" s="15" t="s">
        <v>10</v>
      </c>
      <c r="J5855" s="15" t="s">
        <v>10</v>
      </c>
      <c r="K5855" s="15">
        <v>1.019043002741699</v>
      </c>
      <c r="L5855" s="15">
        <v>1.019043002741699</v>
      </c>
      <c r="M5855" s="15" t="s">
        <v>10</v>
      </c>
      <c r="N5855" s="15" t="s">
        <v>10</v>
      </c>
      <c r="O5855" s="15" t="s">
        <v>10</v>
      </c>
      <c r="P5855" s="15" t="s">
        <v>10</v>
      </c>
      <c r="Q5855" s="8"/>
      <c r="R5855" s="9" t="s">
        <v>5385</v>
      </c>
    </row>
    <row r="5856" spans="1:18" x14ac:dyDescent="0.25">
      <c r="A5856" s="6" t="str">
        <f>HYPERLINK("proteomic_fractions_linear_files/Yang_linear_img/227500365.jpg", "227500365")</f>
        <v>227500365</v>
      </c>
      <c r="B5856" s="7"/>
      <c r="C5856" s="6" t="str">
        <f>HYPERLINK("http://www.ncbi.nlm.nih.gov/protein/227500365","Prrc2b")</f>
        <v>Prrc2b</v>
      </c>
      <c r="D5856" s="8"/>
      <c r="E5856" s="8">
        <v>242991</v>
      </c>
      <c r="F5856" s="8"/>
      <c r="G5856" s="15" t="s">
        <v>10</v>
      </c>
      <c r="H5856" s="15" t="s">
        <v>10</v>
      </c>
      <c r="I5856" s="15" t="s">
        <v>10</v>
      </c>
      <c r="J5856" s="15" t="s">
        <v>10</v>
      </c>
      <c r="K5856" s="15">
        <v>0.96033270628744472</v>
      </c>
      <c r="L5856" s="15">
        <v>0.96033270628744472</v>
      </c>
      <c r="M5856" s="15" t="s">
        <v>10</v>
      </c>
      <c r="N5856" s="15" t="s">
        <v>10</v>
      </c>
      <c r="O5856" s="15" t="s">
        <v>10</v>
      </c>
      <c r="P5856" s="15" t="s">
        <v>10</v>
      </c>
      <c r="Q5856" s="8"/>
      <c r="R5856" s="9" t="s">
        <v>5386</v>
      </c>
    </row>
    <row r="5857" spans="1:18" x14ac:dyDescent="0.25">
      <c r="A5857" s="6" t="str">
        <f>HYPERLINK("proteomic_fractions_linear_files/Yang_linear_img/34328385.jpg", "34328385")</f>
        <v>34328385</v>
      </c>
      <c r="B5857" s="7"/>
      <c r="C5857" s="6" t="str">
        <f>HYPERLINK("http://www.ncbi.nlm.nih.gov/protein/34328385","Prrc2b")</f>
        <v>Prrc2b</v>
      </c>
      <c r="D5857" s="8"/>
      <c r="E5857" s="8">
        <v>160783</v>
      </c>
      <c r="F5857" s="8"/>
      <c r="G5857" s="15" t="s">
        <v>10</v>
      </c>
      <c r="H5857" s="15" t="s">
        <v>10</v>
      </c>
      <c r="I5857" s="15" t="s">
        <v>10</v>
      </c>
      <c r="J5857" s="15" t="s">
        <v>10</v>
      </c>
      <c r="K5857" s="15">
        <v>1.4494462585580687</v>
      </c>
      <c r="L5857" s="15">
        <v>1.4494462585580687</v>
      </c>
      <c r="M5857" s="15" t="s">
        <v>10</v>
      </c>
      <c r="N5857" s="15" t="s">
        <v>10</v>
      </c>
      <c r="O5857" s="15" t="s">
        <v>10</v>
      </c>
      <c r="P5857" s="15" t="s">
        <v>10</v>
      </c>
      <c r="Q5857" s="8"/>
      <c r="R5857" s="9" t="s">
        <v>5387</v>
      </c>
    </row>
    <row r="5858" spans="1:18" x14ac:dyDescent="0.25">
      <c r="A5858" s="6" t="str">
        <f>HYPERLINK("proteomic_fractions_linear_files/Yang_linear_img/124486835.jpg", "124486835")</f>
        <v>124486835</v>
      </c>
      <c r="B5858" s="7"/>
      <c r="C5858" s="6" t="str">
        <f>HYPERLINK("http://www.ncbi.nlm.nih.gov/protein/124486835","Prrc2c")</f>
        <v>Prrc2c</v>
      </c>
      <c r="D5858" s="8"/>
      <c r="E5858" s="8">
        <v>310762</v>
      </c>
      <c r="F5858" s="8"/>
      <c r="G5858" s="15" t="s">
        <v>10</v>
      </c>
      <c r="H5858" s="15" t="s">
        <v>10</v>
      </c>
      <c r="I5858" s="15">
        <v>19.270418006430869</v>
      </c>
      <c r="J5858" s="15">
        <v>19.270418006430869</v>
      </c>
      <c r="K5858" s="15">
        <v>0.97036438789870993</v>
      </c>
      <c r="L5858" s="15">
        <v>0.97036438789870993</v>
      </c>
      <c r="M5858" s="15">
        <v>0.49341759207794805</v>
      </c>
      <c r="N5858" s="15">
        <v>0.35305969074318799</v>
      </c>
      <c r="O5858" s="15" t="s">
        <v>10</v>
      </c>
      <c r="P5858" s="15" t="s">
        <v>10</v>
      </c>
      <c r="Q5858" s="8"/>
      <c r="R5858" s="9" t="s">
        <v>5388</v>
      </c>
    </row>
    <row r="5859" spans="1:18" x14ac:dyDescent="0.25">
      <c r="A5859" s="6" t="str">
        <f>HYPERLINK("proteomic_fractions_linear_files/Yang_linear_img/16716569.jpg", "16716569")</f>
        <v>16716569</v>
      </c>
      <c r="B5859" s="7"/>
      <c r="C5859" s="6" t="str">
        <f>HYPERLINK("http://www.ncbi.nlm.nih.gov/protein/16716569","Prss1")</f>
        <v>Prss1</v>
      </c>
      <c r="D5859" s="8"/>
      <c r="E5859" s="8">
        <v>24706</v>
      </c>
      <c r="F5859" s="8"/>
      <c r="G5859" s="15">
        <v>0.47003662503294541</v>
      </c>
      <c r="H5859" s="15">
        <v>0.47003662503294541</v>
      </c>
      <c r="I5859" s="15">
        <v>9.3344339051139631</v>
      </c>
      <c r="J5859" s="15">
        <v>9.3344339051139631</v>
      </c>
      <c r="K5859" s="15">
        <v>0.87182969082715001</v>
      </c>
      <c r="L5859" s="15">
        <v>0.78004599312141099</v>
      </c>
      <c r="M5859" s="15" t="s">
        <v>10</v>
      </c>
      <c r="N5859" s="15" t="s">
        <v>10</v>
      </c>
      <c r="O5859" s="15" t="s">
        <v>10</v>
      </c>
      <c r="P5859" s="15" t="s">
        <v>10</v>
      </c>
      <c r="Q5859" s="8"/>
      <c r="R5859" s="9" t="s">
        <v>5389</v>
      </c>
    </row>
    <row r="5860" spans="1:18" x14ac:dyDescent="0.25">
      <c r="A5860" s="6" t="str">
        <f>HYPERLINK("proteomic_fractions_linear_files/Yang_linear_img/19111160.jpg", "19111160")</f>
        <v>19111160</v>
      </c>
      <c r="B5860" s="7"/>
      <c r="C5860" s="6" t="str">
        <f>HYPERLINK("http://www.ncbi.nlm.nih.gov/protein/19111160","Prss8")</f>
        <v>Prss8</v>
      </c>
      <c r="D5860" s="8"/>
      <c r="E5860" s="8">
        <v>31253</v>
      </c>
      <c r="F5860" s="8"/>
      <c r="G5860" s="15" t="s">
        <v>10</v>
      </c>
      <c r="H5860" s="15" t="s">
        <v>10</v>
      </c>
      <c r="I5860" s="15" t="s">
        <v>10</v>
      </c>
      <c r="J5860" s="15" t="s">
        <v>10</v>
      </c>
      <c r="K5860" s="15">
        <v>1.2045589168749868</v>
      </c>
      <c r="L5860" s="15">
        <v>1.2045589168749868</v>
      </c>
      <c r="M5860" s="15" t="s">
        <v>10</v>
      </c>
      <c r="N5860" s="15" t="s">
        <v>10</v>
      </c>
      <c r="O5860" s="15" t="s">
        <v>10</v>
      </c>
      <c r="P5860" s="15" t="s">
        <v>10</v>
      </c>
      <c r="Q5860" s="8"/>
      <c r="R5860" s="9" t="s">
        <v>5390</v>
      </c>
    </row>
    <row r="5861" spans="1:18" x14ac:dyDescent="0.25">
      <c r="A5861" s="6" t="str">
        <f>HYPERLINK("proteomic_fractions_linear_files/Yang_linear_img/27597069.jpg", "27597069")</f>
        <v>27597069</v>
      </c>
      <c r="B5861" s="7"/>
      <c r="C5861" s="6" t="str">
        <f>HYPERLINK("http://www.ncbi.nlm.nih.gov/protein/27597069","Prune")</f>
        <v>Prune</v>
      </c>
      <c r="D5861" s="8"/>
      <c r="E5861" s="8">
        <v>50109</v>
      </c>
      <c r="F5861" s="8"/>
      <c r="G5861" s="15" t="s">
        <v>10</v>
      </c>
      <c r="H5861" s="15" t="s">
        <v>10</v>
      </c>
      <c r="I5861" s="15">
        <v>1.1754641517118771</v>
      </c>
      <c r="J5861" s="15">
        <v>1.1754641517118771</v>
      </c>
      <c r="K5861" s="15">
        <v>1.1754641517118771</v>
      </c>
      <c r="L5861" s="15">
        <v>1.1754641517118771</v>
      </c>
      <c r="M5861" s="15">
        <v>1.1754641517118771</v>
      </c>
      <c r="N5861" s="15">
        <v>1.1754641517118771</v>
      </c>
      <c r="O5861" s="15">
        <v>1.0624113926000216</v>
      </c>
      <c r="P5861" s="15">
        <v>1.0624113926000216</v>
      </c>
      <c r="Q5861" s="8"/>
      <c r="R5861" s="9" t="s">
        <v>5391</v>
      </c>
    </row>
    <row r="5862" spans="1:18" x14ac:dyDescent="0.25">
      <c r="A5862" s="6" t="str">
        <f>HYPERLINK("proteomic_fractions_linear_files/Yang_linear_img/225735645.jpg", "225735645")</f>
        <v>225735645</v>
      </c>
      <c r="B5862" s="7"/>
      <c r="C5862" s="6" t="str">
        <f>HYPERLINK("http://www.ncbi.nlm.nih.gov/protein/225735645","Psap")</f>
        <v>Psap</v>
      </c>
      <c r="D5862" s="8"/>
      <c r="E5862" s="8">
        <v>59771</v>
      </c>
      <c r="F5862" s="8"/>
      <c r="G5862" s="15">
        <v>0.32501916380058787</v>
      </c>
      <c r="H5862" s="15">
        <v>0.32501916380058787</v>
      </c>
      <c r="I5862" s="15">
        <v>0.21245365569896044</v>
      </c>
      <c r="J5862" s="15">
        <v>0.21245365569896044</v>
      </c>
      <c r="K5862" s="15">
        <v>0.21245365569896044</v>
      </c>
      <c r="L5862" s="15">
        <v>0.21245365569896044</v>
      </c>
      <c r="M5862" s="15">
        <v>0.22161773371669222</v>
      </c>
      <c r="N5862" s="15">
        <v>0.22161773371669222</v>
      </c>
      <c r="O5862" s="15">
        <v>0.20388102153885596</v>
      </c>
      <c r="P5862" s="15">
        <v>0.20388102153885596</v>
      </c>
      <c r="Q5862" s="8"/>
      <c r="R5862" s="9" t="s">
        <v>5392</v>
      </c>
    </row>
    <row r="5863" spans="1:18" x14ac:dyDescent="0.25">
      <c r="A5863" s="6" t="str">
        <f>HYPERLINK("proteomic_fractions_linear_files/Yang_linear_img/225735649.jpg", "225735649")</f>
        <v>225735649</v>
      </c>
      <c r="B5863" s="7"/>
      <c r="C5863" s="6" t="str">
        <f>HYPERLINK("http://www.ncbi.nlm.nih.gov/protein/225735649","Psap")</f>
        <v>Psap</v>
      </c>
      <c r="D5863" s="8"/>
      <c r="E5863" s="8">
        <v>59399</v>
      </c>
      <c r="F5863" s="8"/>
      <c r="G5863" s="15">
        <v>0.33052796318703853</v>
      </c>
      <c r="H5863" s="15">
        <v>0.33052796318703853</v>
      </c>
      <c r="I5863" s="15">
        <v>0.21605456511758689</v>
      </c>
      <c r="J5863" s="15">
        <v>0.21605456511758689</v>
      </c>
      <c r="K5863" s="15">
        <v>0.21605456511758689</v>
      </c>
      <c r="L5863" s="15">
        <v>0.21605456511758689</v>
      </c>
      <c r="M5863" s="15">
        <v>0.235353398304011</v>
      </c>
      <c r="N5863" s="15">
        <v>0.235353398304011</v>
      </c>
      <c r="O5863" s="15">
        <v>0.20733663207341282</v>
      </c>
      <c r="P5863" s="15">
        <v>0.20733663207341282</v>
      </c>
      <c r="Q5863" s="8"/>
      <c r="R5863" s="9" t="s">
        <v>5393</v>
      </c>
    </row>
    <row r="5864" spans="1:18" x14ac:dyDescent="0.25">
      <c r="A5864" s="6" t="str">
        <f>HYPERLINK("proteomic_fractions_linear_files/Yang_linear_img/225735651.jpg", "225735651")</f>
        <v>225735651</v>
      </c>
      <c r="B5864" s="7"/>
      <c r="C5864" s="6" t="str">
        <f>HYPERLINK("http://www.ncbi.nlm.nih.gov/protein/225735651","Psap")</f>
        <v>Psap</v>
      </c>
      <c r="D5864" s="8"/>
      <c r="E5864" s="8">
        <v>59642</v>
      </c>
      <c r="F5864" s="8"/>
      <c r="G5864" s="15">
        <v>0.32501916380058787</v>
      </c>
      <c r="H5864" s="15">
        <v>0.32501916380058787</v>
      </c>
      <c r="I5864" s="15">
        <v>0.21245365569896044</v>
      </c>
      <c r="J5864" s="15">
        <v>0.21245365569896044</v>
      </c>
      <c r="K5864" s="15">
        <v>0.21245365569896044</v>
      </c>
      <c r="L5864" s="15">
        <v>0.21245365569896044</v>
      </c>
      <c r="M5864" s="15">
        <v>0.23143084166561084</v>
      </c>
      <c r="N5864" s="15">
        <v>0.23143084166561084</v>
      </c>
      <c r="O5864" s="15">
        <v>0.20388102153885596</v>
      </c>
      <c r="P5864" s="15">
        <v>0.20388102153885596</v>
      </c>
      <c r="Q5864" s="8"/>
      <c r="R5864" s="9" t="s">
        <v>5394</v>
      </c>
    </row>
    <row r="5865" spans="1:18" x14ac:dyDescent="0.25">
      <c r="A5865" s="6" t="str">
        <f>HYPERLINK("proteomic_fractions_linear_files/Yang_linear_img/225735653.jpg", "225735653")</f>
        <v>225735653</v>
      </c>
      <c r="B5865" s="7"/>
      <c r="C5865" s="6" t="str">
        <f>HYPERLINK("http://www.ncbi.nlm.nih.gov/protein/225735653","Psap")</f>
        <v>Psap</v>
      </c>
      <c r="D5865" s="8"/>
      <c r="E5865" s="8">
        <v>59271</v>
      </c>
      <c r="F5865" s="8"/>
      <c r="G5865" s="15">
        <v>0.33052796318703853</v>
      </c>
      <c r="H5865" s="15">
        <v>0.33052796318703853</v>
      </c>
      <c r="I5865" s="15">
        <v>0.21605456511758689</v>
      </c>
      <c r="J5865" s="15">
        <v>0.21605456511758689</v>
      </c>
      <c r="K5865" s="15">
        <v>0.21605456511758689</v>
      </c>
      <c r="L5865" s="15">
        <v>0.21605456511758689</v>
      </c>
      <c r="M5865" s="15">
        <v>0.235353398304011</v>
      </c>
      <c r="N5865" s="15">
        <v>0.235353398304011</v>
      </c>
      <c r="O5865" s="15">
        <v>0.20733663207341282</v>
      </c>
      <c r="P5865" s="15">
        <v>0.20733663207341282</v>
      </c>
      <c r="Q5865" s="8"/>
      <c r="R5865" s="9" t="s">
        <v>5395</v>
      </c>
    </row>
    <row r="5866" spans="1:18" x14ac:dyDescent="0.25">
      <c r="A5866" s="6" t="str">
        <f>HYPERLINK("proteomic_fractions_linear_files/Yang_linear_img/225735655.jpg", "225735655")</f>
        <v>225735655</v>
      </c>
      <c r="B5866" s="7"/>
      <c r="C5866" s="6" t="str">
        <f>HYPERLINK("http://www.ncbi.nlm.nih.gov/protein/225735655","Psap")</f>
        <v>Psap</v>
      </c>
      <c r="D5866" s="8"/>
      <c r="E5866" s="8">
        <v>58326</v>
      </c>
      <c r="F5866" s="8"/>
      <c r="G5866" s="15">
        <v>0.33622672117302199</v>
      </c>
      <c r="H5866" s="15">
        <v>0.33622672117302199</v>
      </c>
      <c r="I5866" s="15">
        <v>0.2197796438265108</v>
      </c>
      <c r="J5866" s="15">
        <v>0.2197796438265108</v>
      </c>
      <c r="K5866" s="15">
        <v>0.2197796438265108</v>
      </c>
      <c r="L5866" s="15">
        <v>0.2197796438265108</v>
      </c>
      <c r="M5866" s="15">
        <v>0.23941121551614913</v>
      </c>
      <c r="N5866" s="15">
        <v>0.23941121551614913</v>
      </c>
      <c r="O5866" s="15">
        <v>0.21091140159191996</v>
      </c>
      <c r="P5866" s="15">
        <v>0.21091140159191996</v>
      </c>
      <c r="Q5866" s="8"/>
      <c r="R5866" s="9" t="s">
        <v>5396</v>
      </c>
    </row>
    <row r="5867" spans="1:18" x14ac:dyDescent="0.25">
      <c r="A5867" s="6" t="str">
        <f>HYPERLINK("proteomic_fractions_linear_files/Yang_linear_img/225735657.jpg", "225735657")</f>
        <v>225735657</v>
      </c>
      <c r="B5867" s="7"/>
      <c r="C5867" s="6" t="str">
        <f>HYPERLINK("http://www.ncbi.nlm.nih.gov/protein/225735657","Psap")</f>
        <v>Psap</v>
      </c>
      <c r="D5867" s="8"/>
      <c r="E5867" s="8">
        <v>60542</v>
      </c>
      <c r="F5867" s="8"/>
      <c r="G5867" s="15">
        <v>0.3196909807874635</v>
      </c>
      <c r="H5867" s="15">
        <v>0.3196909807874635</v>
      </c>
      <c r="I5867" s="15">
        <v>0.20897080888422337</v>
      </c>
      <c r="J5867" s="15">
        <v>0.20897080888422337</v>
      </c>
      <c r="K5867" s="15">
        <v>0.20897080888422337</v>
      </c>
      <c r="L5867" s="15">
        <v>0.20897080888422337</v>
      </c>
      <c r="M5867" s="15">
        <v>0.22763689344158441</v>
      </c>
      <c r="N5867" s="15">
        <v>0.22763689344158441</v>
      </c>
      <c r="O5867" s="15">
        <v>0.20053870971035012</v>
      </c>
      <c r="P5867" s="15">
        <v>0.20053870971035012</v>
      </c>
      <c r="Q5867" s="8"/>
      <c r="R5867" s="9" t="s">
        <v>5397</v>
      </c>
    </row>
    <row r="5868" spans="1:18" x14ac:dyDescent="0.25">
      <c r="A5868" s="6" t="str">
        <f>HYPERLINK("proteomic_fractions_linear_files/Yang_linear_img/329299029.jpg", "329299029")</f>
        <v>329299029</v>
      </c>
      <c r="B5868" s="7"/>
      <c r="C5868" s="6" t="str">
        <f>HYPERLINK("http://www.ncbi.nlm.nih.gov/protein/329299029","Psat1")</f>
        <v>Psat1</v>
      </c>
      <c r="D5868" s="8"/>
      <c r="E5868" s="8">
        <v>40045</v>
      </c>
      <c r="F5868" s="8"/>
      <c r="G5868" s="15">
        <v>1.2072493896103813</v>
      </c>
      <c r="H5868" s="15">
        <v>1.2072493896103813</v>
      </c>
      <c r="I5868" s="15">
        <v>0.8638344132618796</v>
      </c>
      <c r="J5868" s="15">
        <v>0.8638344132618796</v>
      </c>
      <c r="K5868" s="15">
        <v>0.93353316057811475</v>
      </c>
      <c r="L5868" s="15">
        <v>0.93353316057811475</v>
      </c>
      <c r="M5868" s="15">
        <v>0.93353316057811475</v>
      </c>
      <c r="N5868" s="15">
        <v>0.93353316057811475</v>
      </c>
      <c r="O5868" s="15">
        <v>0.80210182139333974</v>
      </c>
      <c r="P5868" s="15">
        <v>0.80210182139333974</v>
      </c>
      <c r="Q5868" s="8"/>
      <c r="R5868" s="9" t="s">
        <v>5398</v>
      </c>
    </row>
    <row r="5869" spans="1:18" x14ac:dyDescent="0.25">
      <c r="A5869" s="6" t="str">
        <f>HYPERLINK("proteomic_fractions_linear_files/Yang_linear_img/54292132.jpg", "54292132")</f>
        <v>54292132</v>
      </c>
      <c r="B5869" s="7"/>
      <c r="C5869" s="6" t="str">
        <f>HYPERLINK("http://www.ncbi.nlm.nih.gov/protein/54292132","Psat1")</f>
        <v>Psat1</v>
      </c>
      <c r="D5869" s="8"/>
      <c r="E5869" s="8">
        <v>40342</v>
      </c>
      <c r="F5869" s="8"/>
      <c r="G5869" s="15">
        <v>1.2072493896103813</v>
      </c>
      <c r="H5869" s="15">
        <v>1.2072493896103813</v>
      </c>
      <c r="I5869" s="15">
        <v>0.8638344132618796</v>
      </c>
      <c r="J5869" s="15">
        <v>0.8638344132618796</v>
      </c>
      <c r="K5869" s="15">
        <v>0.93353316057811475</v>
      </c>
      <c r="L5869" s="15">
        <v>0.93353316057811475</v>
      </c>
      <c r="M5869" s="15">
        <v>0.93353316057811475</v>
      </c>
      <c r="N5869" s="15">
        <v>0.93353316057811475</v>
      </c>
      <c r="O5869" s="15">
        <v>0.80210182139333974</v>
      </c>
      <c r="P5869" s="15">
        <v>0.80210182139333974</v>
      </c>
      <c r="Q5869" s="8"/>
      <c r="R5869" s="9" t="s">
        <v>5399</v>
      </c>
    </row>
    <row r="5870" spans="1:18" x14ac:dyDescent="0.25">
      <c r="A5870" s="6" t="str">
        <f>HYPERLINK("proteomic_fractions_linear_files/Yang_linear_img/6679493.jpg", "6679493")</f>
        <v>6679493</v>
      </c>
      <c r="B5870" s="7"/>
      <c r="C5870" s="6" t="str">
        <f>HYPERLINK("http://www.ncbi.nlm.nih.gov/protein/6679493","Psen1")</f>
        <v>Psen1</v>
      </c>
      <c r="D5870" s="8"/>
      <c r="E5870" s="8">
        <v>52509</v>
      </c>
      <c r="F5870" s="8"/>
      <c r="G5870" s="15" t="s">
        <v>10</v>
      </c>
      <c r="H5870" s="15" t="s">
        <v>10</v>
      </c>
      <c r="I5870" s="15" t="s">
        <v>10</v>
      </c>
      <c r="J5870" s="15" t="s">
        <v>10</v>
      </c>
      <c r="K5870" s="15">
        <v>0.49340109651745284</v>
      </c>
      <c r="L5870" s="15">
        <v>0.49340109651745284</v>
      </c>
      <c r="M5870" s="15">
        <v>0.3489679087653601</v>
      </c>
      <c r="N5870" s="15">
        <v>0.3489679087653601</v>
      </c>
      <c r="O5870" s="15" t="s">
        <v>10</v>
      </c>
      <c r="P5870" s="15" t="s">
        <v>10</v>
      </c>
      <c r="Q5870" s="8"/>
      <c r="R5870" s="9" t="s">
        <v>5400</v>
      </c>
    </row>
    <row r="5871" spans="1:18" x14ac:dyDescent="0.25">
      <c r="A5871" s="6" t="str">
        <f>HYPERLINK("proteomic_fractions_linear_files/Yang_linear_img/190684663;190684661.jpg", "190684663;190684661")</f>
        <v>190684663;190684661</v>
      </c>
      <c r="B5871" s="8"/>
      <c r="C5871" s="6" t="str">
        <f>HYPERLINK("http://www.ncbi.nlm.nih.gov/protein/190684663;190684661","Psen2")</f>
        <v>Psen2</v>
      </c>
      <c r="D5871" s="8"/>
      <c r="E5871" s="8">
        <v>49833</v>
      </c>
      <c r="F5871" s="8"/>
      <c r="G5871" s="15" t="s">
        <v>10</v>
      </c>
      <c r="H5871" s="15" t="s">
        <v>10</v>
      </c>
      <c r="I5871" s="15" t="s">
        <v>10</v>
      </c>
      <c r="J5871" s="15" t="s">
        <v>10</v>
      </c>
      <c r="K5871" s="15">
        <v>0.52300516230850003</v>
      </c>
      <c r="L5871" s="15">
        <v>0.52300516230850003</v>
      </c>
      <c r="M5871" s="15" t="s">
        <v>10</v>
      </c>
      <c r="N5871" s="15" t="s">
        <v>10</v>
      </c>
      <c r="O5871" s="15" t="s">
        <v>10</v>
      </c>
      <c r="P5871" s="15" t="s">
        <v>10</v>
      </c>
      <c r="Q5871" s="8"/>
      <c r="R5871" s="9" t="s">
        <v>5401</v>
      </c>
    </row>
    <row r="5872" spans="1:18" x14ac:dyDescent="0.25">
      <c r="A5872" s="6" t="str">
        <f>HYPERLINK("proteomic_fractions_linear_files/Yang_linear_img/13384922.jpg", "13384922")</f>
        <v>13384922</v>
      </c>
      <c r="B5872" s="7"/>
      <c r="C5872" s="6" t="str">
        <f>HYPERLINK("http://www.ncbi.nlm.nih.gov/protein/13384922","Psenen")</f>
        <v>Psenen</v>
      </c>
      <c r="D5872" s="8"/>
      <c r="E5872" s="8">
        <v>11868</v>
      </c>
      <c r="F5872" s="8"/>
      <c r="G5872" s="15" t="s">
        <v>10</v>
      </c>
      <c r="H5872" s="15" t="s">
        <v>10</v>
      </c>
      <c r="I5872" s="15">
        <v>1.1571542083280542</v>
      </c>
      <c r="J5872" s="15">
        <v>1.1571542083280542</v>
      </c>
      <c r="K5872" s="15">
        <v>1.209789476822529</v>
      </c>
      <c r="L5872" s="15">
        <v>1.209789476822529</v>
      </c>
      <c r="M5872" s="15" t="s">
        <v>10</v>
      </c>
      <c r="N5872" s="15" t="s">
        <v>10</v>
      </c>
      <c r="O5872" s="15" t="s">
        <v>10</v>
      </c>
      <c r="P5872" s="15" t="s">
        <v>10</v>
      </c>
      <c r="Q5872" s="8"/>
      <c r="R5872" s="9" t="s">
        <v>5402</v>
      </c>
    </row>
    <row r="5873" spans="1:18" x14ac:dyDescent="0.25">
      <c r="A5873" s="6" t="str">
        <f>HYPERLINK("proteomic_fractions_linear_files/Yang_linear_img/19527168.jpg", "19527168")</f>
        <v>19527168</v>
      </c>
      <c r="B5873" s="7"/>
      <c r="C5873" s="6" t="str">
        <f>HYPERLINK("http://www.ncbi.nlm.nih.gov/protein/19527168","Psip1")</f>
        <v>Psip1</v>
      </c>
      <c r="D5873" s="8"/>
      <c r="E5873" s="8">
        <v>59566</v>
      </c>
      <c r="F5873" s="8"/>
      <c r="G5873" s="15">
        <v>1.5827996863764084</v>
      </c>
      <c r="H5873" s="15">
        <v>1.5827996863764084</v>
      </c>
      <c r="I5873" s="15">
        <v>2.5575478522706971</v>
      </c>
      <c r="J5873" s="15">
        <v>2.5575478522706971</v>
      </c>
      <c r="K5873" s="15">
        <v>3.1127638606656727</v>
      </c>
      <c r="L5873" s="15">
        <v>3.1127638606656727</v>
      </c>
      <c r="M5873" s="15">
        <v>3.1127638606656727</v>
      </c>
      <c r="N5873" s="15">
        <v>3.1127638606656727</v>
      </c>
      <c r="O5873" s="15">
        <v>2.5575478522706971</v>
      </c>
      <c r="P5873" s="15">
        <v>2.5575478522706971</v>
      </c>
      <c r="Q5873" s="8"/>
      <c r="R5873" s="9" t="s">
        <v>5403</v>
      </c>
    </row>
    <row r="5874" spans="1:18" x14ac:dyDescent="0.25">
      <c r="A5874" s="6" t="str">
        <f>HYPERLINK("proteomic_fractions_linear_files/Yang_linear_img/33563282.jpg", "33563282")</f>
        <v>33563282</v>
      </c>
      <c r="B5874" s="7"/>
      <c r="C5874" s="6" t="str">
        <f>HYPERLINK("http://www.ncbi.nlm.nih.gov/protein/33563282","Psma1")</f>
        <v>Psma1</v>
      </c>
      <c r="D5874" s="8"/>
      <c r="E5874" s="8">
        <v>29416</v>
      </c>
      <c r="F5874" s="8"/>
      <c r="G5874" s="15">
        <v>0.90173303846293107</v>
      </c>
      <c r="H5874" s="15">
        <v>0.90173303846293107</v>
      </c>
      <c r="I5874" s="15">
        <v>0.96269694129938133</v>
      </c>
      <c r="J5874" s="15">
        <v>0.96269694129938133</v>
      </c>
      <c r="K5874" s="15">
        <v>0.96269694129938133</v>
      </c>
      <c r="L5874" s="15">
        <v>0.96269694129938133</v>
      </c>
      <c r="M5874" s="15">
        <v>0.96269694129938133</v>
      </c>
      <c r="N5874" s="15">
        <v>0.96269694129938133</v>
      </c>
      <c r="O5874" s="15">
        <v>0.84671795218196266</v>
      </c>
      <c r="P5874" s="15">
        <v>0.84671795218196266</v>
      </c>
      <c r="Q5874" s="8"/>
      <c r="R5874" s="9" t="s">
        <v>5404</v>
      </c>
    </row>
    <row r="5875" spans="1:18" x14ac:dyDescent="0.25">
      <c r="A5875" s="6" t="str">
        <f>HYPERLINK("proteomic_fractions_linear_files/Yang_linear_img/134031994.jpg", "134031994")</f>
        <v>134031994</v>
      </c>
      <c r="B5875" s="7"/>
      <c r="C5875" s="6" t="str">
        <f>HYPERLINK("http://www.ncbi.nlm.nih.gov/protein/134031994","Psma2")</f>
        <v>Psma2</v>
      </c>
      <c r="D5875" s="8"/>
      <c r="E5875" s="8">
        <v>25796</v>
      </c>
      <c r="F5875" s="8"/>
      <c r="G5875" s="15">
        <v>1.2340028021435996</v>
      </c>
      <c r="H5875" s="15">
        <v>1.2340028021435996</v>
      </c>
      <c r="I5875" s="15">
        <v>0.8888297451814402</v>
      </c>
      <c r="J5875" s="15">
        <v>0.8888297451814402</v>
      </c>
      <c r="K5875" s="15">
        <v>0.8888297451814402</v>
      </c>
      <c r="L5875" s="15">
        <v>0.8888297451814402</v>
      </c>
      <c r="M5875" s="15">
        <v>0.83829777964149044</v>
      </c>
      <c r="N5875" s="15">
        <v>0.83829777964149044</v>
      </c>
      <c r="O5875" s="15">
        <v>0.79220927640985661</v>
      </c>
      <c r="P5875" s="15">
        <v>0.79220927640985661</v>
      </c>
      <c r="Q5875" s="8"/>
      <c r="R5875" s="9" t="s">
        <v>5405</v>
      </c>
    </row>
    <row r="5876" spans="1:18" x14ac:dyDescent="0.25">
      <c r="A5876" s="6" t="str">
        <f>HYPERLINK("proteomic_fractions_linear_files/Yang_linear_img/261824000.jpg", "261824000")</f>
        <v>261824000</v>
      </c>
      <c r="B5876" s="7"/>
      <c r="C5876" s="6" t="str">
        <f>HYPERLINK("http://www.ncbi.nlm.nih.gov/protein/261824000","Psma3")</f>
        <v>Psma3</v>
      </c>
      <c r="D5876" s="8"/>
      <c r="E5876" s="8">
        <v>28274</v>
      </c>
      <c r="F5876" s="8"/>
      <c r="G5876" s="15">
        <v>1.3336188008258782</v>
      </c>
      <c r="H5876" s="15">
        <v>1.3336188008258782</v>
      </c>
      <c r="I5876" s="15">
        <v>0.93393778983660714</v>
      </c>
      <c r="J5876" s="15">
        <v>0.93393778983660714</v>
      </c>
      <c r="K5876" s="15">
        <v>0.93393778983660714</v>
      </c>
      <c r="L5876" s="15">
        <v>0.93393778983660714</v>
      </c>
      <c r="M5876" s="15">
        <v>0.93393778983660714</v>
      </c>
      <c r="N5876" s="15">
        <v>0.93393778983660714</v>
      </c>
      <c r="O5876" s="15">
        <v>0.82534190623990877</v>
      </c>
      <c r="P5876" s="15">
        <v>0.82534190623990877</v>
      </c>
      <c r="Q5876" s="8"/>
      <c r="R5876" s="9" t="s">
        <v>5406</v>
      </c>
    </row>
    <row r="5877" spans="1:18" x14ac:dyDescent="0.25">
      <c r="A5877" s="6" t="str">
        <f>HYPERLINK("proteomic_fractions_linear_files/Yang_linear_img/6755196.jpg", "6755196")</f>
        <v>6755196</v>
      </c>
      <c r="B5877" s="7"/>
      <c r="C5877" s="6" t="str">
        <f>HYPERLINK("http://www.ncbi.nlm.nih.gov/protein/6755196","Psma4")</f>
        <v>Psma4</v>
      </c>
      <c r="D5877" s="8"/>
      <c r="E5877" s="8">
        <v>29340</v>
      </c>
      <c r="F5877" s="8"/>
      <c r="G5877" s="15">
        <v>0.84671795218196266</v>
      </c>
      <c r="H5877" s="15">
        <v>0.84671795218196266</v>
      </c>
      <c r="I5877" s="15">
        <v>0.90173303846293107</v>
      </c>
      <c r="J5877" s="15">
        <v>0.90173303846293107</v>
      </c>
      <c r="K5877" s="15">
        <v>0.90173303846293107</v>
      </c>
      <c r="L5877" s="15">
        <v>0.90173303846293107</v>
      </c>
      <c r="M5877" s="15">
        <v>0.90173303846293107</v>
      </c>
      <c r="N5877" s="15">
        <v>0.90173303846293107</v>
      </c>
      <c r="O5877" s="15">
        <v>0.79688184050749811</v>
      </c>
      <c r="P5877" s="15">
        <v>0.79688184050749811</v>
      </c>
      <c r="Q5877" s="8"/>
      <c r="R5877" s="9" t="s">
        <v>5407</v>
      </c>
    </row>
    <row r="5878" spans="1:18" x14ac:dyDescent="0.25">
      <c r="A5878" s="6" t="str">
        <f>HYPERLINK("proteomic_fractions_linear_files/Yang_linear_img/7106387.jpg", "7106387")</f>
        <v>7106387</v>
      </c>
      <c r="B5878" s="7"/>
      <c r="C5878" s="6" t="str">
        <f>HYPERLINK("http://www.ncbi.nlm.nih.gov/protein/7106387","Psma5")</f>
        <v>Psma5</v>
      </c>
      <c r="D5878" s="8"/>
      <c r="E5878" s="8">
        <v>26280</v>
      </c>
      <c r="F5878" s="8"/>
      <c r="G5878" s="15">
        <v>1.3289760204028918</v>
      </c>
      <c r="H5878" s="15">
        <v>1.3289760204028918</v>
      </c>
      <c r="I5878" s="15">
        <v>0.94441617743372752</v>
      </c>
      <c r="J5878" s="15">
        <v>0.94441617743372752</v>
      </c>
      <c r="K5878" s="15">
        <v>0.94441617743372752</v>
      </c>
      <c r="L5878" s="15">
        <v>0.94441617743372752</v>
      </c>
      <c r="M5878" s="15">
        <v>0.94441617743372752</v>
      </c>
      <c r="N5878" s="15">
        <v>0.94441617743372752</v>
      </c>
      <c r="O5878" s="15">
        <v>0.83829777964149044</v>
      </c>
      <c r="P5878" s="15">
        <v>0.83829777964149044</v>
      </c>
      <c r="Q5878" s="8"/>
      <c r="R5878" s="9" t="s">
        <v>5408</v>
      </c>
    </row>
    <row r="5879" spans="1:18" x14ac:dyDescent="0.25">
      <c r="A5879" s="6" t="str">
        <f>HYPERLINK("proteomic_fractions_linear_files/Yang_linear_img/6755198.jpg", "6755198")</f>
        <v>6755198</v>
      </c>
      <c r="B5879" s="7"/>
      <c r="C5879" s="6" t="str">
        <f>HYPERLINK("http://www.ncbi.nlm.nih.gov/protein/6755198","Psma6")</f>
        <v>Psma6</v>
      </c>
      <c r="D5879" s="8"/>
      <c r="E5879" s="8">
        <v>27241</v>
      </c>
      <c r="F5879" s="8"/>
      <c r="G5879" s="15">
        <v>1.2797546863138958</v>
      </c>
      <c r="H5879" s="15">
        <v>1.2797546863138958</v>
      </c>
      <c r="I5879" s="15">
        <v>0.90943780049173761</v>
      </c>
      <c r="J5879" s="15">
        <v>0.90943780049173761</v>
      </c>
      <c r="K5879" s="15">
        <v>0.90943780049173761</v>
      </c>
      <c r="L5879" s="15">
        <v>0.90943780049173761</v>
      </c>
      <c r="M5879" s="15">
        <v>0.90943780049173761</v>
      </c>
      <c r="N5879" s="15">
        <v>0.90943780049173761</v>
      </c>
      <c r="O5879" s="15">
        <v>0.80724971372884269</v>
      </c>
      <c r="P5879" s="15">
        <v>0.80724971372884269</v>
      </c>
      <c r="Q5879" s="8"/>
      <c r="R5879" s="9" t="s">
        <v>5409</v>
      </c>
    </row>
    <row r="5880" spans="1:18" x14ac:dyDescent="0.25">
      <c r="A5880" s="6" t="str">
        <f>HYPERLINK("proteomic_fractions_linear_files/Yang_linear_img/7106389.jpg", "7106389")</f>
        <v>7106389</v>
      </c>
      <c r="B5880" s="7"/>
      <c r="C5880" s="6" t="str">
        <f>HYPERLINK("http://www.ncbi.nlm.nih.gov/protein/7106389","Psma7")</f>
        <v>Psma7</v>
      </c>
      <c r="D5880" s="8"/>
      <c r="E5880" s="8">
        <v>27724</v>
      </c>
      <c r="F5880" s="8"/>
      <c r="G5880" s="15">
        <v>0.82534190623990877</v>
      </c>
      <c r="H5880" s="15">
        <v>0.82534190623990877</v>
      </c>
      <c r="I5880" s="15">
        <v>0.87695787904560418</v>
      </c>
      <c r="J5880" s="15">
        <v>0.87695787904560418</v>
      </c>
      <c r="K5880" s="15">
        <v>0.93393778983660714</v>
      </c>
      <c r="L5880" s="15">
        <v>0.93393778983660714</v>
      </c>
      <c r="M5880" s="15">
        <v>0.87695787904560418</v>
      </c>
      <c r="N5880" s="15">
        <v>0.87695787904560418</v>
      </c>
      <c r="O5880" s="15">
        <v>0.77841936680995538</v>
      </c>
      <c r="P5880" s="15">
        <v>0.77841936680995538</v>
      </c>
      <c r="Q5880" s="8"/>
      <c r="R5880" s="9" t="s">
        <v>5410</v>
      </c>
    </row>
    <row r="5881" spans="1:18" x14ac:dyDescent="0.25">
      <c r="A5881" s="6" t="str">
        <f>HYPERLINK("proteomic_fractions_linear_files/Yang_linear_img/254692831.jpg", "254692831")</f>
        <v>254692831</v>
      </c>
      <c r="B5881" s="7"/>
      <c r="C5881" s="6" t="str">
        <f>HYPERLINK("http://www.ncbi.nlm.nih.gov/protein/254692831","Psma8")</f>
        <v>Psma8</v>
      </c>
      <c r="D5881" s="8"/>
      <c r="E5881" s="8">
        <v>27735</v>
      </c>
      <c r="F5881" s="8"/>
      <c r="G5881" s="15">
        <v>0.82534190623990877</v>
      </c>
      <c r="H5881" s="15">
        <v>0.82534190623990877</v>
      </c>
      <c r="I5881" s="15">
        <v>0.87695787904560418</v>
      </c>
      <c r="J5881" s="15">
        <v>0.87695787904560418</v>
      </c>
      <c r="K5881" s="15">
        <v>0.93393778983660714</v>
      </c>
      <c r="L5881" s="15">
        <v>0.93393778983660714</v>
      </c>
      <c r="M5881" s="15">
        <v>0.93393778983660714</v>
      </c>
      <c r="N5881" s="15">
        <v>0.93393778983660714</v>
      </c>
      <c r="O5881" s="15">
        <v>0.77841936680995538</v>
      </c>
      <c r="P5881" s="15">
        <v>0.77841936680995538</v>
      </c>
      <c r="Q5881" s="8"/>
      <c r="R5881" s="9" t="s">
        <v>5411</v>
      </c>
    </row>
    <row r="5882" spans="1:18" x14ac:dyDescent="0.25">
      <c r="A5882" s="6" t="str">
        <f>HYPERLINK("proteomic_fractions_linear_files/Yang_linear_img/7242197.jpg", "7242197")</f>
        <v>7242197</v>
      </c>
      <c r="B5882" s="7"/>
      <c r="C5882" s="6" t="str">
        <f>HYPERLINK("http://www.ncbi.nlm.nih.gov/protein/7242197","Psmb1")</f>
        <v>Psmb1</v>
      </c>
      <c r="D5882" s="8"/>
      <c r="E5882" s="8">
        <v>26241</v>
      </c>
      <c r="F5882" s="8"/>
      <c r="G5882" s="15">
        <v>1.2340028021435996</v>
      </c>
      <c r="H5882" s="15">
        <v>1.2340028021435996</v>
      </c>
      <c r="I5882" s="15">
        <v>0.83829777964149044</v>
      </c>
      <c r="J5882" s="15">
        <v>0.83829777964149044</v>
      </c>
      <c r="K5882" s="15">
        <v>0.8888297451814402</v>
      </c>
      <c r="L5882" s="15">
        <v>0.8888297451814402</v>
      </c>
      <c r="M5882" s="15">
        <v>0.8888297451814402</v>
      </c>
      <c r="N5882" s="15">
        <v>0.8888297451814402</v>
      </c>
      <c r="O5882" s="15">
        <v>0.83829777964149044</v>
      </c>
      <c r="P5882" s="15">
        <v>0.83829777964149044</v>
      </c>
      <c r="Q5882" s="8"/>
      <c r="R5882" s="9" t="s">
        <v>5412</v>
      </c>
    </row>
    <row r="5883" spans="1:18" x14ac:dyDescent="0.25">
      <c r="A5883" s="6" t="str">
        <f>HYPERLINK("proteomic_fractions_linear_files/Yang_linear_img/227116345.jpg", "227116345")</f>
        <v>227116345</v>
      </c>
      <c r="B5883" s="7"/>
      <c r="C5883" s="6" t="str">
        <f>HYPERLINK("http://www.ncbi.nlm.nih.gov/protein/227116345","Psmb2")</f>
        <v>Psmb2</v>
      </c>
      <c r="D5883" s="8"/>
      <c r="E5883" s="8">
        <v>22775</v>
      </c>
      <c r="F5883" s="8"/>
      <c r="G5883" s="15">
        <v>1.3949596893797211</v>
      </c>
      <c r="H5883" s="15">
        <v>1.3949596893797211</v>
      </c>
      <c r="I5883" s="15">
        <v>0.94764096829038047</v>
      </c>
      <c r="J5883" s="15">
        <v>0.94764096829038047</v>
      </c>
      <c r="K5883" s="15">
        <v>0.94764096829038047</v>
      </c>
      <c r="L5883" s="15">
        <v>0.94764096829038047</v>
      </c>
      <c r="M5883" s="15">
        <v>0.89554092115896833</v>
      </c>
      <c r="N5883" s="15">
        <v>0.89554092115896833</v>
      </c>
      <c r="O5883" s="15">
        <v>0.94764096829038047</v>
      </c>
      <c r="P5883" s="15">
        <v>0.89554092115896833</v>
      </c>
      <c r="Q5883" s="8"/>
      <c r="R5883" s="9" t="s">
        <v>5413</v>
      </c>
    </row>
    <row r="5884" spans="1:18" x14ac:dyDescent="0.25">
      <c r="A5884" s="6" t="str">
        <f>HYPERLINK("proteomic_fractions_linear_files/Yang_linear_img/6755202.jpg", "6755202")</f>
        <v>6755202</v>
      </c>
      <c r="B5884" s="7"/>
      <c r="C5884" s="6" t="str">
        <f>HYPERLINK("http://www.ncbi.nlm.nih.gov/protein/6755202","Psmb3")</f>
        <v>Psmb3</v>
      </c>
      <c r="D5884" s="8"/>
      <c r="E5884" s="8">
        <v>22834</v>
      </c>
      <c r="F5884" s="8"/>
      <c r="G5884" s="15">
        <v>1.3949596893797211</v>
      </c>
      <c r="H5884" s="15">
        <v>1.3949596893797211</v>
      </c>
      <c r="I5884" s="15">
        <v>1.0047640597703238</v>
      </c>
      <c r="J5884" s="15">
        <v>1.0047640597703238</v>
      </c>
      <c r="K5884" s="15">
        <v>1.0047640597703238</v>
      </c>
      <c r="L5884" s="15">
        <v>1.0047640597703238</v>
      </c>
      <c r="M5884" s="15">
        <v>1.0047640597703238</v>
      </c>
      <c r="N5884" s="15">
        <v>1.0047640597703238</v>
      </c>
      <c r="O5884" s="15">
        <v>0.89554092115896833</v>
      </c>
      <c r="P5884" s="15">
        <v>0.89554092115896833</v>
      </c>
      <c r="Q5884" s="8"/>
      <c r="R5884" s="9" t="s">
        <v>5414</v>
      </c>
    </row>
    <row r="5885" spans="1:18" x14ac:dyDescent="0.25">
      <c r="A5885" s="6" t="str">
        <f>HYPERLINK("proteomic_fractions_linear_files/Yang_linear_img/254540082.jpg", "254540082")</f>
        <v>254540082</v>
      </c>
      <c r="B5885" s="7"/>
      <c r="C5885" s="6" t="str">
        <f>HYPERLINK("http://www.ncbi.nlm.nih.gov/protein/254540082","Psmb4")</f>
        <v>Psmb4</v>
      </c>
      <c r="D5885" s="8"/>
      <c r="E5885" s="8">
        <v>28985</v>
      </c>
      <c r="F5885" s="8"/>
      <c r="G5885" s="15" t="s">
        <v>10</v>
      </c>
      <c r="H5885" s="15" t="s">
        <v>10</v>
      </c>
      <c r="I5885" s="15">
        <v>0.75157731967857766</v>
      </c>
      <c r="J5885" s="15">
        <v>0.75157731967857766</v>
      </c>
      <c r="K5885" s="15">
        <v>0.75157731967857766</v>
      </c>
      <c r="L5885" s="15">
        <v>0.75157731967857766</v>
      </c>
      <c r="M5885" s="15">
        <v>0.79688184050749811</v>
      </c>
      <c r="N5885" s="15">
        <v>0.79688184050749811</v>
      </c>
      <c r="O5885" s="15">
        <v>0.75157731967857766</v>
      </c>
      <c r="P5885" s="15">
        <v>0.75157731967857766</v>
      </c>
      <c r="Q5885" s="8"/>
      <c r="R5885" s="9" t="s">
        <v>5415</v>
      </c>
    </row>
    <row r="5886" spans="1:18" x14ac:dyDescent="0.25">
      <c r="A5886" s="6" t="str">
        <f>HYPERLINK("proteomic_fractions_linear_files/Yang_linear_img/6755204.jpg", "6755204")</f>
        <v>6755204</v>
      </c>
      <c r="B5886" s="7"/>
      <c r="C5886" s="6" t="str">
        <f>HYPERLINK("http://www.ncbi.nlm.nih.gov/protein/6755204","Psmb5")</f>
        <v>Psmb5</v>
      </c>
      <c r="D5886" s="8"/>
      <c r="E5886" s="8">
        <v>28401</v>
      </c>
      <c r="F5886" s="8"/>
      <c r="G5886" s="15">
        <v>1.0673359604183261</v>
      </c>
      <c r="H5886" s="15">
        <v>1.0673359604183261</v>
      </c>
      <c r="I5886" s="15">
        <v>0.77841936680995538</v>
      </c>
      <c r="J5886" s="15">
        <v>0.77841936680995538</v>
      </c>
      <c r="K5886" s="15">
        <v>0.73562289952343829</v>
      </c>
      <c r="L5886" s="15">
        <v>0.73562289952343829</v>
      </c>
      <c r="M5886" s="15">
        <v>0.73562289952343829</v>
      </c>
      <c r="N5886" s="15">
        <v>0.73562289952343829</v>
      </c>
      <c r="O5886" s="15">
        <v>0.73562289952343829</v>
      </c>
      <c r="P5886" s="15">
        <v>0.73562289952343829</v>
      </c>
      <c r="Q5886" s="8"/>
      <c r="R5886" s="9" t="s">
        <v>5416</v>
      </c>
    </row>
    <row r="5887" spans="1:18" x14ac:dyDescent="0.25">
      <c r="A5887" s="6" t="str">
        <f>HYPERLINK("proteomic_fractions_linear_files/Yang_linear_img/238231384.jpg", "238231384")</f>
        <v>238231384</v>
      </c>
      <c r="B5887" s="7"/>
      <c r="C5887" s="6" t="str">
        <f>HYPERLINK("http://www.ncbi.nlm.nih.gov/protein/238231384","Psmb6")</f>
        <v>Psmb6</v>
      </c>
      <c r="D5887" s="8"/>
      <c r="E5887" s="8">
        <v>25248</v>
      </c>
      <c r="F5887" s="8"/>
      <c r="G5887" s="15">
        <v>1.1954162756685252</v>
      </c>
      <c r="H5887" s="15">
        <v>1.1954162756685252</v>
      </c>
      <c r="I5887" s="15">
        <v>0.87182969082715001</v>
      </c>
      <c r="J5887" s="15">
        <v>0.87182969082715001</v>
      </c>
      <c r="K5887" s="15">
        <v>0.87182969082715001</v>
      </c>
      <c r="L5887" s="15">
        <v>0.87182969082715001</v>
      </c>
      <c r="M5887" s="15">
        <v>0.87182969082715001</v>
      </c>
      <c r="N5887" s="15">
        <v>0.87182969082715001</v>
      </c>
      <c r="O5887" s="15">
        <v>0.87182969082715001</v>
      </c>
      <c r="P5887" s="15">
        <v>0.87182969082715001</v>
      </c>
      <c r="Q5887" s="8"/>
      <c r="R5887" s="9" t="s">
        <v>5417</v>
      </c>
    </row>
    <row r="5888" spans="1:18" x14ac:dyDescent="0.25">
      <c r="A5888" s="6" t="str">
        <f>HYPERLINK("proteomic_fractions_linear_files/Yang_linear_img/6755206.jpg", "6755206")</f>
        <v>6755206</v>
      </c>
      <c r="B5888" s="7"/>
      <c r="C5888" s="6" t="str">
        <f>HYPERLINK("http://www.ncbi.nlm.nih.gov/protein/6755206","Psmb7")</f>
        <v>Psmb7</v>
      </c>
      <c r="D5888" s="8"/>
      <c r="E5888" s="8">
        <v>29760</v>
      </c>
      <c r="F5888" s="8"/>
      <c r="G5888" s="15" t="s">
        <v>10</v>
      </c>
      <c r="H5888" s="15" t="s">
        <v>10</v>
      </c>
      <c r="I5888" s="15">
        <v>0.87167527051416671</v>
      </c>
      <c r="J5888" s="15">
        <v>0.87167527051416671</v>
      </c>
      <c r="K5888" s="15">
        <v>0.87167527051416671</v>
      </c>
      <c r="L5888" s="15">
        <v>0.87167527051416671</v>
      </c>
      <c r="M5888" s="15">
        <v>0.87167527051416671</v>
      </c>
      <c r="N5888" s="15">
        <v>0.87167527051416671</v>
      </c>
      <c r="O5888" s="15">
        <v>0.77031911249058149</v>
      </c>
      <c r="P5888" s="15">
        <v>0.77031911249058149</v>
      </c>
      <c r="Q5888" s="8"/>
      <c r="R5888" s="9" t="s">
        <v>5418</v>
      </c>
    </row>
    <row r="5889" spans="1:18" x14ac:dyDescent="0.25">
      <c r="A5889" s="6" t="str">
        <f>HYPERLINK("proteomic_fractions_linear_files/Yang_linear_img/158303322.jpg", "158303322")</f>
        <v>158303322</v>
      </c>
      <c r="B5889" s="7"/>
      <c r="C5889" s="6" t="str">
        <f>HYPERLINK("http://www.ncbi.nlm.nih.gov/protein/158303322","Psmb8")</f>
        <v>Psmb8</v>
      </c>
      <c r="D5889" s="8"/>
      <c r="E5889" s="8">
        <v>30129</v>
      </c>
      <c r="F5889" s="8"/>
      <c r="G5889" s="15" t="s">
        <v>10</v>
      </c>
      <c r="H5889" s="15" t="s">
        <v>10</v>
      </c>
      <c r="I5889" s="15">
        <v>0.65003832760117575</v>
      </c>
      <c r="J5889" s="15">
        <v>0.65003832760117575</v>
      </c>
      <c r="K5889" s="15" t="s">
        <v>10</v>
      </c>
      <c r="L5889" s="15" t="s">
        <v>10</v>
      </c>
      <c r="M5889" s="15" t="s">
        <v>10</v>
      </c>
      <c r="N5889" s="15" t="s">
        <v>10</v>
      </c>
      <c r="O5889" s="15" t="s">
        <v>10</v>
      </c>
      <c r="P5889" s="15" t="s">
        <v>10</v>
      </c>
      <c r="Q5889" s="8"/>
      <c r="R5889" s="9" t="s">
        <v>5419</v>
      </c>
    </row>
    <row r="5890" spans="1:18" x14ac:dyDescent="0.25">
      <c r="A5890" s="6" t="str">
        <f>HYPERLINK("proteomic_fractions_linear_files/Yang_linear_img/6679501.jpg", "6679501")</f>
        <v>6679501</v>
      </c>
      <c r="B5890" s="7"/>
      <c r="C5890" s="6" t="str">
        <f>HYPERLINK("http://www.ncbi.nlm.nih.gov/protein/6679501","Psmc1")</f>
        <v>Psmc1</v>
      </c>
      <c r="D5890" s="8"/>
      <c r="E5890" s="8">
        <v>49054</v>
      </c>
      <c r="F5890" s="8"/>
      <c r="G5890" s="15">
        <v>1.4986971477894335</v>
      </c>
      <c r="H5890" s="15">
        <v>1.4986971477894335</v>
      </c>
      <c r="I5890" s="15">
        <v>1.0840932577551241</v>
      </c>
      <c r="J5890" s="15">
        <v>1.0840932577551241</v>
      </c>
      <c r="K5890" s="15">
        <v>1.1994532160325275</v>
      </c>
      <c r="L5890" s="15">
        <v>1.1994532160325275</v>
      </c>
      <c r="M5890" s="15">
        <v>1.1994532160325275</v>
      </c>
      <c r="N5890" s="15">
        <v>1.1994532160325275</v>
      </c>
      <c r="O5890" s="15">
        <v>1.0840932577551241</v>
      </c>
      <c r="P5890" s="15">
        <v>1.0840932577551241</v>
      </c>
      <c r="Q5890" s="8"/>
      <c r="R5890" s="9" t="s">
        <v>5420</v>
      </c>
    </row>
    <row r="5891" spans="1:18" x14ac:dyDescent="0.25">
      <c r="A5891" s="6" t="str">
        <f>HYPERLINK("proteomic_fractions_linear_files/Yang_linear_img/33859604.jpg", "33859604")</f>
        <v>33859604</v>
      </c>
      <c r="B5891" s="7"/>
      <c r="C5891" s="6" t="str">
        <f>HYPERLINK("http://www.ncbi.nlm.nih.gov/protein/33859604","Psmc2")</f>
        <v>Psmc2</v>
      </c>
      <c r="D5891" s="8"/>
      <c r="E5891" s="8">
        <v>52736</v>
      </c>
      <c r="F5891" s="8"/>
      <c r="G5891" s="15" t="s">
        <v>10</v>
      </c>
      <c r="H5891" s="15" t="s">
        <v>10</v>
      </c>
      <c r="I5891" s="15">
        <v>0.83255828767859374</v>
      </c>
      <c r="J5891" s="15">
        <v>0.83255828767859374</v>
      </c>
      <c r="K5891" s="15">
        <v>0.91113161480028781</v>
      </c>
      <c r="L5891" s="15">
        <v>0.91113161480028781</v>
      </c>
      <c r="M5891" s="15">
        <v>0.83255828767859374</v>
      </c>
      <c r="N5891" s="15">
        <v>0.83255828767859374</v>
      </c>
      <c r="O5891" s="15">
        <v>0.76428902270231591</v>
      </c>
      <c r="P5891" s="15">
        <v>0.76428902270231591</v>
      </c>
      <c r="Q5891" s="8"/>
      <c r="R5891" s="9" t="s">
        <v>5421</v>
      </c>
    </row>
    <row r="5892" spans="1:18" x14ac:dyDescent="0.25">
      <c r="A5892" s="6" t="str">
        <f>HYPERLINK("proteomic_fractions_linear_files/Yang_linear_img/228008337.jpg", "228008337")</f>
        <v>228008337</v>
      </c>
      <c r="B5892" s="7"/>
      <c r="C5892" s="6" t="str">
        <f>HYPERLINK("http://www.ncbi.nlm.nih.gov/protein/228008337","Psmc3")</f>
        <v>Psmc3</v>
      </c>
      <c r="D5892" s="8"/>
      <c r="E5892" s="8">
        <v>49418</v>
      </c>
      <c r="F5892" s="8"/>
      <c r="G5892" s="15">
        <v>1.1994532160325275</v>
      </c>
      <c r="H5892" s="15">
        <v>1.1994532160325275</v>
      </c>
      <c r="I5892" s="15">
        <v>0.9855097058043929</v>
      </c>
      <c r="J5892" s="15">
        <v>0.9855097058043929</v>
      </c>
      <c r="K5892" s="15">
        <v>0.9855097058043929</v>
      </c>
      <c r="L5892" s="15">
        <v>0.9855097058043929</v>
      </c>
      <c r="M5892" s="15">
        <v>0.9855097058043929</v>
      </c>
      <c r="N5892" s="15">
        <v>0.9855097058043929</v>
      </c>
      <c r="O5892" s="15">
        <v>0.90052222952990757</v>
      </c>
      <c r="P5892" s="15">
        <v>0.90052222952990757</v>
      </c>
      <c r="Q5892" s="8"/>
      <c r="R5892" s="9" t="s">
        <v>5422</v>
      </c>
    </row>
    <row r="5893" spans="1:18" x14ac:dyDescent="0.25">
      <c r="A5893" s="6" t="str">
        <f>HYPERLINK("proteomic_fractions_linear_files/Yang_linear_img/124248577.jpg", "124248577")</f>
        <v>124248577</v>
      </c>
      <c r="B5893" s="7"/>
      <c r="C5893" s="6" t="str">
        <f>HYPERLINK("http://www.ncbi.nlm.nih.gov/protein/124248577","Psmc4")</f>
        <v>Psmc4</v>
      </c>
      <c r="D5893" s="8"/>
      <c r="E5893" s="8">
        <v>47277</v>
      </c>
      <c r="F5893" s="8"/>
      <c r="G5893" s="15">
        <v>1.2504937784168904</v>
      </c>
      <c r="H5893" s="15">
        <v>1.2504937784168904</v>
      </c>
      <c r="I5893" s="15">
        <v>0.93884232440352056</v>
      </c>
      <c r="J5893" s="15">
        <v>0.93884232440352056</v>
      </c>
      <c r="K5893" s="15">
        <v>2.3362034855559886</v>
      </c>
      <c r="L5893" s="15">
        <v>2.3362034855559886</v>
      </c>
      <c r="M5893" s="15">
        <v>1.0274462890301117</v>
      </c>
      <c r="N5893" s="15">
        <v>1.0274462890301117</v>
      </c>
      <c r="O5893" s="15">
        <v>0.93884232440352056</v>
      </c>
      <c r="P5893" s="15">
        <v>0.93884232440352056</v>
      </c>
      <c r="Q5893" s="8"/>
      <c r="R5893" s="9" t="s">
        <v>5423</v>
      </c>
    </row>
    <row r="5894" spans="1:18" x14ac:dyDescent="0.25">
      <c r="A5894" s="6" t="str">
        <f>HYPERLINK("proteomic_fractions_linear_files/Yang_linear_img/7110703.jpg", "7110703")</f>
        <v>7110703</v>
      </c>
      <c r="B5894" s="7"/>
      <c r="C5894" s="6" t="str">
        <f>HYPERLINK("http://www.ncbi.nlm.nih.gov/protein/7110703","Psmc5")</f>
        <v>Psmc5</v>
      </c>
      <c r="D5894" s="8"/>
      <c r="E5894" s="8">
        <v>45495</v>
      </c>
      <c r="F5894" s="8"/>
      <c r="G5894" s="15">
        <v>1.3060712796798635</v>
      </c>
      <c r="H5894" s="15">
        <v>1.3060712796798635</v>
      </c>
      <c r="I5894" s="15">
        <v>0.98056864993256598</v>
      </c>
      <c r="J5894" s="15">
        <v>0.98056864993256598</v>
      </c>
      <c r="K5894" s="15">
        <v>0.98056864993256598</v>
      </c>
      <c r="L5894" s="15">
        <v>0.98056864993256598</v>
      </c>
      <c r="M5894" s="15">
        <v>0.98056864993256598</v>
      </c>
      <c r="N5894" s="15">
        <v>0.98056864993256598</v>
      </c>
      <c r="O5894" s="15">
        <v>0.90016262673828318</v>
      </c>
      <c r="P5894" s="15">
        <v>0.90016262673828318</v>
      </c>
      <c r="Q5894" s="8"/>
      <c r="R5894" s="9" t="s">
        <v>5424</v>
      </c>
    </row>
    <row r="5895" spans="1:18" x14ac:dyDescent="0.25">
      <c r="A5895" s="6" t="str">
        <f>HYPERLINK("proteomic_fractions_linear_files/Yang_linear_img/27754103.jpg", "27754103")</f>
        <v>27754103</v>
      </c>
      <c r="B5895" s="7"/>
      <c r="C5895" s="6" t="str">
        <f>HYPERLINK("http://www.ncbi.nlm.nih.gov/protein/27754103","Psmc6")</f>
        <v>Psmc6</v>
      </c>
      <c r="D5895" s="8"/>
      <c r="E5895" s="8">
        <v>44042</v>
      </c>
      <c r="F5895" s="8"/>
      <c r="G5895" s="15">
        <v>1.2072856734091155</v>
      </c>
      <c r="H5895" s="15">
        <v>1.2072856734091155</v>
      </c>
      <c r="I5895" s="15">
        <v>0.9206208682550624</v>
      </c>
      <c r="J5895" s="15">
        <v>0.9206208682550624</v>
      </c>
      <c r="K5895" s="15">
        <v>0.9206208682550624</v>
      </c>
      <c r="L5895" s="15">
        <v>0.9206208682550624</v>
      </c>
      <c r="M5895" s="15">
        <v>0.9206208682550624</v>
      </c>
      <c r="N5895" s="15">
        <v>0.9206208682550624</v>
      </c>
      <c r="O5895" s="15">
        <v>0.78530401205625422</v>
      </c>
      <c r="P5895" s="15">
        <v>0.78530401205625422</v>
      </c>
      <c r="Q5895" s="8"/>
      <c r="R5895" s="9" t="s">
        <v>5425</v>
      </c>
    </row>
    <row r="5896" spans="1:18" x14ac:dyDescent="0.25">
      <c r="A5896" s="6" t="str">
        <f>HYPERLINK("proteomic_fractions_linear_files/Yang_linear_img/74315975.jpg", "74315975")</f>
        <v>74315975</v>
      </c>
      <c r="B5896" s="7"/>
      <c r="C5896" s="6" t="str">
        <f>HYPERLINK("http://www.ncbi.nlm.nih.gov/protein/74315975","Psmd1")</f>
        <v>Psmd1</v>
      </c>
      <c r="D5896" s="8"/>
      <c r="E5896" s="8">
        <v>105600</v>
      </c>
      <c r="F5896" s="8"/>
      <c r="G5896" s="15">
        <v>1.4476685956249231</v>
      </c>
      <c r="H5896" s="15">
        <v>1.4476685956249231</v>
      </c>
      <c r="I5896" s="15">
        <v>1.2143549825011035</v>
      </c>
      <c r="J5896" s="15">
        <v>1.2143549825011035</v>
      </c>
      <c r="K5896" s="15">
        <v>1.2143549825011035</v>
      </c>
      <c r="L5896" s="15">
        <v>1.2143549825011035</v>
      </c>
      <c r="M5896" s="15">
        <v>1.2143549825011035</v>
      </c>
      <c r="N5896" s="15">
        <v>1.2143549825011035</v>
      </c>
      <c r="O5896" s="15">
        <v>1.2143549825011035</v>
      </c>
      <c r="P5896" s="15">
        <v>1.2143549825011035</v>
      </c>
      <c r="Q5896" s="8"/>
      <c r="R5896" s="9" t="s">
        <v>5426</v>
      </c>
    </row>
    <row r="5897" spans="1:18" x14ac:dyDescent="0.25">
      <c r="A5897" s="6" t="str">
        <f>HYPERLINK("proteomic_fractions_linear_files/Yang_linear_img/255958245.jpg", "255958245")</f>
        <v>255958245</v>
      </c>
      <c r="B5897" s="7"/>
      <c r="C5897" s="6" t="str">
        <f>HYPERLINK("http://www.ncbi.nlm.nih.gov/protein/255958245","Psmd10")</f>
        <v>Psmd10</v>
      </c>
      <c r="D5897" s="8"/>
      <c r="E5897" s="8">
        <v>16112</v>
      </c>
      <c r="F5897" s="8"/>
      <c r="G5897" s="15" t="s">
        <v>10</v>
      </c>
      <c r="H5897" s="15" t="s">
        <v>10</v>
      </c>
      <c r="I5897" s="15">
        <v>1.4443483359198404</v>
      </c>
      <c r="J5897" s="15">
        <v>1.4443483359198404</v>
      </c>
      <c r="K5897" s="15">
        <v>1.5346762883298073</v>
      </c>
      <c r="L5897" s="15">
        <v>1.5346762883298073</v>
      </c>
      <c r="M5897" s="15">
        <v>1.5346762883298073</v>
      </c>
      <c r="N5897" s="15">
        <v>1.5346762883298073</v>
      </c>
      <c r="O5897" s="15" t="s">
        <v>10</v>
      </c>
      <c r="P5897" s="15" t="s">
        <v>10</v>
      </c>
      <c r="Q5897" s="8"/>
      <c r="R5897" s="9" t="s">
        <v>5427</v>
      </c>
    </row>
    <row r="5898" spans="1:18" x14ac:dyDescent="0.25">
      <c r="A5898" s="6" t="str">
        <f>HYPERLINK("proteomic_fractions_linear_files/Yang_linear_img/31980811.jpg", "31980811")</f>
        <v>31980811</v>
      </c>
      <c r="B5898" s="7"/>
      <c r="C5898" s="6" t="str">
        <f>HYPERLINK("http://www.ncbi.nlm.nih.gov/protein/31980811","Psmd10")</f>
        <v>Psmd10</v>
      </c>
      <c r="D5898" s="8"/>
      <c r="E5898" s="8">
        <v>24952</v>
      </c>
      <c r="F5898" s="8"/>
      <c r="G5898" s="15" t="s">
        <v>10</v>
      </c>
      <c r="H5898" s="15" t="s">
        <v>10</v>
      </c>
      <c r="I5898" s="15">
        <v>0.92438293498869784</v>
      </c>
      <c r="J5898" s="15">
        <v>0.92438293498869784</v>
      </c>
      <c r="K5898" s="15">
        <v>0.9821928245310767</v>
      </c>
      <c r="L5898" s="15">
        <v>0.9821928245310767</v>
      </c>
      <c r="M5898" s="15">
        <v>0.92438293498869784</v>
      </c>
      <c r="N5898" s="15">
        <v>0.92438293498869784</v>
      </c>
      <c r="O5898" s="15">
        <v>0.82389764746625094</v>
      </c>
      <c r="P5898" s="15">
        <v>0.82389764746625094</v>
      </c>
      <c r="Q5898" s="8"/>
      <c r="R5898" s="9" t="s">
        <v>5428</v>
      </c>
    </row>
    <row r="5899" spans="1:18" x14ac:dyDescent="0.25">
      <c r="A5899" s="6" t="str">
        <f>HYPERLINK("proteomic_fractions_linear_files/Yang_linear_img/134053905.jpg", "134053905")</f>
        <v>134053905</v>
      </c>
      <c r="B5899" s="7"/>
      <c r="C5899" s="6" t="str">
        <f>HYPERLINK("http://www.ncbi.nlm.nih.gov/protein/134053905","Psmd11")</f>
        <v>Psmd11</v>
      </c>
      <c r="D5899" s="8"/>
      <c r="E5899" s="8">
        <v>47306</v>
      </c>
      <c r="F5899" s="8"/>
      <c r="G5899" s="15" t="s">
        <v>10</v>
      </c>
      <c r="H5899" s="15" t="s">
        <v>10</v>
      </c>
      <c r="I5899" s="15">
        <v>0.93884232440352056</v>
      </c>
      <c r="J5899" s="15">
        <v>0.93884232440352056</v>
      </c>
      <c r="K5899" s="15">
        <v>1.0274462890301117</v>
      </c>
      <c r="L5899" s="15">
        <v>1.0274462890301117</v>
      </c>
      <c r="M5899" s="15">
        <v>0.93884232440352056</v>
      </c>
      <c r="N5899" s="15">
        <v>0.93884232440352056</v>
      </c>
      <c r="O5899" s="15">
        <v>0.86185783411112227</v>
      </c>
      <c r="P5899" s="15">
        <v>0.86185783411112227</v>
      </c>
      <c r="Q5899" s="8"/>
      <c r="R5899" s="9" t="s">
        <v>5429</v>
      </c>
    </row>
    <row r="5900" spans="1:18" x14ac:dyDescent="0.25">
      <c r="A5900" s="6" t="str">
        <f>HYPERLINK("proteomic_fractions_linear_files/Yang_linear_img/13385384.jpg", "13385384")</f>
        <v>13385384</v>
      </c>
      <c r="B5900" s="7"/>
      <c r="C5900" s="6" t="str">
        <f>HYPERLINK("http://www.ncbi.nlm.nih.gov/protein/13385384","Psmd12")</f>
        <v>Psmd12</v>
      </c>
      <c r="D5900" s="8"/>
      <c r="E5900" s="8">
        <v>52764</v>
      </c>
      <c r="F5900" s="8"/>
      <c r="G5900" s="15">
        <v>0.91113161480028781</v>
      </c>
      <c r="H5900" s="15">
        <v>0.91113161480028781</v>
      </c>
      <c r="I5900" s="15">
        <v>1.0022748986792656</v>
      </c>
      <c r="J5900" s="15">
        <v>1.0022748986792656</v>
      </c>
      <c r="K5900" s="15">
        <v>1.0022748986792656</v>
      </c>
      <c r="L5900" s="15">
        <v>1.0022748986792656</v>
      </c>
      <c r="M5900" s="15">
        <v>1.0022748986792656</v>
      </c>
      <c r="N5900" s="15">
        <v>1.0022748986792656</v>
      </c>
      <c r="O5900" s="15">
        <v>0.91113161480028781</v>
      </c>
      <c r="P5900" s="15">
        <v>0.91113161480028781</v>
      </c>
      <c r="Q5900" s="8"/>
      <c r="R5900" s="9" t="s">
        <v>5430</v>
      </c>
    </row>
    <row r="5901" spans="1:18" x14ac:dyDescent="0.25">
      <c r="A5901" s="6" t="str">
        <f>HYPERLINK("proteomic_fractions_linear_files/Yang_linear_img/6755210.jpg", "6755210")</f>
        <v>6755210</v>
      </c>
      <c r="B5901" s="7"/>
      <c r="C5901" s="6" t="str">
        <f>HYPERLINK("http://www.ncbi.nlm.nih.gov/protein/6755210","Psmd13")</f>
        <v>Psmd13</v>
      </c>
      <c r="D5901" s="8"/>
      <c r="E5901" s="8">
        <v>42678</v>
      </c>
      <c r="F5901" s="8"/>
      <c r="G5901" s="15" t="s">
        <v>10</v>
      </c>
      <c r="H5901" s="15" t="s">
        <v>10</v>
      </c>
      <c r="I5901" s="15">
        <v>0.86840294007266494</v>
      </c>
      <c r="J5901" s="15">
        <v>0.86840294007266494</v>
      </c>
      <c r="K5901" s="15">
        <v>0.942030655888901</v>
      </c>
      <c r="L5901" s="15">
        <v>0.942030655888901</v>
      </c>
      <c r="M5901" s="15">
        <v>0.942030655888901</v>
      </c>
      <c r="N5901" s="15">
        <v>0.942030655888901</v>
      </c>
      <c r="O5901" s="15">
        <v>0.80356689605756237</v>
      </c>
      <c r="P5901" s="15">
        <v>0.80356689605756237</v>
      </c>
      <c r="Q5901" s="8"/>
      <c r="R5901" s="9" t="s">
        <v>5431</v>
      </c>
    </row>
    <row r="5902" spans="1:18" x14ac:dyDescent="0.25">
      <c r="A5902" s="6" t="str">
        <f>HYPERLINK("proteomic_fractions_linear_files/Yang_linear_img/145966883.jpg", "145966883")</f>
        <v>145966883</v>
      </c>
      <c r="B5902" s="7"/>
      <c r="C5902" s="6" t="str">
        <f>HYPERLINK("http://www.ncbi.nlm.nih.gov/protein/145966883","Psmd14")</f>
        <v>Psmd14</v>
      </c>
      <c r="D5902" s="8"/>
      <c r="E5902" s="8">
        <v>34446</v>
      </c>
      <c r="F5902" s="8"/>
      <c r="G5902" s="15">
        <v>0.94364920163922317</v>
      </c>
      <c r="H5902" s="15">
        <v>0.94364920163922317</v>
      </c>
      <c r="I5902" s="15">
        <v>1.0162757803080937</v>
      </c>
      <c r="J5902" s="15">
        <v>1.0162757803080937</v>
      </c>
      <c r="K5902" s="15">
        <v>1.0162757803080937</v>
      </c>
      <c r="L5902" s="15">
        <v>1.0162757803080937</v>
      </c>
      <c r="M5902" s="15">
        <v>0.94364920163922317</v>
      </c>
      <c r="N5902" s="15">
        <v>0.94364920163922317</v>
      </c>
      <c r="O5902" s="15" t="s">
        <v>10</v>
      </c>
      <c r="P5902" s="15" t="s">
        <v>10</v>
      </c>
      <c r="Q5902" s="8"/>
      <c r="R5902" s="9" t="s">
        <v>5432</v>
      </c>
    </row>
    <row r="5903" spans="1:18" x14ac:dyDescent="0.25">
      <c r="A5903" s="6" t="str">
        <f>HYPERLINK("proteomic_fractions_linear_files/Yang_linear_img/19882201.jpg", "19882201")</f>
        <v>19882201</v>
      </c>
      <c r="B5903" s="7"/>
      <c r="C5903" s="6" t="str">
        <f>HYPERLINK("http://www.ncbi.nlm.nih.gov/protein/19882201","Psmd2")</f>
        <v>Psmd2</v>
      </c>
      <c r="D5903" s="8"/>
      <c r="E5903" s="8">
        <v>100072</v>
      </c>
      <c r="F5903" s="8"/>
      <c r="G5903" s="15">
        <v>1.0980156382113146</v>
      </c>
      <c r="H5903" s="15">
        <v>1.0980156382113146</v>
      </c>
      <c r="I5903" s="15">
        <v>0.94967981182584504</v>
      </c>
      <c r="J5903" s="15">
        <v>0.94967981182584504</v>
      </c>
      <c r="K5903" s="15">
        <v>1.0980156382113146</v>
      </c>
      <c r="L5903" s="15">
        <v>1.0980156382113146</v>
      </c>
      <c r="M5903" s="15">
        <v>1.0980156382113146</v>
      </c>
      <c r="N5903" s="15">
        <v>1.0980156382113146</v>
      </c>
      <c r="O5903" s="15">
        <v>0.94967981182584504</v>
      </c>
      <c r="P5903" s="15">
        <v>0.94967981182584504</v>
      </c>
      <c r="Q5903" s="8"/>
      <c r="R5903" s="9" t="s">
        <v>5433</v>
      </c>
    </row>
    <row r="5904" spans="1:18" x14ac:dyDescent="0.25">
      <c r="A5904" s="6" t="str">
        <f>HYPERLINK("proteomic_fractions_linear_files/Yang_linear_img/19705424.jpg", "19705424")</f>
        <v>19705424</v>
      </c>
      <c r="B5904" s="7"/>
      <c r="C5904" s="6" t="str">
        <f>HYPERLINK("http://www.ncbi.nlm.nih.gov/protein/19705424","Psmd3")</f>
        <v>Psmd3</v>
      </c>
      <c r="D5904" s="8"/>
      <c r="E5904" s="8">
        <v>60587</v>
      </c>
      <c r="F5904" s="8"/>
      <c r="G5904" s="15">
        <v>1.3622730897236699</v>
      </c>
      <c r="H5904" s="15">
        <v>1.3622730897236699</v>
      </c>
      <c r="I5904" s="15">
        <v>1.0730043168941694</v>
      </c>
      <c r="J5904" s="15">
        <v>1.0730043168941694</v>
      </c>
      <c r="K5904" s="15">
        <v>1.0730043168941694</v>
      </c>
      <c r="L5904" s="15">
        <v>1.0730043168941694</v>
      </c>
      <c r="M5904" s="15">
        <v>1.0730043168941694</v>
      </c>
      <c r="N5904" s="15">
        <v>1.0730043168941694</v>
      </c>
      <c r="O5904" s="15">
        <v>0.96349520632121066</v>
      </c>
      <c r="P5904" s="15">
        <v>0.96349520632121066</v>
      </c>
      <c r="Q5904" s="8"/>
      <c r="R5904" s="9" t="s">
        <v>5434</v>
      </c>
    </row>
    <row r="5905" spans="1:18" x14ac:dyDescent="0.25">
      <c r="A5905" s="6" t="str">
        <f>HYPERLINK("proteomic_fractions_linear_files/Yang_linear_img/6679505.jpg", "6679505")</f>
        <v>6679505</v>
      </c>
      <c r="B5905" s="7"/>
      <c r="C5905" s="6" t="str">
        <f>HYPERLINK("http://www.ncbi.nlm.nih.gov/protein/6679505","Psmd4")</f>
        <v>Psmd4</v>
      </c>
      <c r="D5905" s="8"/>
      <c r="E5905" s="8">
        <v>40573</v>
      </c>
      <c r="F5905" s="8"/>
      <c r="G5905" s="15" t="s">
        <v>10</v>
      </c>
      <c r="H5905" s="15" t="s">
        <v>10</v>
      </c>
      <c r="I5905" s="15">
        <v>1.1778042825467134</v>
      </c>
      <c r="J5905" s="15">
        <v>1.1778042825467134</v>
      </c>
      <c r="K5905" s="15">
        <v>1.2956236495122215</v>
      </c>
      <c r="L5905" s="15">
        <v>1.2956236495122215</v>
      </c>
      <c r="M5905" s="15">
        <v>1.1778042825467134</v>
      </c>
      <c r="N5905" s="15">
        <v>1.1778042825467134</v>
      </c>
      <c r="O5905" s="15">
        <v>1.0762338840723285</v>
      </c>
      <c r="P5905" s="15">
        <v>1.0762338840723285</v>
      </c>
      <c r="Q5905" s="8"/>
      <c r="R5905" s="9" t="s">
        <v>5435</v>
      </c>
    </row>
    <row r="5906" spans="1:18" x14ac:dyDescent="0.25">
      <c r="A5906" s="6" t="str">
        <f>HYPERLINK("proteomic_fractions_linear_files/Yang_linear_img/134053913.jpg", "134053913")</f>
        <v>134053913</v>
      </c>
      <c r="B5906" s="7"/>
      <c r="C5906" s="6" t="str">
        <f>HYPERLINK("http://www.ncbi.nlm.nih.gov/protein/134053913","Psmd5")</f>
        <v>Psmd5</v>
      </c>
      <c r="D5906" s="8"/>
      <c r="E5906" s="8">
        <v>55841</v>
      </c>
      <c r="F5906" s="8"/>
      <c r="G5906" s="15" t="s">
        <v>10</v>
      </c>
      <c r="H5906" s="15" t="s">
        <v>10</v>
      </c>
      <c r="I5906" s="15">
        <v>0.86232099257884376</v>
      </c>
      <c r="J5906" s="15">
        <v>0.86232099257884376</v>
      </c>
      <c r="K5906" s="15">
        <v>0.94858160053573359</v>
      </c>
      <c r="L5906" s="15">
        <v>0.94858160053573359</v>
      </c>
      <c r="M5906" s="15">
        <v>0.86232099257884376</v>
      </c>
      <c r="N5906" s="15">
        <v>0.86232099257884376</v>
      </c>
      <c r="O5906" s="15">
        <v>0.86232099257884376</v>
      </c>
      <c r="P5906" s="15">
        <v>0.86232099257884376</v>
      </c>
      <c r="Q5906" s="8"/>
      <c r="R5906" s="9" t="s">
        <v>5436</v>
      </c>
    </row>
    <row r="5907" spans="1:18" x14ac:dyDescent="0.25">
      <c r="A5907" s="6" t="str">
        <f>HYPERLINK("proteomic_fractions_linear_files/Yang_linear_img/46049022.jpg", "46049022")</f>
        <v>46049022</v>
      </c>
      <c r="B5907" s="7"/>
      <c r="C5907" s="6" t="str">
        <f>HYPERLINK("http://www.ncbi.nlm.nih.gov/protein/46049022","Psmd6")</f>
        <v>Psmd6</v>
      </c>
      <c r="D5907" s="8"/>
      <c r="E5907" s="8">
        <v>45405</v>
      </c>
      <c r="F5907" s="8"/>
      <c r="G5907" s="15">
        <v>0.90016262673828318</v>
      </c>
      <c r="H5907" s="15">
        <v>0.90016262673828318</v>
      </c>
      <c r="I5907" s="15">
        <v>0.98056864993256598</v>
      </c>
      <c r="J5907" s="15">
        <v>0.98056864993256598</v>
      </c>
      <c r="K5907" s="15">
        <v>0.98056864993256598</v>
      </c>
      <c r="L5907" s="15">
        <v>0.98056864993256598</v>
      </c>
      <c r="M5907" s="15">
        <v>0.90016262673828318</v>
      </c>
      <c r="N5907" s="15">
        <v>0.90016262673828318</v>
      </c>
      <c r="O5907" s="15">
        <v>0.90016262673828318</v>
      </c>
      <c r="P5907" s="15">
        <v>0.90016262673828318</v>
      </c>
      <c r="Q5907" s="8"/>
      <c r="R5907" s="9" t="s">
        <v>5437</v>
      </c>
    </row>
    <row r="5908" spans="1:18" x14ac:dyDescent="0.25">
      <c r="A5908" s="6" t="str">
        <f>HYPERLINK("proteomic_fractions_linear_files/Yang_linear_img/6754724.jpg", "6754724")</f>
        <v>6754724</v>
      </c>
      <c r="B5908" s="7"/>
      <c r="C5908" s="6" t="str">
        <f>HYPERLINK("http://www.ncbi.nlm.nih.gov/protein/6754724","Psmd7")</f>
        <v>Psmd7</v>
      </c>
      <c r="D5908" s="8"/>
      <c r="E5908" s="8">
        <v>36409</v>
      </c>
      <c r="F5908" s="8"/>
      <c r="G5908" s="15">
        <v>1.3413882106782014</v>
      </c>
      <c r="H5908" s="15">
        <v>1.3413882106782014</v>
      </c>
      <c r="I5908" s="15">
        <v>0.95981601473542177</v>
      </c>
      <c r="J5908" s="15">
        <v>0.95981601473542177</v>
      </c>
      <c r="K5908" s="15">
        <v>1.0372590673090165</v>
      </c>
      <c r="L5908" s="15">
        <v>1.0372590673090165</v>
      </c>
      <c r="M5908" s="15">
        <v>1.0372590673090165</v>
      </c>
      <c r="N5908" s="15">
        <v>1.0372590673090165</v>
      </c>
      <c r="O5908" s="15">
        <v>0.89122424599259964</v>
      </c>
      <c r="P5908" s="15">
        <v>0.89122424599259964</v>
      </c>
      <c r="Q5908" s="8"/>
      <c r="R5908" s="9" t="s">
        <v>5438</v>
      </c>
    </row>
    <row r="5909" spans="1:18" x14ac:dyDescent="0.25">
      <c r="A5909" s="6" t="str">
        <f>HYPERLINK("proteomic_fractions_linear_files/Yang_linear_img/156713423.jpg", "156713423")</f>
        <v>156713423</v>
      </c>
      <c r="B5909" s="7"/>
      <c r="C5909" s="6" t="str">
        <f>HYPERLINK("http://www.ncbi.nlm.nih.gov/protein/156713423","Psmd8")</f>
        <v>Psmd8</v>
      </c>
      <c r="D5909" s="8"/>
      <c r="E5909" s="8">
        <v>39799</v>
      </c>
      <c r="F5909" s="8"/>
      <c r="G5909" s="15" t="s">
        <v>10</v>
      </c>
      <c r="H5909" s="15" t="s">
        <v>10</v>
      </c>
      <c r="I5909" s="15" t="s">
        <v>10</v>
      </c>
      <c r="J5909" s="15" t="s">
        <v>10</v>
      </c>
      <c r="K5909" s="15">
        <v>0.69795528244205152</v>
      </c>
      <c r="L5909" s="15">
        <v>0.69795528244205152</v>
      </c>
      <c r="M5909" s="15">
        <v>0.69795528244205152</v>
      </c>
      <c r="N5909" s="15">
        <v>0.69795528244205152</v>
      </c>
      <c r="O5909" s="15">
        <v>0.61387051533192294</v>
      </c>
      <c r="P5909" s="15">
        <v>0.61387051533192294</v>
      </c>
      <c r="Q5909" s="8"/>
      <c r="R5909" s="9" t="s">
        <v>5439</v>
      </c>
    </row>
    <row r="5910" spans="1:18" x14ac:dyDescent="0.25">
      <c r="A5910" s="6" t="str">
        <f>HYPERLINK("proteomic_fractions_linear_files/Yang_linear_img/119508441.jpg", "119508441")</f>
        <v>119508441</v>
      </c>
      <c r="B5910" s="7"/>
      <c r="C5910" s="6" t="str">
        <f>HYPERLINK("http://www.ncbi.nlm.nih.gov/protein/119508441","Psmd9")</f>
        <v>Psmd9</v>
      </c>
      <c r="D5910" s="8"/>
      <c r="E5910" s="8">
        <v>24589</v>
      </c>
      <c r="F5910" s="8"/>
      <c r="G5910" s="15" t="s">
        <v>10</v>
      </c>
      <c r="H5910" s="15" t="s">
        <v>10</v>
      </c>
      <c r="I5910" s="15" t="s">
        <v>10</v>
      </c>
      <c r="J5910" s="15" t="s">
        <v>10</v>
      </c>
      <c r="K5910" s="15" t="s">
        <v>10</v>
      </c>
      <c r="L5910" s="15" t="s">
        <v>10</v>
      </c>
      <c r="M5910" s="15">
        <v>1.0460103246170001</v>
      </c>
      <c r="N5910" s="15">
        <v>1.0460103246170001</v>
      </c>
      <c r="O5910" s="15">
        <v>0.92438293498869784</v>
      </c>
      <c r="P5910" s="15">
        <v>0.92438293498869784</v>
      </c>
      <c r="Q5910" s="8"/>
      <c r="R5910" s="9" t="s">
        <v>5440</v>
      </c>
    </row>
    <row r="5911" spans="1:18" x14ac:dyDescent="0.25">
      <c r="A5911" s="6" t="str">
        <f>HYPERLINK("proteomic_fractions_linear_files/Yang_linear_img/6755212.jpg", "6755212")</f>
        <v>6755212</v>
      </c>
      <c r="B5911" s="7"/>
      <c r="C5911" s="6" t="str">
        <f>HYPERLINK("http://www.ncbi.nlm.nih.gov/protein/6755212","Psme1")</f>
        <v>Psme1</v>
      </c>
      <c r="D5911" s="8"/>
      <c r="E5911" s="8">
        <v>28542</v>
      </c>
      <c r="F5911" s="8"/>
      <c r="G5911" s="15">
        <v>0.84671795218196266</v>
      </c>
      <c r="H5911" s="15">
        <v>0.84671795218196266</v>
      </c>
      <c r="I5911" s="15">
        <v>0.90173303846293107</v>
      </c>
      <c r="J5911" s="15">
        <v>0.90173303846293107</v>
      </c>
      <c r="K5911" s="15">
        <v>0.96269694129938133</v>
      </c>
      <c r="L5911" s="15">
        <v>0.96269694129938133</v>
      </c>
      <c r="M5911" s="15">
        <v>0.96269694129938133</v>
      </c>
      <c r="N5911" s="15">
        <v>0.96269694129938133</v>
      </c>
      <c r="O5911" s="15">
        <v>0.84671795218196266</v>
      </c>
      <c r="P5911" s="15">
        <v>0.84671795218196266</v>
      </c>
      <c r="Q5911" s="8"/>
      <c r="R5911" s="9" t="s">
        <v>5441</v>
      </c>
    </row>
    <row r="5912" spans="1:18" x14ac:dyDescent="0.25">
      <c r="A5912" s="6" t="str">
        <f>HYPERLINK("proteomic_fractions_linear_files/Yang_linear_img/20137004.jpg", "20137004")</f>
        <v>20137004</v>
      </c>
      <c r="B5912" s="7"/>
      <c r="C5912" s="6" t="str">
        <f>HYPERLINK("http://www.ncbi.nlm.nih.gov/protein/20137004","Psme2")</f>
        <v>Psme2</v>
      </c>
      <c r="D5912" s="8"/>
      <c r="E5912" s="8">
        <v>26926</v>
      </c>
      <c r="F5912" s="8"/>
      <c r="G5912" s="15" t="s">
        <v>10</v>
      </c>
      <c r="H5912" s="15" t="s">
        <v>10</v>
      </c>
      <c r="I5912" s="15">
        <v>0.96852807834907406</v>
      </c>
      <c r="J5912" s="15">
        <v>0.96852807834907406</v>
      </c>
      <c r="K5912" s="15">
        <v>1.0340078258400762</v>
      </c>
      <c r="L5912" s="15">
        <v>1.0340078258400762</v>
      </c>
      <c r="M5912" s="15">
        <v>1.0340078258400762</v>
      </c>
      <c r="N5912" s="15">
        <v>1.0340078258400762</v>
      </c>
      <c r="O5912" s="15">
        <v>0.90943780049173761</v>
      </c>
      <c r="P5912" s="15">
        <v>0.90943780049173761</v>
      </c>
      <c r="Q5912" s="8"/>
      <c r="R5912" s="9" t="s">
        <v>5442</v>
      </c>
    </row>
    <row r="5913" spans="1:18" x14ac:dyDescent="0.25">
      <c r="A5913" s="6" t="str">
        <f>HYPERLINK("proteomic_fractions_linear_files/Yang_linear_img/71725358.jpg", "71725358")</f>
        <v>71725358</v>
      </c>
      <c r="B5913" s="7"/>
      <c r="C5913" s="6" t="str">
        <f>HYPERLINK("http://www.ncbi.nlm.nih.gov/protein/71725358","Psme2")</f>
        <v>Psme2</v>
      </c>
      <c r="D5913" s="8"/>
      <c r="E5913" s="8">
        <v>26028</v>
      </c>
      <c r="F5913" s="8"/>
      <c r="G5913" s="15">
        <v>1.4362048624278689</v>
      </c>
      <c r="H5913" s="15">
        <v>1.4362048624278689</v>
      </c>
      <c r="I5913" s="15">
        <v>1.0057791582855768</v>
      </c>
      <c r="J5913" s="15">
        <v>1.0057791582855768</v>
      </c>
      <c r="K5913" s="15">
        <v>1.0737773576031562</v>
      </c>
      <c r="L5913" s="15">
        <v>1.0737773576031562</v>
      </c>
      <c r="M5913" s="15">
        <v>1.0737773576031562</v>
      </c>
      <c r="N5913" s="15">
        <v>1.0737773576031562</v>
      </c>
      <c r="O5913" s="15">
        <v>0.94441617743372752</v>
      </c>
      <c r="P5913" s="15">
        <v>0.94441617743372752</v>
      </c>
      <c r="Q5913" s="8"/>
      <c r="R5913" s="9" t="s">
        <v>5443</v>
      </c>
    </row>
    <row r="5914" spans="1:18" x14ac:dyDescent="0.25">
      <c r="A5914" s="6" t="str">
        <f>HYPERLINK("proteomic_fractions_linear_files/Yang_linear_img/527317390.jpg", "527317390")</f>
        <v>527317390</v>
      </c>
      <c r="B5914" s="7"/>
      <c r="C5914" s="6" t="str">
        <f>HYPERLINK("http://www.ncbi.nlm.nih.gov/protein/527317390","Psme2b")</f>
        <v>Psme2b</v>
      </c>
      <c r="D5914" s="8"/>
      <c r="E5914" s="8">
        <v>26926</v>
      </c>
      <c r="F5914" s="8"/>
      <c r="G5914" s="15">
        <v>1.3830120897453553</v>
      </c>
      <c r="H5914" s="15">
        <v>1.3830120897453553</v>
      </c>
      <c r="I5914" s="15" t="s">
        <v>10</v>
      </c>
      <c r="J5914" s="15" t="s">
        <v>10</v>
      </c>
      <c r="K5914" s="15" t="s">
        <v>10</v>
      </c>
      <c r="L5914" s="15" t="s">
        <v>10</v>
      </c>
      <c r="M5914" s="15" t="s">
        <v>10</v>
      </c>
      <c r="N5914" s="15" t="s">
        <v>10</v>
      </c>
      <c r="O5914" s="15" t="s">
        <v>10</v>
      </c>
      <c r="P5914" s="15" t="s">
        <v>10</v>
      </c>
      <c r="Q5914" s="8"/>
      <c r="R5914" s="9" t="s">
        <v>5444</v>
      </c>
    </row>
    <row r="5915" spans="1:18" x14ac:dyDescent="0.25">
      <c r="A5915" s="6" t="str">
        <f>HYPERLINK("proteomic_fractions_linear_files/Yang_linear_img/6755214.jpg", "6755214")</f>
        <v>6755214</v>
      </c>
      <c r="B5915" s="7"/>
      <c r="C5915" s="6" t="str">
        <f>HYPERLINK("http://www.ncbi.nlm.nih.gov/protein/6755214","Psme3")</f>
        <v>Psme3</v>
      </c>
      <c r="D5915" s="8"/>
      <c r="E5915" s="8">
        <v>29375</v>
      </c>
      <c r="F5915" s="8"/>
      <c r="G5915" s="15" t="s">
        <v>10</v>
      </c>
      <c r="H5915" s="15" t="s">
        <v>10</v>
      </c>
      <c r="I5915" s="15">
        <v>0.96269694129938133</v>
      </c>
      <c r="J5915" s="15">
        <v>0.96269694129938133</v>
      </c>
      <c r="K5915" s="15">
        <v>0.96269694129938133</v>
      </c>
      <c r="L5915" s="15">
        <v>0.96269694129938133</v>
      </c>
      <c r="M5915" s="15">
        <v>0.96269694129938133</v>
      </c>
      <c r="N5915" s="15">
        <v>0.96269694129938133</v>
      </c>
      <c r="O5915" s="15">
        <v>0.90173303846293107</v>
      </c>
      <c r="P5915" s="15">
        <v>0.90173303846293107</v>
      </c>
      <c r="Q5915" s="8"/>
      <c r="R5915" s="9" t="s">
        <v>5445</v>
      </c>
    </row>
    <row r="5916" spans="1:18" x14ac:dyDescent="0.25">
      <c r="A5916" s="6" t="str">
        <f>HYPERLINK("proteomic_fractions_linear_files/Yang_linear_img/117956381.jpg", "117956381")</f>
        <v>117956381</v>
      </c>
      <c r="B5916" s="7"/>
      <c r="C5916" s="6" t="str">
        <f>HYPERLINK("http://www.ncbi.nlm.nih.gov/protein/117956381","Psme4")</f>
        <v>Psme4</v>
      </c>
      <c r="D5916" s="8"/>
      <c r="E5916" s="8">
        <v>211067</v>
      </c>
      <c r="F5916" s="8"/>
      <c r="G5916" s="15" t="s">
        <v>10</v>
      </c>
      <c r="H5916" s="15" t="s">
        <v>10</v>
      </c>
      <c r="I5916" s="15" t="s">
        <v>10</v>
      </c>
      <c r="J5916" s="15" t="s">
        <v>10</v>
      </c>
      <c r="K5916" s="15">
        <v>1.1059755811746401</v>
      </c>
      <c r="L5916" s="15">
        <v>1.1059755811746401</v>
      </c>
      <c r="M5916" s="15">
        <v>1.1059755811746401</v>
      </c>
      <c r="N5916" s="15">
        <v>1.1059755811746401</v>
      </c>
      <c r="O5916" s="15" t="s">
        <v>10</v>
      </c>
      <c r="P5916" s="15" t="s">
        <v>10</v>
      </c>
      <c r="Q5916" s="8"/>
      <c r="R5916" s="9" t="s">
        <v>5446</v>
      </c>
    </row>
    <row r="5917" spans="1:18" x14ac:dyDescent="0.25">
      <c r="A5917" s="6" t="str">
        <f>HYPERLINK("proteomic_fractions_linear_files/Yang_linear_img/47078287.jpg", "47078287")</f>
        <v>47078287</v>
      </c>
      <c r="B5917" s="7"/>
      <c r="C5917" s="6" t="str">
        <f>HYPERLINK("http://www.ncbi.nlm.nih.gov/protein/47078287","Psmf1")</f>
        <v>Psmf1</v>
      </c>
      <c r="D5917" s="8"/>
      <c r="E5917" s="8">
        <v>29533</v>
      </c>
      <c r="F5917" s="8"/>
      <c r="G5917" s="15" t="s">
        <v>10</v>
      </c>
      <c r="H5917" s="15" t="s">
        <v>10</v>
      </c>
      <c r="I5917" s="15">
        <v>0.93060704325606869</v>
      </c>
      <c r="J5917" s="15">
        <v>0.93060704325606869</v>
      </c>
      <c r="K5917" s="15" t="s">
        <v>10</v>
      </c>
      <c r="L5917" s="15" t="s">
        <v>10</v>
      </c>
      <c r="M5917" s="15" t="s">
        <v>10</v>
      </c>
      <c r="N5917" s="15" t="s">
        <v>10</v>
      </c>
      <c r="O5917" s="15">
        <v>0.81849402044256392</v>
      </c>
      <c r="P5917" s="15">
        <v>0.81849402044256392</v>
      </c>
      <c r="Q5917" s="8"/>
      <c r="R5917" s="9" t="s">
        <v>5447</v>
      </c>
    </row>
    <row r="5918" spans="1:18" x14ac:dyDescent="0.25">
      <c r="A5918" s="6" t="str">
        <f>HYPERLINK("proteomic_fractions_linear_files/Yang_linear_img/9506555.jpg", "9506555")</f>
        <v>9506555</v>
      </c>
      <c r="B5918" s="7"/>
      <c r="C5918" s="6" t="str">
        <f>HYPERLINK("http://www.ncbi.nlm.nih.gov/protein/9506555","Psmg1")</f>
        <v>Psmg1</v>
      </c>
      <c r="D5918" s="8"/>
      <c r="E5918" s="8">
        <v>32973</v>
      </c>
      <c r="F5918" s="8"/>
      <c r="G5918" s="15" t="s">
        <v>10</v>
      </c>
      <c r="H5918" s="15" t="s">
        <v>10</v>
      </c>
      <c r="I5918" s="15">
        <v>0.84600640296006246</v>
      </c>
      <c r="J5918" s="15">
        <v>0.84600640296006246</v>
      </c>
      <c r="K5918" s="15">
        <v>0.90561839065797367</v>
      </c>
      <c r="L5918" s="15">
        <v>0.90561839065797367</v>
      </c>
      <c r="M5918" s="15">
        <v>0.84600640296006246</v>
      </c>
      <c r="N5918" s="15">
        <v>0.90561839065797367</v>
      </c>
      <c r="O5918" s="15">
        <v>0.79243206410378786</v>
      </c>
      <c r="P5918" s="15">
        <v>0.79243206410378786</v>
      </c>
      <c r="Q5918" s="8"/>
      <c r="R5918" s="9" t="s">
        <v>5448</v>
      </c>
    </row>
    <row r="5919" spans="1:18" x14ac:dyDescent="0.25">
      <c r="A5919" s="6" t="str">
        <f>HYPERLINK("proteomic_fractions_linear_files/Yang_linear_img/19527372.jpg", "19527372")</f>
        <v>19527372</v>
      </c>
      <c r="B5919" s="7"/>
      <c r="C5919" s="6" t="str">
        <f>HYPERLINK("http://www.ncbi.nlm.nih.gov/protein/19527372","Psmg2")</f>
        <v>Psmg2</v>
      </c>
      <c r="D5919" s="8"/>
      <c r="E5919" s="8">
        <v>29393</v>
      </c>
      <c r="F5919" s="8"/>
      <c r="G5919" s="15" t="s">
        <v>10</v>
      </c>
      <c r="H5919" s="15" t="s">
        <v>10</v>
      </c>
      <c r="I5919" s="15">
        <v>0.96269694129938133</v>
      </c>
      <c r="J5919" s="15">
        <v>0.96269694129938133</v>
      </c>
      <c r="K5919" s="15" t="s">
        <v>10</v>
      </c>
      <c r="L5919" s="15" t="s">
        <v>10</v>
      </c>
      <c r="M5919" s="15">
        <v>0.96269694129938133</v>
      </c>
      <c r="N5919" s="15">
        <v>0.96269694129938133</v>
      </c>
      <c r="O5919" s="15">
        <v>0.90173303846293107</v>
      </c>
      <c r="P5919" s="15">
        <v>0.90173303846293107</v>
      </c>
      <c r="Q5919" s="8"/>
      <c r="R5919" s="9" t="s">
        <v>5449</v>
      </c>
    </row>
    <row r="5920" spans="1:18" x14ac:dyDescent="0.25">
      <c r="A5920" s="6" t="str">
        <f>HYPERLINK("proteomic_fractions_linear_files/Yang_linear_img/21313432.jpg", "21313432")</f>
        <v>21313432</v>
      </c>
      <c r="B5920" s="7"/>
      <c r="C5920" s="6" t="str">
        <f>HYPERLINK("http://www.ncbi.nlm.nih.gov/protein/21313432","Psmg3")</f>
        <v>Psmg3</v>
      </c>
      <c r="D5920" s="8"/>
      <c r="E5920" s="8">
        <v>13200</v>
      </c>
      <c r="F5920" s="8"/>
      <c r="G5920" s="15" t="s">
        <v>10</v>
      </c>
      <c r="H5920" s="15" t="s">
        <v>10</v>
      </c>
      <c r="I5920" s="15" t="s">
        <v>10</v>
      </c>
      <c r="J5920" s="15" t="s">
        <v>10</v>
      </c>
      <c r="K5920" s="15">
        <v>1.068142346148973</v>
      </c>
      <c r="L5920" s="15">
        <v>1.068142346148973</v>
      </c>
      <c r="M5920" s="15">
        <v>1.1167287478361805</v>
      </c>
      <c r="N5920" s="15">
        <v>1.1167287478361805</v>
      </c>
      <c r="O5920" s="15">
        <v>1.0228510786924256</v>
      </c>
      <c r="P5920" s="15">
        <v>1.0228510786924256</v>
      </c>
      <c r="Q5920" s="8"/>
      <c r="R5920" s="9" t="s">
        <v>5450</v>
      </c>
    </row>
    <row r="5921" spans="1:18" x14ac:dyDescent="0.25">
      <c r="A5921" s="6" t="str">
        <f>HYPERLINK("proteomic_fractions_linear_files/Yang_linear_img/160333436.jpg", "160333436")</f>
        <v>160333436</v>
      </c>
      <c r="B5921" s="7"/>
      <c r="C5921" s="6" t="str">
        <f>HYPERLINK("http://www.ncbi.nlm.nih.gov/protein/160333436","Psmg4")</f>
        <v>Psmg4</v>
      </c>
      <c r="D5921" s="8"/>
      <c r="E5921" s="8">
        <v>9074</v>
      </c>
      <c r="F5921" s="8"/>
      <c r="G5921" s="15" t="s">
        <v>10</v>
      </c>
      <c r="H5921" s="15" t="s">
        <v>10</v>
      </c>
      <c r="I5921" s="15" t="s">
        <v>10</v>
      </c>
      <c r="J5921" s="15" t="s">
        <v>10</v>
      </c>
      <c r="K5921" s="15" t="s">
        <v>10</v>
      </c>
      <c r="L5921" s="15" t="s">
        <v>10</v>
      </c>
      <c r="M5921" s="15" t="s">
        <v>10</v>
      </c>
      <c r="N5921" s="15" t="s">
        <v>10</v>
      </c>
      <c r="O5921" s="15">
        <v>1.6130526357633719</v>
      </c>
      <c r="P5921" s="15">
        <v>1.6130526357633719</v>
      </c>
      <c r="Q5921" s="8"/>
      <c r="R5921" s="9" t="s">
        <v>5451</v>
      </c>
    </row>
    <row r="5922" spans="1:18" x14ac:dyDescent="0.25">
      <c r="A5922" s="6" t="str">
        <f>HYPERLINK("proteomic_fractions_linear_files/Yang_linear_img/160333430.jpg", "160333430")</f>
        <v>160333430</v>
      </c>
      <c r="B5922" s="7"/>
      <c r="C5922" s="6" t="str">
        <f>HYPERLINK("http://www.ncbi.nlm.nih.gov/protein/160333430","Psmg4")</f>
        <v>Psmg4</v>
      </c>
      <c r="D5922" s="8"/>
      <c r="E5922" s="8">
        <v>13843</v>
      </c>
      <c r="F5922" s="8"/>
      <c r="G5922" s="15" t="s">
        <v>10</v>
      </c>
      <c r="H5922" s="15" t="s">
        <v>10</v>
      </c>
      <c r="I5922" s="15" t="s">
        <v>10</v>
      </c>
      <c r="J5922" s="15" t="s">
        <v>10</v>
      </c>
      <c r="K5922" s="15" t="s">
        <v>10</v>
      </c>
      <c r="L5922" s="15" t="s">
        <v>10</v>
      </c>
      <c r="M5922" s="15">
        <v>1.085452735272449</v>
      </c>
      <c r="N5922" s="15">
        <v>1.085452735272449</v>
      </c>
      <c r="O5922" s="15">
        <v>1.0369624087050249</v>
      </c>
      <c r="P5922" s="15">
        <v>1.0369624087050249</v>
      </c>
      <c r="Q5922" s="8"/>
      <c r="R5922" s="9" t="s">
        <v>5452</v>
      </c>
    </row>
    <row r="5923" spans="1:18" x14ac:dyDescent="0.25">
      <c r="A5923" s="6" t="str">
        <f>HYPERLINK("proteomic_fractions_linear_files/Yang_linear_img/225543409.jpg", "225543409")</f>
        <v>225543409</v>
      </c>
      <c r="B5923" s="7"/>
      <c r="C5923" s="6" t="str">
        <f>HYPERLINK("http://www.ncbi.nlm.nih.gov/protein/225543409","Pspc1")</f>
        <v>Pspc1</v>
      </c>
      <c r="D5923" s="8"/>
      <c r="E5923" s="8">
        <v>58628</v>
      </c>
      <c r="F5923" s="8"/>
      <c r="G5923" s="15">
        <v>1.4084518385278619</v>
      </c>
      <c r="H5923" s="15">
        <v>1.4084518385278619</v>
      </c>
      <c r="I5923" s="15">
        <v>1.1093773445854971</v>
      </c>
      <c r="J5923" s="15">
        <v>1.1093773445854971</v>
      </c>
      <c r="K5923" s="15">
        <v>1.1093773445854971</v>
      </c>
      <c r="L5923" s="15">
        <v>1.1093773445854971</v>
      </c>
      <c r="M5923" s="15">
        <v>1.1093773445854971</v>
      </c>
      <c r="N5923" s="15">
        <v>1.1093773445854971</v>
      </c>
      <c r="O5923" s="15" t="s">
        <v>10</v>
      </c>
      <c r="P5923" s="15" t="s">
        <v>10</v>
      </c>
      <c r="Q5923" s="8"/>
      <c r="R5923" s="9" t="s">
        <v>5453</v>
      </c>
    </row>
    <row r="5924" spans="1:18" x14ac:dyDescent="0.25">
      <c r="A5924" s="6" t="str">
        <f>HYPERLINK("proteomic_fractions_linear_files/Yang_linear_img/19527116.jpg", "19527116")</f>
        <v>19527116</v>
      </c>
      <c r="B5924" s="7"/>
      <c r="C5924" s="6" t="str">
        <f>HYPERLINK("http://www.ncbi.nlm.nih.gov/protein/19527116","Psph")</f>
        <v>Psph</v>
      </c>
      <c r="D5924" s="8"/>
      <c r="E5924" s="8">
        <v>24965</v>
      </c>
      <c r="F5924" s="8"/>
      <c r="G5924" s="15" t="s">
        <v>10</v>
      </c>
      <c r="H5924" s="15" t="s">
        <v>10</v>
      </c>
      <c r="I5924" s="15" t="s">
        <v>10</v>
      </c>
      <c r="J5924" s="15" t="s">
        <v>10</v>
      </c>
      <c r="K5924" s="15">
        <v>0.9821928245310767</v>
      </c>
      <c r="L5924" s="15">
        <v>0.9821928245310767</v>
      </c>
      <c r="M5924" s="15" t="s">
        <v>10</v>
      </c>
      <c r="N5924" s="15" t="s">
        <v>10</v>
      </c>
      <c r="O5924" s="15">
        <v>0.82389764746625094</v>
      </c>
      <c r="P5924" s="15">
        <v>0.82389764746625094</v>
      </c>
      <c r="Q5924" s="8"/>
      <c r="R5924" s="9" t="s">
        <v>5454</v>
      </c>
    </row>
    <row r="5925" spans="1:18" x14ac:dyDescent="0.25">
      <c r="A5925" s="6" t="str">
        <f>HYPERLINK("proteomic_fractions_linear_files/Yang_linear_img/171184423.jpg", "171184423")</f>
        <v>171184423</v>
      </c>
      <c r="B5925" s="7"/>
      <c r="C5925" s="6" t="str">
        <f>HYPERLINK("http://www.ncbi.nlm.nih.gov/protein/171184423","Pstpip1")</f>
        <v>Pstpip1</v>
      </c>
      <c r="D5925" s="8"/>
      <c r="E5925" s="8">
        <v>47445</v>
      </c>
      <c r="F5925" s="8"/>
      <c r="G5925" s="15" t="s">
        <v>10</v>
      </c>
      <c r="H5925" s="15" t="s">
        <v>10</v>
      </c>
      <c r="I5925" s="15" t="s">
        <v>10</v>
      </c>
      <c r="J5925" s="15" t="s">
        <v>10</v>
      </c>
      <c r="K5925" s="15">
        <v>0.68263984799433164</v>
      </c>
      <c r="L5925" s="15">
        <v>0.68263984799433164</v>
      </c>
      <c r="M5925" s="15" t="s">
        <v>10</v>
      </c>
      <c r="N5925" s="15" t="s">
        <v>10</v>
      </c>
      <c r="O5925" s="15" t="s">
        <v>10</v>
      </c>
      <c r="P5925" s="15" t="s">
        <v>10</v>
      </c>
      <c r="Q5925" s="8"/>
      <c r="R5925" s="9" t="s">
        <v>5455</v>
      </c>
    </row>
    <row r="5926" spans="1:18" x14ac:dyDescent="0.25">
      <c r="A5926" s="6" t="str">
        <f>HYPERLINK("proteomic_fractions_linear_files/Yang_linear_img/258613904.jpg", "258613904")</f>
        <v>258613904</v>
      </c>
      <c r="B5926" s="7"/>
      <c r="C5926" s="6" t="str">
        <f>HYPERLINK("http://www.ncbi.nlm.nih.gov/protein/258613904","Ptar1")</f>
        <v>Ptar1</v>
      </c>
      <c r="D5926" s="8"/>
      <c r="E5926" s="8">
        <v>48160</v>
      </c>
      <c r="F5926" s="8"/>
      <c r="G5926" s="15" t="s">
        <v>10</v>
      </c>
      <c r="H5926" s="15" t="s">
        <v>10</v>
      </c>
      <c r="I5926" s="15">
        <v>0.66841818449444979</v>
      </c>
      <c r="J5926" s="15">
        <v>0.66841818449444979</v>
      </c>
      <c r="K5926" s="15" t="s">
        <v>10</v>
      </c>
      <c r="L5926" s="15" t="s">
        <v>10</v>
      </c>
      <c r="M5926" s="15" t="s">
        <v>10</v>
      </c>
      <c r="N5926" s="15" t="s">
        <v>10</v>
      </c>
      <c r="O5926" s="15">
        <v>1.006041158008651</v>
      </c>
      <c r="P5926" s="15">
        <v>1.006041158008651</v>
      </c>
      <c r="Q5926" s="8"/>
      <c r="R5926" s="9" t="s">
        <v>5456</v>
      </c>
    </row>
    <row r="5927" spans="1:18" x14ac:dyDescent="0.25">
      <c r="A5927" s="6" t="str">
        <f>HYPERLINK("proteomic_fractions_linear_files/Yang_linear_img/545688433.jpg", "545688433")</f>
        <v>545688433</v>
      </c>
      <c r="B5927" s="7"/>
      <c r="C5927" s="6" t="str">
        <f>HYPERLINK("http://www.ncbi.nlm.nih.gov/protein/545688433","Ptbp1")</f>
        <v>Ptbp1</v>
      </c>
      <c r="D5927" s="8"/>
      <c r="E5927" s="8">
        <v>52500</v>
      </c>
      <c r="F5927" s="8"/>
      <c r="G5927" s="15">
        <v>1.3855879290883442</v>
      </c>
      <c r="H5927" s="15">
        <v>1.3855879290883442</v>
      </c>
      <c r="I5927" s="15" t="s">
        <v>10</v>
      </c>
      <c r="J5927" s="15" t="s">
        <v>10</v>
      </c>
      <c r="K5927" s="15" t="s">
        <v>10</v>
      </c>
      <c r="L5927" s="15" t="s">
        <v>10</v>
      </c>
      <c r="M5927" s="15" t="s">
        <v>10</v>
      </c>
      <c r="N5927" s="15" t="s">
        <v>10</v>
      </c>
      <c r="O5927" s="15" t="s">
        <v>10</v>
      </c>
      <c r="P5927" s="15" t="s">
        <v>10</v>
      </c>
      <c r="Q5927" s="8"/>
      <c r="R5927" s="9" t="s">
        <v>5457</v>
      </c>
    </row>
    <row r="5928" spans="1:18" x14ac:dyDescent="0.25">
      <c r="A5928" s="6" t="str">
        <f>HYPERLINK("proteomic_fractions_linear_files/Yang_linear_img/116517301.jpg", "116517301")</f>
        <v>116517301</v>
      </c>
      <c r="B5928" s="7"/>
      <c r="C5928" s="6" t="str">
        <f>HYPERLINK("http://www.ncbi.nlm.nih.gov/protein/116517301","Ptbp1")</f>
        <v>Ptbp1</v>
      </c>
      <c r="D5928" s="8"/>
      <c r="E5928" s="8">
        <v>59191</v>
      </c>
      <c r="F5928" s="8"/>
      <c r="G5928" s="15">
        <v>1.244680682062411</v>
      </c>
      <c r="H5928" s="15">
        <v>1.244680682062411</v>
      </c>
      <c r="I5928" s="15">
        <v>0.90034863779662844</v>
      </c>
      <c r="J5928" s="15">
        <v>0.90034863779662844</v>
      </c>
      <c r="K5928" s="15">
        <v>0.99615606077277719</v>
      </c>
      <c r="L5928" s="15">
        <v>0.99615606077277719</v>
      </c>
      <c r="M5928" s="15">
        <v>0.99615606077277719</v>
      </c>
      <c r="N5928" s="15">
        <v>0.99615606077277719</v>
      </c>
      <c r="O5928" s="15">
        <v>0.90034863779662844</v>
      </c>
      <c r="P5928" s="15">
        <v>0.90034863779662844</v>
      </c>
      <c r="Q5928" s="8"/>
      <c r="R5928" s="9" t="s">
        <v>5458</v>
      </c>
    </row>
    <row r="5929" spans="1:18" x14ac:dyDescent="0.25">
      <c r="A5929" s="6" t="str">
        <f>HYPERLINK("proteomic_fractions_linear_files/Yang_linear_img/116517303.jpg", "116517303")</f>
        <v>116517303</v>
      </c>
      <c r="B5929" s="7"/>
      <c r="C5929" s="6" t="str">
        <f>HYPERLINK("http://www.ncbi.nlm.nih.gov/protein/116517303","Ptbp1")</f>
        <v>Ptbp1</v>
      </c>
      <c r="D5929" s="8"/>
      <c r="E5929" s="8">
        <v>56761</v>
      </c>
      <c r="F5929" s="8"/>
      <c r="G5929" s="15">
        <v>1.2883536884505657</v>
      </c>
      <c r="H5929" s="15">
        <v>1.2883536884505657</v>
      </c>
      <c r="I5929" s="15">
        <v>0.93193981807019433</v>
      </c>
      <c r="J5929" s="15">
        <v>0.93193981807019433</v>
      </c>
      <c r="K5929" s="15">
        <v>1.0311089050104185</v>
      </c>
      <c r="L5929" s="15">
        <v>1.0311089050104185</v>
      </c>
      <c r="M5929" s="15">
        <v>1.0311089050104185</v>
      </c>
      <c r="N5929" s="15">
        <v>1.0311089050104185</v>
      </c>
      <c r="O5929" s="15">
        <v>0.93193981807019433</v>
      </c>
      <c r="P5929" s="15">
        <v>0.93193981807019433</v>
      </c>
      <c r="Q5929" s="8"/>
      <c r="R5929" s="9" t="s">
        <v>5459</v>
      </c>
    </row>
    <row r="5930" spans="1:18" x14ac:dyDescent="0.25">
      <c r="A5930" s="6" t="str">
        <f>HYPERLINK("proteomic_fractions_linear_files/Yang_linear_img/9507003.jpg", "9507003")</f>
        <v>9507003</v>
      </c>
      <c r="B5930" s="7"/>
      <c r="C5930" s="6" t="str">
        <f>HYPERLINK("http://www.ncbi.nlm.nih.gov/protein/9507003","Ptbp2")</f>
        <v>Ptbp2</v>
      </c>
      <c r="D5930" s="8"/>
      <c r="E5930" s="8">
        <v>57514</v>
      </c>
      <c r="F5930" s="8"/>
      <c r="G5930" s="15">
        <v>1.2661406938221076</v>
      </c>
      <c r="H5930" s="15">
        <v>1.2661406938221076</v>
      </c>
      <c r="I5930" s="15">
        <v>0.91587189017243242</v>
      </c>
      <c r="J5930" s="15">
        <v>0.91587189017243242</v>
      </c>
      <c r="K5930" s="15">
        <v>1.0133311652688595</v>
      </c>
      <c r="L5930" s="15">
        <v>1.0133311652688595</v>
      </c>
      <c r="M5930" s="15">
        <v>1.0133311652688595</v>
      </c>
      <c r="N5930" s="15">
        <v>1.0133311652688595</v>
      </c>
      <c r="O5930" s="15" t="s">
        <v>10</v>
      </c>
      <c r="P5930" s="15" t="s">
        <v>10</v>
      </c>
      <c r="Q5930" s="8"/>
      <c r="R5930" s="9" t="s">
        <v>5460</v>
      </c>
    </row>
    <row r="5931" spans="1:18" x14ac:dyDescent="0.25">
      <c r="A5931" s="6" t="str">
        <f>HYPERLINK("proteomic_fractions_linear_files/Yang_linear_img/255003709.jpg", "255003709")</f>
        <v>255003709</v>
      </c>
      <c r="B5931" s="7"/>
      <c r="C5931" s="6" t="str">
        <f>HYPERLINK("http://www.ncbi.nlm.nih.gov/protein/255003709","Ptbp3")</f>
        <v>Ptbp3</v>
      </c>
      <c r="D5931" s="8"/>
      <c r="E5931" s="8">
        <v>59334</v>
      </c>
      <c r="F5931" s="8"/>
      <c r="G5931" s="15">
        <v>1.244680682062411</v>
      </c>
      <c r="H5931" s="15">
        <v>1.244680682062411</v>
      </c>
      <c r="I5931" s="15">
        <v>0.90034863779662844</v>
      </c>
      <c r="J5931" s="15">
        <v>0.90034863779662844</v>
      </c>
      <c r="K5931" s="15">
        <v>0.99615606077277719</v>
      </c>
      <c r="L5931" s="15">
        <v>0.99615606077277719</v>
      </c>
      <c r="M5931" s="15">
        <v>0.90034863779662844</v>
      </c>
      <c r="N5931" s="15">
        <v>0.90034863779662844</v>
      </c>
      <c r="O5931" s="15" t="s">
        <v>10</v>
      </c>
      <c r="P5931" s="15" t="s">
        <v>10</v>
      </c>
      <c r="Q5931" s="8"/>
      <c r="R5931" s="9" t="s">
        <v>5461</v>
      </c>
    </row>
    <row r="5932" spans="1:18" x14ac:dyDescent="0.25">
      <c r="A5932" s="6" t="str">
        <f>HYPERLINK("proteomic_fractions_linear_files/Yang_linear_img/30039680.jpg", "30039680")</f>
        <v>30039680</v>
      </c>
      <c r="B5932" s="7"/>
      <c r="C5932" s="6" t="str">
        <f>HYPERLINK("http://www.ncbi.nlm.nih.gov/protein/30039680","Ptbp3")</f>
        <v>Ptbp3</v>
      </c>
      <c r="D5932" s="8"/>
      <c r="E5932" s="8">
        <v>56570</v>
      </c>
      <c r="F5932" s="8"/>
      <c r="G5932" s="15">
        <v>1.2883536884505657</v>
      </c>
      <c r="H5932" s="15">
        <v>1.2883536884505657</v>
      </c>
      <c r="I5932" s="15">
        <v>0.93193981807019433</v>
      </c>
      <c r="J5932" s="15">
        <v>0.93193981807019433</v>
      </c>
      <c r="K5932" s="15">
        <v>1.0311089050104185</v>
      </c>
      <c r="L5932" s="15">
        <v>1.0311089050104185</v>
      </c>
      <c r="M5932" s="15">
        <v>0.93193981807019433</v>
      </c>
      <c r="N5932" s="15">
        <v>0.93193981807019433</v>
      </c>
      <c r="O5932" s="15" t="s">
        <v>10</v>
      </c>
      <c r="P5932" s="15" t="s">
        <v>10</v>
      </c>
      <c r="Q5932" s="8"/>
      <c r="R5932" s="9" t="s">
        <v>5462</v>
      </c>
    </row>
    <row r="5933" spans="1:18" x14ac:dyDescent="0.25">
      <c r="A5933" s="6" t="str">
        <f>HYPERLINK("proteomic_fractions_linear_files/Yang_linear_img/58037131.jpg", "58037131")</f>
        <v>58037131</v>
      </c>
      <c r="B5933" s="7"/>
      <c r="C5933" s="6" t="str">
        <f>HYPERLINK("http://www.ncbi.nlm.nih.gov/protein/58037131","Ptcd2")</f>
        <v>Ptcd2</v>
      </c>
      <c r="D5933" s="8"/>
      <c r="E5933" s="8">
        <v>43713</v>
      </c>
      <c r="F5933" s="8"/>
      <c r="G5933" s="15" t="s">
        <v>10</v>
      </c>
      <c r="H5933" s="15" t="s">
        <v>10</v>
      </c>
      <c r="I5933" s="15">
        <v>0.78530401205625422</v>
      </c>
      <c r="J5933" s="15">
        <v>0.78530401205625422</v>
      </c>
      <c r="K5933" s="15" t="s">
        <v>10</v>
      </c>
      <c r="L5933" s="15" t="s">
        <v>10</v>
      </c>
      <c r="M5933" s="15">
        <v>0.5580641048472027</v>
      </c>
      <c r="N5933" s="15">
        <v>0.5580641048472027</v>
      </c>
      <c r="O5933" s="15" t="s">
        <v>10</v>
      </c>
      <c r="P5933" s="15" t="s">
        <v>10</v>
      </c>
      <c r="Q5933" s="8"/>
      <c r="R5933" s="9" t="s">
        <v>5463</v>
      </c>
    </row>
    <row r="5934" spans="1:18" x14ac:dyDescent="0.25">
      <c r="A5934" s="6" t="str">
        <f>HYPERLINK("proteomic_fractions_linear_files/Yang_linear_img/33469980.jpg", "33469980")</f>
        <v>33469980</v>
      </c>
      <c r="B5934" s="7"/>
      <c r="C5934" s="6" t="str">
        <f>HYPERLINK("http://www.ncbi.nlm.nih.gov/protein/33469980","Ptcd3")</f>
        <v>Ptcd3</v>
      </c>
      <c r="D5934" s="8"/>
      <c r="E5934" s="8">
        <v>76827</v>
      </c>
      <c r="F5934" s="8"/>
      <c r="G5934" s="15">
        <v>1.2333504049686299</v>
      </c>
      <c r="H5934" s="15">
        <v>1.2333504049686299</v>
      </c>
      <c r="I5934" s="15">
        <v>1.079203356794076</v>
      </c>
      <c r="J5934" s="15">
        <v>1.079203356794076</v>
      </c>
      <c r="K5934" s="15" t="s">
        <v>10</v>
      </c>
      <c r="L5934" s="15" t="s">
        <v>10</v>
      </c>
      <c r="M5934" s="15" t="s">
        <v>10</v>
      </c>
      <c r="N5934" s="15" t="s">
        <v>10</v>
      </c>
      <c r="O5934" s="15" t="s">
        <v>10</v>
      </c>
      <c r="P5934" s="15" t="s">
        <v>10</v>
      </c>
      <c r="Q5934" s="8"/>
      <c r="R5934" s="9" t="s">
        <v>5464</v>
      </c>
    </row>
    <row r="5935" spans="1:18" x14ac:dyDescent="0.25">
      <c r="A5935" s="6" t="str">
        <f>HYPERLINK("proteomic_fractions_linear_files/Yang_linear_img/6755216.jpg", "6755216")</f>
        <v>6755216</v>
      </c>
      <c r="B5935" s="7"/>
      <c r="C5935" s="6" t="str">
        <f>HYPERLINK("http://www.ncbi.nlm.nih.gov/protein/6755216","Ptcra")</f>
        <v>Ptcra</v>
      </c>
      <c r="D5935" s="8"/>
      <c r="E5935" s="8">
        <v>19665</v>
      </c>
      <c r="F5935" s="8"/>
      <c r="G5935" s="15">
        <v>5.4900781910565737</v>
      </c>
      <c r="H5935" s="15">
        <v>5.4900781910565737</v>
      </c>
      <c r="I5935" s="15" t="s">
        <v>10</v>
      </c>
      <c r="J5935" s="15" t="s">
        <v>10</v>
      </c>
      <c r="K5935" s="15">
        <v>6.4360814072558483</v>
      </c>
      <c r="L5935" s="15">
        <v>6.4360814072558483</v>
      </c>
      <c r="M5935" s="15">
        <v>6.4360814072558483</v>
      </c>
      <c r="N5935" s="15">
        <v>6.4360814072558483</v>
      </c>
      <c r="O5935" s="15" t="s">
        <v>10</v>
      </c>
      <c r="P5935" s="15" t="s">
        <v>10</v>
      </c>
      <c r="Q5935" s="8"/>
      <c r="R5935" s="9" t="s">
        <v>5465</v>
      </c>
    </row>
    <row r="5936" spans="1:18" x14ac:dyDescent="0.25">
      <c r="A5936" s="6" t="str">
        <f>HYPERLINK("proteomic_fractions_linear_files/Yang_linear_img/31560651.jpg", "31560651")</f>
        <v>31560651</v>
      </c>
      <c r="B5936" s="7"/>
      <c r="C5936" s="6" t="str">
        <f>HYPERLINK("http://www.ncbi.nlm.nih.gov/protein/31560651","Ptdss1")</f>
        <v>Ptdss1</v>
      </c>
      <c r="D5936" s="8"/>
      <c r="E5936" s="8">
        <v>55473</v>
      </c>
      <c r="F5936" s="8"/>
      <c r="G5936" s="15" t="s">
        <v>10</v>
      </c>
      <c r="H5936" s="15" t="s">
        <v>10</v>
      </c>
      <c r="I5936" s="15" t="s">
        <v>10</v>
      </c>
      <c r="J5936" s="15" t="s">
        <v>10</v>
      </c>
      <c r="K5936" s="15">
        <v>0.73649669460404987</v>
      </c>
      <c r="L5936" s="15">
        <v>0.73649669460404987</v>
      </c>
      <c r="M5936" s="15" t="s">
        <v>10</v>
      </c>
      <c r="N5936" s="15" t="s">
        <v>10</v>
      </c>
      <c r="O5936" s="15" t="s">
        <v>10</v>
      </c>
      <c r="P5936" s="15" t="s">
        <v>10</v>
      </c>
      <c r="Q5936" s="8"/>
      <c r="R5936" s="9" t="s">
        <v>5466</v>
      </c>
    </row>
    <row r="5937" spans="1:18" x14ac:dyDescent="0.25">
      <c r="A5937" s="6" t="str">
        <f>HYPERLINK("proteomic_fractions_linear_files/Yang_linear_img/6679523.jpg", "6679523")</f>
        <v>6679523</v>
      </c>
      <c r="B5937" s="7"/>
      <c r="C5937" s="6" t="str">
        <f>HYPERLINK("http://www.ncbi.nlm.nih.gov/protein/6679523","Pten")</f>
        <v>Pten</v>
      </c>
      <c r="D5937" s="8"/>
      <c r="E5937" s="8">
        <v>47021</v>
      </c>
      <c r="F5937" s="8"/>
      <c r="G5937" s="15" t="s">
        <v>10</v>
      </c>
      <c r="H5937" s="15" t="s">
        <v>10</v>
      </c>
      <c r="I5937" s="15" t="s">
        <v>10</v>
      </c>
      <c r="J5937" s="15" t="s">
        <v>10</v>
      </c>
      <c r="K5937" s="15" t="s">
        <v>10</v>
      </c>
      <c r="L5937" s="15" t="s">
        <v>10</v>
      </c>
      <c r="M5937" s="15" t="s">
        <v>10</v>
      </c>
      <c r="N5937" s="15" t="s">
        <v>10</v>
      </c>
      <c r="O5937" s="15">
        <v>1.1302248857447037</v>
      </c>
      <c r="P5937" s="15">
        <v>1.1302248857447037</v>
      </c>
      <c r="Q5937" s="8"/>
      <c r="R5937" s="9" t="s">
        <v>5467</v>
      </c>
    </row>
    <row r="5938" spans="1:18" x14ac:dyDescent="0.25">
      <c r="A5938" s="6" t="str">
        <f>HYPERLINK("proteomic_fractions_linear_files/Yang_linear_img/6679525.jpg", "6679525")</f>
        <v>6679525</v>
      </c>
      <c r="B5938" s="7"/>
      <c r="C5938" s="6" t="str">
        <f>HYPERLINK("http://www.ncbi.nlm.nih.gov/protein/6679525","Pter")</f>
        <v>Pter</v>
      </c>
      <c r="D5938" s="8"/>
      <c r="E5938" s="8">
        <v>39087</v>
      </c>
      <c r="F5938" s="8"/>
      <c r="G5938" s="15" t="s">
        <v>10</v>
      </c>
      <c r="H5938" s="15" t="s">
        <v>10</v>
      </c>
      <c r="I5938" s="15">
        <v>0.95746990828524592</v>
      </c>
      <c r="J5938" s="15">
        <v>0.95746990828524592</v>
      </c>
      <c r="K5938" s="15" t="s">
        <v>10</v>
      </c>
      <c r="L5938" s="15" t="s">
        <v>10</v>
      </c>
      <c r="M5938" s="15" t="s">
        <v>10</v>
      </c>
      <c r="N5938" s="15" t="s">
        <v>10</v>
      </c>
      <c r="O5938" s="15">
        <v>0.8859840136019278</v>
      </c>
      <c r="P5938" s="15">
        <v>0.8859840136019278</v>
      </c>
      <c r="Q5938" s="8"/>
      <c r="R5938" s="9" t="s">
        <v>5468</v>
      </c>
    </row>
    <row r="5939" spans="1:18" x14ac:dyDescent="0.25">
      <c r="A5939" s="6" t="str">
        <f>HYPERLINK("proteomic_fractions_linear_files/Yang_linear_img/260763900.jpg", "260763900")</f>
        <v>260763900</v>
      </c>
      <c r="B5939" s="7"/>
      <c r="C5939" s="6" t="str">
        <f>HYPERLINK("http://www.ncbi.nlm.nih.gov/protein/260763900","Ptges2")</f>
        <v>Ptges2</v>
      </c>
      <c r="D5939" s="8"/>
      <c r="E5939" s="8">
        <v>43193</v>
      </c>
      <c r="F5939" s="8"/>
      <c r="G5939" s="15">
        <v>0.942030655888901</v>
      </c>
      <c r="H5939" s="15">
        <v>0.942030655888901</v>
      </c>
      <c r="I5939" s="15">
        <v>0.64926072785307121</v>
      </c>
      <c r="J5939" s="15">
        <v>0.64926072785307121</v>
      </c>
      <c r="K5939" s="15">
        <v>0.29644696144040988</v>
      </c>
      <c r="L5939" s="15">
        <v>0.29644696144040988</v>
      </c>
      <c r="M5939" s="15" t="s">
        <v>10</v>
      </c>
      <c r="N5939" s="15" t="s">
        <v>10</v>
      </c>
      <c r="O5939" s="15" t="s">
        <v>10</v>
      </c>
      <c r="P5939" s="15" t="s">
        <v>10</v>
      </c>
      <c r="Q5939" s="8"/>
      <c r="R5939" s="9" t="s">
        <v>5469</v>
      </c>
    </row>
    <row r="5940" spans="1:18" x14ac:dyDescent="0.25">
      <c r="A5940" s="6" t="str">
        <f>HYPERLINK("proteomic_fractions_linear_files/Yang_linear_img/50845420.jpg", "50845420")</f>
        <v>50845420</v>
      </c>
      <c r="B5940" s="7"/>
      <c r="C5940" s="6" t="str">
        <f>HYPERLINK("http://www.ncbi.nlm.nih.gov/protein/50845420","Ptgfrn")</f>
        <v>Ptgfrn</v>
      </c>
      <c r="D5940" s="8"/>
      <c r="E5940" s="8">
        <v>96535</v>
      </c>
      <c r="F5940" s="8"/>
      <c r="G5940" s="15" t="s">
        <v>10</v>
      </c>
      <c r="H5940" s="15" t="s">
        <v>10</v>
      </c>
      <c r="I5940" s="15">
        <v>1.5819883622292974</v>
      </c>
      <c r="J5940" s="15">
        <v>1.5819883622292974</v>
      </c>
      <c r="K5940" s="15">
        <v>1.5819883622292974</v>
      </c>
      <c r="L5940" s="15">
        <v>1.5819883622292974</v>
      </c>
      <c r="M5940" s="15">
        <v>1.5819883622292974</v>
      </c>
      <c r="N5940" s="15">
        <v>1.5819883622292974</v>
      </c>
      <c r="O5940" s="15" t="s">
        <v>10</v>
      </c>
      <c r="P5940" s="15" t="s">
        <v>10</v>
      </c>
      <c r="Q5940" s="8"/>
      <c r="R5940" s="9" t="s">
        <v>5470</v>
      </c>
    </row>
    <row r="5941" spans="1:18" x14ac:dyDescent="0.25">
      <c r="A5941" s="6" t="str">
        <f>HYPERLINK("proteomic_fractions_linear_files/Yang_linear_img/13385466.jpg", "13385466")</f>
        <v>13385466</v>
      </c>
      <c r="B5941" s="7"/>
      <c r="C5941" s="6" t="str">
        <f>HYPERLINK("http://www.ncbi.nlm.nih.gov/protein/13385466","Ptgr1")</f>
        <v>Ptgr1</v>
      </c>
      <c r="D5941" s="8"/>
      <c r="E5941" s="8">
        <v>35429</v>
      </c>
      <c r="F5941" s="8"/>
      <c r="G5941" s="15" t="s">
        <v>10</v>
      </c>
      <c r="H5941" s="15" t="s">
        <v>10</v>
      </c>
      <c r="I5941" s="15" t="s">
        <v>10</v>
      </c>
      <c r="J5941" s="15" t="s">
        <v>10</v>
      </c>
      <c r="K5941" s="15" t="s">
        <v>10</v>
      </c>
      <c r="L5941" s="15" t="s">
        <v>10</v>
      </c>
      <c r="M5941" s="15" t="s">
        <v>10</v>
      </c>
      <c r="N5941" s="15" t="s">
        <v>10</v>
      </c>
      <c r="O5941" s="15">
        <v>0.85386876833466085</v>
      </c>
      <c r="P5941" s="15">
        <v>0.85386876833466085</v>
      </c>
      <c r="Q5941" s="8"/>
      <c r="R5941" s="9" t="s">
        <v>5471</v>
      </c>
    </row>
    <row r="5942" spans="1:18" x14ac:dyDescent="0.25">
      <c r="A5942" s="6" t="str">
        <f>HYPERLINK("proteomic_fractions_linear_files/Yang_linear_img/357933647.jpg", "357933647")</f>
        <v>357933647</v>
      </c>
      <c r="B5942" s="7"/>
      <c r="C5942" s="6" t="str">
        <f>HYPERLINK("http://www.ncbi.nlm.nih.gov/protein/357933647","Ptgr2")</f>
        <v>Ptgr2</v>
      </c>
      <c r="D5942" s="8"/>
      <c r="E5942" s="8">
        <v>32393</v>
      </c>
      <c r="F5942" s="8"/>
      <c r="G5942" s="15" t="s">
        <v>10</v>
      </c>
      <c r="H5942" s="15" t="s">
        <v>10</v>
      </c>
      <c r="I5942" s="15" t="s">
        <v>10</v>
      </c>
      <c r="J5942" s="15" t="s">
        <v>10</v>
      </c>
      <c r="K5942" s="15">
        <v>1.2658536938507108</v>
      </c>
      <c r="L5942" s="15">
        <v>1.2658536938507108</v>
      </c>
      <c r="M5942" s="15">
        <v>1.1669164507226435</v>
      </c>
      <c r="N5942" s="15">
        <v>1.1669164507226435</v>
      </c>
      <c r="O5942" s="15">
        <v>1.0797930165773495</v>
      </c>
      <c r="P5942" s="15">
        <v>1.0797930165773495</v>
      </c>
      <c r="Q5942" s="8"/>
      <c r="R5942" s="9" t="s">
        <v>5472</v>
      </c>
    </row>
    <row r="5943" spans="1:18" x14ac:dyDescent="0.25">
      <c r="A5943" s="6" t="str">
        <f>HYPERLINK("proteomic_fractions_linear_files/Yang_linear_img/85719320.jpg", "85719320")</f>
        <v>85719320</v>
      </c>
      <c r="B5943" s="7"/>
      <c r="C5943" s="6" t="str">
        <f>HYPERLINK("http://www.ncbi.nlm.nih.gov/protein/85719320","Ptgr2")</f>
        <v>Ptgr2</v>
      </c>
      <c r="D5943" s="8"/>
      <c r="E5943" s="8">
        <v>37884</v>
      </c>
      <c r="F5943" s="8"/>
      <c r="G5943" s="15" t="s">
        <v>10</v>
      </c>
      <c r="H5943" s="15" t="s">
        <v>10</v>
      </c>
      <c r="I5943" s="15" t="s">
        <v>10</v>
      </c>
      <c r="J5943" s="15" t="s">
        <v>10</v>
      </c>
      <c r="K5943" s="15">
        <v>1.0659820579795458</v>
      </c>
      <c r="L5943" s="15">
        <v>1.0659820579795458</v>
      </c>
      <c r="M5943" s="15">
        <v>0.98266648481906815</v>
      </c>
      <c r="N5943" s="15">
        <v>0.98266648481906815</v>
      </c>
      <c r="O5943" s="15">
        <v>0.90929938238092589</v>
      </c>
      <c r="P5943" s="15">
        <v>0.90929938238092589</v>
      </c>
      <c r="Q5943" s="8"/>
      <c r="R5943" s="9" t="s">
        <v>5473</v>
      </c>
    </row>
    <row r="5944" spans="1:18" x14ac:dyDescent="0.25">
      <c r="A5944" s="6" t="str">
        <f>HYPERLINK("proteomic_fractions_linear_files/Yang_linear_img/6679537.jpg", "6679537")</f>
        <v>6679537</v>
      </c>
      <c r="B5944" s="7"/>
      <c r="C5944" s="6" t="str">
        <f>HYPERLINK("http://www.ncbi.nlm.nih.gov/protein/6679537","Ptgs1")</f>
        <v>Ptgs1</v>
      </c>
      <c r="D5944" s="8"/>
      <c r="E5944" s="8">
        <v>66084</v>
      </c>
      <c r="F5944" s="8"/>
      <c r="G5944" s="15">
        <v>1.438908805796735</v>
      </c>
      <c r="H5944" s="15">
        <v>1.438908805796735</v>
      </c>
      <c r="I5944" s="15">
        <v>1.1126690945709432</v>
      </c>
      <c r="J5944" s="15">
        <v>1.1126690945709432</v>
      </c>
      <c r="K5944" s="15">
        <v>1.2590705829264222</v>
      </c>
      <c r="L5944" s="15">
        <v>1.2590705829264222</v>
      </c>
      <c r="M5944" s="15" t="s">
        <v>10</v>
      </c>
      <c r="N5944" s="15" t="s">
        <v>10</v>
      </c>
      <c r="O5944" s="15" t="s">
        <v>10</v>
      </c>
      <c r="P5944" s="15" t="s">
        <v>10</v>
      </c>
      <c r="Q5944" s="8"/>
      <c r="R5944" s="9" t="s">
        <v>5474</v>
      </c>
    </row>
    <row r="5945" spans="1:18" x14ac:dyDescent="0.25">
      <c r="A5945" s="6" t="str">
        <f>HYPERLINK("proteomic_fractions_linear_files/Yang_linear_img/31981525.jpg", "31981525")</f>
        <v>31981525</v>
      </c>
      <c r="B5945" s="7"/>
      <c r="C5945" s="6" t="str">
        <f>HYPERLINK("http://www.ncbi.nlm.nih.gov/protein/31981525","Ptgs2")</f>
        <v>Ptgs2</v>
      </c>
      <c r="D5945" s="8"/>
      <c r="E5945" s="8">
        <v>67254</v>
      </c>
      <c r="F5945" s="8"/>
      <c r="G5945" s="15" t="s">
        <v>10</v>
      </c>
      <c r="H5945" s="15" t="s">
        <v>10</v>
      </c>
      <c r="I5945" s="15">
        <v>1.0960620931594365</v>
      </c>
      <c r="J5945" s="15">
        <v>1.0960620931594365</v>
      </c>
      <c r="K5945" s="15">
        <v>1.2402784846737889</v>
      </c>
      <c r="L5945" s="15">
        <v>1.2402784846737889</v>
      </c>
      <c r="M5945" s="15" t="s">
        <v>10</v>
      </c>
      <c r="N5945" s="15" t="s">
        <v>10</v>
      </c>
      <c r="O5945" s="15" t="s">
        <v>10</v>
      </c>
      <c r="P5945" s="15" t="s">
        <v>10</v>
      </c>
      <c r="Q5945" s="8"/>
      <c r="R5945" s="9" t="s">
        <v>5475</v>
      </c>
    </row>
    <row r="5946" spans="1:18" x14ac:dyDescent="0.25">
      <c r="A5946" s="6" t="str">
        <f>HYPERLINK("proteomic_fractions_linear_files/Yang_linear_img/194353974.jpg", "194353974")</f>
        <v>194353974</v>
      </c>
      <c r="B5946" s="7"/>
      <c r="C5946" s="6" t="str">
        <f>HYPERLINK("http://www.ncbi.nlm.nih.gov/protein/194353974","Ptk2")</f>
        <v>Ptk2</v>
      </c>
      <c r="D5946" s="8"/>
      <c r="E5946" s="8">
        <v>103940</v>
      </c>
      <c r="F5946" s="8"/>
      <c r="G5946" s="15" t="s">
        <v>10</v>
      </c>
      <c r="H5946" s="15" t="s">
        <v>10</v>
      </c>
      <c r="I5946" s="15" t="s">
        <v>10</v>
      </c>
      <c r="J5946" s="15" t="s">
        <v>10</v>
      </c>
      <c r="K5946" s="15" t="s">
        <v>10</v>
      </c>
      <c r="L5946" s="15" t="s">
        <v>10</v>
      </c>
      <c r="M5946" s="15" t="s">
        <v>10</v>
      </c>
      <c r="N5946" s="15" t="s">
        <v>10</v>
      </c>
      <c r="O5946" s="15">
        <v>1.237707962933817</v>
      </c>
      <c r="P5946" s="15">
        <v>1.237707962933817</v>
      </c>
      <c r="Q5946" s="8"/>
      <c r="R5946" s="9" t="s">
        <v>5476</v>
      </c>
    </row>
    <row r="5947" spans="1:18" x14ac:dyDescent="0.25">
      <c r="A5947" s="6" t="str">
        <f>HYPERLINK("proteomic_fractions_linear_files/Yang_linear_img/194353972.jpg", "194353972")</f>
        <v>194353972</v>
      </c>
      <c r="B5947" s="7"/>
      <c r="C5947" s="6" t="str">
        <f>HYPERLINK("http://www.ncbi.nlm.nih.gov/protein/194353972","Ptk2")</f>
        <v>Ptk2</v>
      </c>
      <c r="D5947" s="8"/>
      <c r="E5947" s="8">
        <v>119112</v>
      </c>
      <c r="F5947" s="8"/>
      <c r="G5947" s="15" t="s">
        <v>10</v>
      </c>
      <c r="H5947" s="15" t="s">
        <v>10</v>
      </c>
      <c r="I5947" s="15" t="s">
        <v>10</v>
      </c>
      <c r="J5947" s="15" t="s">
        <v>10</v>
      </c>
      <c r="K5947" s="15">
        <v>1.0816943541606467</v>
      </c>
      <c r="L5947" s="15">
        <v>1.0816943541606467</v>
      </c>
      <c r="M5947" s="15" t="s">
        <v>10</v>
      </c>
      <c r="N5947" s="15" t="s">
        <v>10</v>
      </c>
      <c r="O5947" s="15">
        <v>1.0816943541606467</v>
      </c>
      <c r="P5947" s="15">
        <v>1.0816943541606467</v>
      </c>
      <c r="Q5947" s="8"/>
      <c r="R5947" s="9" t="s">
        <v>5477</v>
      </c>
    </row>
    <row r="5948" spans="1:18" x14ac:dyDescent="0.25">
      <c r="A5948" s="6" t="str">
        <f>HYPERLINK("proteomic_fractions_linear_files/Yang_linear_img/241982783.jpg", "241982783")</f>
        <v>241982783</v>
      </c>
      <c r="B5948" s="7"/>
      <c r="C5948" s="6" t="str">
        <f>HYPERLINK("http://www.ncbi.nlm.nih.gov/protein/241982783","Ptk2b")</f>
        <v>Ptk2b</v>
      </c>
      <c r="D5948" s="8"/>
      <c r="E5948" s="8">
        <v>110972</v>
      </c>
      <c r="F5948" s="8"/>
      <c r="G5948" s="15" t="s">
        <v>10</v>
      </c>
      <c r="H5948" s="15" t="s">
        <v>10</v>
      </c>
      <c r="I5948" s="15" t="s">
        <v>10</v>
      </c>
      <c r="J5948" s="15" t="s">
        <v>10</v>
      </c>
      <c r="K5948" s="15" t="s">
        <v>10</v>
      </c>
      <c r="L5948" s="15" t="s">
        <v>10</v>
      </c>
      <c r="M5948" s="15" t="s">
        <v>10</v>
      </c>
      <c r="N5948" s="15" t="s">
        <v>10</v>
      </c>
      <c r="O5948" s="15">
        <v>1.1596543076136663</v>
      </c>
      <c r="P5948" s="15">
        <v>1.1596543076136663</v>
      </c>
      <c r="Q5948" s="8"/>
      <c r="R5948" s="9" t="s">
        <v>5478</v>
      </c>
    </row>
    <row r="5949" spans="1:18" x14ac:dyDescent="0.25">
      <c r="A5949" s="6" t="str">
        <f>HYPERLINK("proteomic_fractions_linear_files/Yang_linear_img/241982787.jpg", "241982787")</f>
        <v>241982787</v>
      </c>
      <c r="B5949" s="7"/>
      <c r="C5949" s="6" t="str">
        <f>HYPERLINK("http://www.ncbi.nlm.nih.gov/protein/241982787","Ptk2b")</f>
        <v>Ptk2b</v>
      </c>
      <c r="D5949" s="8"/>
      <c r="E5949" s="8">
        <v>115284</v>
      </c>
      <c r="F5949" s="8"/>
      <c r="G5949" s="15" t="s">
        <v>10</v>
      </c>
      <c r="H5949" s="15" t="s">
        <v>10</v>
      </c>
      <c r="I5949" s="15" t="s">
        <v>10</v>
      </c>
      <c r="J5949" s="15" t="s">
        <v>10</v>
      </c>
      <c r="K5949" s="15" t="s">
        <v>10</v>
      </c>
      <c r="L5949" s="15" t="s">
        <v>10</v>
      </c>
      <c r="M5949" s="15" t="s">
        <v>10</v>
      </c>
      <c r="N5949" s="15" t="s">
        <v>10</v>
      </c>
      <c r="O5949" s="15">
        <v>1.1193185056097128</v>
      </c>
      <c r="P5949" s="15">
        <v>1.1193185056097128</v>
      </c>
      <c r="Q5949" s="8"/>
      <c r="R5949" s="9" t="s">
        <v>5479</v>
      </c>
    </row>
    <row r="5950" spans="1:18" x14ac:dyDescent="0.25">
      <c r="A5950" s="6" t="str">
        <f>HYPERLINK("proteomic_fractions_linear_files/Yang_linear_img/241982789.jpg", "241982789")</f>
        <v>241982789</v>
      </c>
      <c r="B5950" s="7"/>
      <c r="C5950" s="6" t="str">
        <f>HYPERLINK("http://www.ncbi.nlm.nih.gov/protein/241982789","Ptk2b")</f>
        <v>Ptk2b</v>
      </c>
      <c r="D5950" s="8"/>
      <c r="E5950" s="8">
        <v>115664</v>
      </c>
      <c r="F5950" s="8"/>
      <c r="G5950" s="15" t="s">
        <v>10</v>
      </c>
      <c r="H5950" s="15" t="s">
        <v>10</v>
      </c>
      <c r="I5950" s="15" t="s">
        <v>10</v>
      </c>
      <c r="J5950" s="15" t="s">
        <v>10</v>
      </c>
      <c r="K5950" s="15" t="s">
        <v>10</v>
      </c>
      <c r="L5950" s="15" t="s">
        <v>10</v>
      </c>
      <c r="M5950" s="15" t="s">
        <v>10</v>
      </c>
      <c r="N5950" s="15" t="s">
        <v>10</v>
      </c>
      <c r="O5950" s="15">
        <v>1.1096692081475601</v>
      </c>
      <c r="P5950" s="15">
        <v>1.1096692081475601</v>
      </c>
      <c r="Q5950" s="8"/>
      <c r="R5950" s="9" t="s">
        <v>5480</v>
      </c>
    </row>
    <row r="5951" spans="1:18" x14ac:dyDescent="0.25">
      <c r="A5951" s="6" t="str">
        <f>HYPERLINK("proteomic_fractions_linear_files/Yang_linear_img/30425042.jpg", "30425042")</f>
        <v>30425042</v>
      </c>
      <c r="B5951" s="7"/>
      <c r="C5951" s="6" t="str">
        <f>HYPERLINK("http://www.ncbi.nlm.nih.gov/protein/30425042","Ptk7")</f>
        <v>Ptk7</v>
      </c>
      <c r="D5951" s="8"/>
      <c r="E5951" s="8">
        <v>115290</v>
      </c>
      <c r="F5951" s="8"/>
      <c r="G5951" s="15" t="s">
        <v>10</v>
      </c>
      <c r="H5951" s="15" t="s">
        <v>10</v>
      </c>
      <c r="I5951" s="15">
        <v>0.25987310340620112</v>
      </c>
      <c r="J5951" s="15">
        <v>0.25987310340620112</v>
      </c>
      <c r="K5951" s="15">
        <v>1.6240507099125248</v>
      </c>
      <c r="L5951" s="15">
        <v>1.6240507099125248</v>
      </c>
      <c r="M5951" s="15" t="s">
        <v>10</v>
      </c>
      <c r="N5951" s="15" t="s">
        <v>10</v>
      </c>
      <c r="O5951" s="15" t="s">
        <v>10</v>
      </c>
      <c r="P5951" s="15" t="s">
        <v>10</v>
      </c>
      <c r="Q5951" s="8"/>
      <c r="R5951" s="9" t="s">
        <v>5481</v>
      </c>
    </row>
    <row r="5952" spans="1:18" x14ac:dyDescent="0.25">
      <c r="A5952" s="6" t="str">
        <f>HYPERLINK("proteomic_fractions_linear_files/Yang_linear_img/7110705.jpg", "7110705")</f>
        <v>7110705</v>
      </c>
      <c r="B5952" s="7"/>
      <c r="C5952" s="6" t="str">
        <f>HYPERLINK("http://www.ncbi.nlm.nih.gov/protein/7110705","Ptma")</f>
        <v>Ptma</v>
      </c>
      <c r="D5952" s="8"/>
      <c r="E5952" s="8">
        <v>12123</v>
      </c>
      <c r="F5952" s="8"/>
      <c r="G5952" s="15">
        <v>2.1791881762854168</v>
      </c>
      <c r="H5952" s="15">
        <v>2.1791881762854168</v>
      </c>
      <c r="I5952" s="15">
        <v>1.4641616471132473</v>
      </c>
      <c r="J5952" s="15">
        <v>1.4641616471132473</v>
      </c>
      <c r="K5952" s="15">
        <v>1.5412749303803404</v>
      </c>
      <c r="L5952" s="15">
        <v>1.5412749303803404</v>
      </c>
      <c r="M5952" s="15">
        <v>1.6250958190029394</v>
      </c>
      <c r="N5952" s="15">
        <v>1.6250958190029394</v>
      </c>
      <c r="O5952" s="15">
        <v>1.5412749303803404</v>
      </c>
      <c r="P5952" s="15">
        <v>1.5412749303803404</v>
      </c>
      <c r="Q5952" s="8"/>
      <c r="R5952" s="9" t="s">
        <v>5482</v>
      </c>
    </row>
    <row r="5953" spans="1:18" x14ac:dyDescent="0.25">
      <c r="A5953" s="6" t="str">
        <f>HYPERLINK("proteomic_fractions_linear_files/Yang_linear_img/62460366.jpg", "62460366")</f>
        <v>62460366</v>
      </c>
      <c r="B5953" s="7"/>
      <c r="C5953" s="6" t="str">
        <f>HYPERLINK("http://www.ncbi.nlm.nih.gov/protein/62460366","Ptms")</f>
        <v>Ptms</v>
      </c>
      <c r="D5953" s="8"/>
      <c r="E5953" s="8">
        <v>11299</v>
      </c>
      <c r="F5953" s="8"/>
      <c r="G5953" s="15">
        <v>1.6813908331421894</v>
      </c>
      <c r="H5953" s="15">
        <v>1.6813908331421894</v>
      </c>
      <c r="I5953" s="15">
        <v>1.7728318025486614</v>
      </c>
      <c r="J5953" s="15">
        <v>1.7728318025486614</v>
      </c>
      <c r="K5953" s="15">
        <v>1.7728318025486614</v>
      </c>
      <c r="L5953" s="15">
        <v>1.7728318025486614</v>
      </c>
      <c r="M5953" s="15">
        <v>1.7728318025486614</v>
      </c>
      <c r="N5953" s="15">
        <v>1.7728318025486614</v>
      </c>
      <c r="O5953" s="15">
        <v>1.9814311155162501</v>
      </c>
      <c r="P5953" s="15">
        <v>1.9814311155162501</v>
      </c>
      <c r="Q5953" s="8"/>
      <c r="R5953" s="9" t="s">
        <v>5483</v>
      </c>
    </row>
    <row r="5954" spans="1:18" x14ac:dyDescent="0.25">
      <c r="A5954" s="6" t="str">
        <f>HYPERLINK("proteomic_fractions_linear_files/Yang_linear_img/258613926;6679545.jpg", "258613926;6679545")</f>
        <v>258613926;6679545</v>
      </c>
      <c r="B5954" s="8"/>
      <c r="C5954" s="6" t="str">
        <f>HYPERLINK("http://www.ncbi.nlm.nih.gov/protein/258613926;6679545","Ptp4a2")</f>
        <v>Ptp4a2</v>
      </c>
      <c r="D5954" s="8"/>
      <c r="E5954" s="8">
        <v>18996</v>
      </c>
      <c r="F5954" s="8"/>
      <c r="G5954" s="15" t="s">
        <v>10</v>
      </c>
      <c r="H5954" s="15" t="s">
        <v>10</v>
      </c>
      <c r="I5954" s="15" t="s">
        <v>10</v>
      </c>
      <c r="J5954" s="15" t="s">
        <v>10</v>
      </c>
      <c r="K5954" s="15">
        <v>0.97343679813495176</v>
      </c>
      <c r="L5954" s="15">
        <v>0.97343679813495176</v>
      </c>
      <c r="M5954" s="15" t="s">
        <v>10</v>
      </c>
      <c r="N5954" s="15" t="s">
        <v>10</v>
      </c>
      <c r="O5954" s="15" t="s">
        <v>10</v>
      </c>
      <c r="P5954" s="15" t="s">
        <v>10</v>
      </c>
      <c r="Q5954" s="8"/>
      <c r="R5954" s="9" t="s">
        <v>5484</v>
      </c>
    </row>
    <row r="5955" spans="1:18" x14ac:dyDescent="0.25">
      <c r="A5955" s="6" t="str">
        <f>HYPERLINK("proteomic_fractions_linear_files/Yang_linear_img/6679545.jpg", "6679545")</f>
        <v>6679545</v>
      </c>
      <c r="B5955" s="7"/>
      <c r="C5955" s="6" t="str">
        <f>HYPERLINK("http://www.ncbi.nlm.nih.gov/protein/6679545","Ptp4a2")</f>
        <v>Ptp4a2</v>
      </c>
      <c r="D5955" s="8"/>
      <c r="E5955" s="8">
        <v>18996</v>
      </c>
      <c r="F5955" s="8"/>
      <c r="G5955" s="15" t="s">
        <v>10</v>
      </c>
      <c r="H5955" s="15" t="s">
        <v>10</v>
      </c>
      <c r="I5955" s="15">
        <v>1.0263763067386986</v>
      </c>
      <c r="J5955" s="15">
        <v>1.0263763067386986</v>
      </c>
      <c r="K5955" s="15" t="s">
        <v>10</v>
      </c>
      <c r="L5955" s="15" t="s">
        <v>10</v>
      </c>
      <c r="M5955" s="15">
        <v>1.0263763067386986</v>
      </c>
      <c r="N5955" s="15">
        <v>1.0263763067386986</v>
      </c>
      <c r="O5955" s="15">
        <v>0.97343679813495176</v>
      </c>
      <c r="P5955" s="15">
        <v>0.97343679813495176</v>
      </c>
      <c r="Q5955" s="8"/>
      <c r="R5955" s="9" t="s">
        <v>5484</v>
      </c>
    </row>
    <row r="5956" spans="1:18" x14ac:dyDescent="0.25">
      <c r="A5956" s="6" t="str">
        <f>HYPERLINK("proteomic_fractions_linear_files/Yang_linear_img/171184435.jpg", "171184435")</f>
        <v>171184435</v>
      </c>
      <c r="B5956" s="7"/>
      <c r="C5956" s="6" t="str">
        <f>HYPERLINK("http://www.ncbi.nlm.nih.gov/protein/171184435","Ptplad1")</f>
        <v>Ptplad1</v>
      </c>
      <c r="D5956" s="8"/>
      <c r="E5956" s="8">
        <v>43000</v>
      </c>
      <c r="F5956" s="8"/>
      <c r="G5956" s="15" t="s">
        <v>10</v>
      </c>
      <c r="H5956" s="15" t="s">
        <v>10</v>
      </c>
      <c r="I5956" s="15" t="s">
        <v>10</v>
      </c>
      <c r="J5956" s="15" t="s">
        <v>10</v>
      </c>
      <c r="K5956" s="15">
        <v>0.86840294007266494</v>
      </c>
      <c r="L5956" s="15">
        <v>0.86840294007266494</v>
      </c>
      <c r="M5956" s="15" t="s">
        <v>10</v>
      </c>
      <c r="N5956" s="15" t="s">
        <v>10</v>
      </c>
      <c r="O5956" s="15" t="s">
        <v>10</v>
      </c>
      <c r="P5956" s="15" t="s">
        <v>10</v>
      </c>
      <c r="Q5956" s="8"/>
      <c r="R5956" s="9" t="s">
        <v>5485</v>
      </c>
    </row>
    <row r="5957" spans="1:18" x14ac:dyDescent="0.25">
      <c r="A5957" s="6" t="str">
        <f>HYPERLINK("proteomic_fractions_linear_files/Yang_linear_img/84872191.jpg", "84872191")</f>
        <v>84872191</v>
      </c>
      <c r="B5957" s="7"/>
      <c r="C5957" s="6" t="str">
        <f>HYPERLINK("http://www.ncbi.nlm.nih.gov/protein/84872191","Ptplb")</f>
        <v>Ptplb</v>
      </c>
      <c r="D5957" s="8"/>
      <c r="E5957" s="8">
        <v>28271</v>
      </c>
      <c r="F5957" s="8"/>
      <c r="G5957" s="15" t="s">
        <v>10</v>
      </c>
      <c r="H5957" s="15" t="s">
        <v>10</v>
      </c>
      <c r="I5957" s="15">
        <v>0.77841936680995538</v>
      </c>
      <c r="J5957" s="15">
        <v>0.77841936680995538</v>
      </c>
      <c r="K5957" s="15">
        <v>0.77841936680995538</v>
      </c>
      <c r="L5957" s="15">
        <v>0.77841936680995538</v>
      </c>
      <c r="M5957" s="15" t="s">
        <v>10</v>
      </c>
      <c r="N5957" s="15" t="s">
        <v>10</v>
      </c>
      <c r="O5957" s="15" t="s">
        <v>10</v>
      </c>
      <c r="P5957" s="15" t="s">
        <v>10</v>
      </c>
      <c r="Q5957" s="8"/>
      <c r="R5957" s="9" t="s">
        <v>5486</v>
      </c>
    </row>
    <row r="5958" spans="1:18" x14ac:dyDescent="0.25">
      <c r="A5958" s="6" t="str">
        <f>HYPERLINK("proteomic_fractions_linear_files/Yang_linear_img/23956130.jpg", "23956130")</f>
        <v>23956130</v>
      </c>
      <c r="B5958" s="7"/>
      <c r="C5958" s="6" t="str">
        <f>HYPERLINK("http://www.ncbi.nlm.nih.gov/protein/23956130","Ptpmt1")</f>
        <v>Ptpmt1</v>
      </c>
      <c r="D5958" s="8"/>
      <c r="E5958" s="8">
        <v>28503</v>
      </c>
      <c r="F5958" s="8"/>
      <c r="G5958" s="15" t="s">
        <v>10</v>
      </c>
      <c r="H5958" s="15" t="s">
        <v>10</v>
      </c>
      <c r="I5958" s="15">
        <v>0.67245344234604398</v>
      </c>
      <c r="J5958" s="15">
        <v>0.67245344234604398</v>
      </c>
      <c r="K5958" s="15">
        <v>0.84671795218196266</v>
      </c>
      <c r="L5958" s="15">
        <v>0.84671795218196266</v>
      </c>
      <c r="M5958" s="15" t="s">
        <v>10</v>
      </c>
      <c r="N5958" s="15" t="s">
        <v>10</v>
      </c>
      <c r="O5958" s="15" t="s">
        <v>10</v>
      </c>
      <c r="P5958" s="15" t="s">
        <v>10</v>
      </c>
      <c r="Q5958" s="8"/>
      <c r="R5958" s="9" t="s">
        <v>5487</v>
      </c>
    </row>
    <row r="5959" spans="1:18" x14ac:dyDescent="0.25">
      <c r="A5959" s="6" t="str">
        <f>HYPERLINK("proteomic_fractions_linear_files/Yang_linear_img/133505845.jpg", "133505845")</f>
        <v>133505845</v>
      </c>
      <c r="B5959" s="7"/>
      <c r="C5959" s="6" t="str">
        <f>HYPERLINK("http://www.ncbi.nlm.nih.gov/protein/133505845","Ptpn1")</f>
        <v>Ptpn1</v>
      </c>
      <c r="D5959" s="8"/>
      <c r="E5959" s="8">
        <v>49462</v>
      </c>
      <c r="F5959" s="8"/>
      <c r="G5959" s="15" t="s">
        <v>10</v>
      </c>
      <c r="H5959" s="15" t="s">
        <v>10</v>
      </c>
      <c r="I5959" s="15">
        <v>0.9855097058043929</v>
      </c>
      <c r="J5959" s="15">
        <v>0.9855097058043929</v>
      </c>
      <c r="K5959" s="15">
        <v>1.0840932577551241</v>
      </c>
      <c r="L5959" s="15">
        <v>1.0840932577551241</v>
      </c>
      <c r="M5959" s="15" t="s">
        <v>10</v>
      </c>
      <c r="N5959" s="15" t="s">
        <v>10</v>
      </c>
      <c r="O5959" s="15" t="s">
        <v>10</v>
      </c>
      <c r="P5959" s="15" t="s">
        <v>10</v>
      </c>
      <c r="Q5959" s="8"/>
      <c r="R5959" s="9" t="s">
        <v>5488</v>
      </c>
    </row>
    <row r="5960" spans="1:18" x14ac:dyDescent="0.25">
      <c r="A5960" s="6" t="str">
        <f>HYPERLINK("proteomic_fractions_linear_files/Yang_linear_img/158508568.jpg", "158508568")</f>
        <v>158508568</v>
      </c>
      <c r="B5960" s="7"/>
      <c r="C5960" s="6" t="str">
        <f>HYPERLINK("http://www.ncbi.nlm.nih.gov/protein/158508568","Ptpn11")</f>
        <v>Ptpn11</v>
      </c>
      <c r="D5960" s="8"/>
      <c r="E5960" s="8">
        <v>67904</v>
      </c>
      <c r="F5960" s="8"/>
      <c r="G5960" s="15" t="s">
        <v>10</v>
      </c>
      <c r="H5960" s="15" t="s">
        <v>10</v>
      </c>
      <c r="I5960" s="15">
        <v>0.96254799015506365</v>
      </c>
      <c r="J5960" s="15">
        <v>0.96254799015506365</v>
      </c>
      <c r="K5960" s="15">
        <v>1.0799435329659153</v>
      </c>
      <c r="L5960" s="15">
        <v>1.0799435329659153</v>
      </c>
      <c r="M5960" s="15">
        <v>1.0799435329659153</v>
      </c>
      <c r="N5960" s="15">
        <v>1.0799435329659153</v>
      </c>
      <c r="O5960" s="15">
        <v>0.96254799015506365</v>
      </c>
      <c r="P5960" s="15">
        <v>0.96254799015506365</v>
      </c>
      <c r="Q5960" s="8"/>
      <c r="R5960" s="9" t="s">
        <v>5489</v>
      </c>
    </row>
    <row r="5961" spans="1:18" x14ac:dyDescent="0.25">
      <c r="A5961" s="6" t="str">
        <f>HYPERLINK("proteomic_fractions_linear_files/Yang_linear_img/6755228.jpg", "6755228")</f>
        <v>6755228</v>
      </c>
      <c r="B5961" s="7"/>
      <c r="C5961" s="6" t="str">
        <f>HYPERLINK("http://www.ncbi.nlm.nih.gov/protein/6755228","Ptpn11")</f>
        <v>Ptpn11</v>
      </c>
      <c r="D5961" s="8"/>
      <c r="E5961" s="8">
        <v>68329</v>
      </c>
      <c r="F5961" s="8"/>
      <c r="G5961" s="15" t="s">
        <v>10</v>
      </c>
      <c r="H5961" s="15" t="s">
        <v>10</v>
      </c>
      <c r="I5961" s="15">
        <v>0.96254799015506365</v>
      </c>
      <c r="J5961" s="15">
        <v>0.96254799015506365</v>
      </c>
      <c r="K5961" s="15">
        <v>1.0799435329659153</v>
      </c>
      <c r="L5961" s="15">
        <v>1.0799435329659153</v>
      </c>
      <c r="M5961" s="15">
        <v>1.0799435329659153</v>
      </c>
      <c r="N5961" s="15">
        <v>1.0799435329659153</v>
      </c>
      <c r="O5961" s="15">
        <v>0.96254799015506365</v>
      </c>
      <c r="P5961" s="15">
        <v>0.96254799015506365</v>
      </c>
      <c r="Q5961" s="8"/>
      <c r="R5961" s="9" t="s">
        <v>5490</v>
      </c>
    </row>
    <row r="5962" spans="1:18" x14ac:dyDescent="0.25">
      <c r="A5962" s="6" t="str">
        <f>HYPERLINK("proteomic_fractions_linear_files/Yang_linear_img/34328195.jpg", "34328195")</f>
        <v>34328195</v>
      </c>
      <c r="B5962" s="7"/>
      <c r="C5962" s="6" t="str">
        <f>HYPERLINK("http://www.ncbi.nlm.nih.gov/protein/34328195","Ptpn12")</f>
        <v>Ptpn12</v>
      </c>
      <c r="D5962" s="8"/>
      <c r="E5962" s="8">
        <v>86396</v>
      </c>
      <c r="F5962" s="8"/>
      <c r="G5962" s="15" t="s">
        <v>10</v>
      </c>
      <c r="H5962" s="15" t="s">
        <v>10</v>
      </c>
      <c r="I5962" s="15" t="s">
        <v>10</v>
      </c>
      <c r="J5962" s="15" t="s">
        <v>10</v>
      </c>
      <c r="K5962" s="15">
        <v>1.4967631179664764</v>
      </c>
      <c r="L5962" s="15">
        <v>1.4967631179664764</v>
      </c>
      <c r="M5962" s="15">
        <v>1.4967631179664764</v>
      </c>
      <c r="N5962" s="15">
        <v>1.4967631179664764</v>
      </c>
      <c r="O5962" s="15">
        <v>1.4967631179664764</v>
      </c>
      <c r="P5962" s="15">
        <v>1.4967631179664764</v>
      </c>
      <c r="Q5962" s="8"/>
      <c r="R5962" s="9" t="s">
        <v>5491</v>
      </c>
    </row>
    <row r="5963" spans="1:18" x14ac:dyDescent="0.25">
      <c r="A5963" s="6" t="str">
        <f>HYPERLINK("proteomic_fractions_linear_files/Yang_linear_img/134948762.jpg", "134948762")</f>
        <v>134948762</v>
      </c>
      <c r="B5963" s="7"/>
      <c r="C5963" s="6" t="str">
        <f>HYPERLINK("http://www.ncbi.nlm.nih.gov/protein/134948762","Ptpn13")</f>
        <v>Ptpn13</v>
      </c>
      <c r="D5963" s="8"/>
      <c r="E5963" s="8">
        <v>270103</v>
      </c>
      <c r="F5963" s="8"/>
      <c r="G5963" s="15" t="s">
        <v>10</v>
      </c>
      <c r="H5963" s="15" t="s">
        <v>10</v>
      </c>
      <c r="I5963" s="15" t="s">
        <v>10</v>
      </c>
      <c r="J5963" s="15" t="s">
        <v>10</v>
      </c>
      <c r="K5963" s="15">
        <v>1.1177160171722176</v>
      </c>
      <c r="L5963" s="15">
        <v>1.1177160171722176</v>
      </c>
      <c r="M5963" s="15" t="s">
        <v>10</v>
      </c>
      <c r="N5963" s="15" t="s">
        <v>10</v>
      </c>
      <c r="O5963" s="15">
        <v>0.47674677090784062</v>
      </c>
      <c r="P5963" s="15">
        <v>0.47674677090784062</v>
      </c>
      <c r="Q5963" s="8"/>
      <c r="R5963" s="9" t="s">
        <v>5492</v>
      </c>
    </row>
    <row r="5964" spans="1:18" x14ac:dyDescent="0.25">
      <c r="A5964" s="6" t="str">
        <f>HYPERLINK("proteomic_fractions_linear_files/Yang_linear_img/110825986.jpg", "110825986")</f>
        <v>110825986</v>
      </c>
      <c r="B5964" s="7"/>
      <c r="C5964" s="6" t="str">
        <f>HYPERLINK("http://www.ncbi.nlm.nih.gov/protein/110825986","Ptpn14")</f>
        <v>Ptpn14</v>
      </c>
      <c r="D5964" s="8"/>
      <c r="E5964" s="8">
        <v>134911</v>
      </c>
      <c r="F5964" s="8"/>
      <c r="G5964" s="15" t="s">
        <v>10</v>
      </c>
      <c r="H5964" s="15" t="s">
        <v>10</v>
      </c>
      <c r="I5964" s="15">
        <v>1.1366879343425322</v>
      </c>
      <c r="J5964" s="15">
        <v>1.1366879343425322</v>
      </c>
      <c r="K5964" s="15">
        <v>1.383450604740299</v>
      </c>
      <c r="L5964" s="15">
        <v>1.383450604740299</v>
      </c>
      <c r="M5964" s="15">
        <v>1.1366879343425322</v>
      </c>
      <c r="N5964" s="15">
        <v>1.1366879343425322</v>
      </c>
      <c r="O5964" s="15">
        <v>1.1366879343425322</v>
      </c>
      <c r="P5964" s="15">
        <v>1.1366879343425322</v>
      </c>
      <c r="Q5964" s="8"/>
      <c r="R5964" s="9" t="s">
        <v>5493</v>
      </c>
    </row>
    <row r="5965" spans="1:18" x14ac:dyDescent="0.25">
      <c r="A5965" s="6" t="str">
        <f>HYPERLINK("proteomic_fractions_linear_files/Yang_linear_img/187608416.jpg", "187608416")</f>
        <v>187608416</v>
      </c>
      <c r="B5965" s="7"/>
      <c r="C5965" s="6" t="str">
        <f>HYPERLINK("http://www.ncbi.nlm.nih.gov/protein/187608416","Ptpn2")</f>
        <v>Ptpn2</v>
      </c>
      <c r="D5965" s="8"/>
      <c r="E5965" s="8">
        <v>47229</v>
      </c>
      <c r="F5965" s="8"/>
      <c r="G5965" s="15" t="s">
        <v>10</v>
      </c>
      <c r="H5965" s="15" t="s">
        <v>10</v>
      </c>
      <c r="I5965" s="15">
        <v>0.93884232440352056</v>
      </c>
      <c r="J5965" s="15">
        <v>0.93884232440352056</v>
      </c>
      <c r="K5965" s="15">
        <v>0.93884232440352056</v>
      </c>
      <c r="L5965" s="15">
        <v>0.93884232440352056</v>
      </c>
      <c r="M5965" s="15" t="s">
        <v>10</v>
      </c>
      <c r="N5965" s="15" t="s">
        <v>10</v>
      </c>
      <c r="O5965" s="15" t="s">
        <v>10</v>
      </c>
      <c r="P5965" s="15" t="s">
        <v>10</v>
      </c>
      <c r="Q5965" s="8"/>
      <c r="R5965" s="9" t="s">
        <v>5494</v>
      </c>
    </row>
    <row r="5966" spans="1:18" x14ac:dyDescent="0.25">
      <c r="A5966" s="6" t="str">
        <f>HYPERLINK("proteomic_fractions_linear_files/Yang_linear_img/6679553.jpg", "6679553")</f>
        <v>6679553</v>
      </c>
      <c r="B5966" s="7"/>
      <c r="C5966" s="6" t="str">
        <f>HYPERLINK("http://www.ncbi.nlm.nih.gov/protein/6679553","Ptpn2")</f>
        <v>Ptpn2</v>
      </c>
      <c r="D5966" s="8"/>
      <c r="E5966" s="8">
        <v>44442</v>
      </c>
      <c r="F5966" s="8"/>
      <c r="G5966" s="15" t="s">
        <v>10</v>
      </c>
      <c r="H5966" s="15" t="s">
        <v>10</v>
      </c>
      <c r="I5966" s="15">
        <v>1.0028543010673969</v>
      </c>
      <c r="J5966" s="15">
        <v>1.0028543010673969</v>
      </c>
      <c r="K5966" s="15">
        <v>1.0028543010673969</v>
      </c>
      <c r="L5966" s="15">
        <v>1.0028543010673969</v>
      </c>
      <c r="M5966" s="15" t="s">
        <v>10</v>
      </c>
      <c r="N5966" s="15" t="s">
        <v>10</v>
      </c>
      <c r="O5966" s="15" t="s">
        <v>10</v>
      </c>
      <c r="P5966" s="15" t="s">
        <v>10</v>
      </c>
      <c r="Q5966" s="8"/>
      <c r="R5966" s="9" t="s">
        <v>5495</v>
      </c>
    </row>
    <row r="5967" spans="1:18" x14ac:dyDescent="0.25">
      <c r="A5967" s="6" t="str">
        <f>HYPERLINK("proteomic_fractions_linear_files/Yang_linear_img/226246561.jpg", "226246561")</f>
        <v>226246561</v>
      </c>
      <c r="B5967" s="7"/>
      <c r="C5967" s="6" t="str">
        <f>HYPERLINK("http://www.ncbi.nlm.nih.gov/protein/226246561","Ptpn21")</f>
        <v>Ptpn21</v>
      </c>
      <c r="D5967" s="8"/>
      <c r="E5967" s="8">
        <v>133400</v>
      </c>
      <c r="F5967" s="8"/>
      <c r="G5967" s="15" t="s">
        <v>10</v>
      </c>
      <c r="H5967" s="15" t="s">
        <v>10</v>
      </c>
      <c r="I5967" s="15">
        <v>1.1537809859867807</v>
      </c>
      <c r="J5967" s="15">
        <v>1.1537809859867807</v>
      </c>
      <c r="K5967" s="15" t="s">
        <v>10</v>
      </c>
      <c r="L5967" s="15" t="s">
        <v>10</v>
      </c>
      <c r="M5967" s="15" t="s">
        <v>10</v>
      </c>
      <c r="N5967" s="15" t="s">
        <v>10</v>
      </c>
      <c r="O5967" s="15" t="s">
        <v>10</v>
      </c>
      <c r="P5967" s="15" t="s">
        <v>10</v>
      </c>
      <c r="Q5967" s="8"/>
      <c r="R5967" s="9" t="s">
        <v>5496</v>
      </c>
    </row>
    <row r="5968" spans="1:18" x14ac:dyDescent="0.25">
      <c r="A5968" s="6" t="str">
        <f>HYPERLINK("proteomic_fractions_linear_files/Yang_linear_img/226246563;226246561.jpg", "226246563;226246561")</f>
        <v>226246563;226246561</v>
      </c>
      <c r="B5968" s="8"/>
      <c r="C5968" s="6" t="str">
        <f>HYPERLINK("http://www.ncbi.nlm.nih.gov/protein/226246563;226246561","Ptpn21")</f>
        <v>Ptpn21</v>
      </c>
      <c r="D5968" s="8"/>
      <c r="E5968" s="8">
        <v>133400</v>
      </c>
      <c r="F5968" s="8"/>
      <c r="G5968" s="15" t="s">
        <v>10</v>
      </c>
      <c r="H5968" s="15" t="s">
        <v>10</v>
      </c>
      <c r="I5968" s="15" t="s">
        <v>10</v>
      </c>
      <c r="J5968" s="15" t="s">
        <v>10</v>
      </c>
      <c r="K5968" s="15">
        <v>1.4042543732326342</v>
      </c>
      <c r="L5968" s="15">
        <v>1.4042543732326342</v>
      </c>
      <c r="M5968" s="15" t="s">
        <v>10</v>
      </c>
      <c r="N5968" s="15" t="s">
        <v>10</v>
      </c>
      <c r="O5968" s="15" t="s">
        <v>10</v>
      </c>
      <c r="P5968" s="15" t="s">
        <v>10</v>
      </c>
      <c r="Q5968" s="8"/>
      <c r="R5968" s="9" t="s">
        <v>5496</v>
      </c>
    </row>
    <row r="5969" spans="1:18" x14ac:dyDescent="0.25">
      <c r="A5969" s="6" t="str">
        <f>HYPERLINK("proteomic_fractions_linear_files/Yang_linear_img/124517678.jpg", "124517678")</f>
        <v>124517678</v>
      </c>
      <c r="B5969" s="7"/>
      <c r="C5969" s="6" t="str">
        <f>HYPERLINK("http://www.ncbi.nlm.nih.gov/protein/124517678","Ptpn23")</f>
        <v>Ptpn23</v>
      </c>
      <c r="D5969" s="8"/>
      <c r="E5969" s="8">
        <v>185086</v>
      </c>
      <c r="F5969" s="8"/>
      <c r="G5969" s="15" t="s">
        <v>10</v>
      </c>
      <c r="H5969" s="15" t="s">
        <v>10</v>
      </c>
      <c r="I5969" s="15">
        <v>1.2614099871775626</v>
      </c>
      <c r="J5969" s="15">
        <v>1.2614099871775626</v>
      </c>
      <c r="K5969" s="15">
        <v>1.2614099871775626</v>
      </c>
      <c r="L5969" s="15">
        <v>1.2614099871775626</v>
      </c>
      <c r="M5969" s="15" t="s">
        <v>10</v>
      </c>
      <c r="N5969" s="15" t="s">
        <v>10</v>
      </c>
      <c r="O5969" s="15">
        <v>1.2614099871775626</v>
      </c>
      <c r="P5969" s="15">
        <v>1.2614099871775626</v>
      </c>
      <c r="Q5969" s="8"/>
      <c r="R5969" s="9" t="s">
        <v>5497</v>
      </c>
    </row>
    <row r="5970" spans="1:18" x14ac:dyDescent="0.25">
      <c r="A5970" s="6" t="str">
        <f>HYPERLINK("proteomic_fractions_linear_files/Yang_linear_img/218505829.jpg", "218505829")</f>
        <v>218505829</v>
      </c>
      <c r="B5970" s="7"/>
      <c r="C5970" s="6" t="str">
        <f>HYPERLINK("http://www.ncbi.nlm.nih.gov/protein/218505829","Ptpn3")</f>
        <v>Ptpn3</v>
      </c>
      <c r="D5970" s="8"/>
      <c r="E5970" s="8">
        <v>103765</v>
      </c>
      <c r="F5970" s="8"/>
      <c r="G5970" s="15" t="s">
        <v>10</v>
      </c>
      <c r="H5970" s="15" t="s">
        <v>10</v>
      </c>
      <c r="I5970" s="15" t="s">
        <v>10</v>
      </c>
      <c r="J5970" s="15" t="s">
        <v>10</v>
      </c>
      <c r="K5970" s="15">
        <v>1.237707962933817</v>
      </c>
      <c r="L5970" s="15">
        <v>1.237707962933817</v>
      </c>
      <c r="M5970" s="15" t="s">
        <v>10</v>
      </c>
      <c r="N5970" s="15" t="s">
        <v>10</v>
      </c>
      <c r="O5970" s="15" t="s">
        <v>10</v>
      </c>
      <c r="P5970" s="15" t="s">
        <v>10</v>
      </c>
      <c r="Q5970" s="8"/>
      <c r="R5970" s="9" t="s">
        <v>5498</v>
      </c>
    </row>
    <row r="5971" spans="1:18" x14ac:dyDescent="0.25">
      <c r="A5971" s="6" t="str">
        <f>HYPERLINK("proteomic_fractions_linear_files/Yang_linear_img/118130771.jpg", "118130771")</f>
        <v>118130771</v>
      </c>
      <c r="B5971" s="7"/>
      <c r="C5971" s="6" t="str">
        <f>HYPERLINK("http://www.ncbi.nlm.nih.gov/protein/118130771","Ptpn6")</f>
        <v>Ptpn6</v>
      </c>
      <c r="D5971" s="8"/>
      <c r="E5971" s="8">
        <v>67428</v>
      </c>
      <c r="F5971" s="8"/>
      <c r="G5971" s="15" t="s">
        <v>10</v>
      </c>
      <c r="H5971" s="15" t="s">
        <v>10</v>
      </c>
      <c r="I5971" s="15">
        <v>0.97691437806782588</v>
      </c>
      <c r="J5971" s="15">
        <v>0.97691437806782588</v>
      </c>
      <c r="K5971" s="15">
        <v>1.0960620931594365</v>
      </c>
      <c r="L5971" s="15">
        <v>1.0960620931594365</v>
      </c>
      <c r="M5971" s="15">
        <v>0.97691437806782588</v>
      </c>
      <c r="N5971" s="15">
        <v>0.97691437806782588</v>
      </c>
      <c r="O5971" s="15">
        <v>0.97691437806782588</v>
      </c>
      <c r="P5971" s="15">
        <v>0.97691437806782588</v>
      </c>
      <c r="Q5971" s="8"/>
      <c r="R5971" s="9" t="s">
        <v>5499</v>
      </c>
    </row>
    <row r="5972" spans="1:18" x14ac:dyDescent="0.25">
      <c r="A5972" s="6" t="str">
        <f>HYPERLINK("proteomic_fractions_linear_files/Yang_linear_img/118130785.jpg", "118130785")</f>
        <v>118130785</v>
      </c>
      <c r="B5972" s="7"/>
      <c r="C5972" s="6" t="str">
        <f>HYPERLINK("http://www.ncbi.nlm.nih.gov/protein/118130785","Ptpn6")</f>
        <v>Ptpn6</v>
      </c>
      <c r="D5972" s="8"/>
      <c r="E5972" s="8">
        <v>67586</v>
      </c>
      <c r="F5972" s="8"/>
      <c r="G5972" s="15" t="s">
        <v>10</v>
      </c>
      <c r="H5972" s="15" t="s">
        <v>10</v>
      </c>
      <c r="I5972" s="15">
        <v>0.96254799015506365</v>
      </c>
      <c r="J5972" s="15">
        <v>0.96254799015506365</v>
      </c>
      <c r="K5972" s="15">
        <v>1.0799435329659153</v>
      </c>
      <c r="L5972" s="15">
        <v>1.0799435329659153</v>
      </c>
      <c r="M5972" s="15">
        <v>0.96254799015506365</v>
      </c>
      <c r="N5972" s="15">
        <v>0.96254799015506365</v>
      </c>
      <c r="O5972" s="15">
        <v>0.96254799015506365</v>
      </c>
      <c r="P5972" s="15">
        <v>0.96254799015506365</v>
      </c>
      <c r="Q5972" s="8"/>
      <c r="R5972" s="9" t="s">
        <v>5500</v>
      </c>
    </row>
    <row r="5973" spans="1:18" x14ac:dyDescent="0.25">
      <c r="A5973" s="6" t="str">
        <f>HYPERLINK("proteomic_fractions_linear_files/Yang_linear_img/61098100.jpg", "61098100")</f>
        <v>61098100</v>
      </c>
      <c r="B5973" s="7"/>
      <c r="C5973" s="6" t="str">
        <f>HYPERLINK("http://www.ncbi.nlm.nih.gov/protein/61098100","Ptpn9")</f>
        <v>Ptpn9</v>
      </c>
      <c r="D5973" s="8"/>
      <c r="E5973" s="8">
        <v>67839</v>
      </c>
      <c r="F5973" s="8"/>
      <c r="G5973" s="15">
        <v>0.54913715328124402</v>
      </c>
      <c r="H5973" s="15">
        <v>0.54913715328124402</v>
      </c>
      <c r="I5973" s="15">
        <v>0.38456261934448532</v>
      </c>
      <c r="J5973" s="15">
        <v>0.38456261934448532</v>
      </c>
      <c r="K5973" s="15">
        <v>0.38456261934448532</v>
      </c>
      <c r="L5973" s="15">
        <v>0.38456261934448532</v>
      </c>
      <c r="M5973" s="15">
        <v>0.38456261934448532</v>
      </c>
      <c r="N5973" s="15">
        <v>0.38456261934448532</v>
      </c>
      <c r="O5973" s="15">
        <v>0.32052562162762871</v>
      </c>
      <c r="P5973" s="15">
        <v>0.32052562162762871</v>
      </c>
      <c r="Q5973" s="8"/>
      <c r="R5973" s="9" t="s">
        <v>5501</v>
      </c>
    </row>
    <row r="5974" spans="1:18" x14ac:dyDescent="0.25">
      <c r="A5974" s="6" t="str">
        <f>HYPERLINK("proteomic_fractions_linear_files/Yang_linear_img/255304936.jpg", "255304936")</f>
        <v>255304936</v>
      </c>
      <c r="B5974" s="7"/>
      <c r="C5974" s="6" t="str">
        <f>HYPERLINK("http://www.ncbi.nlm.nih.gov/protein/255304936","Ptpra")</f>
        <v>Ptpra</v>
      </c>
      <c r="D5974" s="8"/>
      <c r="E5974" s="8">
        <v>91624</v>
      </c>
      <c r="F5974" s="8"/>
      <c r="G5974" s="15">
        <v>0.90324628775156368</v>
      </c>
      <c r="H5974" s="15">
        <v>0.90324628775156368</v>
      </c>
      <c r="I5974" s="15">
        <v>2.5365309524766202</v>
      </c>
      <c r="J5974" s="15">
        <v>2.5365309524766202</v>
      </c>
      <c r="K5974" s="15">
        <v>0.79821913306176351</v>
      </c>
      <c r="L5974" s="15">
        <v>0.79821913306176351</v>
      </c>
      <c r="M5974" s="15">
        <v>0.79821913306176351</v>
      </c>
      <c r="N5974" s="15">
        <v>0.79821913306176351</v>
      </c>
      <c r="O5974" s="15" t="s">
        <v>10</v>
      </c>
      <c r="P5974" s="15" t="s">
        <v>10</v>
      </c>
      <c r="Q5974" s="8"/>
      <c r="R5974" s="9" t="s">
        <v>5502</v>
      </c>
    </row>
    <row r="5975" spans="1:18" x14ac:dyDescent="0.25">
      <c r="A5975" s="6" t="str">
        <f>HYPERLINK("proteomic_fractions_linear_files/Yang_linear_img/255304938.jpg", "255304938")</f>
        <v>255304938</v>
      </c>
      <c r="B5975" s="7"/>
      <c r="C5975" s="6" t="str">
        <f>HYPERLINK("http://www.ncbi.nlm.nih.gov/protein/255304938","Ptpra")</f>
        <v>Ptpra</v>
      </c>
      <c r="D5975" s="8"/>
      <c r="E5975" s="8">
        <v>87768</v>
      </c>
      <c r="F5975" s="8"/>
      <c r="G5975" s="15">
        <v>0.94430293719481651</v>
      </c>
      <c r="H5975" s="15">
        <v>0.94430293719481651</v>
      </c>
      <c r="I5975" s="15">
        <v>2.6518278139528304</v>
      </c>
      <c r="J5975" s="15">
        <v>2.6518278139528304</v>
      </c>
      <c r="K5975" s="15">
        <v>0.83450182092820735</v>
      </c>
      <c r="L5975" s="15">
        <v>0.83450182092820735</v>
      </c>
      <c r="M5975" s="15">
        <v>0.83450182092820735</v>
      </c>
      <c r="N5975" s="15">
        <v>0.83450182092820735</v>
      </c>
      <c r="O5975" s="15" t="s">
        <v>10</v>
      </c>
      <c r="P5975" s="15" t="s">
        <v>10</v>
      </c>
      <c r="Q5975" s="8"/>
      <c r="R5975" s="9" t="s">
        <v>5503</v>
      </c>
    </row>
    <row r="5976" spans="1:18" x14ac:dyDescent="0.25">
      <c r="A5976" s="6" t="str">
        <f>HYPERLINK("proteomic_fractions_linear_files/Yang_linear_img/90403603.jpg", "90403603")</f>
        <v>90403603</v>
      </c>
      <c r="B5976" s="7"/>
      <c r="C5976" s="6" t="str">
        <f>HYPERLINK("http://www.ncbi.nlm.nih.gov/protein/90403603","Ptprd")</f>
        <v>Ptprd</v>
      </c>
      <c r="D5976" s="8"/>
      <c r="E5976" s="8">
        <v>166781</v>
      </c>
      <c r="F5976" s="8"/>
      <c r="G5976" s="15" t="s">
        <v>10</v>
      </c>
      <c r="H5976" s="15" t="s">
        <v>10</v>
      </c>
      <c r="I5976" s="15" t="s">
        <v>10</v>
      </c>
      <c r="J5976" s="15" t="s">
        <v>10</v>
      </c>
      <c r="K5976" s="15">
        <v>0.49759675732421471</v>
      </c>
      <c r="L5976" s="15">
        <v>0.49759675732421471</v>
      </c>
      <c r="M5976" s="15" t="s">
        <v>10</v>
      </c>
      <c r="N5976" s="15" t="s">
        <v>10</v>
      </c>
      <c r="O5976" s="15" t="s">
        <v>10</v>
      </c>
      <c r="P5976" s="15" t="s">
        <v>10</v>
      </c>
      <c r="Q5976" s="8"/>
      <c r="R5976" s="9" t="s">
        <v>5504</v>
      </c>
    </row>
    <row r="5977" spans="1:18" x14ac:dyDescent="0.25">
      <c r="A5977" s="6" t="str">
        <f>HYPERLINK("proteomic_fractions_linear_files/Yang_linear_img/115648048.jpg", "115648048")</f>
        <v>115648048</v>
      </c>
      <c r="B5977" s="7"/>
      <c r="C5977" s="6" t="str">
        <f>HYPERLINK("http://www.ncbi.nlm.nih.gov/protein/115648048","Ptprf")</f>
        <v>Ptprf</v>
      </c>
      <c r="D5977" s="8"/>
      <c r="E5977" s="8">
        <v>208568</v>
      </c>
      <c r="F5977" s="8"/>
      <c r="G5977" s="15" t="s">
        <v>10</v>
      </c>
      <c r="H5977" s="15" t="s">
        <v>10</v>
      </c>
      <c r="I5977" s="15">
        <v>0.35136918775924519</v>
      </c>
      <c r="J5977" s="15">
        <v>0.35136918775924519</v>
      </c>
      <c r="K5977" s="15">
        <v>0.39760123671360698</v>
      </c>
      <c r="L5977" s="15">
        <v>0.39760123671360698</v>
      </c>
      <c r="M5977" s="15" t="s">
        <v>10</v>
      </c>
      <c r="N5977" s="15" t="s">
        <v>10</v>
      </c>
      <c r="O5977" s="15">
        <v>0.89361641932985814</v>
      </c>
      <c r="P5977" s="15">
        <v>0.89361641932985814</v>
      </c>
      <c r="Q5977" s="8"/>
      <c r="R5977" s="9" t="s">
        <v>5505</v>
      </c>
    </row>
    <row r="5978" spans="1:18" x14ac:dyDescent="0.25">
      <c r="A5978" s="6" t="str">
        <f>HYPERLINK("proteomic_fractions_linear_files/Yang_linear_img/208609939.jpg", "208609939")</f>
        <v>208609939</v>
      </c>
      <c r="B5978" s="7"/>
      <c r="C5978" s="6" t="str">
        <f>HYPERLINK("http://www.ncbi.nlm.nih.gov/protein/208609939","Ptprj")</f>
        <v>Ptprj</v>
      </c>
      <c r="D5978" s="8"/>
      <c r="E5978" s="8">
        <v>148464</v>
      </c>
      <c r="F5978" s="8"/>
      <c r="G5978" s="15" t="s">
        <v>10</v>
      </c>
      <c r="H5978" s="15" t="s">
        <v>10</v>
      </c>
      <c r="I5978" s="15">
        <v>2.039076517814181</v>
      </c>
      <c r="J5978" s="15">
        <v>2.039076517814181</v>
      </c>
      <c r="K5978" s="15">
        <v>2.039076517814181</v>
      </c>
      <c r="L5978" s="15">
        <v>2.039076517814181</v>
      </c>
      <c r="M5978" s="15" t="s">
        <v>10</v>
      </c>
      <c r="N5978" s="15" t="s">
        <v>10</v>
      </c>
      <c r="O5978" s="15" t="s">
        <v>10</v>
      </c>
      <c r="P5978" s="15" t="s">
        <v>10</v>
      </c>
      <c r="Q5978" s="8"/>
      <c r="R5978" s="9" t="s">
        <v>5506</v>
      </c>
    </row>
    <row r="5979" spans="1:18" x14ac:dyDescent="0.25">
      <c r="A5979" s="6" t="str">
        <f>HYPERLINK("proteomic_fractions_linear_files/Yang_linear_img/208609941.jpg", "208609941")</f>
        <v>208609941</v>
      </c>
      <c r="B5979" s="7"/>
      <c r="C5979" s="6" t="str">
        <f>HYPERLINK("http://www.ncbi.nlm.nih.gov/protein/208609941","Ptprj")</f>
        <v>Ptprj</v>
      </c>
      <c r="D5979" s="8"/>
      <c r="E5979" s="8">
        <v>143045</v>
      </c>
      <c r="F5979" s="8"/>
      <c r="G5979" s="15" t="s">
        <v>10</v>
      </c>
      <c r="H5979" s="15" t="s">
        <v>10</v>
      </c>
      <c r="I5979" s="15">
        <v>2.1103728995559354</v>
      </c>
      <c r="J5979" s="15">
        <v>2.1103728995559354</v>
      </c>
      <c r="K5979" s="15">
        <v>2.1103728995559354</v>
      </c>
      <c r="L5979" s="15">
        <v>2.1103728995559354</v>
      </c>
      <c r="M5979" s="15" t="s">
        <v>10</v>
      </c>
      <c r="N5979" s="15" t="s">
        <v>10</v>
      </c>
      <c r="O5979" s="15" t="s">
        <v>10</v>
      </c>
      <c r="P5979" s="15" t="s">
        <v>10</v>
      </c>
      <c r="Q5979" s="8"/>
      <c r="R5979" s="9" t="s">
        <v>5507</v>
      </c>
    </row>
    <row r="5980" spans="1:18" x14ac:dyDescent="0.25">
      <c r="A5980" s="6" t="str">
        <f>HYPERLINK("proteomic_fractions_linear_files/Yang_linear_img/6679561.jpg", "6679561")</f>
        <v>6679561</v>
      </c>
      <c r="B5980" s="7"/>
      <c r="C5980" s="6" t="str">
        <f>HYPERLINK("http://www.ncbi.nlm.nih.gov/protein/6679561","Ptprk")</f>
        <v>Ptprk</v>
      </c>
      <c r="D5980" s="8"/>
      <c r="E5980" s="8">
        <v>161518</v>
      </c>
      <c r="F5980" s="8"/>
      <c r="G5980" s="15" t="s">
        <v>10</v>
      </c>
      <c r="H5980" s="15" t="s">
        <v>10</v>
      </c>
      <c r="I5980" s="15">
        <v>0.45330963112149536</v>
      </c>
      <c r="J5980" s="15">
        <v>0.45330963112149536</v>
      </c>
      <c r="K5980" s="15">
        <v>0.51295468193298677</v>
      </c>
      <c r="L5980" s="15">
        <v>0.51295468193298677</v>
      </c>
      <c r="M5980" s="15" t="s">
        <v>10</v>
      </c>
      <c r="N5980" s="15" t="s">
        <v>10</v>
      </c>
      <c r="O5980" s="15">
        <v>0.79457795151306765</v>
      </c>
      <c r="P5980" s="15">
        <v>0.79457795151306765</v>
      </c>
      <c r="Q5980" s="8"/>
      <c r="R5980" s="9" t="s">
        <v>5508</v>
      </c>
    </row>
    <row r="5981" spans="1:18" x14ac:dyDescent="0.25">
      <c r="A5981" s="6" t="str">
        <f>HYPERLINK("proteomic_fractions_linear_files/Yang_linear_img/226054321.jpg", "226054321")</f>
        <v>226054321</v>
      </c>
      <c r="B5981" s="7"/>
      <c r="C5981" s="6" t="str">
        <f>HYPERLINK("http://www.ncbi.nlm.nih.gov/protein/226054321","Ptprm")</f>
        <v>Ptprm</v>
      </c>
      <c r="D5981" s="8"/>
      <c r="E5981" s="8">
        <v>161697</v>
      </c>
      <c r="F5981" s="8"/>
      <c r="G5981" s="15" t="s">
        <v>10</v>
      </c>
      <c r="H5981" s="15" t="s">
        <v>10</v>
      </c>
      <c r="I5981" s="15" t="s">
        <v>10</v>
      </c>
      <c r="J5981" s="15" t="s">
        <v>10</v>
      </c>
      <c r="K5981" s="15">
        <v>0.51295468193298677</v>
      </c>
      <c r="L5981" s="15">
        <v>0.51295468193298677</v>
      </c>
      <c r="M5981" s="15" t="s">
        <v>10</v>
      </c>
      <c r="N5981" s="15" t="s">
        <v>10</v>
      </c>
      <c r="O5981" s="15" t="s">
        <v>10</v>
      </c>
      <c r="P5981" s="15" t="s">
        <v>10</v>
      </c>
      <c r="Q5981" s="8"/>
      <c r="R5981" s="9" t="s">
        <v>5509</v>
      </c>
    </row>
    <row r="5982" spans="1:18" x14ac:dyDescent="0.25">
      <c r="A5982" s="6" t="str">
        <f>HYPERLINK("proteomic_fractions_linear_files/Yang_linear_img/257096040.jpg", "257096040")</f>
        <v>257096040</v>
      </c>
      <c r="B5982" s="7"/>
      <c r="C5982" s="6" t="str">
        <f>HYPERLINK("http://www.ncbi.nlm.nih.gov/protein/257096040","Ptpro")</f>
        <v>Ptpro</v>
      </c>
      <c r="D5982" s="8"/>
      <c r="E5982" s="8">
        <v>135465</v>
      </c>
      <c r="F5982" s="8"/>
      <c r="G5982" s="15" t="s">
        <v>10</v>
      </c>
      <c r="H5982" s="15" t="s">
        <v>10</v>
      </c>
      <c r="I5982" s="15" t="s">
        <v>10</v>
      </c>
      <c r="J5982" s="15" t="s">
        <v>10</v>
      </c>
      <c r="K5982" s="15">
        <v>2.2354320343444352</v>
      </c>
      <c r="L5982" s="15">
        <v>2.2354320343444352</v>
      </c>
      <c r="M5982" s="15" t="s">
        <v>10</v>
      </c>
      <c r="N5982" s="15" t="s">
        <v>10</v>
      </c>
      <c r="O5982" s="15" t="s">
        <v>10</v>
      </c>
      <c r="P5982" s="15" t="s">
        <v>10</v>
      </c>
      <c r="Q5982" s="8"/>
      <c r="R5982" s="9" t="s">
        <v>5510</v>
      </c>
    </row>
    <row r="5983" spans="1:18" x14ac:dyDescent="0.25">
      <c r="A5983" s="6" t="str">
        <f>HYPERLINK("proteomic_fractions_linear_files/Yang_linear_img/257096042.jpg", "257096042")</f>
        <v>257096042</v>
      </c>
      <c r="B5983" s="7"/>
      <c r="C5983" s="6" t="str">
        <f>HYPERLINK("http://www.ncbi.nlm.nih.gov/protein/257096042","Ptpro")</f>
        <v>Ptpro</v>
      </c>
      <c r="D5983" s="8"/>
      <c r="E5983" s="8">
        <v>132110</v>
      </c>
      <c r="F5983" s="8"/>
      <c r="G5983" s="15" t="s">
        <v>10</v>
      </c>
      <c r="H5983" s="15" t="s">
        <v>10</v>
      </c>
      <c r="I5983" s="15" t="s">
        <v>10</v>
      </c>
      <c r="J5983" s="15" t="s">
        <v>10</v>
      </c>
      <c r="K5983" s="15">
        <v>2.2862373078522635</v>
      </c>
      <c r="L5983" s="15">
        <v>2.2862373078522635</v>
      </c>
      <c r="M5983" s="15" t="s">
        <v>10</v>
      </c>
      <c r="N5983" s="15" t="s">
        <v>10</v>
      </c>
      <c r="O5983" s="15" t="s">
        <v>10</v>
      </c>
      <c r="P5983" s="15" t="s">
        <v>10</v>
      </c>
      <c r="Q5983" s="8"/>
      <c r="R5983" s="9" t="s">
        <v>5511</v>
      </c>
    </row>
    <row r="5984" spans="1:18" x14ac:dyDescent="0.25">
      <c r="A5984" s="6" t="str">
        <f>HYPERLINK("proteomic_fractions_linear_files/Yang_linear_img/257096044.jpg", "257096044")</f>
        <v>257096044</v>
      </c>
      <c r="B5984" s="7"/>
      <c r="C5984" s="6" t="str">
        <f>HYPERLINK("http://www.ncbi.nlm.nih.gov/protein/257096044","Ptpro")</f>
        <v>Ptpro</v>
      </c>
      <c r="D5984" s="8"/>
      <c r="E5984" s="8">
        <v>46831</v>
      </c>
      <c r="F5984" s="8"/>
      <c r="G5984" s="15" t="s">
        <v>10</v>
      </c>
      <c r="H5984" s="15" t="s">
        <v>10</v>
      </c>
      <c r="I5984" s="15" t="s">
        <v>10</v>
      </c>
      <c r="J5984" s="15" t="s">
        <v>10</v>
      </c>
      <c r="K5984" s="15">
        <v>6.4209218007765694</v>
      </c>
      <c r="L5984" s="15">
        <v>6.4209218007765694</v>
      </c>
      <c r="M5984" s="15" t="s">
        <v>10</v>
      </c>
      <c r="N5984" s="15" t="s">
        <v>10</v>
      </c>
      <c r="O5984" s="15" t="s">
        <v>10</v>
      </c>
      <c r="P5984" s="15" t="s">
        <v>10</v>
      </c>
      <c r="Q5984" s="8"/>
      <c r="R5984" s="9" t="s">
        <v>5512</v>
      </c>
    </row>
    <row r="5985" spans="1:18" x14ac:dyDescent="0.25">
      <c r="A5985" s="6" t="str">
        <f>HYPERLINK("proteomic_fractions_linear_files/Yang_linear_img/257096046.jpg", "257096046")</f>
        <v>257096046</v>
      </c>
      <c r="B5985" s="7"/>
      <c r="C5985" s="6" t="str">
        <f>HYPERLINK("http://www.ncbi.nlm.nih.gov/protein/257096046","Ptpro")</f>
        <v>Ptpro</v>
      </c>
      <c r="D5985" s="8"/>
      <c r="E5985" s="8">
        <v>43476</v>
      </c>
      <c r="F5985" s="8"/>
      <c r="G5985" s="15" t="s">
        <v>10</v>
      </c>
      <c r="H5985" s="15" t="s">
        <v>10</v>
      </c>
      <c r="I5985" s="15" t="s">
        <v>10</v>
      </c>
      <c r="J5985" s="15" t="s">
        <v>10</v>
      </c>
      <c r="K5985" s="15">
        <v>7.0182168520115997</v>
      </c>
      <c r="L5985" s="15">
        <v>7.0182168520115997</v>
      </c>
      <c r="M5985" s="15" t="s">
        <v>10</v>
      </c>
      <c r="N5985" s="15" t="s">
        <v>10</v>
      </c>
      <c r="O5985" s="15" t="s">
        <v>10</v>
      </c>
      <c r="P5985" s="15" t="s">
        <v>10</v>
      </c>
      <c r="Q5985" s="8"/>
      <c r="R5985" s="9" t="s">
        <v>5513</v>
      </c>
    </row>
    <row r="5986" spans="1:18" x14ac:dyDescent="0.25">
      <c r="A5986" s="6" t="str">
        <f>HYPERLINK("proteomic_fractions_linear_files/Yang_linear_img/6679567.jpg", "6679567")</f>
        <v>6679567</v>
      </c>
      <c r="B5986" s="7"/>
      <c r="C5986" s="6" t="str">
        <f>HYPERLINK("http://www.ncbi.nlm.nih.gov/protein/6679567","Ptrf")</f>
        <v>Ptrf</v>
      </c>
      <c r="D5986" s="8"/>
      <c r="E5986" s="8">
        <v>43823</v>
      </c>
      <c r="F5986" s="8"/>
      <c r="G5986" s="15" t="s">
        <v>10</v>
      </c>
      <c r="H5986" s="15" t="s">
        <v>10</v>
      </c>
      <c r="I5986" s="15">
        <v>1.2072856734091155</v>
      </c>
      <c r="J5986" s="15">
        <v>1.2072856734091155</v>
      </c>
      <c r="K5986" s="15">
        <v>1.3357547178544058</v>
      </c>
      <c r="L5986" s="15">
        <v>1.3357547178544058</v>
      </c>
      <c r="M5986" s="15">
        <v>1.3357547178544058</v>
      </c>
      <c r="N5986" s="15">
        <v>1.3357547178544058</v>
      </c>
      <c r="O5986" s="15">
        <v>1.2072856734091155</v>
      </c>
      <c r="P5986" s="15">
        <v>1.2072856734091155</v>
      </c>
      <c r="Q5986" s="8"/>
      <c r="R5986" s="9" t="s">
        <v>5514</v>
      </c>
    </row>
    <row r="5987" spans="1:18" x14ac:dyDescent="0.25">
      <c r="A5987" s="6" t="str">
        <f>HYPERLINK("proteomic_fractions_linear_files/Yang_linear_img/149363634.jpg", "149363634")</f>
        <v>149363634</v>
      </c>
      <c r="B5987" s="7"/>
      <c r="C5987" s="6" t="str">
        <f>HYPERLINK("http://www.ncbi.nlm.nih.gov/protein/149363634","Ptrh2")</f>
        <v>Ptrh2</v>
      </c>
      <c r="D5987" s="8"/>
      <c r="E5987" s="8">
        <v>12768</v>
      </c>
      <c r="F5987" s="8"/>
      <c r="G5987" s="15">
        <v>2.2988774532087026</v>
      </c>
      <c r="H5987" s="15">
        <v>2.2988774532087026</v>
      </c>
      <c r="I5987" s="15">
        <v>1.6765955592829809</v>
      </c>
      <c r="J5987" s="15">
        <v>1.6765955592829809</v>
      </c>
      <c r="K5987" s="15">
        <v>1.5844185528197132</v>
      </c>
      <c r="L5987" s="15">
        <v>1.5844185528197132</v>
      </c>
      <c r="M5987" s="15">
        <v>1.5844185528197132</v>
      </c>
      <c r="N5987" s="15">
        <v>1.5844185528197132</v>
      </c>
      <c r="O5987" s="15" t="s">
        <v>10</v>
      </c>
      <c r="P5987" s="15" t="s">
        <v>10</v>
      </c>
      <c r="Q5987" s="8"/>
      <c r="R5987" s="9" t="s">
        <v>5515</v>
      </c>
    </row>
    <row r="5988" spans="1:18" x14ac:dyDescent="0.25">
      <c r="A5988" s="6" t="str">
        <f>HYPERLINK("proteomic_fractions_linear_files/Yang_linear_img/33239415.jpg", "33239415")</f>
        <v>33239415</v>
      </c>
      <c r="B5988" s="7"/>
      <c r="C5988" s="6" t="str">
        <f>HYPERLINK("http://www.ncbi.nlm.nih.gov/protein/33239415","Ptrh2")</f>
        <v>Ptrh2</v>
      </c>
      <c r="D5988" s="8"/>
      <c r="E5988" s="8">
        <v>19527</v>
      </c>
      <c r="F5988" s="8"/>
      <c r="G5988" s="15">
        <v>1.4942703445856567</v>
      </c>
      <c r="H5988" s="15">
        <v>1.4942703445856567</v>
      </c>
      <c r="I5988" s="15">
        <v>1.0897871135339376</v>
      </c>
      <c r="J5988" s="15">
        <v>1.0897871135339376</v>
      </c>
      <c r="K5988" s="15">
        <v>1.0298720593328137</v>
      </c>
      <c r="L5988" s="15">
        <v>1.0298720593328137</v>
      </c>
      <c r="M5988" s="15">
        <v>1.0298720593328137</v>
      </c>
      <c r="N5988" s="15">
        <v>1.0298720593328137</v>
      </c>
      <c r="O5988" s="15" t="s">
        <v>10</v>
      </c>
      <c r="P5988" s="15" t="s">
        <v>10</v>
      </c>
      <c r="Q5988" s="8"/>
      <c r="R5988" s="9" t="s">
        <v>5516</v>
      </c>
    </row>
    <row r="5989" spans="1:18" x14ac:dyDescent="0.25">
      <c r="A5989" s="6" t="str">
        <f>HYPERLINK("proteomic_fractions_linear_files/Yang_linear_img/325995166.jpg", "325995166")</f>
        <v>325995166</v>
      </c>
      <c r="B5989" s="7"/>
      <c r="C5989" s="6" t="str">
        <f>HYPERLINK("http://www.ncbi.nlm.nih.gov/protein/325995166","Ptrhd1")</f>
        <v>Ptrhd1</v>
      </c>
      <c r="D5989" s="8"/>
      <c r="E5989" s="8">
        <v>15906</v>
      </c>
      <c r="F5989" s="8"/>
      <c r="G5989" s="15" t="s">
        <v>10</v>
      </c>
      <c r="H5989" s="15" t="s">
        <v>10</v>
      </c>
      <c r="I5989" s="15">
        <v>0.83106650143759586</v>
      </c>
      <c r="J5989" s="15">
        <v>0.83106650143759586</v>
      </c>
      <c r="K5989" s="15">
        <v>0.86786565624604062</v>
      </c>
      <c r="L5989" s="15">
        <v>0.86786565624604062</v>
      </c>
      <c r="M5989" s="15" t="s">
        <v>10</v>
      </c>
      <c r="N5989" s="15" t="s">
        <v>10</v>
      </c>
      <c r="O5989" s="15">
        <v>0.83106650143759586</v>
      </c>
      <c r="P5989" s="15">
        <v>0.83106650143759586</v>
      </c>
      <c r="Q5989" s="8"/>
      <c r="R5989" s="9" t="s">
        <v>5517</v>
      </c>
    </row>
    <row r="5990" spans="1:18" x14ac:dyDescent="0.25">
      <c r="A5990" s="6" t="str">
        <f>HYPERLINK("proteomic_fractions_linear_files/Yang_linear_img/7110709.jpg", "7110709")</f>
        <v>7110709</v>
      </c>
      <c r="B5990" s="7"/>
      <c r="C5990" s="6" t="str">
        <f>HYPERLINK("http://www.ncbi.nlm.nih.gov/protein/7110709","Pts")</f>
        <v>Pts</v>
      </c>
      <c r="D5990" s="8"/>
      <c r="E5990" s="8">
        <v>16057</v>
      </c>
      <c r="F5990" s="8"/>
      <c r="G5990" s="15" t="s">
        <v>10</v>
      </c>
      <c r="H5990" s="15" t="s">
        <v>10</v>
      </c>
      <c r="I5990" s="15">
        <v>0.90734210761689671</v>
      </c>
      <c r="J5990" s="15">
        <v>0.90734210761689671</v>
      </c>
      <c r="K5990" s="15" t="s">
        <v>10</v>
      </c>
      <c r="L5990" s="15" t="s">
        <v>10</v>
      </c>
      <c r="M5990" s="15" t="s">
        <v>10</v>
      </c>
      <c r="N5990" s="15" t="s">
        <v>10</v>
      </c>
      <c r="O5990" s="15">
        <v>3.3200356018750674</v>
      </c>
      <c r="P5990" s="15">
        <v>3.3200356018750674</v>
      </c>
      <c r="Q5990" s="8"/>
      <c r="R5990" s="9" t="s">
        <v>5518</v>
      </c>
    </row>
    <row r="5991" spans="1:18" x14ac:dyDescent="0.25">
      <c r="A5991" s="6" t="str">
        <f>HYPERLINK("proteomic_fractions_linear_files/Yang_linear_img/22122339.jpg", "22122339")</f>
        <v>22122339</v>
      </c>
      <c r="B5991" s="7"/>
      <c r="C5991" s="6" t="str">
        <f>HYPERLINK("http://www.ncbi.nlm.nih.gov/protein/22122339","Pttg1ip")</f>
        <v>Pttg1ip</v>
      </c>
      <c r="D5991" s="8"/>
      <c r="E5991" s="8">
        <v>17053</v>
      </c>
      <c r="F5991" s="8"/>
      <c r="G5991" s="15">
        <v>1.5382504773779413</v>
      </c>
      <c r="H5991" s="15">
        <v>1.5382504773779413</v>
      </c>
      <c r="I5991" s="15">
        <v>1.3593866691010261</v>
      </c>
      <c r="J5991" s="15">
        <v>1.3593866691010261</v>
      </c>
      <c r="K5991" s="15">
        <v>1.3593866691010261</v>
      </c>
      <c r="L5991" s="15">
        <v>1.3593866691010261</v>
      </c>
      <c r="M5991" s="15">
        <v>1.1471264604726632</v>
      </c>
      <c r="N5991" s="15">
        <v>1.1471264604726632</v>
      </c>
      <c r="O5991" s="15" t="s">
        <v>10</v>
      </c>
      <c r="P5991" s="15" t="s">
        <v>10</v>
      </c>
      <c r="Q5991" s="8"/>
      <c r="R5991" s="9" t="s">
        <v>5519</v>
      </c>
    </row>
    <row r="5992" spans="1:18" x14ac:dyDescent="0.25">
      <c r="A5992" s="6" t="str">
        <f>HYPERLINK("proteomic_fractions_linear_files/Yang_linear_img/257196183.jpg", "257196183")</f>
        <v>257196183</v>
      </c>
      <c r="B5992" s="7"/>
      <c r="C5992" s="6" t="str">
        <f>HYPERLINK("http://www.ncbi.nlm.nih.gov/protein/257196183","Puf60")</f>
        <v>Puf60</v>
      </c>
      <c r="D5992" s="8"/>
      <c r="E5992" s="8">
        <v>60118</v>
      </c>
      <c r="F5992" s="8"/>
      <c r="G5992" s="15">
        <v>1.2239360040280374</v>
      </c>
      <c r="H5992" s="15">
        <v>1.2239360040280374</v>
      </c>
      <c r="I5992" s="15">
        <v>1.0908877221757389</v>
      </c>
      <c r="J5992" s="15">
        <v>1.0908877221757389</v>
      </c>
      <c r="K5992" s="15">
        <v>1.0908877221757389</v>
      </c>
      <c r="L5992" s="15">
        <v>1.0908877221757389</v>
      </c>
      <c r="M5992" s="15">
        <v>1.0908877221757389</v>
      </c>
      <c r="N5992" s="15">
        <v>1.0908877221757389</v>
      </c>
      <c r="O5992" s="15">
        <v>0.97955345975989749</v>
      </c>
      <c r="P5992" s="15">
        <v>0.97955345975989749</v>
      </c>
      <c r="Q5992" s="8"/>
      <c r="R5992" s="9" t="s">
        <v>5520</v>
      </c>
    </row>
    <row r="5993" spans="1:18" x14ac:dyDescent="0.25">
      <c r="A5993" s="6" t="str">
        <f>HYPERLINK("proteomic_fractions_linear_files/Yang_linear_img/257196186.jpg", "257196186")</f>
        <v>257196186</v>
      </c>
      <c r="B5993" s="7"/>
      <c r="C5993" s="6" t="str">
        <f>HYPERLINK("http://www.ncbi.nlm.nih.gov/protein/257196186","Puf60")</f>
        <v>Puf60</v>
      </c>
      <c r="D5993" s="8"/>
      <c r="E5993" s="8">
        <v>53898</v>
      </c>
      <c r="F5993" s="8"/>
      <c r="G5993" s="15">
        <v>1.359928893364486</v>
      </c>
      <c r="H5993" s="15">
        <v>1.359928893364486</v>
      </c>
      <c r="I5993" s="15">
        <v>1.2120974690841544</v>
      </c>
      <c r="J5993" s="15">
        <v>1.2120974690841544</v>
      </c>
      <c r="K5993" s="15">
        <v>1.2120974690841544</v>
      </c>
      <c r="L5993" s="15">
        <v>1.2120974690841544</v>
      </c>
      <c r="M5993" s="15">
        <v>1.2120974690841544</v>
      </c>
      <c r="N5993" s="15">
        <v>1.2120974690841544</v>
      </c>
      <c r="O5993" s="15">
        <v>1.0883927330665528</v>
      </c>
      <c r="P5993" s="15">
        <v>1.0883927330665528</v>
      </c>
      <c r="Q5993" s="8"/>
      <c r="R5993" s="9" t="s">
        <v>5521</v>
      </c>
    </row>
    <row r="5994" spans="1:18" x14ac:dyDescent="0.25">
      <c r="A5994" s="6" t="str">
        <f>HYPERLINK("proteomic_fractions_linear_files/Yang_linear_img/76677895.jpg", "76677895")</f>
        <v>76677895</v>
      </c>
      <c r="B5994" s="7"/>
      <c r="C5994" s="6" t="str">
        <f>HYPERLINK("http://www.ncbi.nlm.nih.gov/protein/76677895","Puf60")</f>
        <v>Puf60</v>
      </c>
      <c r="D5994" s="8"/>
      <c r="E5994" s="8">
        <v>58414</v>
      </c>
      <c r="F5994" s="8"/>
      <c r="G5994" s="15">
        <v>1.2661406938221076</v>
      </c>
      <c r="H5994" s="15">
        <v>1.2661406938221076</v>
      </c>
      <c r="I5994" s="15">
        <v>1.1285045401817988</v>
      </c>
      <c r="J5994" s="15">
        <v>1.1285045401817988</v>
      </c>
      <c r="K5994" s="15">
        <v>1.1285045401817988</v>
      </c>
      <c r="L5994" s="15">
        <v>1.1285045401817988</v>
      </c>
      <c r="M5994" s="15">
        <v>1.1285045401817988</v>
      </c>
      <c r="N5994" s="15">
        <v>1.1285045401817988</v>
      </c>
      <c r="O5994" s="15">
        <v>1.0133311652688595</v>
      </c>
      <c r="P5994" s="15">
        <v>1.0133311652688595</v>
      </c>
      <c r="Q5994" s="8"/>
      <c r="R5994" s="9" t="s">
        <v>5522</v>
      </c>
    </row>
    <row r="5995" spans="1:18" x14ac:dyDescent="0.25">
      <c r="A5995" s="6" t="str">
        <f>HYPERLINK("proteomic_fractions_linear_files/Yang_linear_img/227430380.jpg", "227430380")</f>
        <v>227430380</v>
      </c>
      <c r="B5995" s="7"/>
      <c r="C5995" s="6" t="str">
        <f>HYPERLINK("http://www.ncbi.nlm.nih.gov/protein/227430380","Pum1")</f>
        <v>Pum1</v>
      </c>
      <c r="D5995" s="8"/>
      <c r="E5995" s="8">
        <v>126489</v>
      </c>
      <c r="F5995" s="8"/>
      <c r="G5995" s="15" t="s">
        <v>10</v>
      </c>
      <c r="H5995" s="15" t="s">
        <v>10</v>
      </c>
      <c r="I5995" s="15" t="s">
        <v>10</v>
      </c>
      <c r="J5995" s="15" t="s">
        <v>10</v>
      </c>
      <c r="K5995" s="15">
        <v>1.0216002233739441</v>
      </c>
      <c r="L5995" s="15">
        <v>1.217879929652713</v>
      </c>
      <c r="M5995" s="15">
        <v>1.217879929652713</v>
      </c>
      <c r="N5995" s="15">
        <v>1.217879929652713</v>
      </c>
      <c r="O5995" s="15" t="s">
        <v>10</v>
      </c>
      <c r="P5995" s="15" t="s">
        <v>10</v>
      </c>
      <c r="Q5995" s="8"/>
      <c r="R5995" s="9" t="s">
        <v>5523</v>
      </c>
    </row>
    <row r="5996" spans="1:18" x14ac:dyDescent="0.25">
      <c r="A5996" s="6" t="str">
        <f>HYPERLINK("proteomic_fractions_linear_files/Yang_linear_img/227430382.jpg", "227430382")</f>
        <v>227430382</v>
      </c>
      <c r="B5996" s="7"/>
      <c r="C5996" s="6" t="str">
        <f>HYPERLINK("http://www.ncbi.nlm.nih.gov/protein/227430382","Pum1")</f>
        <v>Pum1</v>
      </c>
      <c r="D5996" s="8"/>
      <c r="E5996" s="8">
        <v>126205</v>
      </c>
      <c r="F5996" s="8"/>
      <c r="G5996" s="15" t="s">
        <v>10</v>
      </c>
      <c r="H5996" s="15" t="s">
        <v>10</v>
      </c>
      <c r="I5996" s="15" t="s">
        <v>10</v>
      </c>
      <c r="J5996" s="15" t="s">
        <v>10</v>
      </c>
      <c r="K5996" s="15">
        <v>1.0216002233739441</v>
      </c>
      <c r="L5996" s="15">
        <v>1.217879929652713</v>
      </c>
      <c r="M5996" s="15">
        <v>1.217879929652713</v>
      </c>
      <c r="N5996" s="15">
        <v>1.217879929652713</v>
      </c>
      <c r="O5996" s="15" t="s">
        <v>10</v>
      </c>
      <c r="P5996" s="15" t="s">
        <v>10</v>
      </c>
      <c r="Q5996" s="8"/>
      <c r="R5996" s="9" t="s">
        <v>5524</v>
      </c>
    </row>
    <row r="5997" spans="1:18" x14ac:dyDescent="0.25">
      <c r="A5997" s="6" t="str">
        <f>HYPERLINK("proteomic_fractions_linear_files/Yang_linear_img/227430384.jpg", "227430384")</f>
        <v>227430384</v>
      </c>
      <c r="B5997" s="7"/>
      <c r="C5997" s="6" t="str">
        <f>HYPERLINK("http://www.ncbi.nlm.nih.gov/protein/227430384","Pum1")</f>
        <v>Pum1</v>
      </c>
      <c r="D5997" s="8"/>
      <c r="E5997" s="8">
        <v>126418</v>
      </c>
      <c r="F5997" s="8"/>
      <c r="G5997" s="15" t="s">
        <v>10</v>
      </c>
      <c r="H5997" s="15" t="s">
        <v>10</v>
      </c>
      <c r="I5997" s="15" t="s">
        <v>10</v>
      </c>
      <c r="J5997" s="15" t="s">
        <v>10</v>
      </c>
      <c r="K5997" s="15">
        <v>1.0216002233739441</v>
      </c>
      <c r="L5997" s="15">
        <v>1.217879929652713</v>
      </c>
      <c r="M5997" s="15">
        <v>1.217879929652713</v>
      </c>
      <c r="N5997" s="15">
        <v>1.217879929652713</v>
      </c>
      <c r="O5997" s="15" t="s">
        <v>10</v>
      </c>
      <c r="P5997" s="15" t="s">
        <v>10</v>
      </c>
      <c r="Q5997" s="8"/>
      <c r="R5997" s="9" t="s">
        <v>5525</v>
      </c>
    </row>
    <row r="5998" spans="1:18" x14ac:dyDescent="0.25">
      <c r="A5998" s="6" t="str">
        <f>HYPERLINK("proteomic_fractions_linear_files/Yang_linear_img/227430386.jpg", "227430386")</f>
        <v>227430386</v>
      </c>
      <c r="B5998" s="7"/>
      <c r="C5998" s="6" t="str">
        <f>HYPERLINK("http://www.ncbi.nlm.nih.gov/protein/227430386","Pum1")</f>
        <v>Pum1</v>
      </c>
      <c r="D5998" s="8"/>
      <c r="E5998" s="8">
        <v>116008</v>
      </c>
      <c r="F5998" s="8"/>
      <c r="G5998" s="15" t="s">
        <v>10</v>
      </c>
      <c r="H5998" s="15" t="s">
        <v>10</v>
      </c>
      <c r="I5998" s="15" t="s">
        <v>10</v>
      </c>
      <c r="J5998" s="15" t="s">
        <v>10</v>
      </c>
      <c r="K5998" s="15">
        <v>1.1096692081475601</v>
      </c>
      <c r="L5998" s="15">
        <v>1.3228695787607054</v>
      </c>
      <c r="M5998" s="15">
        <v>1.3228695787607054</v>
      </c>
      <c r="N5998" s="15">
        <v>1.3228695787607054</v>
      </c>
      <c r="O5998" s="15" t="s">
        <v>10</v>
      </c>
      <c r="P5998" s="15" t="s">
        <v>10</v>
      </c>
      <c r="Q5998" s="8"/>
      <c r="R5998" s="9" t="s">
        <v>5526</v>
      </c>
    </row>
    <row r="5999" spans="1:18" x14ac:dyDescent="0.25">
      <c r="A5999" s="6" t="str">
        <f>HYPERLINK("proteomic_fractions_linear_files/Yang_linear_img/227430388.jpg", "227430388")</f>
        <v>227430388</v>
      </c>
      <c r="B5999" s="7"/>
      <c r="C5999" s="6" t="str">
        <f>HYPERLINK("http://www.ncbi.nlm.nih.gov/protein/227430388","Pum1")</f>
        <v>Pum1</v>
      </c>
      <c r="D5999" s="8"/>
      <c r="E5999" s="8">
        <v>100232</v>
      </c>
      <c r="F5999" s="8"/>
      <c r="G5999" s="15" t="s">
        <v>10</v>
      </c>
      <c r="H5999" s="15" t="s">
        <v>10</v>
      </c>
      <c r="I5999" s="15" t="s">
        <v>10</v>
      </c>
      <c r="J5999" s="15" t="s">
        <v>10</v>
      </c>
      <c r="K5999" s="15">
        <v>1.2872162814511696</v>
      </c>
      <c r="L5999" s="15">
        <v>1.5345287113624184</v>
      </c>
      <c r="M5999" s="15">
        <v>1.5345287113624184</v>
      </c>
      <c r="N5999" s="15">
        <v>1.5345287113624184</v>
      </c>
      <c r="O5999" s="15" t="s">
        <v>10</v>
      </c>
      <c r="P5999" s="15" t="s">
        <v>10</v>
      </c>
      <c r="Q5999" s="8"/>
      <c r="R5999" s="9" t="s">
        <v>5527</v>
      </c>
    </row>
    <row r="6000" spans="1:18" x14ac:dyDescent="0.25">
      <c r="A6000" s="6" t="str">
        <f>HYPERLINK("proteomic_fractions_linear_files/Yang_linear_img/237649081;237649070.jpg", "237649081;237649070")</f>
        <v>237649081;237649070</v>
      </c>
      <c r="B6000" s="8"/>
      <c r="C6000" s="6" t="str">
        <f>HYPERLINK("http://www.ncbi.nlm.nih.gov/protein/237649081;237649070","Pum2")</f>
        <v>Pum2</v>
      </c>
      <c r="D6000" s="8"/>
      <c r="E6000" s="8">
        <v>114183</v>
      </c>
      <c r="F6000" s="8"/>
      <c r="G6000" s="15" t="s">
        <v>10</v>
      </c>
      <c r="H6000" s="15" t="s">
        <v>10</v>
      </c>
      <c r="I6000" s="15" t="s">
        <v>10</v>
      </c>
      <c r="J6000" s="15" t="s">
        <v>10</v>
      </c>
      <c r="K6000" s="15">
        <v>1.3460778169845775</v>
      </c>
      <c r="L6000" s="15">
        <v>1.3460778169845775</v>
      </c>
      <c r="M6000" s="15" t="s">
        <v>10</v>
      </c>
      <c r="N6000" s="15" t="s">
        <v>10</v>
      </c>
      <c r="O6000" s="15" t="s">
        <v>10</v>
      </c>
      <c r="P6000" s="15" t="s">
        <v>10</v>
      </c>
      <c r="Q6000" s="8"/>
      <c r="R6000" s="9" t="s">
        <v>5528</v>
      </c>
    </row>
    <row r="6001" spans="1:18" x14ac:dyDescent="0.25">
      <c r="A6001" s="6" t="str">
        <f>HYPERLINK("proteomic_fractions_linear_files/Yang_linear_img/237649085;237649083.jpg", "237649085;237649083")</f>
        <v>237649085;237649083</v>
      </c>
      <c r="B6001" s="8"/>
      <c r="C6001" s="6" t="str">
        <f>HYPERLINK("http://www.ncbi.nlm.nih.gov/protein/237649085;237649083","Pum2")</f>
        <v>Pum2</v>
      </c>
      <c r="D6001" s="8"/>
      <c r="E6001" s="8">
        <v>113971</v>
      </c>
      <c r="F6001" s="8"/>
      <c r="G6001" s="15" t="s">
        <v>10</v>
      </c>
      <c r="H6001" s="15" t="s">
        <v>10</v>
      </c>
      <c r="I6001" s="15" t="s">
        <v>10</v>
      </c>
      <c r="J6001" s="15" t="s">
        <v>10</v>
      </c>
      <c r="K6001" s="15">
        <v>1.3460778169845775</v>
      </c>
      <c r="L6001" s="15">
        <v>1.3460778169845775</v>
      </c>
      <c r="M6001" s="15" t="s">
        <v>10</v>
      </c>
      <c r="N6001" s="15" t="s">
        <v>10</v>
      </c>
      <c r="O6001" s="15" t="s">
        <v>10</v>
      </c>
      <c r="P6001" s="15" t="s">
        <v>10</v>
      </c>
      <c r="Q6001" s="8"/>
      <c r="R6001" s="9" t="s">
        <v>5529</v>
      </c>
    </row>
    <row r="6002" spans="1:18" x14ac:dyDescent="0.25">
      <c r="A6002" s="6" t="str">
        <f>HYPERLINK("proteomic_fractions_linear_files/Yang_linear_img/237649087.jpg", "237649087")</f>
        <v>237649087</v>
      </c>
      <c r="B6002" s="7"/>
      <c r="C6002" s="6" t="str">
        <f>HYPERLINK("http://www.ncbi.nlm.nih.gov/protein/237649087","Pum2")</f>
        <v>Pum2</v>
      </c>
      <c r="D6002" s="8"/>
      <c r="E6002" s="8">
        <v>105970</v>
      </c>
      <c r="F6002" s="8"/>
      <c r="G6002" s="15" t="s">
        <v>10</v>
      </c>
      <c r="H6002" s="15" t="s">
        <v>10</v>
      </c>
      <c r="I6002" s="15" t="s">
        <v>10</v>
      </c>
      <c r="J6002" s="15" t="s">
        <v>10</v>
      </c>
      <c r="K6002" s="15">
        <v>1.4476685956249231</v>
      </c>
      <c r="L6002" s="15">
        <v>1.4476685956249231</v>
      </c>
      <c r="M6002" s="15" t="s">
        <v>10</v>
      </c>
      <c r="N6002" s="15" t="s">
        <v>10</v>
      </c>
      <c r="O6002" s="15" t="s">
        <v>10</v>
      </c>
      <c r="P6002" s="15" t="s">
        <v>10</v>
      </c>
      <c r="Q6002" s="8"/>
      <c r="R6002" s="9" t="s">
        <v>5530</v>
      </c>
    </row>
    <row r="6003" spans="1:18" x14ac:dyDescent="0.25">
      <c r="A6003" s="6" t="str">
        <f>HYPERLINK("proteomic_fractions_linear_files/Yang_linear_img/6679573.jpg", "6679573")</f>
        <v>6679573</v>
      </c>
      <c r="B6003" s="7"/>
      <c r="C6003" s="6" t="str">
        <f>HYPERLINK("http://www.ncbi.nlm.nih.gov/protein/6679573","Pura")</f>
        <v>Pura</v>
      </c>
      <c r="D6003" s="8"/>
      <c r="E6003" s="8">
        <v>34753</v>
      </c>
      <c r="F6003" s="8"/>
      <c r="G6003" s="15">
        <v>1.5177305608571736</v>
      </c>
      <c r="H6003" s="15">
        <v>1.5177305608571736</v>
      </c>
      <c r="I6003" s="15">
        <v>1.1573519486635071</v>
      </c>
      <c r="J6003" s="15">
        <v>1.1573519486635071</v>
      </c>
      <c r="K6003" s="15">
        <v>1.1573519486635071</v>
      </c>
      <c r="L6003" s="15">
        <v>1.1573519486635071</v>
      </c>
      <c r="M6003" s="15">
        <v>1.1573519486635071</v>
      </c>
      <c r="N6003" s="15">
        <v>1.1573519486635071</v>
      </c>
      <c r="O6003" s="15" t="s">
        <v>10</v>
      </c>
      <c r="P6003" s="15" t="s">
        <v>10</v>
      </c>
      <c r="Q6003" s="8"/>
      <c r="R6003" s="9" t="s">
        <v>5531</v>
      </c>
    </row>
    <row r="6004" spans="1:18" x14ac:dyDescent="0.25">
      <c r="A6004" s="6" t="str">
        <f>HYPERLINK("proteomic_fractions_linear_files/Yang_linear_img/6755252.jpg", "6755252")</f>
        <v>6755252</v>
      </c>
      <c r="B6004" s="7"/>
      <c r="C6004" s="6" t="str">
        <f>HYPERLINK("http://www.ncbi.nlm.nih.gov/protein/6755252","Purb")</f>
        <v>Purb</v>
      </c>
      <c r="D6004" s="8"/>
      <c r="E6004" s="8">
        <v>33770</v>
      </c>
      <c r="F6004" s="8"/>
      <c r="G6004" s="15">
        <v>1.4202933995416251</v>
      </c>
      <c r="H6004" s="15">
        <v>1.4202933995416251</v>
      </c>
      <c r="I6004" s="15">
        <v>1.0162757803080937</v>
      </c>
      <c r="J6004" s="15">
        <v>1.0162757803080937</v>
      </c>
      <c r="K6004" s="15">
        <v>1.1913917118594926</v>
      </c>
      <c r="L6004" s="15">
        <v>1.1913917118594926</v>
      </c>
      <c r="M6004" s="15">
        <v>1.098274306562488</v>
      </c>
      <c r="N6004" s="15">
        <v>1.098274306562488</v>
      </c>
      <c r="O6004" s="15">
        <v>1.0162757803080937</v>
      </c>
      <c r="P6004" s="15">
        <v>1.0162757803080937</v>
      </c>
      <c r="Q6004" s="8"/>
      <c r="R6004" s="9" t="s">
        <v>5532</v>
      </c>
    </row>
    <row r="6005" spans="1:18" x14ac:dyDescent="0.25">
      <c r="A6005" s="6" t="str">
        <f>HYPERLINK("proteomic_fractions_linear_files/Yang_linear_img/70906468.jpg", "70906468")</f>
        <v>70906468</v>
      </c>
      <c r="B6005" s="7"/>
      <c r="C6005" s="6" t="str">
        <f>HYPERLINK("http://www.ncbi.nlm.nih.gov/protein/70906468","Pus1")</f>
        <v>Pus1</v>
      </c>
      <c r="D6005" s="8"/>
      <c r="E6005" s="8">
        <v>49516</v>
      </c>
      <c r="F6005" s="8"/>
      <c r="G6005" s="15" t="s">
        <v>10</v>
      </c>
      <c r="H6005" s="15" t="s">
        <v>10</v>
      </c>
      <c r="I6005" s="15">
        <v>0.88251178493930937</v>
      </c>
      <c r="J6005" s="15">
        <v>0.88251178493930937</v>
      </c>
      <c r="K6005" s="15">
        <v>0.88251178493930937</v>
      </c>
      <c r="L6005" s="15">
        <v>0.88251178493930937</v>
      </c>
      <c r="M6005" s="15">
        <v>0.81014636406445495</v>
      </c>
      <c r="N6005" s="15">
        <v>0.81014636406445495</v>
      </c>
      <c r="O6005" s="15">
        <v>0.74682652846249187</v>
      </c>
      <c r="P6005" s="15">
        <v>0.74682652846249187</v>
      </c>
      <c r="Q6005" s="8"/>
      <c r="R6005" s="9" t="s">
        <v>5533</v>
      </c>
    </row>
    <row r="6006" spans="1:18" x14ac:dyDescent="0.25">
      <c r="A6006" s="6" t="str">
        <f>HYPERLINK("proteomic_fractions_linear_files/Yang_linear_img/70906470.jpg", "70906470")</f>
        <v>70906470</v>
      </c>
      <c r="B6006" s="7"/>
      <c r="C6006" s="6" t="str">
        <f>HYPERLINK("http://www.ncbi.nlm.nih.gov/protein/70906470","Pus1")</f>
        <v>Pus1</v>
      </c>
      <c r="D6006" s="8"/>
      <c r="E6006" s="8">
        <v>47371</v>
      </c>
      <c r="F6006" s="8"/>
      <c r="G6006" s="15" t="s">
        <v>10</v>
      </c>
      <c r="H6006" s="15" t="s">
        <v>10</v>
      </c>
      <c r="I6006" s="15">
        <v>0.93884232440352056</v>
      </c>
      <c r="J6006" s="15">
        <v>0.93884232440352056</v>
      </c>
      <c r="K6006" s="15">
        <v>0.93884232440352056</v>
      </c>
      <c r="L6006" s="15">
        <v>0.93884232440352056</v>
      </c>
      <c r="M6006" s="15">
        <v>0.86185783411112227</v>
      </c>
      <c r="N6006" s="15">
        <v>0.86185783411112227</v>
      </c>
      <c r="O6006" s="15">
        <v>0.79449630687499129</v>
      </c>
      <c r="P6006" s="15">
        <v>0.79449630687499129</v>
      </c>
      <c r="Q6006" s="8"/>
      <c r="R6006" s="9" t="s">
        <v>5534</v>
      </c>
    </row>
    <row r="6007" spans="1:18" x14ac:dyDescent="0.25">
      <c r="A6007" s="6" t="str">
        <f>HYPERLINK("proteomic_fractions_linear_files/Yang_linear_img/70906472.jpg", "70906472")</f>
        <v>70906472</v>
      </c>
      <c r="B6007" s="7"/>
      <c r="C6007" s="6" t="str">
        <f>HYPERLINK("http://www.ncbi.nlm.nih.gov/protein/70906472","Pus1")</f>
        <v>Pus1</v>
      </c>
      <c r="D6007" s="8"/>
      <c r="E6007" s="8">
        <v>43962</v>
      </c>
      <c r="F6007" s="8"/>
      <c r="G6007" s="15" t="s">
        <v>10</v>
      </c>
      <c r="H6007" s="15" t="s">
        <v>10</v>
      </c>
      <c r="I6007" s="15">
        <v>1.0028543010673969</v>
      </c>
      <c r="J6007" s="15">
        <v>1.0028543010673969</v>
      </c>
      <c r="K6007" s="15">
        <v>1.0028543010673969</v>
      </c>
      <c r="L6007" s="15">
        <v>1.0028543010673969</v>
      </c>
      <c r="M6007" s="15">
        <v>0.9206208682550624</v>
      </c>
      <c r="N6007" s="15">
        <v>0.9206208682550624</v>
      </c>
      <c r="O6007" s="15">
        <v>0.84866650961646795</v>
      </c>
      <c r="P6007" s="15">
        <v>0.84866650961646795</v>
      </c>
      <c r="Q6007" s="8"/>
      <c r="R6007" s="9" t="s">
        <v>5535</v>
      </c>
    </row>
    <row r="6008" spans="1:18" x14ac:dyDescent="0.25">
      <c r="A6008" s="6" t="str">
        <f>HYPERLINK("proteomic_fractions_linear_files/Yang_linear_img/68342034.jpg", "68342034")</f>
        <v>68342034</v>
      </c>
      <c r="B6008" s="7"/>
      <c r="C6008" s="6" t="str">
        <f>HYPERLINK("http://www.ncbi.nlm.nih.gov/protein/68342034","Pus10")</f>
        <v>Pus10</v>
      </c>
      <c r="D6008" s="8"/>
      <c r="E6008" s="8">
        <v>59580</v>
      </c>
      <c r="F6008" s="8"/>
      <c r="G6008" s="15" t="s">
        <v>10</v>
      </c>
      <c r="H6008" s="15" t="s">
        <v>10</v>
      </c>
      <c r="I6008" s="15" t="s">
        <v>10</v>
      </c>
      <c r="J6008" s="15" t="s">
        <v>10</v>
      </c>
      <c r="K6008" s="15" t="s">
        <v>10</v>
      </c>
      <c r="L6008" s="15" t="s">
        <v>10</v>
      </c>
      <c r="M6008" s="15" t="s">
        <v>10</v>
      </c>
      <c r="N6008" s="15" t="s">
        <v>10</v>
      </c>
      <c r="O6008" s="15">
        <v>1.0908877221757389</v>
      </c>
      <c r="P6008" s="15">
        <v>1.0908877221757389</v>
      </c>
      <c r="Q6008" s="8"/>
      <c r="R6008" s="9" t="s">
        <v>5536</v>
      </c>
    </row>
    <row r="6009" spans="1:18" x14ac:dyDescent="0.25">
      <c r="A6009" s="6" t="str">
        <f>HYPERLINK("proteomic_fractions_linear_files/Yang_linear_img/89111935.jpg", "89111935")</f>
        <v>89111935</v>
      </c>
      <c r="B6009" s="7"/>
      <c r="C6009" s="6" t="str">
        <f>HYPERLINK("http://www.ncbi.nlm.nih.gov/protein/89111935","Pus7")</f>
        <v>Pus7</v>
      </c>
      <c r="D6009" s="8"/>
      <c r="E6009" s="8">
        <v>74662</v>
      </c>
      <c r="F6009" s="8"/>
      <c r="G6009" s="15" t="s">
        <v>10</v>
      </c>
      <c r="H6009" s="15" t="s">
        <v>10</v>
      </c>
      <c r="I6009" s="15">
        <v>1.2662397491011268</v>
      </c>
      <c r="J6009" s="15">
        <v>1.2662397491011268</v>
      </c>
      <c r="K6009" s="15">
        <v>1.2662397491011268</v>
      </c>
      <c r="L6009" s="15">
        <v>1.2662397491011268</v>
      </c>
      <c r="M6009" s="15">
        <v>1.2662397491011268</v>
      </c>
      <c r="N6009" s="15">
        <v>1.2662397491011268</v>
      </c>
      <c r="O6009" s="15">
        <v>1.2662397491011268</v>
      </c>
      <c r="P6009" s="15">
        <v>1.2662397491011268</v>
      </c>
      <c r="Q6009" s="8"/>
      <c r="R6009" s="9" t="s">
        <v>5537</v>
      </c>
    </row>
    <row r="6010" spans="1:18" x14ac:dyDescent="0.25">
      <c r="A6010" s="6" t="str">
        <f>HYPERLINK("proteomic_fractions_linear_files/Yang_linear_img/27369583.jpg", "27369583")</f>
        <v>27369583</v>
      </c>
      <c r="B6010" s="7"/>
      <c r="C6010" s="6" t="str">
        <f>HYPERLINK("http://www.ncbi.nlm.nih.gov/protein/27369583","Pus7l")</f>
        <v>Pus7l</v>
      </c>
      <c r="D6010" s="8"/>
      <c r="E6010" s="8">
        <v>79066</v>
      </c>
      <c r="F6010" s="8"/>
      <c r="G6010" s="15" t="s">
        <v>10</v>
      </c>
      <c r="H6010" s="15" t="s">
        <v>10</v>
      </c>
      <c r="I6010" s="15" t="s">
        <v>10</v>
      </c>
      <c r="J6010" s="15" t="s">
        <v>10</v>
      </c>
      <c r="K6010" s="15" t="s">
        <v>10</v>
      </c>
      <c r="L6010" s="15" t="s">
        <v>10</v>
      </c>
      <c r="M6010" s="15" t="s">
        <v>10</v>
      </c>
      <c r="N6010" s="15" t="s">
        <v>10</v>
      </c>
      <c r="O6010" s="15">
        <v>1.0518817528246058</v>
      </c>
      <c r="P6010" s="15">
        <v>1.0518817528246058</v>
      </c>
      <c r="Q6010" s="8"/>
      <c r="R6010" s="9" t="s">
        <v>5538</v>
      </c>
    </row>
    <row r="6011" spans="1:18" x14ac:dyDescent="0.25">
      <c r="A6011" s="6" t="str">
        <f>HYPERLINK("proteomic_fractions_linear_files/Yang_linear_img/241896974.jpg", "241896974")</f>
        <v>241896974</v>
      </c>
      <c r="B6011" s="7"/>
      <c r="C6011" s="6" t="str">
        <f>HYPERLINK("http://www.ncbi.nlm.nih.gov/protein/241896974","Pusl1")</f>
        <v>Pusl1</v>
      </c>
      <c r="D6011" s="8"/>
      <c r="E6011" s="8">
        <v>31862</v>
      </c>
      <c r="F6011" s="8"/>
      <c r="G6011" s="15" t="s">
        <v>10</v>
      </c>
      <c r="H6011" s="15" t="s">
        <v>10</v>
      </c>
      <c r="I6011" s="15">
        <v>0.81719556610703126</v>
      </c>
      <c r="J6011" s="15">
        <v>0.81719556610703126</v>
      </c>
      <c r="K6011" s="15" t="s">
        <v>10</v>
      </c>
      <c r="L6011" s="15" t="s">
        <v>10</v>
      </c>
      <c r="M6011" s="15" t="s">
        <v>10</v>
      </c>
      <c r="N6011" s="15" t="s">
        <v>10</v>
      </c>
      <c r="O6011" s="15" t="s">
        <v>10</v>
      </c>
      <c r="P6011" s="15" t="s">
        <v>10</v>
      </c>
      <c r="Q6011" s="8"/>
      <c r="R6011" s="9" t="s">
        <v>5539</v>
      </c>
    </row>
    <row r="6012" spans="1:18" x14ac:dyDescent="0.25">
      <c r="A6012" s="6" t="str">
        <f>HYPERLINK("proteomic_fractions_linear_files/Yang_linear_img/228480273.jpg", "228480273")</f>
        <v>228480273</v>
      </c>
      <c r="B6012" s="7"/>
      <c r="C6012" s="6" t="str">
        <f>HYPERLINK("http://www.ncbi.nlm.nih.gov/protein/228480273","Pvrl2")</f>
        <v>Pvrl2</v>
      </c>
      <c r="D6012" s="8"/>
      <c r="E6012" s="8">
        <v>54070</v>
      </c>
      <c r="F6012" s="8"/>
      <c r="G6012" s="15" t="s">
        <v>10</v>
      </c>
      <c r="H6012" s="15" t="s">
        <v>10</v>
      </c>
      <c r="I6012" s="15">
        <v>0.40362485686442134</v>
      </c>
      <c r="J6012" s="15">
        <v>0.40362485686442134</v>
      </c>
      <c r="K6012" s="15" t="s">
        <v>10</v>
      </c>
      <c r="L6012" s="15" t="s">
        <v>10</v>
      </c>
      <c r="M6012" s="15" t="s">
        <v>10</v>
      </c>
      <c r="N6012" s="15" t="s">
        <v>10</v>
      </c>
      <c r="O6012" s="15" t="s">
        <v>10</v>
      </c>
      <c r="P6012" s="15" t="s">
        <v>10</v>
      </c>
      <c r="Q6012" s="8"/>
      <c r="R6012" s="9" t="s">
        <v>5540</v>
      </c>
    </row>
    <row r="6013" spans="1:18" x14ac:dyDescent="0.25">
      <c r="A6013" s="6" t="str">
        <f>HYPERLINK("proteomic_fractions_linear_files/Yang_linear_img/170014682.jpg", "170014682")</f>
        <v>170014682</v>
      </c>
      <c r="B6013" s="7"/>
      <c r="C6013" s="6" t="str">
        <f>HYPERLINK("http://www.ncbi.nlm.nih.gov/protein/170014682","Pvrl4")</f>
        <v>Pvrl4</v>
      </c>
      <c r="D6013" s="8"/>
      <c r="E6013" s="8">
        <v>52332</v>
      </c>
      <c r="F6013" s="8"/>
      <c r="G6013" s="15" t="s">
        <v>10</v>
      </c>
      <c r="H6013" s="15" t="s">
        <v>10</v>
      </c>
      <c r="I6013" s="15">
        <v>2.475415925867634</v>
      </c>
      <c r="J6013" s="15">
        <v>2.475415925867634</v>
      </c>
      <c r="K6013" s="15" t="s">
        <v>10</v>
      </c>
      <c r="L6013" s="15" t="s">
        <v>10</v>
      </c>
      <c r="M6013" s="15" t="s">
        <v>10</v>
      </c>
      <c r="N6013" s="15" t="s">
        <v>10</v>
      </c>
      <c r="O6013" s="15">
        <v>0.66448801020144588</v>
      </c>
      <c r="P6013" s="15">
        <v>0.66448801020144588</v>
      </c>
      <c r="Q6013" s="8"/>
      <c r="R6013" s="9" t="s">
        <v>5541</v>
      </c>
    </row>
    <row r="6014" spans="1:18" x14ac:dyDescent="0.25">
      <c r="A6014" s="6" t="str">
        <f>HYPERLINK("proteomic_fractions_linear_files/Yang_linear_img/170014686.jpg", "170014686")</f>
        <v>170014686</v>
      </c>
      <c r="B6014" s="7"/>
      <c r="C6014" s="6" t="str">
        <f>HYPERLINK("http://www.ncbi.nlm.nih.gov/protein/170014686","Pvrl4")</f>
        <v>Pvrl4</v>
      </c>
      <c r="D6014" s="8"/>
      <c r="E6014" s="8">
        <v>49705</v>
      </c>
      <c r="F6014" s="8"/>
      <c r="G6014" s="15" t="s">
        <v>10</v>
      </c>
      <c r="H6014" s="15" t="s">
        <v>10</v>
      </c>
      <c r="I6014" s="15">
        <v>2.5744325629023392</v>
      </c>
      <c r="J6014" s="15">
        <v>2.5744325629023392</v>
      </c>
      <c r="K6014" s="15" t="s">
        <v>10</v>
      </c>
      <c r="L6014" s="15" t="s">
        <v>10</v>
      </c>
      <c r="M6014" s="15" t="s">
        <v>10</v>
      </c>
      <c r="N6014" s="15" t="s">
        <v>10</v>
      </c>
      <c r="O6014" s="15">
        <v>0.69106753060950366</v>
      </c>
      <c r="P6014" s="15">
        <v>0.69106753060950366</v>
      </c>
      <c r="Q6014" s="8"/>
      <c r="R6014" s="9" t="s">
        <v>5542</v>
      </c>
    </row>
    <row r="6015" spans="1:18" x14ac:dyDescent="0.25">
      <c r="A6015" s="6" t="str">
        <f>HYPERLINK("proteomic_fractions_linear_files/Yang_linear_img/284005509.jpg", "284005509")</f>
        <v>284005509</v>
      </c>
      <c r="B6015" s="7"/>
      <c r="C6015" s="6" t="str">
        <f>HYPERLINK("http://www.ncbi.nlm.nih.gov/protein/284005509","Pwp1")</f>
        <v>Pwp1</v>
      </c>
      <c r="D6015" s="8"/>
      <c r="E6015" s="8">
        <v>55456</v>
      </c>
      <c r="F6015" s="8"/>
      <c r="G6015" s="15" t="s">
        <v>10</v>
      </c>
      <c r="H6015" s="15" t="s">
        <v>10</v>
      </c>
      <c r="I6015" s="15" t="s">
        <v>10</v>
      </c>
      <c r="J6015" s="15" t="s">
        <v>10</v>
      </c>
      <c r="K6015" s="15">
        <v>1.5108846995117065</v>
      </c>
      <c r="L6015" s="15">
        <v>1.5108846995117065</v>
      </c>
      <c r="M6015" s="15" t="s">
        <v>10</v>
      </c>
      <c r="N6015" s="15" t="s">
        <v>10</v>
      </c>
      <c r="O6015" s="15">
        <v>1.3352029134851318</v>
      </c>
      <c r="P6015" s="15">
        <v>1.3352029134851318</v>
      </c>
      <c r="Q6015" s="8"/>
      <c r="R6015" s="9" t="s">
        <v>5543</v>
      </c>
    </row>
    <row r="6016" spans="1:18" x14ac:dyDescent="0.25">
      <c r="A6016" s="6" t="str">
        <f>HYPERLINK("proteomic_fractions_linear_files/Yang_linear_img/407262659.jpg", "407262659")</f>
        <v>407262659</v>
      </c>
      <c r="B6016" s="7"/>
      <c r="C6016" s="6" t="str">
        <f>HYPERLINK("http://www.ncbi.nlm.nih.gov/protein/407262659","Pwp2")</f>
        <v>Pwp2</v>
      </c>
      <c r="D6016" s="8"/>
      <c r="E6016" s="8">
        <v>102779</v>
      </c>
      <c r="F6016" s="8"/>
      <c r="G6016" s="15" t="s">
        <v>10</v>
      </c>
      <c r="H6016" s="15" t="s">
        <v>10</v>
      </c>
      <c r="I6016" s="15" t="s">
        <v>10</v>
      </c>
      <c r="J6016" s="15" t="s">
        <v>10</v>
      </c>
      <c r="K6016" s="15">
        <v>1.2497245450982231</v>
      </c>
      <c r="L6016" s="15">
        <v>1.2497245450982231</v>
      </c>
      <c r="M6016" s="15">
        <v>1.2497245450982231</v>
      </c>
      <c r="N6016" s="15">
        <v>1.2497245450982231</v>
      </c>
      <c r="O6016" s="15" t="s">
        <v>10</v>
      </c>
      <c r="P6016" s="15" t="s">
        <v>10</v>
      </c>
      <c r="Q6016" s="8"/>
      <c r="R6016" s="9" t="s">
        <v>8322</v>
      </c>
    </row>
    <row r="6017" spans="1:18" x14ac:dyDescent="0.25">
      <c r="A6017" s="6" t="str">
        <f>HYPERLINK("proteomic_fractions_linear_files/Yang_linear_img/407262661.jpg", "407262661")</f>
        <v>407262661</v>
      </c>
      <c r="B6017" s="7"/>
      <c r="C6017" s="6" t="str">
        <f>HYPERLINK("http://www.ncbi.nlm.nih.gov/protein/407262661","Pwp2")</f>
        <v>Pwp2</v>
      </c>
      <c r="D6017" s="8"/>
      <c r="E6017" s="8">
        <v>98440</v>
      </c>
      <c r="F6017" s="8"/>
      <c r="G6017" s="15" t="s">
        <v>10</v>
      </c>
      <c r="H6017" s="15" t="s">
        <v>10</v>
      </c>
      <c r="I6017" s="15" t="s">
        <v>10</v>
      </c>
      <c r="J6017" s="15" t="s">
        <v>10</v>
      </c>
      <c r="K6017" s="15">
        <v>1.3134860014807854</v>
      </c>
      <c r="L6017" s="15">
        <v>1.3134860014807854</v>
      </c>
      <c r="M6017" s="15">
        <v>1.3134860014807854</v>
      </c>
      <c r="N6017" s="15">
        <v>1.3134860014807854</v>
      </c>
      <c r="O6017" s="15" t="s">
        <v>10</v>
      </c>
      <c r="P6017" s="15" t="s">
        <v>10</v>
      </c>
      <c r="Q6017" s="8"/>
      <c r="R6017" s="9" t="s">
        <v>8323</v>
      </c>
    </row>
    <row r="6018" spans="1:18" x14ac:dyDescent="0.25">
      <c r="A6018" s="6" t="str">
        <f>HYPERLINK("proteomic_fractions_linear_files/Yang_linear_img/268370173.jpg", "268370173")</f>
        <v>268370173</v>
      </c>
      <c r="B6018" s="7"/>
      <c r="C6018" s="6" t="str">
        <f>HYPERLINK("http://www.ncbi.nlm.nih.gov/protein/268370173","Pxdn")</f>
        <v>Pxdn</v>
      </c>
      <c r="D6018" s="8"/>
      <c r="E6018" s="8">
        <v>162428</v>
      </c>
      <c r="F6018" s="8"/>
      <c r="G6018" s="15" t="s">
        <v>10</v>
      </c>
      <c r="H6018" s="15" t="s">
        <v>10</v>
      </c>
      <c r="I6018" s="15">
        <v>1.8628600286203627</v>
      </c>
      <c r="J6018" s="15">
        <v>1.4404990594311671</v>
      </c>
      <c r="K6018" s="15">
        <v>1.4404990594311671</v>
      </c>
      <c r="L6018" s="15">
        <v>1.4404990594311671</v>
      </c>
      <c r="M6018" s="15" t="s">
        <v>10</v>
      </c>
      <c r="N6018" s="15" t="s">
        <v>10</v>
      </c>
      <c r="O6018" s="15" t="s">
        <v>10</v>
      </c>
      <c r="P6018" s="15" t="s">
        <v>10</v>
      </c>
      <c r="Q6018" s="8"/>
      <c r="R6018" s="9" t="s">
        <v>5544</v>
      </c>
    </row>
    <row r="6019" spans="1:18" x14ac:dyDescent="0.25">
      <c r="A6019" s="6" t="str">
        <f>HYPERLINK("proteomic_fractions_linear_files/Yang_linear_img/254692828.jpg", "254692828")</f>
        <v>254692828</v>
      </c>
      <c r="B6019" s="7"/>
      <c r="C6019" s="6" t="str">
        <f>HYPERLINK("http://www.ncbi.nlm.nih.gov/protein/254692828","Pxk")</f>
        <v>Pxk</v>
      </c>
      <c r="D6019" s="8"/>
      <c r="E6019" s="8">
        <v>65100</v>
      </c>
      <c r="F6019" s="8"/>
      <c r="G6019" s="15" t="s">
        <v>10</v>
      </c>
      <c r="H6019" s="15" t="s">
        <v>10</v>
      </c>
      <c r="I6019" s="15">
        <v>1.1297870806412653</v>
      </c>
      <c r="J6019" s="15">
        <v>1.1297870806412653</v>
      </c>
      <c r="K6019" s="15">
        <v>1.2784408995868286</v>
      </c>
      <c r="L6019" s="15">
        <v>1.2784408995868286</v>
      </c>
      <c r="M6019" s="15" t="s">
        <v>10</v>
      </c>
      <c r="N6019" s="15" t="s">
        <v>10</v>
      </c>
      <c r="O6019" s="15" t="s">
        <v>10</v>
      </c>
      <c r="P6019" s="15" t="s">
        <v>10</v>
      </c>
      <c r="Q6019" s="8"/>
      <c r="R6019" s="9" t="s">
        <v>5545</v>
      </c>
    </row>
    <row r="6020" spans="1:18" x14ac:dyDescent="0.25">
      <c r="A6020" s="6" t="str">
        <f>HYPERLINK("proteomic_fractions_linear_files/Yang_linear_img/72535128.jpg", "72535128")</f>
        <v>72535128</v>
      </c>
      <c r="B6020" s="7"/>
      <c r="C6020" s="6" t="str">
        <f>HYPERLINK("http://www.ncbi.nlm.nih.gov/protein/72535128","Pxk")</f>
        <v>Pxk</v>
      </c>
      <c r="D6020" s="8"/>
      <c r="E6020" s="8">
        <v>58386</v>
      </c>
      <c r="F6020" s="8"/>
      <c r="G6020" s="15" t="s">
        <v>10</v>
      </c>
      <c r="H6020" s="15" t="s">
        <v>10</v>
      </c>
      <c r="I6020" s="15">
        <v>1.2661406938221076</v>
      </c>
      <c r="J6020" s="15">
        <v>1.2661406938221076</v>
      </c>
      <c r="K6020" s="15">
        <v>1.4327354909162735</v>
      </c>
      <c r="L6020" s="15">
        <v>1.4327354909162735</v>
      </c>
      <c r="M6020" s="15" t="s">
        <v>10</v>
      </c>
      <c r="N6020" s="15" t="s">
        <v>10</v>
      </c>
      <c r="O6020" s="15" t="s">
        <v>10</v>
      </c>
      <c r="P6020" s="15" t="s">
        <v>10</v>
      </c>
      <c r="Q6020" s="8"/>
      <c r="R6020" s="9" t="s">
        <v>5546</v>
      </c>
    </row>
    <row r="6021" spans="1:18" x14ac:dyDescent="0.25">
      <c r="A6021" s="6" t="str">
        <f>HYPERLINK("proteomic_fractions_linear_files/Yang_linear_img/10946966.jpg", "10946966")</f>
        <v>10946966</v>
      </c>
      <c r="B6021" s="7"/>
      <c r="C6021" s="6" t="str">
        <f>HYPERLINK("http://www.ncbi.nlm.nih.gov/protein/10946966","Pxmp4")</f>
        <v>Pxmp4</v>
      </c>
      <c r="D6021" s="8"/>
      <c r="E6021" s="8">
        <v>24065</v>
      </c>
      <c r="F6021" s="8"/>
      <c r="G6021" s="15">
        <v>1.2452252871547138</v>
      </c>
      <c r="H6021" s="15">
        <v>1.2452252871547138</v>
      </c>
      <c r="I6021" s="15">
        <v>1.4397240221031327</v>
      </c>
      <c r="J6021" s="15">
        <v>1.4397240221031327</v>
      </c>
      <c r="K6021" s="15">
        <v>0.85822671611067802</v>
      </c>
      <c r="L6021" s="15">
        <v>0.85822671611067802</v>
      </c>
      <c r="M6021" s="15">
        <v>1.5558886009635247</v>
      </c>
      <c r="N6021" s="15">
        <v>1.5558886009635247</v>
      </c>
      <c r="O6021" s="15" t="s">
        <v>10</v>
      </c>
      <c r="P6021" s="15" t="s">
        <v>10</v>
      </c>
      <c r="Q6021" s="8"/>
      <c r="R6021" s="9" t="s">
        <v>5547</v>
      </c>
    </row>
    <row r="6022" spans="1:18" x14ac:dyDescent="0.25">
      <c r="A6022" s="6" t="str">
        <f>HYPERLINK("proteomic_fractions_linear_files/Yang_linear_img/114326502.jpg", "114326502")</f>
        <v>114326502</v>
      </c>
      <c r="B6022" s="7"/>
      <c r="C6022" s="6" t="str">
        <f>HYPERLINK("http://www.ncbi.nlm.nih.gov/protein/114326502","Pxn")</f>
        <v>Pxn</v>
      </c>
      <c r="D6022" s="8"/>
      <c r="E6022" s="8">
        <v>64376</v>
      </c>
      <c r="F6022" s="8"/>
      <c r="G6022" s="15" t="s">
        <v>10</v>
      </c>
      <c r="H6022" s="15" t="s">
        <v>10</v>
      </c>
      <c r="I6022" s="15" t="s">
        <v>10</v>
      </c>
      <c r="J6022" s="15" t="s">
        <v>10</v>
      </c>
      <c r="K6022" s="15">
        <v>1.1474400037762851</v>
      </c>
      <c r="L6022" s="15">
        <v>1.1474400037762851</v>
      </c>
      <c r="M6022" s="15" t="s">
        <v>10</v>
      </c>
      <c r="N6022" s="15" t="s">
        <v>10</v>
      </c>
      <c r="O6022" s="15">
        <v>1.0227072395397552</v>
      </c>
      <c r="P6022" s="15">
        <v>1.0227072395397552</v>
      </c>
      <c r="Q6022" s="8"/>
      <c r="R6022" s="9" t="s">
        <v>5548</v>
      </c>
    </row>
    <row r="6023" spans="1:18" x14ac:dyDescent="0.25">
      <c r="A6023" s="6" t="str">
        <f>HYPERLINK("proteomic_fractions_linear_files/Yang_linear_img/21281693.jpg", "21281693")</f>
        <v>21281693</v>
      </c>
      <c r="B6023" s="7"/>
      <c r="C6023" s="6" t="str">
        <f>HYPERLINK("http://www.ncbi.nlm.nih.gov/protein/21281693","Pxn")</f>
        <v>Pxn</v>
      </c>
      <c r="D6023" s="8"/>
      <c r="E6023" s="8">
        <v>60681</v>
      </c>
      <c r="F6023" s="8"/>
      <c r="G6023" s="15" t="s">
        <v>10</v>
      </c>
      <c r="H6023" s="15" t="s">
        <v>10</v>
      </c>
      <c r="I6023" s="15" t="s">
        <v>10</v>
      </c>
      <c r="J6023" s="15" t="s">
        <v>10</v>
      </c>
      <c r="K6023" s="15">
        <v>1.2038714793718401</v>
      </c>
      <c r="L6023" s="15">
        <v>1.2038714793718401</v>
      </c>
      <c r="M6023" s="15" t="s">
        <v>10</v>
      </c>
      <c r="N6023" s="15" t="s">
        <v>10</v>
      </c>
      <c r="O6023" s="15">
        <v>1.0730043168941694</v>
      </c>
      <c r="P6023" s="15">
        <v>1.0730043168941694</v>
      </c>
      <c r="Q6023" s="8"/>
      <c r="R6023" s="9" t="s">
        <v>5549</v>
      </c>
    </row>
    <row r="6024" spans="1:18" x14ac:dyDescent="0.25">
      <c r="A6024" s="6" t="str">
        <f>HYPERLINK("proteomic_fractions_linear_files/Yang_linear_img/21450149.jpg", "21450149")</f>
        <v>21450149</v>
      </c>
      <c r="B6024" s="7"/>
      <c r="C6024" s="6" t="str">
        <f>HYPERLINK("http://www.ncbi.nlm.nih.gov/protein/21450149","Pycr1")</f>
        <v>Pycr1</v>
      </c>
      <c r="D6024" s="8"/>
      <c r="E6024" s="8">
        <v>32242</v>
      </c>
      <c r="F6024" s="8"/>
      <c r="G6024" s="15">
        <v>1.1669164507226435</v>
      </c>
      <c r="H6024" s="15">
        <v>1.1669164507226435</v>
      </c>
      <c r="I6024" s="15">
        <v>0.87244410305256437</v>
      </c>
      <c r="J6024" s="15">
        <v>0.87244410305256437</v>
      </c>
      <c r="K6024" s="15">
        <v>0.93391896536603536</v>
      </c>
      <c r="L6024" s="15">
        <v>0.93391896536603536</v>
      </c>
      <c r="M6024" s="15">
        <v>0.87244410305256437</v>
      </c>
      <c r="N6024" s="15">
        <v>0.87244410305256437</v>
      </c>
      <c r="O6024" s="15">
        <v>0.81719556610703126</v>
      </c>
      <c r="P6024" s="15">
        <v>0.81719556610703126</v>
      </c>
      <c r="Q6024" s="8"/>
      <c r="R6024" s="9" t="s">
        <v>5550</v>
      </c>
    </row>
    <row r="6025" spans="1:18" x14ac:dyDescent="0.25">
      <c r="A6025" s="6" t="str">
        <f>HYPERLINK("proteomic_fractions_linear_files/Yang_linear_img/19526878.jpg", "19526878")</f>
        <v>19526878</v>
      </c>
      <c r="B6025" s="7"/>
      <c r="C6025" s="6" t="str">
        <f>HYPERLINK("http://www.ncbi.nlm.nih.gov/protein/19526878","Pycr2")</f>
        <v>Pycr2</v>
      </c>
      <c r="D6025" s="8"/>
      <c r="E6025" s="8">
        <v>33528</v>
      </c>
      <c r="F6025" s="8"/>
      <c r="G6025" s="15">
        <v>1.1913917118594926</v>
      </c>
      <c r="H6025" s="15">
        <v>1.1913917118594926</v>
      </c>
      <c r="I6025" s="15">
        <v>0.87898255563862149</v>
      </c>
      <c r="J6025" s="15">
        <v>0.87898255563862149</v>
      </c>
      <c r="K6025" s="15">
        <v>0.87898255563862149</v>
      </c>
      <c r="L6025" s="15">
        <v>0.87898255563862149</v>
      </c>
      <c r="M6025" s="15">
        <v>0.87898255563862149</v>
      </c>
      <c r="N6025" s="15">
        <v>0.87898255563862149</v>
      </c>
      <c r="O6025" s="15">
        <v>0.76912523868897065</v>
      </c>
      <c r="P6025" s="15">
        <v>0.76912523868897065</v>
      </c>
      <c r="Q6025" s="8"/>
      <c r="R6025" s="9" t="s">
        <v>5551</v>
      </c>
    </row>
    <row r="6026" spans="1:18" x14ac:dyDescent="0.25">
      <c r="A6026" s="6" t="str">
        <f>HYPERLINK("proteomic_fractions_linear_files/Yang_linear_img/119508439.jpg", "119508439")</f>
        <v>119508439</v>
      </c>
      <c r="B6026" s="7"/>
      <c r="C6026" s="6" t="str">
        <f>HYPERLINK("http://www.ncbi.nlm.nih.gov/protein/119508439","Pycrl")</f>
        <v>Pycrl</v>
      </c>
      <c r="D6026" s="8"/>
      <c r="E6026" s="8">
        <v>28590</v>
      </c>
      <c r="F6026" s="8"/>
      <c r="G6026" s="15" t="s">
        <v>10</v>
      </c>
      <c r="H6026" s="15" t="s">
        <v>10</v>
      </c>
      <c r="I6026" s="15">
        <v>0.90173303846293107</v>
      </c>
      <c r="J6026" s="15">
        <v>0.90173303846293107</v>
      </c>
      <c r="K6026" s="15">
        <v>0.96269694129938133</v>
      </c>
      <c r="L6026" s="15">
        <v>0.96269694129938133</v>
      </c>
      <c r="M6026" s="15">
        <v>0.90173303846293107</v>
      </c>
      <c r="N6026" s="15">
        <v>0.90173303846293107</v>
      </c>
      <c r="O6026" s="15">
        <v>0.84671795218196266</v>
      </c>
      <c r="P6026" s="15">
        <v>0.84671795218196266</v>
      </c>
      <c r="Q6026" s="8"/>
      <c r="R6026" s="9" t="s">
        <v>5552</v>
      </c>
    </row>
    <row r="6027" spans="1:18" x14ac:dyDescent="0.25">
      <c r="A6027" s="6" t="str">
        <f>HYPERLINK("proteomic_fractions_linear_files/Yang_linear_img/24418919.jpg", "24418919")</f>
        <v>24418919</v>
      </c>
      <c r="B6027" s="7"/>
      <c r="C6027" s="6" t="str">
        <f>HYPERLINK("http://www.ncbi.nlm.nih.gov/protein/24418919","Pygb")</f>
        <v>Pygb</v>
      </c>
      <c r="D6027" s="8"/>
      <c r="E6027" s="8">
        <v>96599</v>
      </c>
      <c r="F6027" s="8"/>
      <c r="G6027" s="15">
        <v>1.1319748847539326</v>
      </c>
      <c r="H6027" s="15">
        <v>1.1319748847539326</v>
      </c>
      <c r="I6027" s="15">
        <v>1.1319748847539326</v>
      </c>
      <c r="J6027" s="15">
        <v>1.1319748847539326</v>
      </c>
      <c r="K6027" s="15">
        <v>1.1319748847539326</v>
      </c>
      <c r="L6027" s="15">
        <v>1.1319748847539326</v>
      </c>
      <c r="M6027" s="15">
        <v>1.1319748847539326</v>
      </c>
      <c r="N6027" s="15">
        <v>1.1319748847539326</v>
      </c>
      <c r="O6027" s="15">
        <v>1.1319748847539326</v>
      </c>
      <c r="P6027" s="15">
        <v>1.1319748847539326</v>
      </c>
      <c r="Q6027" s="8"/>
      <c r="R6027" s="9" t="s">
        <v>5553</v>
      </c>
    </row>
    <row r="6028" spans="1:18" x14ac:dyDescent="0.25">
      <c r="A6028" s="6" t="str">
        <f>HYPERLINK("proteomic_fractions_linear_files/Yang_linear_img/268836255.jpg", "268836255")</f>
        <v>268836255</v>
      </c>
      <c r="B6028" s="7"/>
      <c r="C6028" s="6" t="str">
        <f>HYPERLINK("http://www.ncbi.nlm.nih.gov/protein/268836255","Pygl")</f>
        <v>Pygl</v>
      </c>
      <c r="D6028" s="8"/>
      <c r="E6028" s="8">
        <v>97332</v>
      </c>
      <c r="F6028" s="8"/>
      <c r="G6028" s="15" t="s">
        <v>10</v>
      </c>
      <c r="H6028" s="15" t="s">
        <v>10</v>
      </c>
      <c r="I6028" s="15">
        <v>1.1319748847539326</v>
      </c>
      <c r="J6028" s="15">
        <v>1.1319748847539326</v>
      </c>
      <c r="K6028" s="15">
        <v>1.1319748847539326</v>
      </c>
      <c r="L6028" s="15">
        <v>1.1319748847539326</v>
      </c>
      <c r="M6028" s="15">
        <v>1.1319748847539326</v>
      </c>
      <c r="N6028" s="15">
        <v>1.1319748847539326</v>
      </c>
      <c r="O6028" s="15">
        <v>0.97905135239777841</v>
      </c>
      <c r="P6028" s="15">
        <v>0.97905135239777841</v>
      </c>
      <c r="Q6028" s="8"/>
      <c r="R6028" s="9" t="s">
        <v>5554</v>
      </c>
    </row>
    <row r="6029" spans="1:18" x14ac:dyDescent="0.25">
      <c r="A6029" s="6" t="str">
        <f>HYPERLINK("proteomic_fractions_linear_files/Yang_linear_img/6755256.jpg", "6755256")</f>
        <v>6755256</v>
      </c>
      <c r="B6029" s="7"/>
      <c r="C6029" s="6" t="str">
        <f>HYPERLINK("http://www.ncbi.nlm.nih.gov/protein/6755256","Pygm")</f>
        <v>Pygm</v>
      </c>
      <c r="D6029" s="8"/>
      <c r="E6029" s="8">
        <v>97156</v>
      </c>
      <c r="F6029" s="8"/>
      <c r="G6029" s="15" t="s">
        <v>10</v>
      </c>
      <c r="H6029" s="15" t="s">
        <v>10</v>
      </c>
      <c r="I6029" s="15">
        <v>1.1319748847539326</v>
      </c>
      <c r="J6029" s="15">
        <v>1.1319748847539326</v>
      </c>
      <c r="K6029" s="15">
        <v>1.1319748847539326</v>
      </c>
      <c r="L6029" s="15">
        <v>1.1319748847539326</v>
      </c>
      <c r="M6029" s="15">
        <v>1.1319748847539326</v>
      </c>
      <c r="N6029" s="15">
        <v>1.1319748847539326</v>
      </c>
      <c r="O6029" s="15">
        <v>0.97905135239777841</v>
      </c>
      <c r="P6029" s="15">
        <v>0.97905135239777841</v>
      </c>
      <c r="Q6029" s="8"/>
      <c r="R6029" s="9" t="s">
        <v>5555</v>
      </c>
    </row>
    <row r="6030" spans="1:18" x14ac:dyDescent="0.25">
      <c r="A6030" s="6" t="str">
        <f>HYPERLINK("proteomic_fractions_linear_files/Yang_linear_img/269954677.jpg", "269954677")</f>
        <v>269954677</v>
      </c>
      <c r="B6030" s="7"/>
      <c r="C6030" s="6" t="str">
        <f>HYPERLINK("http://www.ncbi.nlm.nih.gov/protein/269954677","Qars")</f>
        <v>Qars</v>
      </c>
      <c r="D6030" s="8"/>
      <c r="E6030" s="8">
        <v>87546</v>
      </c>
      <c r="F6030" s="8"/>
      <c r="G6030" s="15" t="s">
        <v>10</v>
      </c>
      <c r="H6030" s="15" t="s">
        <v>10</v>
      </c>
      <c r="I6030" s="15">
        <v>1.0791816043475513</v>
      </c>
      <c r="J6030" s="15">
        <v>1.0791816043475513</v>
      </c>
      <c r="K6030" s="15">
        <v>1.0791816043475513</v>
      </c>
      <c r="L6030" s="15">
        <v>1.0791816043475513</v>
      </c>
      <c r="M6030" s="15">
        <v>1.0791816043475513</v>
      </c>
      <c r="N6030" s="15">
        <v>1.0791816043475513</v>
      </c>
      <c r="O6030" s="15">
        <v>1.0791816043475513</v>
      </c>
      <c r="P6030" s="15">
        <v>1.0791816043475513</v>
      </c>
      <c r="Q6030" s="8"/>
      <c r="R6030" s="9" t="s">
        <v>5556</v>
      </c>
    </row>
    <row r="6031" spans="1:18" x14ac:dyDescent="0.25">
      <c r="A6031" s="6" t="str">
        <f>HYPERLINK("proteomic_fractions_linear_files/Yang_linear_img/269954679.jpg", "269954679")</f>
        <v>269954679</v>
      </c>
      <c r="B6031" s="7"/>
      <c r="C6031" s="6" t="str">
        <f>HYPERLINK("http://www.ncbi.nlm.nih.gov/protein/269954679","Qars")</f>
        <v>Qars</v>
      </c>
      <c r="D6031" s="8"/>
      <c r="E6031" s="8">
        <v>68697</v>
      </c>
      <c r="F6031" s="8"/>
      <c r="G6031" s="15" t="s">
        <v>10</v>
      </c>
      <c r="H6031" s="15" t="s">
        <v>10</v>
      </c>
      <c r="I6031" s="15">
        <v>1.3763475533707901</v>
      </c>
      <c r="J6031" s="15">
        <v>1.3763475533707901</v>
      </c>
      <c r="K6031" s="15">
        <v>1.3763475533707901</v>
      </c>
      <c r="L6031" s="15">
        <v>1.3763475533707901</v>
      </c>
      <c r="M6031" s="15">
        <v>1.3763475533707901</v>
      </c>
      <c r="N6031" s="15">
        <v>1.3763475533707901</v>
      </c>
      <c r="O6031" s="15">
        <v>1.3763475533707901</v>
      </c>
      <c r="P6031" s="15">
        <v>1.3763475533707901</v>
      </c>
      <c r="Q6031" s="8"/>
      <c r="R6031" s="9" t="s">
        <v>5557</v>
      </c>
    </row>
    <row r="6032" spans="1:18" x14ac:dyDescent="0.25">
      <c r="A6032" s="6" t="str">
        <f>HYPERLINK("proteomic_fractions_linear_files/Yang_linear_img/21312520.jpg", "21312520")</f>
        <v>21312520</v>
      </c>
      <c r="B6032" s="7"/>
      <c r="C6032" s="6" t="str">
        <f>HYPERLINK("http://www.ncbi.nlm.nih.gov/protein/21312520","Qdpr")</f>
        <v>Qdpr</v>
      </c>
      <c r="D6032" s="8"/>
      <c r="E6032" s="8">
        <v>25439</v>
      </c>
      <c r="F6032" s="8"/>
      <c r="G6032" s="15" t="s">
        <v>10</v>
      </c>
      <c r="H6032" s="15" t="s">
        <v>10</v>
      </c>
      <c r="I6032" s="15">
        <v>0.9821928245310767</v>
      </c>
      <c r="J6032" s="15">
        <v>0.9821928245310767</v>
      </c>
      <c r="K6032" s="15">
        <v>1.0460103246170001</v>
      </c>
      <c r="L6032" s="15">
        <v>1.0460103246170001</v>
      </c>
      <c r="M6032" s="15">
        <v>0.9821928245310767</v>
      </c>
      <c r="N6032" s="15">
        <v>0.9821928245310767</v>
      </c>
      <c r="O6032" s="15">
        <v>0.87182969082715001</v>
      </c>
      <c r="P6032" s="15">
        <v>0.87182969082715001</v>
      </c>
      <c r="Q6032" s="8"/>
      <c r="R6032" s="9" t="s">
        <v>5558</v>
      </c>
    </row>
    <row r="6033" spans="1:18" x14ac:dyDescent="0.25">
      <c r="A6033" s="6" t="str">
        <f>HYPERLINK("proteomic_fractions_linear_files/Yang_linear_img/11527388.jpg", "11527388")</f>
        <v>11527388</v>
      </c>
      <c r="B6033" s="7"/>
      <c r="C6033" s="6" t="str">
        <f>HYPERLINK("http://www.ncbi.nlm.nih.gov/protein/11527388","Qk")</f>
        <v>Qk</v>
      </c>
      <c r="D6033" s="8"/>
      <c r="E6033" s="8">
        <v>35847</v>
      </c>
      <c r="F6033" s="8"/>
      <c r="G6033" s="15" t="s">
        <v>10</v>
      </c>
      <c r="H6033" s="15" t="s">
        <v>10</v>
      </c>
      <c r="I6033" s="15" t="s">
        <v>10</v>
      </c>
      <c r="J6033" s="15" t="s">
        <v>10</v>
      </c>
      <c r="K6033" s="15">
        <v>1.125203283422854</v>
      </c>
      <c r="L6033" s="15">
        <v>1.125203283422854</v>
      </c>
      <c r="M6033" s="15">
        <v>1.0372590673090165</v>
      </c>
      <c r="N6033" s="15">
        <v>1.0372590673090165</v>
      </c>
      <c r="O6033" s="15" t="s">
        <v>10</v>
      </c>
      <c r="P6033" s="15" t="s">
        <v>10</v>
      </c>
      <c r="Q6033" s="8"/>
      <c r="R6033" s="9" t="s">
        <v>5559</v>
      </c>
    </row>
    <row r="6034" spans="1:18" x14ac:dyDescent="0.25">
      <c r="A6034" s="6" t="str">
        <f>HYPERLINK("proteomic_fractions_linear_files/Yang_linear_img/226958438.jpg", "226958438")</f>
        <v>226958438</v>
      </c>
      <c r="B6034" s="7"/>
      <c r="C6034" s="6" t="str">
        <f>HYPERLINK("http://www.ncbi.nlm.nih.gov/protein/226958438","Qk")</f>
        <v>Qk</v>
      </c>
      <c r="D6034" s="8"/>
      <c r="E6034" s="8">
        <v>35000</v>
      </c>
      <c r="F6034" s="8"/>
      <c r="G6034" s="15" t="s">
        <v>10</v>
      </c>
      <c r="H6034" s="15" t="s">
        <v>10</v>
      </c>
      <c r="I6034" s="15" t="s">
        <v>10</v>
      </c>
      <c r="J6034" s="15" t="s">
        <v>10</v>
      </c>
      <c r="K6034" s="15">
        <v>1.1573519486635071</v>
      </c>
      <c r="L6034" s="15">
        <v>1.1573519486635071</v>
      </c>
      <c r="M6034" s="15">
        <v>1.0668950406607027</v>
      </c>
      <c r="N6034" s="15">
        <v>1.0668950406607027</v>
      </c>
      <c r="O6034" s="15" t="s">
        <v>10</v>
      </c>
      <c r="P6034" s="15" t="s">
        <v>10</v>
      </c>
      <c r="Q6034" s="8"/>
      <c r="R6034" s="9" t="s">
        <v>5560</v>
      </c>
    </row>
    <row r="6035" spans="1:18" x14ac:dyDescent="0.25">
      <c r="A6035" s="6" t="str">
        <f>HYPERLINK("proteomic_fractions_linear_files/Yang_linear_img/226958440.jpg", "226958440")</f>
        <v>226958440</v>
      </c>
      <c r="B6035" s="7"/>
      <c r="C6035" s="6" t="str">
        <f>HYPERLINK("http://www.ncbi.nlm.nih.gov/protein/226958440","Qk")</f>
        <v>Qk</v>
      </c>
      <c r="D6035" s="8"/>
      <c r="E6035" s="8">
        <v>37540</v>
      </c>
      <c r="F6035" s="8"/>
      <c r="G6035" s="15" t="s">
        <v>10</v>
      </c>
      <c r="H6035" s="15" t="s">
        <v>10</v>
      </c>
      <c r="I6035" s="15" t="s">
        <v>10</v>
      </c>
      <c r="J6035" s="15" t="s">
        <v>10</v>
      </c>
      <c r="K6035" s="15">
        <v>1.0659820579795458</v>
      </c>
      <c r="L6035" s="15">
        <v>1.0659820579795458</v>
      </c>
      <c r="M6035" s="15">
        <v>0.98266648481906815</v>
      </c>
      <c r="N6035" s="15">
        <v>0.98266648481906815</v>
      </c>
      <c r="O6035" s="15" t="s">
        <v>10</v>
      </c>
      <c r="P6035" s="15" t="s">
        <v>10</v>
      </c>
      <c r="Q6035" s="8"/>
      <c r="R6035" s="9" t="s">
        <v>5561</v>
      </c>
    </row>
    <row r="6036" spans="1:18" x14ac:dyDescent="0.25">
      <c r="A6036" s="6" t="str">
        <f>HYPERLINK("proteomic_fractions_linear_files/Yang_linear_img/166295181.jpg", "166295181")</f>
        <v>166295181</v>
      </c>
      <c r="B6036" s="7"/>
      <c r="C6036" s="6" t="str">
        <f>HYPERLINK("http://www.ncbi.nlm.nih.gov/protein/166295181","Qrich1")</f>
        <v>Qrich1</v>
      </c>
      <c r="D6036" s="8"/>
      <c r="E6036" s="8">
        <v>86398</v>
      </c>
      <c r="F6036" s="8"/>
      <c r="G6036" s="15" t="s">
        <v>10</v>
      </c>
      <c r="H6036" s="15" t="s">
        <v>10</v>
      </c>
      <c r="I6036" s="15" t="s">
        <v>10</v>
      </c>
      <c r="J6036" s="15" t="s">
        <v>10</v>
      </c>
      <c r="K6036" s="15">
        <v>0.61768104220931486</v>
      </c>
      <c r="L6036" s="15">
        <v>0.61768104220931486</v>
      </c>
      <c r="M6036" s="15" t="s">
        <v>10</v>
      </c>
      <c r="N6036" s="15" t="s">
        <v>10</v>
      </c>
      <c r="O6036" s="15">
        <v>1.2767623700131565</v>
      </c>
      <c r="P6036" s="15">
        <v>1.2767623700131565</v>
      </c>
      <c r="Q6036" s="8"/>
      <c r="R6036" s="9" t="s">
        <v>5562</v>
      </c>
    </row>
    <row r="6037" spans="1:18" x14ac:dyDescent="0.25">
      <c r="A6037" s="6" t="str">
        <f>HYPERLINK("proteomic_fractions_linear_files/Yang_linear_img/124486688.jpg", "124486688")</f>
        <v>124486688</v>
      </c>
      <c r="B6037" s="7"/>
      <c r="C6037" s="6" t="str">
        <f>HYPERLINK("http://www.ncbi.nlm.nih.gov/protein/124486688","Qrsl1")</f>
        <v>Qrsl1</v>
      </c>
      <c r="D6037" s="8"/>
      <c r="E6037" s="8">
        <v>56652</v>
      </c>
      <c r="F6037" s="8"/>
      <c r="G6037" s="15" t="s">
        <v>10</v>
      </c>
      <c r="H6037" s="15" t="s">
        <v>10</v>
      </c>
      <c r="I6037" s="15">
        <v>1.0311089050104185</v>
      </c>
      <c r="J6037" s="15">
        <v>1.0311089050104185</v>
      </c>
      <c r="K6037" s="15" t="s">
        <v>10</v>
      </c>
      <c r="L6037" s="15" t="s">
        <v>10</v>
      </c>
      <c r="M6037" s="15" t="s">
        <v>10</v>
      </c>
      <c r="N6037" s="15" t="s">
        <v>10</v>
      </c>
      <c r="O6037" s="15" t="s">
        <v>10</v>
      </c>
      <c r="P6037" s="15" t="s">
        <v>10</v>
      </c>
      <c r="Q6037" s="8"/>
      <c r="R6037" s="9" t="s">
        <v>5563</v>
      </c>
    </row>
    <row r="6038" spans="1:18" x14ac:dyDescent="0.25">
      <c r="A6038" s="6" t="str">
        <f>HYPERLINK("proteomic_fractions_linear_files/Yang_linear_img/158186691.jpg", "158186691")</f>
        <v>158186691</v>
      </c>
      <c r="B6038" s="7"/>
      <c r="C6038" s="6" t="str">
        <f>HYPERLINK("http://www.ncbi.nlm.nih.gov/protein/158186691","Qtrt1")</f>
        <v>Qtrt1</v>
      </c>
      <c r="D6038" s="8"/>
      <c r="E6038" s="8">
        <v>43962</v>
      </c>
      <c r="F6038" s="8"/>
      <c r="G6038" s="15" t="s">
        <v>10</v>
      </c>
      <c r="H6038" s="15" t="s">
        <v>10</v>
      </c>
      <c r="I6038" s="15" t="s">
        <v>10</v>
      </c>
      <c r="J6038" s="15" t="s">
        <v>10</v>
      </c>
      <c r="K6038" s="15" t="s">
        <v>10</v>
      </c>
      <c r="L6038" s="15" t="s">
        <v>10</v>
      </c>
      <c r="M6038" s="15" t="s">
        <v>10</v>
      </c>
      <c r="N6038" s="15" t="s">
        <v>10</v>
      </c>
      <c r="O6038" s="15">
        <v>0.84866650961646795</v>
      </c>
      <c r="P6038" s="15">
        <v>0.84866650961646795</v>
      </c>
      <c r="Q6038" s="8"/>
      <c r="R6038" s="9" t="s">
        <v>5564</v>
      </c>
    </row>
    <row r="6039" spans="1:18" x14ac:dyDescent="0.25">
      <c r="A6039" s="6" t="str">
        <f>HYPERLINK("proteomic_fractions_linear_files/Yang_linear_img/54144622.jpg", "54144622")</f>
        <v>54144622</v>
      </c>
      <c r="B6039" s="7"/>
      <c r="C6039" s="6" t="str">
        <f>HYPERLINK("http://www.ncbi.nlm.nih.gov/protein/54144622","Qtrtd1")</f>
        <v>Qtrtd1</v>
      </c>
      <c r="D6039" s="8"/>
      <c r="E6039" s="8">
        <v>38345</v>
      </c>
      <c r="F6039" s="8"/>
      <c r="G6039" s="15" t="s">
        <v>10</v>
      </c>
      <c r="H6039" s="15" t="s">
        <v>10</v>
      </c>
      <c r="I6039" s="15" t="s">
        <v>10</v>
      </c>
      <c r="J6039" s="15" t="s">
        <v>10</v>
      </c>
      <c r="K6039" s="15" t="s">
        <v>10</v>
      </c>
      <c r="L6039" s="15" t="s">
        <v>10</v>
      </c>
      <c r="M6039" s="15" t="s">
        <v>10</v>
      </c>
      <c r="N6039" s="15" t="s">
        <v>10</v>
      </c>
      <c r="O6039" s="15">
        <v>1.0659820579795458</v>
      </c>
      <c r="P6039" s="15">
        <v>1.0659820579795458</v>
      </c>
      <c r="Q6039" s="8"/>
      <c r="R6039" s="9" t="s">
        <v>5565</v>
      </c>
    </row>
    <row r="6040" spans="1:18" x14ac:dyDescent="0.25">
      <c r="A6040" s="6" t="str">
        <f>HYPERLINK("proteomic_fractions_linear_files/Yang_linear_img/225579031.jpg", "225579031")</f>
        <v>225579031</v>
      </c>
      <c r="B6040" s="7"/>
      <c r="C6040" s="6" t="str">
        <f>HYPERLINK("http://www.ncbi.nlm.nih.gov/protein/225579031","R3hcc1")</f>
        <v>R3hcc1</v>
      </c>
      <c r="D6040" s="8"/>
      <c r="E6040" s="8">
        <v>33827</v>
      </c>
      <c r="F6040" s="8"/>
      <c r="G6040" s="15" t="s">
        <v>10</v>
      </c>
      <c r="H6040" s="15" t="s">
        <v>10</v>
      </c>
      <c r="I6040" s="15" t="s">
        <v>10</v>
      </c>
      <c r="J6040" s="15" t="s">
        <v>10</v>
      </c>
      <c r="K6040" s="15" t="s">
        <v>10</v>
      </c>
      <c r="L6040" s="15" t="s">
        <v>10</v>
      </c>
      <c r="M6040" s="15">
        <v>2.1598870659318306</v>
      </c>
      <c r="N6040" s="15">
        <v>2.1598870659318306</v>
      </c>
      <c r="O6040" s="15" t="s">
        <v>10</v>
      </c>
      <c r="P6040" s="15" t="s">
        <v>10</v>
      </c>
      <c r="Q6040" s="8"/>
      <c r="R6040" s="9" t="s">
        <v>5566</v>
      </c>
    </row>
    <row r="6041" spans="1:18" x14ac:dyDescent="0.25">
      <c r="A6041" s="6" t="str">
        <f>HYPERLINK("proteomic_fractions_linear_files/Yang_linear_img/50845430.jpg", "50845430")</f>
        <v>50845430</v>
      </c>
      <c r="B6041" s="7"/>
      <c r="C6041" s="6" t="str">
        <f>HYPERLINK("http://www.ncbi.nlm.nih.gov/protein/50845430","R3hdm1")</f>
        <v>R3hdm1</v>
      </c>
      <c r="D6041" s="8"/>
      <c r="E6041" s="8">
        <v>124257</v>
      </c>
      <c r="F6041" s="8"/>
      <c r="G6041" s="15" t="s">
        <v>10</v>
      </c>
      <c r="H6041" s="15" t="s">
        <v>10</v>
      </c>
      <c r="I6041" s="15" t="s">
        <v>10</v>
      </c>
      <c r="J6041" s="15" t="s">
        <v>10</v>
      </c>
      <c r="K6041" s="15" t="s">
        <v>10</v>
      </c>
      <c r="L6041" s="15" t="s">
        <v>10</v>
      </c>
      <c r="M6041" s="15" t="s">
        <v>10</v>
      </c>
      <c r="N6041" s="15" t="s">
        <v>10</v>
      </c>
      <c r="O6041" s="15">
        <v>1.2375231543245309</v>
      </c>
      <c r="P6041" s="15">
        <v>1.2375231543245309</v>
      </c>
      <c r="Q6041" s="8"/>
      <c r="R6041" s="9" t="s">
        <v>5567</v>
      </c>
    </row>
    <row r="6042" spans="1:18" x14ac:dyDescent="0.25">
      <c r="A6042" s="6" t="str">
        <f>HYPERLINK("proteomic_fractions_linear_files/Yang_linear_img/150010587.jpg", "150010587")</f>
        <v>150010587</v>
      </c>
      <c r="B6042" s="7"/>
      <c r="C6042" s="6" t="str">
        <f>HYPERLINK("http://www.ncbi.nlm.nih.gov/protein/150010587","R3hdml")</f>
        <v>R3hdml</v>
      </c>
      <c r="D6042" s="8"/>
      <c r="E6042" s="8">
        <v>22144</v>
      </c>
      <c r="F6042" s="8"/>
      <c r="G6042" s="15" t="s">
        <v>10</v>
      </c>
      <c r="H6042" s="15" t="s">
        <v>10</v>
      </c>
      <c r="I6042" s="15" t="s">
        <v>10</v>
      </c>
      <c r="J6042" s="15" t="s">
        <v>10</v>
      </c>
      <c r="K6042" s="15">
        <v>8.4893559836336525</v>
      </c>
      <c r="L6042" s="15">
        <v>8.4893559836336525</v>
      </c>
      <c r="M6042" s="15">
        <v>18.592888988156353</v>
      </c>
      <c r="N6042" s="15">
        <v>18.592888988156353</v>
      </c>
      <c r="O6042" s="15" t="s">
        <v>10</v>
      </c>
      <c r="P6042" s="15" t="s">
        <v>10</v>
      </c>
      <c r="Q6042" s="8"/>
      <c r="R6042" s="9" t="s">
        <v>5568</v>
      </c>
    </row>
    <row r="6043" spans="1:18" x14ac:dyDescent="0.25">
      <c r="A6043" s="6" t="str">
        <f>HYPERLINK("proteomic_fractions_linear_files/Yang_linear_img/6679587.jpg", "6679587")</f>
        <v>6679587</v>
      </c>
      <c r="B6043" s="7"/>
      <c r="C6043" s="6" t="str">
        <f>HYPERLINK("http://www.ncbi.nlm.nih.gov/protein/6679587","Rab1")</f>
        <v>Rab1</v>
      </c>
      <c r="D6043" s="8"/>
      <c r="E6043" s="8">
        <v>22547</v>
      </c>
      <c r="F6043" s="8"/>
      <c r="G6043" s="15">
        <v>0.89554092115896833</v>
      </c>
      <c r="H6043" s="15">
        <v>0.89554092115896833</v>
      </c>
      <c r="I6043" s="15">
        <v>0.94764096829038047</v>
      </c>
      <c r="J6043" s="15">
        <v>0.94764096829038047</v>
      </c>
      <c r="K6043" s="15">
        <v>1.0047640597703238</v>
      </c>
      <c r="L6043" s="15">
        <v>1.0047640597703238</v>
      </c>
      <c r="M6043" s="15">
        <v>0.89554092115896833</v>
      </c>
      <c r="N6043" s="15">
        <v>0.89554092115896833</v>
      </c>
      <c r="O6043" s="15">
        <v>0.89554092115896833</v>
      </c>
      <c r="P6043" s="15">
        <v>0.89554092115896833</v>
      </c>
      <c r="Q6043" s="8"/>
      <c r="R6043" s="9" t="s">
        <v>5569</v>
      </c>
    </row>
    <row r="6044" spans="1:18" x14ac:dyDescent="0.25">
      <c r="A6044" s="6" t="str">
        <f>HYPERLINK("proteomic_fractions_linear_files/Yang_linear_img/7710086.jpg", "7710086")</f>
        <v>7710086</v>
      </c>
      <c r="B6044" s="7"/>
      <c r="C6044" s="6" t="str">
        <f>HYPERLINK("http://www.ncbi.nlm.nih.gov/protein/7710086","Rab10")</f>
        <v>Rab10</v>
      </c>
      <c r="D6044" s="8"/>
      <c r="E6044" s="8">
        <v>22410</v>
      </c>
      <c r="F6044" s="8"/>
      <c r="G6044" s="15">
        <v>0.93624732666619426</v>
      </c>
      <c r="H6044" s="15">
        <v>0.93624732666619426</v>
      </c>
      <c r="I6044" s="15">
        <v>0.93624732666619426</v>
      </c>
      <c r="J6044" s="15">
        <v>0.93624732666619426</v>
      </c>
      <c r="K6044" s="15">
        <v>0.99071555775812503</v>
      </c>
      <c r="L6044" s="15">
        <v>0.99071555775812503</v>
      </c>
      <c r="M6044" s="15">
        <v>0.93624732666619426</v>
      </c>
      <c r="N6044" s="15">
        <v>0.93624732666619426</v>
      </c>
      <c r="O6044" s="15">
        <v>0.93624732666619426</v>
      </c>
      <c r="P6044" s="15">
        <v>0.93624732666619426</v>
      </c>
      <c r="Q6044" s="8"/>
      <c r="R6044" s="9" t="s">
        <v>5570</v>
      </c>
    </row>
    <row r="6045" spans="1:18" x14ac:dyDescent="0.25">
      <c r="A6045" s="6" t="str">
        <f>HYPERLINK("proteomic_fractions_linear_files/Yang_linear_img/31980840.jpg", "31980840")</f>
        <v>31980840</v>
      </c>
      <c r="B6045" s="7"/>
      <c r="C6045" s="6" t="str">
        <f>HYPERLINK("http://www.ncbi.nlm.nih.gov/protein/31980840","Rab11a")</f>
        <v>Rab11a</v>
      </c>
      <c r="D6045" s="8"/>
      <c r="E6045" s="8">
        <v>24262</v>
      </c>
      <c r="F6045" s="8"/>
      <c r="G6045" s="15">
        <v>1.3368363689888996</v>
      </c>
      <c r="H6045" s="15">
        <v>1.3368363689888996</v>
      </c>
      <c r="I6045" s="15">
        <v>0.96289889061322687</v>
      </c>
      <c r="J6045" s="15">
        <v>0.96289889061322687</v>
      </c>
      <c r="K6045" s="15">
        <v>0.96289889061322687</v>
      </c>
      <c r="L6045" s="15">
        <v>0.96289889061322687</v>
      </c>
      <c r="M6045" s="15">
        <v>0.90815592794494793</v>
      </c>
      <c r="N6045" s="15">
        <v>0.96289889061322687</v>
      </c>
      <c r="O6045" s="15">
        <v>0.90815592794494793</v>
      </c>
      <c r="P6045" s="15">
        <v>0.85822671611067802</v>
      </c>
      <c r="Q6045" s="8"/>
      <c r="R6045" s="9" t="s">
        <v>5571</v>
      </c>
    </row>
    <row r="6046" spans="1:18" x14ac:dyDescent="0.25">
      <c r="A6046" s="6" t="str">
        <f>HYPERLINK("proteomic_fractions_linear_files/Yang_linear_img/6679583.jpg", "6679583")</f>
        <v>6679583</v>
      </c>
      <c r="B6046" s="7"/>
      <c r="C6046" s="6" t="str">
        <f>HYPERLINK("http://www.ncbi.nlm.nih.gov/protein/6679583","Rab11b")</f>
        <v>Rab11b</v>
      </c>
      <c r="D6046" s="8"/>
      <c r="E6046" s="8">
        <v>24358</v>
      </c>
      <c r="F6046" s="8"/>
      <c r="G6046" s="15">
        <v>1.3368363689888996</v>
      </c>
      <c r="H6046" s="15">
        <v>1.3368363689888996</v>
      </c>
      <c r="I6046" s="15">
        <v>0.96289889061322687</v>
      </c>
      <c r="J6046" s="15">
        <v>0.96289889061322687</v>
      </c>
      <c r="K6046" s="15">
        <v>0.96289889061322687</v>
      </c>
      <c r="L6046" s="15">
        <v>0.96289889061322687</v>
      </c>
      <c r="M6046" s="15">
        <v>0.90815592794494793</v>
      </c>
      <c r="N6046" s="15">
        <v>0.96289889061322687</v>
      </c>
      <c r="O6046" s="15">
        <v>0.90815592794494793</v>
      </c>
      <c r="P6046" s="15">
        <v>0.85822671611067802</v>
      </c>
      <c r="Q6046" s="8"/>
      <c r="R6046" s="9" t="s">
        <v>5572</v>
      </c>
    </row>
    <row r="6047" spans="1:18" x14ac:dyDescent="0.25">
      <c r="A6047" s="6" t="str">
        <f>HYPERLINK("proteomic_fractions_linear_files/Yang_linear_img/124249097.jpg", "124249097")</f>
        <v>124249097</v>
      </c>
      <c r="B6047" s="7"/>
      <c r="C6047" s="6" t="str">
        <f>HYPERLINK("http://www.ncbi.nlm.nih.gov/protein/124249097","Rab11fip1")</f>
        <v>Rab11fip1</v>
      </c>
      <c r="D6047" s="8"/>
      <c r="E6047" s="8">
        <v>124894</v>
      </c>
      <c r="F6047" s="8"/>
      <c r="G6047" s="15" t="s">
        <v>10</v>
      </c>
      <c r="H6047" s="15" t="s">
        <v>10</v>
      </c>
      <c r="I6047" s="15" t="s">
        <v>10</v>
      </c>
      <c r="J6047" s="15" t="s">
        <v>10</v>
      </c>
      <c r="K6047" s="15">
        <v>0.75974384946067608</v>
      </c>
      <c r="L6047" s="15">
        <v>0.75974384946067608</v>
      </c>
      <c r="M6047" s="15" t="s">
        <v>10</v>
      </c>
      <c r="N6047" s="15" t="s">
        <v>10</v>
      </c>
      <c r="O6047" s="15" t="s">
        <v>10</v>
      </c>
      <c r="P6047" s="15" t="s">
        <v>10</v>
      </c>
      <c r="Q6047" s="8"/>
      <c r="R6047" s="9" t="s">
        <v>5573</v>
      </c>
    </row>
    <row r="6048" spans="1:18" x14ac:dyDescent="0.25">
      <c r="A6048" s="6" t="str">
        <f>HYPERLINK("proteomic_fractions_linear_files/Yang_linear_img/297206826.jpg", "297206826")</f>
        <v>297206826</v>
      </c>
      <c r="B6048" s="7"/>
      <c r="C6048" s="6" t="str">
        <f>HYPERLINK("http://www.ncbi.nlm.nih.gov/protein/297206826","Rab11fip1")</f>
        <v>Rab11fip1</v>
      </c>
      <c r="D6048" s="8"/>
      <c r="E6048" s="8">
        <v>70553</v>
      </c>
      <c r="F6048" s="8"/>
      <c r="G6048" s="15" t="s">
        <v>10</v>
      </c>
      <c r="H6048" s="15" t="s">
        <v>10</v>
      </c>
      <c r="I6048" s="15" t="s">
        <v>10</v>
      </c>
      <c r="J6048" s="15" t="s">
        <v>10</v>
      </c>
      <c r="K6048" s="15">
        <v>1.3375771997547115</v>
      </c>
      <c r="L6048" s="15">
        <v>1.3375771997547115</v>
      </c>
      <c r="M6048" s="15" t="s">
        <v>10</v>
      </c>
      <c r="N6048" s="15" t="s">
        <v>10</v>
      </c>
      <c r="O6048" s="15" t="s">
        <v>10</v>
      </c>
      <c r="P6048" s="15" t="s">
        <v>10</v>
      </c>
      <c r="Q6048" s="8"/>
      <c r="R6048" s="9" t="s">
        <v>5574</v>
      </c>
    </row>
    <row r="6049" spans="1:18" x14ac:dyDescent="0.25">
      <c r="A6049" s="6" t="str">
        <f>HYPERLINK("proteomic_fractions_linear_files/Yang_linear_img/256773180.jpg", "256773180")</f>
        <v>256773180</v>
      </c>
      <c r="B6049" s="7"/>
      <c r="C6049" s="6" t="str">
        <f>HYPERLINK("http://www.ncbi.nlm.nih.gov/protein/256773180","Rab11fip2")</f>
        <v>Rab11fip2</v>
      </c>
      <c r="D6049" s="8"/>
      <c r="E6049" s="8">
        <v>59858</v>
      </c>
      <c r="F6049" s="8"/>
      <c r="G6049" s="15" t="s">
        <v>10</v>
      </c>
      <c r="H6049" s="15" t="s">
        <v>10</v>
      </c>
      <c r="I6049" s="15" t="s">
        <v>10</v>
      </c>
      <c r="J6049" s="15" t="s">
        <v>10</v>
      </c>
      <c r="K6049" s="15">
        <v>0.20388102153885596</v>
      </c>
      <c r="L6049" s="15">
        <v>0.20388102153885596</v>
      </c>
      <c r="M6049" s="15" t="s">
        <v>10</v>
      </c>
      <c r="N6049" s="15" t="s">
        <v>10</v>
      </c>
      <c r="O6049" s="15" t="s">
        <v>10</v>
      </c>
      <c r="P6049" s="15" t="s">
        <v>10</v>
      </c>
      <c r="Q6049" s="8"/>
      <c r="R6049" s="9" t="s">
        <v>5575</v>
      </c>
    </row>
    <row r="6050" spans="1:18" x14ac:dyDescent="0.25">
      <c r="A6050" s="6" t="str">
        <f>HYPERLINK("proteomic_fractions_linear_files/Yang_linear_img/256773182.jpg", "256773182")</f>
        <v>256773182</v>
      </c>
      <c r="B6050" s="7"/>
      <c r="C6050" s="6" t="str">
        <f>HYPERLINK("http://www.ncbi.nlm.nih.gov/protein/256773182","Rab11fip2")</f>
        <v>Rab11fip2</v>
      </c>
      <c r="D6050" s="8"/>
      <c r="E6050" s="8">
        <v>41638</v>
      </c>
      <c r="F6050" s="8"/>
      <c r="G6050" s="15" t="s">
        <v>10</v>
      </c>
      <c r="H6050" s="15" t="s">
        <v>10</v>
      </c>
      <c r="I6050" s="15" t="s">
        <v>10</v>
      </c>
      <c r="J6050" s="15" t="s">
        <v>10</v>
      </c>
      <c r="K6050" s="15">
        <v>0.29125860219836563</v>
      </c>
      <c r="L6050" s="15">
        <v>0.29125860219836563</v>
      </c>
      <c r="M6050" s="15" t="s">
        <v>10</v>
      </c>
      <c r="N6050" s="15" t="s">
        <v>10</v>
      </c>
      <c r="O6050" s="15" t="s">
        <v>10</v>
      </c>
      <c r="P6050" s="15" t="s">
        <v>10</v>
      </c>
      <c r="Q6050" s="8"/>
      <c r="R6050" s="9" t="s">
        <v>5576</v>
      </c>
    </row>
    <row r="6051" spans="1:18" x14ac:dyDescent="0.25">
      <c r="A6051" s="6" t="str">
        <f>HYPERLINK("proteomic_fractions_linear_files/Yang_linear_img/106507168.jpg", "106507168")</f>
        <v>106507168</v>
      </c>
      <c r="B6051" s="7"/>
      <c r="C6051" s="6" t="str">
        <f>HYPERLINK("http://www.ncbi.nlm.nih.gov/protein/106507168","Rab12")</f>
        <v>Rab12</v>
      </c>
      <c r="D6051" s="8"/>
      <c r="E6051" s="8">
        <v>27197</v>
      </c>
      <c r="F6051" s="8"/>
      <c r="G6051" s="15">
        <v>1.1882989946567994</v>
      </c>
      <c r="H6051" s="15">
        <v>0.76286819209838042</v>
      </c>
      <c r="I6051" s="15">
        <v>0.855910124989535</v>
      </c>
      <c r="J6051" s="15">
        <v>0.855910124989535</v>
      </c>
      <c r="K6051" s="15">
        <v>0.855910124989535</v>
      </c>
      <c r="L6051" s="15">
        <v>0.855910124989535</v>
      </c>
      <c r="M6051" s="15">
        <v>0.76286819209838042</v>
      </c>
      <c r="N6051" s="15">
        <v>0.76286819209838042</v>
      </c>
      <c r="O6051" s="15">
        <v>0.76286819209838042</v>
      </c>
      <c r="P6051" s="15">
        <v>0.76286819209838042</v>
      </c>
      <c r="Q6051" s="8"/>
      <c r="R6051" s="9" t="s">
        <v>5577</v>
      </c>
    </row>
    <row r="6052" spans="1:18" x14ac:dyDescent="0.25">
      <c r="A6052" s="6" t="str">
        <f>HYPERLINK("proteomic_fractions_linear_files/Yang_linear_img/21311975.jpg", "21311975")</f>
        <v>21311975</v>
      </c>
      <c r="B6052" s="7"/>
      <c r="C6052" s="6" t="str">
        <f>HYPERLINK("http://www.ncbi.nlm.nih.gov/protein/21311975","Rab13")</f>
        <v>Rab13</v>
      </c>
      <c r="D6052" s="8"/>
      <c r="E6052" s="8">
        <v>22639</v>
      </c>
      <c r="F6052" s="8"/>
      <c r="G6052" s="15">
        <v>0.89554092115896833</v>
      </c>
      <c r="H6052" s="15">
        <v>0.89554092115896833</v>
      </c>
      <c r="I6052" s="15">
        <v>0.89554092115896833</v>
      </c>
      <c r="J6052" s="15">
        <v>0.89554092115896833</v>
      </c>
      <c r="K6052" s="15">
        <v>0.89554092115896833</v>
      </c>
      <c r="L6052" s="15">
        <v>0.89554092115896833</v>
      </c>
      <c r="M6052" s="15">
        <v>0.89554092115896833</v>
      </c>
      <c r="N6052" s="15">
        <v>0.89554092115896833</v>
      </c>
      <c r="O6052" s="15">
        <v>0.89554092115896833</v>
      </c>
      <c r="P6052" s="15">
        <v>0.89554092115896833</v>
      </c>
      <c r="Q6052" s="8"/>
      <c r="R6052" s="9" t="s">
        <v>5578</v>
      </c>
    </row>
    <row r="6053" spans="1:18" x14ac:dyDescent="0.25">
      <c r="A6053" s="6" t="str">
        <f>HYPERLINK("proteomic_fractions_linear_files/Yang_linear_img/18390323.jpg", "18390323")</f>
        <v>18390323</v>
      </c>
      <c r="B6053" s="7"/>
      <c r="C6053" s="6" t="str">
        <f>HYPERLINK("http://www.ncbi.nlm.nih.gov/protein/18390323","Rab14")</f>
        <v>Rab14</v>
      </c>
      <c r="D6053" s="8"/>
      <c r="E6053" s="8">
        <v>23766</v>
      </c>
      <c r="F6053" s="8"/>
      <c r="G6053" s="15">
        <v>1.3368363689888996</v>
      </c>
      <c r="H6053" s="15">
        <v>1.3368363689888996</v>
      </c>
      <c r="I6053" s="15">
        <v>0.96289889061322687</v>
      </c>
      <c r="J6053" s="15">
        <v>0.96289889061322687</v>
      </c>
      <c r="K6053" s="15">
        <v>0.96289889061322687</v>
      </c>
      <c r="L6053" s="15">
        <v>0.96289889061322687</v>
      </c>
      <c r="M6053" s="15">
        <v>0.96289889061322687</v>
      </c>
      <c r="N6053" s="15">
        <v>0.96289889061322687</v>
      </c>
      <c r="O6053" s="15">
        <v>0.85822671611067802</v>
      </c>
      <c r="P6053" s="15">
        <v>0.85822671611067802</v>
      </c>
      <c r="Q6053" s="8"/>
      <c r="R6053" s="9" t="s">
        <v>5579</v>
      </c>
    </row>
    <row r="6054" spans="1:18" x14ac:dyDescent="0.25">
      <c r="A6054" s="6" t="str">
        <f>HYPERLINK("proteomic_fractions_linear_files/Yang_linear_img/165377074.jpg", "165377074")</f>
        <v>165377074</v>
      </c>
      <c r="B6054" s="7"/>
      <c r="C6054" s="6" t="str">
        <f>HYPERLINK("http://www.ncbi.nlm.nih.gov/protein/165377074","Rab15")</f>
        <v>Rab15</v>
      </c>
      <c r="D6054" s="8"/>
      <c r="E6054" s="8">
        <v>24201</v>
      </c>
      <c r="F6054" s="8"/>
      <c r="G6054" s="15">
        <v>0.85822671611067802</v>
      </c>
      <c r="H6054" s="15">
        <v>0.85822671611067802</v>
      </c>
      <c r="I6054" s="15">
        <v>0.85822671611067802</v>
      </c>
      <c r="J6054" s="15">
        <v>0.85822671611067802</v>
      </c>
      <c r="K6054" s="15">
        <v>0.85822671611067802</v>
      </c>
      <c r="L6054" s="15">
        <v>0.85822671611067802</v>
      </c>
      <c r="M6054" s="15">
        <v>0.85822671611067802</v>
      </c>
      <c r="N6054" s="15">
        <v>0.85822671611067802</v>
      </c>
      <c r="O6054" s="15">
        <v>0.85822671611067802</v>
      </c>
      <c r="P6054" s="15">
        <v>0.85822671611067802</v>
      </c>
      <c r="Q6054" s="8"/>
      <c r="R6054" s="9" t="s">
        <v>5580</v>
      </c>
    </row>
    <row r="6055" spans="1:18" x14ac:dyDescent="0.25">
      <c r="A6055" s="6" t="str">
        <f>HYPERLINK("proteomic_fractions_linear_files/Yang_linear_img/229577224.jpg", "229577224")</f>
        <v>229577224</v>
      </c>
      <c r="B6055" s="7"/>
      <c r="C6055" s="6" t="str">
        <f>HYPERLINK("http://www.ncbi.nlm.nih.gov/protein/229577224","Rab17")</f>
        <v>Rab17</v>
      </c>
      <c r="D6055" s="8"/>
      <c r="E6055" s="8">
        <v>23509</v>
      </c>
      <c r="F6055" s="8"/>
      <c r="G6055" s="15" t="s">
        <v>10</v>
      </c>
      <c r="H6055" s="15" t="s">
        <v>10</v>
      </c>
      <c r="I6055" s="15">
        <v>0.96289889061322687</v>
      </c>
      <c r="J6055" s="15">
        <v>0.96289889061322687</v>
      </c>
      <c r="K6055" s="15">
        <v>0.96289889061322687</v>
      </c>
      <c r="L6055" s="15">
        <v>0.96289889061322687</v>
      </c>
      <c r="M6055" s="15">
        <v>0.96289889061322687</v>
      </c>
      <c r="N6055" s="15">
        <v>0.96289889061322687</v>
      </c>
      <c r="O6055" s="15" t="s">
        <v>10</v>
      </c>
      <c r="P6055" s="15" t="s">
        <v>10</v>
      </c>
      <c r="Q6055" s="8"/>
      <c r="R6055" s="9" t="s">
        <v>5581</v>
      </c>
    </row>
    <row r="6056" spans="1:18" x14ac:dyDescent="0.25">
      <c r="A6056" s="6" t="str">
        <f>HYPERLINK("proteomic_fractions_linear_files/Yang_linear_img/510936915.jpg", "510936915")</f>
        <v>510936915</v>
      </c>
      <c r="B6056" s="7"/>
      <c r="C6056" s="6" t="str">
        <f>HYPERLINK("http://www.ncbi.nlm.nih.gov/protein/510936915","Rab18")</f>
        <v>Rab18</v>
      </c>
      <c r="D6056" s="8"/>
      <c r="E6056" s="8">
        <v>23656</v>
      </c>
      <c r="F6056" s="8"/>
      <c r="G6056" s="15">
        <v>1.2452252871547138</v>
      </c>
      <c r="H6056" s="15">
        <v>1.2452252871547138</v>
      </c>
      <c r="I6056" s="15" t="s">
        <v>10</v>
      </c>
      <c r="J6056" s="15" t="s">
        <v>10</v>
      </c>
      <c r="K6056" s="15" t="s">
        <v>10</v>
      </c>
      <c r="L6056" s="15" t="s">
        <v>10</v>
      </c>
      <c r="M6056" s="15" t="s">
        <v>10</v>
      </c>
      <c r="N6056" s="15" t="s">
        <v>10</v>
      </c>
      <c r="O6056" s="15" t="s">
        <v>10</v>
      </c>
      <c r="P6056" s="15" t="s">
        <v>10</v>
      </c>
      <c r="Q6056" s="8"/>
      <c r="R6056" s="9" t="s">
        <v>5582</v>
      </c>
    </row>
    <row r="6057" spans="1:18" x14ac:dyDescent="0.25">
      <c r="A6057" s="6" t="str">
        <f>HYPERLINK("proteomic_fractions_linear_files/Yang_linear_img/30841008.jpg", "30841008")</f>
        <v>30841008</v>
      </c>
      <c r="B6057" s="7"/>
      <c r="C6057" s="6" t="str">
        <f>HYPERLINK("http://www.ncbi.nlm.nih.gov/protein/30841008","Rab18")</f>
        <v>Rab18</v>
      </c>
      <c r="D6057" s="8"/>
      <c r="E6057" s="8">
        <v>22904</v>
      </c>
      <c r="F6057" s="8"/>
      <c r="G6057" s="15">
        <v>1.2993655170310057</v>
      </c>
      <c r="H6057" s="15">
        <v>1.2993655170310057</v>
      </c>
      <c r="I6057" s="15">
        <v>0.89554092115896833</v>
      </c>
      <c r="J6057" s="15">
        <v>0.89554092115896833</v>
      </c>
      <c r="K6057" s="15">
        <v>0.89554092115896833</v>
      </c>
      <c r="L6057" s="15">
        <v>0.89554092115896833</v>
      </c>
      <c r="M6057" s="15">
        <v>0.94764096829038047</v>
      </c>
      <c r="N6057" s="15">
        <v>0.94764096829038047</v>
      </c>
      <c r="O6057" s="15">
        <v>0.94764096829038047</v>
      </c>
      <c r="P6057" s="15">
        <v>0.94764096829038047</v>
      </c>
      <c r="Q6057" s="8"/>
      <c r="R6057" s="9" t="s">
        <v>5583</v>
      </c>
    </row>
    <row r="6058" spans="1:18" x14ac:dyDescent="0.25">
      <c r="A6058" s="6" t="str">
        <f>HYPERLINK("proteomic_fractions_linear_files/Yang_linear_img/33859608.jpg", "33859608")</f>
        <v>33859608</v>
      </c>
      <c r="B6058" s="7"/>
      <c r="C6058" s="6" t="str">
        <f>HYPERLINK("http://www.ncbi.nlm.nih.gov/protein/33859608","Rab19")</f>
        <v>Rab19</v>
      </c>
      <c r="D6058" s="8"/>
      <c r="E6058" s="8">
        <v>24267</v>
      </c>
      <c r="F6058" s="8"/>
      <c r="G6058" s="15" t="s">
        <v>10</v>
      </c>
      <c r="H6058" s="15" t="s">
        <v>10</v>
      </c>
      <c r="I6058" s="15">
        <v>0.90815592794494793</v>
      </c>
      <c r="J6058" s="15">
        <v>0.90815592794494793</v>
      </c>
      <c r="K6058" s="15">
        <v>0.96289889061322687</v>
      </c>
      <c r="L6058" s="15">
        <v>0.96289889061322687</v>
      </c>
      <c r="M6058" s="15" t="s">
        <v>10</v>
      </c>
      <c r="N6058" s="15" t="s">
        <v>10</v>
      </c>
      <c r="O6058" s="15" t="s">
        <v>10</v>
      </c>
      <c r="P6058" s="15" t="s">
        <v>10</v>
      </c>
      <c r="Q6058" s="8"/>
      <c r="R6058" s="9" t="s">
        <v>5584</v>
      </c>
    </row>
    <row r="6059" spans="1:18" x14ac:dyDescent="0.25">
      <c r="A6059" s="6" t="str">
        <f>HYPERLINK("proteomic_fractions_linear_files/Yang_linear_img/21313162.jpg", "21313162")</f>
        <v>21313162</v>
      </c>
      <c r="B6059" s="7"/>
      <c r="C6059" s="6" t="str">
        <f>HYPERLINK("http://www.ncbi.nlm.nih.gov/protein/21313162","Rab1b")</f>
        <v>Rab1b</v>
      </c>
      <c r="D6059" s="8"/>
      <c r="E6059" s="8">
        <v>22056</v>
      </c>
      <c r="F6059" s="8"/>
      <c r="G6059" s="15">
        <v>0.93624732666619426</v>
      </c>
      <c r="H6059" s="15">
        <v>0.93624732666619426</v>
      </c>
      <c r="I6059" s="15">
        <v>0.99071555775812503</v>
      </c>
      <c r="J6059" s="15">
        <v>0.99071555775812503</v>
      </c>
      <c r="K6059" s="15">
        <v>0.99071555775812503</v>
      </c>
      <c r="L6059" s="15">
        <v>0.99071555775812503</v>
      </c>
      <c r="M6059" s="15">
        <v>0.99071555775812503</v>
      </c>
      <c r="N6059" s="15">
        <v>0.99071555775812503</v>
      </c>
      <c r="O6059" s="15">
        <v>0.93624732666619426</v>
      </c>
      <c r="P6059" s="15">
        <v>0.93624732666619426</v>
      </c>
      <c r="Q6059" s="8"/>
      <c r="R6059" s="9" t="s">
        <v>5585</v>
      </c>
    </row>
    <row r="6060" spans="1:18" x14ac:dyDescent="0.25">
      <c r="A6060" s="6" t="str">
        <f>HYPERLINK("proteomic_fractions_linear_files/Yang_linear_img/45593126.jpg", "45593126")</f>
        <v>45593126</v>
      </c>
      <c r="B6060" s="7"/>
      <c r="C6060" s="6" t="str">
        <f>HYPERLINK("http://www.ncbi.nlm.nih.gov/protein/45593126","Rab20")</f>
        <v>Rab20</v>
      </c>
      <c r="D6060" s="8"/>
      <c r="E6060" s="8">
        <v>25858</v>
      </c>
      <c r="F6060" s="8"/>
      <c r="G6060" s="15" t="s">
        <v>10</v>
      </c>
      <c r="H6060" s="15" t="s">
        <v>10</v>
      </c>
      <c r="I6060" s="15">
        <v>0.94441617743372752</v>
      </c>
      <c r="J6060" s="15">
        <v>0.94441617743372752</v>
      </c>
      <c r="K6060" s="15">
        <v>1.0057791582855768</v>
      </c>
      <c r="L6060" s="15">
        <v>1.0057791582855768</v>
      </c>
      <c r="M6060" s="15" t="s">
        <v>10</v>
      </c>
      <c r="N6060" s="15" t="s">
        <v>10</v>
      </c>
      <c r="O6060" s="15" t="s">
        <v>10</v>
      </c>
      <c r="P6060" s="15" t="s">
        <v>10</v>
      </c>
      <c r="Q6060" s="8"/>
      <c r="R6060" s="9" t="s">
        <v>5586</v>
      </c>
    </row>
    <row r="6061" spans="1:18" x14ac:dyDescent="0.25">
      <c r="A6061" s="6" t="str">
        <f>HYPERLINK("proteomic_fractions_linear_files/Yang_linear_img/33859751.jpg", "33859751")</f>
        <v>33859751</v>
      </c>
      <c r="B6061" s="7"/>
      <c r="C6061" s="6" t="str">
        <f>HYPERLINK("http://www.ncbi.nlm.nih.gov/protein/33859751","Rab21")</f>
        <v>Rab21</v>
      </c>
      <c r="D6061" s="8"/>
      <c r="E6061" s="8">
        <v>23975</v>
      </c>
      <c r="F6061" s="8"/>
      <c r="G6061" s="15">
        <v>0.90815592794494793</v>
      </c>
      <c r="H6061" s="15">
        <v>0.90815592794494793</v>
      </c>
      <c r="I6061" s="15">
        <v>1.0231175255532048</v>
      </c>
      <c r="J6061" s="15">
        <v>1.0231175255532048</v>
      </c>
      <c r="K6061" s="15">
        <v>1.0231175255532048</v>
      </c>
      <c r="L6061" s="15">
        <v>1.0231175255532048</v>
      </c>
      <c r="M6061" s="15">
        <v>1.0231175255532048</v>
      </c>
      <c r="N6061" s="15">
        <v>1.0231175255532048</v>
      </c>
      <c r="O6061" s="15">
        <v>0.90815592794494793</v>
      </c>
      <c r="P6061" s="15">
        <v>0.90815592794494793</v>
      </c>
      <c r="Q6061" s="8"/>
      <c r="R6061" s="9" t="s">
        <v>5587</v>
      </c>
    </row>
    <row r="6062" spans="1:18" x14ac:dyDescent="0.25">
      <c r="A6062" s="6" t="str">
        <f>HYPERLINK("proteomic_fractions_linear_files/Yang_linear_img/148747177.jpg", "148747177")</f>
        <v>148747177</v>
      </c>
      <c r="B6062" s="7"/>
      <c r="C6062" s="6" t="str">
        <f>HYPERLINK("http://www.ncbi.nlm.nih.gov/protein/148747177","Rab22a")</f>
        <v>Rab22a</v>
      </c>
      <c r="D6062" s="8"/>
      <c r="E6062" s="8">
        <v>21671</v>
      </c>
      <c r="F6062" s="8"/>
      <c r="G6062" s="15">
        <v>1.3584275859869606</v>
      </c>
      <c r="H6062" s="15">
        <v>1.3584275859869606</v>
      </c>
      <c r="I6062" s="15">
        <v>0.99071555775812503</v>
      </c>
      <c r="J6062" s="15">
        <v>0.99071555775812503</v>
      </c>
      <c r="K6062" s="15">
        <v>0.93624732666619426</v>
      </c>
      <c r="L6062" s="15">
        <v>0.93624732666619426</v>
      </c>
      <c r="M6062" s="15">
        <v>0.93624732666619426</v>
      </c>
      <c r="N6062" s="15">
        <v>0.93624732666619426</v>
      </c>
      <c r="O6062" s="15">
        <v>0.93624732666619426</v>
      </c>
      <c r="P6062" s="15">
        <v>0.93624732666619426</v>
      </c>
      <c r="Q6062" s="8"/>
      <c r="R6062" s="9" t="s">
        <v>5588</v>
      </c>
    </row>
    <row r="6063" spans="1:18" x14ac:dyDescent="0.25">
      <c r="A6063" s="6" t="str">
        <f>HYPERLINK("proteomic_fractions_linear_files/Yang_linear_img/31543565.jpg", "31543565")</f>
        <v>31543565</v>
      </c>
      <c r="B6063" s="7"/>
      <c r="C6063" s="6" t="str">
        <f>HYPERLINK("http://www.ncbi.nlm.nih.gov/protein/31543565","Rab23")</f>
        <v>Rab23</v>
      </c>
      <c r="D6063" s="8"/>
      <c r="E6063" s="8">
        <v>26646</v>
      </c>
      <c r="F6063" s="8"/>
      <c r="G6063" s="15" t="s">
        <v>10</v>
      </c>
      <c r="H6063" s="15" t="s">
        <v>10</v>
      </c>
      <c r="I6063" s="15">
        <v>0.96852807834907406</v>
      </c>
      <c r="J6063" s="15">
        <v>0.96852807834907406</v>
      </c>
      <c r="K6063" s="15">
        <v>0.96852807834907406</v>
      </c>
      <c r="L6063" s="15">
        <v>0.96852807834907406</v>
      </c>
      <c r="M6063" s="15" t="s">
        <v>10</v>
      </c>
      <c r="N6063" s="15" t="s">
        <v>10</v>
      </c>
      <c r="O6063" s="15" t="s">
        <v>10</v>
      </c>
      <c r="P6063" s="15" t="s">
        <v>10</v>
      </c>
      <c r="Q6063" s="8"/>
      <c r="R6063" s="9" t="s">
        <v>5589</v>
      </c>
    </row>
    <row r="6064" spans="1:18" x14ac:dyDescent="0.25">
      <c r="A6064" s="6" t="str">
        <f>HYPERLINK("proteomic_fractions_linear_files/Yang_linear_img/6679591.jpg", "6679591")</f>
        <v>6679591</v>
      </c>
      <c r="B6064" s="7"/>
      <c r="C6064" s="6" t="str">
        <f>HYPERLINK("http://www.ncbi.nlm.nih.gov/protein/6679591","Rab24")</f>
        <v>Rab24</v>
      </c>
      <c r="D6064" s="8"/>
      <c r="E6064" s="8">
        <v>23013</v>
      </c>
      <c r="F6064" s="8"/>
      <c r="G6064" s="15" t="s">
        <v>10</v>
      </c>
      <c r="H6064" s="15" t="s">
        <v>10</v>
      </c>
      <c r="I6064" s="15">
        <v>0.94764096829038047</v>
      </c>
      <c r="J6064" s="15">
        <v>0.94764096829038047</v>
      </c>
      <c r="K6064" s="15">
        <v>1.0047640597703238</v>
      </c>
      <c r="L6064" s="15">
        <v>1.0047640597703238</v>
      </c>
      <c r="M6064" s="15" t="s">
        <v>10</v>
      </c>
      <c r="N6064" s="15" t="s">
        <v>10</v>
      </c>
      <c r="O6064" s="15">
        <v>0.94764096829038047</v>
      </c>
      <c r="P6064" s="15">
        <v>0.94764096829038047</v>
      </c>
      <c r="Q6064" s="8"/>
      <c r="R6064" s="9" t="s">
        <v>5590</v>
      </c>
    </row>
    <row r="6065" spans="1:18" x14ac:dyDescent="0.25">
      <c r="A6065" s="6" t="str">
        <f>HYPERLINK("proteomic_fractions_linear_files/Yang_linear_img/31980838.jpg", "31980838")</f>
        <v>31980838</v>
      </c>
      <c r="B6065" s="7"/>
      <c r="C6065" s="6" t="str">
        <f>HYPERLINK("http://www.ncbi.nlm.nih.gov/protein/31980838","Rab25")</f>
        <v>Rab25</v>
      </c>
      <c r="D6065" s="8"/>
      <c r="E6065" s="8">
        <v>23342</v>
      </c>
      <c r="F6065" s="8"/>
      <c r="G6065" s="15">
        <v>0.94764096829038047</v>
      </c>
      <c r="H6065" s="15">
        <v>0.94764096829038047</v>
      </c>
      <c r="I6065" s="15">
        <v>1.0676008962294312</v>
      </c>
      <c r="J6065" s="15">
        <v>1.0676008962294312</v>
      </c>
      <c r="K6065" s="15">
        <v>1.0047640597703238</v>
      </c>
      <c r="L6065" s="15">
        <v>1.0047640597703238</v>
      </c>
      <c r="M6065" s="15">
        <v>1.0047640597703238</v>
      </c>
      <c r="N6065" s="15">
        <v>1.0047640597703238</v>
      </c>
      <c r="O6065" s="15">
        <v>0.94764096829038047</v>
      </c>
      <c r="P6065" s="15">
        <v>0.94764096829038047</v>
      </c>
      <c r="Q6065" s="8"/>
      <c r="R6065" s="9" t="s">
        <v>5591</v>
      </c>
    </row>
    <row r="6066" spans="1:18" x14ac:dyDescent="0.25">
      <c r="A6066" s="6" t="str">
        <f>HYPERLINK("proteomic_fractions_linear_files/Yang_linear_img/254939698.jpg", "254939698")</f>
        <v>254939698</v>
      </c>
      <c r="B6066" s="7"/>
      <c r="C6066" s="6" t="str">
        <f>HYPERLINK("http://www.ncbi.nlm.nih.gov/protein/254939698","Rab26")</f>
        <v>Rab26</v>
      </c>
      <c r="D6066" s="8"/>
      <c r="E6066" s="8">
        <v>28488</v>
      </c>
      <c r="F6066" s="8"/>
      <c r="G6066" s="15">
        <v>1.1458597448476282</v>
      </c>
      <c r="H6066" s="15">
        <v>0.73562289952343829</v>
      </c>
      <c r="I6066" s="15">
        <v>0.82534190623990877</v>
      </c>
      <c r="J6066" s="15">
        <v>0.82534190623990877</v>
      </c>
      <c r="K6066" s="15">
        <v>0.87695787904560418</v>
      </c>
      <c r="L6066" s="15">
        <v>0.87695787904560418</v>
      </c>
      <c r="M6066" s="15">
        <v>0.73562289952343829</v>
      </c>
      <c r="N6066" s="15">
        <v>0.73562289952343829</v>
      </c>
      <c r="O6066" s="15">
        <v>0.73562289952343829</v>
      </c>
      <c r="P6066" s="15">
        <v>0.73562289952343829</v>
      </c>
      <c r="Q6066" s="8"/>
      <c r="R6066" s="9" t="s">
        <v>5592</v>
      </c>
    </row>
    <row r="6067" spans="1:18" x14ac:dyDescent="0.25">
      <c r="A6067" s="6" t="str">
        <f>HYPERLINK("proteomic_fractions_linear_files/Yang_linear_img/13128964.jpg", "13128964")</f>
        <v>13128964</v>
      </c>
      <c r="B6067" s="7"/>
      <c r="C6067" s="6" t="str">
        <f>HYPERLINK("http://www.ncbi.nlm.nih.gov/protein/13128964","Rab27a")</f>
        <v>Rab27a</v>
      </c>
      <c r="D6067" s="8"/>
      <c r="E6067" s="8">
        <v>24886</v>
      </c>
      <c r="F6067" s="8"/>
      <c r="G6067" s="15" t="s">
        <v>10</v>
      </c>
      <c r="H6067" s="15" t="s">
        <v>10</v>
      </c>
      <c r="I6067" s="15">
        <v>0.9821928245310767</v>
      </c>
      <c r="J6067" s="15">
        <v>0.9821928245310767</v>
      </c>
      <c r="K6067" s="15">
        <v>0.9821928245310767</v>
      </c>
      <c r="L6067" s="15">
        <v>0.9821928245310767</v>
      </c>
      <c r="M6067" s="15" t="s">
        <v>10</v>
      </c>
      <c r="N6067" s="15" t="s">
        <v>10</v>
      </c>
      <c r="O6067" s="15" t="s">
        <v>10</v>
      </c>
      <c r="P6067" s="15" t="s">
        <v>10</v>
      </c>
      <c r="Q6067" s="8"/>
      <c r="R6067" s="9" t="s">
        <v>5593</v>
      </c>
    </row>
    <row r="6068" spans="1:18" x14ac:dyDescent="0.25">
      <c r="A6068" s="6" t="str">
        <f>HYPERLINK("proteomic_fractions_linear_files/Yang_linear_img/127138858.jpg", "127138858")</f>
        <v>127138858</v>
      </c>
      <c r="B6068" s="7"/>
      <c r="C6068" s="6" t="str">
        <f>HYPERLINK("http://www.ncbi.nlm.nih.gov/protein/127138858","Rab27b")</f>
        <v>Rab27b</v>
      </c>
      <c r="D6068" s="8"/>
      <c r="E6068" s="8">
        <v>24429</v>
      </c>
      <c r="F6068" s="8"/>
      <c r="G6068" s="15" t="s">
        <v>10</v>
      </c>
      <c r="H6068" s="15" t="s">
        <v>10</v>
      </c>
      <c r="I6068" s="15">
        <v>1.0231175255532048</v>
      </c>
      <c r="J6068" s="15">
        <v>1.0231175255532048</v>
      </c>
      <c r="K6068" s="15">
        <v>1.0231175255532048</v>
      </c>
      <c r="L6068" s="15">
        <v>1.0231175255532048</v>
      </c>
      <c r="M6068" s="15">
        <v>1.0231175255532048</v>
      </c>
      <c r="N6068" s="15">
        <v>1.0231175255532048</v>
      </c>
      <c r="O6068" s="15" t="s">
        <v>10</v>
      </c>
      <c r="P6068" s="15" t="s">
        <v>10</v>
      </c>
      <c r="Q6068" s="8"/>
      <c r="R6068" s="9" t="s">
        <v>5594</v>
      </c>
    </row>
    <row r="6069" spans="1:18" x14ac:dyDescent="0.25">
      <c r="A6069" s="6" t="str">
        <f>HYPERLINK("proteomic_fractions_linear_files/Yang_linear_img/58037191.jpg", "58037191")</f>
        <v>58037191</v>
      </c>
      <c r="B6069" s="7"/>
      <c r="C6069" s="6" t="str">
        <f>HYPERLINK("http://www.ncbi.nlm.nih.gov/protein/58037191","Rab28")</f>
        <v>Rab28</v>
      </c>
      <c r="D6069" s="8"/>
      <c r="E6069" s="8">
        <v>24597</v>
      </c>
      <c r="F6069" s="8"/>
      <c r="G6069" s="15" t="s">
        <v>10</v>
      </c>
      <c r="H6069" s="15" t="s">
        <v>10</v>
      </c>
      <c r="I6069" s="15" t="s">
        <v>10</v>
      </c>
      <c r="J6069" s="15" t="s">
        <v>10</v>
      </c>
      <c r="K6069" s="15" t="s">
        <v>10</v>
      </c>
      <c r="L6069" s="15" t="s">
        <v>10</v>
      </c>
      <c r="M6069" s="15" t="s">
        <v>10</v>
      </c>
      <c r="N6069" s="15" t="s">
        <v>10</v>
      </c>
      <c r="O6069" s="15">
        <v>0.82389764746625094</v>
      </c>
      <c r="P6069" s="15">
        <v>0.82389764746625094</v>
      </c>
      <c r="Q6069" s="8"/>
      <c r="R6069" s="9" t="s">
        <v>5595</v>
      </c>
    </row>
    <row r="6070" spans="1:18" x14ac:dyDescent="0.25">
      <c r="A6070" s="6" t="str">
        <f>HYPERLINK("proteomic_fractions_linear_files/Yang_linear_img/10946940.jpg", "10946940")</f>
        <v>10946940</v>
      </c>
      <c r="B6070" s="7"/>
      <c r="C6070" s="6" t="str">
        <f>HYPERLINK("http://www.ncbi.nlm.nih.gov/protein/10946940","Rab2a")</f>
        <v>Rab2a</v>
      </c>
      <c r="D6070" s="8"/>
      <c r="E6070" s="8">
        <v>23416</v>
      </c>
      <c r="F6070" s="8"/>
      <c r="G6070" s="15">
        <v>1.2993655170310057</v>
      </c>
      <c r="H6070" s="15">
        <v>1.2993655170310057</v>
      </c>
      <c r="I6070" s="15">
        <v>0.94764096829038047</v>
      </c>
      <c r="J6070" s="15">
        <v>0.94764096829038047</v>
      </c>
      <c r="K6070" s="15">
        <v>0.89554092115896833</v>
      </c>
      <c r="L6070" s="15">
        <v>0.89554092115896833</v>
      </c>
      <c r="M6070" s="15">
        <v>0.94764096829038047</v>
      </c>
      <c r="N6070" s="15">
        <v>0.94764096829038047</v>
      </c>
      <c r="O6070" s="15">
        <v>0.89554092115896833</v>
      </c>
      <c r="P6070" s="15">
        <v>0.89554092115896833</v>
      </c>
      <c r="Q6070" s="8"/>
      <c r="R6070" s="9" t="s">
        <v>5596</v>
      </c>
    </row>
    <row r="6071" spans="1:18" x14ac:dyDescent="0.25">
      <c r="A6071" s="6" t="str">
        <f>HYPERLINK("proteomic_fractions_linear_files/Yang_linear_img/30525051.jpg", "30525051")</f>
        <v>30525051</v>
      </c>
      <c r="B6071" s="7"/>
      <c r="C6071" s="6" t="str">
        <f>HYPERLINK("http://www.ncbi.nlm.nih.gov/protein/30525051","Rab2b")</f>
        <v>Rab2b</v>
      </c>
      <c r="D6071" s="8"/>
      <c r="E6071" s="8">
        <v>24067</v>
      </c>
      <c r="F6071" s="8"/>
      <c r="G6071" s="15">
        <v>1.2452252871547138</v>
      </c>
      <c r="H6071" s="15">
        <v>1.2452252871547138</v>
      </c>
      <c r="I6071" s="15">
        <v>0.90815592794494793</v>
      </c>
      <c r="J6071" s="15">
        <v>0.90815592794494793</v>
      </c>
      <c r="K6071" s="15">
        <v>0.90815592794494793</v>
      </c>
      <c r="L6071" s="15">
        <v>0.90815592794494793</v>
      </c>
      <c r="M6071" s="15">
        <v>0.90815592794494793</v>
      </c>
      <c r="N6071" s="15">
        <v>0.90815592794494793</v>
      </c>
      <c r="O6071" s="15">
        <v>0.85822671611067802</v>
      </c>
      <c r="P6071" s="15">
        <v>0.85822671611067802</v>
      </c>
      <c r="Q6071" s="8"/>
      <c r="R6071" s="9" t="s">
        <v>5597</v>
      </c>
    </row>
    <row r="6072" spans="1:18" x14ac:dyDescent="0.25">
      <c r="A6072" s="6" t="str">
        <f>HYPERLINK("proteomic_fractions_linear_files/Yang_linear_img/31560778.jpg", "31560778")</f>
        <v>31560778</v>
      </c>
      <c r="B6072" s="7"/>
      <c r="C6072" s="6" t="str">
        <f>HYPERLINK("http://www.ncbi.nlm.nih.gov/protein/31560778","Rab30")</f>
        <v>Rab30</v>
      </c>
      <c r="D6072" s="8"/>
      <c r="E6072" s="8">
        <v>22927</v>
      </c>
      <c r="F6072" s="8"/>
      <c r="G6072" s="15">
        <v>1.3949596893797211</v>
      </c>
      <c r="H6072" s="15">
        <v>0.89554092115896833</v>
      </c>
      <c r="I6072" s="15">
        <v>1.0047640597703238</v>
      </c>
      <c r="J6072" s="15">
        <v>1.0047640597703238</v>
      </c>
      <c r="K6072" s="15">
        <v>1.0676008962294312</v>
      </c>
      <c r="L6072" s="15">
        <v>1.0676008962294312</v>
      </c>
      <c r="M6072" s="15">
        <v>0.89554092115896833</v>
      </c>
      <c r="N6072" s="15">
        <v>0.89554092115896833</v>
      </c>
      <c r="O6072" s="15">
        <v>0.89554092115896833</v>
      </c>
      <c r="P6072" s="15">
        <v>0.89554092115896833</v>
      </c>
      <c r="Q6072" s="8"/>
      <c r="R6072" s="9" t="s">
        <v>5598</v>
      </c>
    </row>
    <row r="6073" spans="1:18" x14ac:dyDescent="0.25">
      <c r="A6073" s="6" t="str">
        <f>HYPERLINK("proteomic_fractions_linear_files/Yang_linear_img/225579124.jpg", "225579124")</f>
        <v>225579124</v>
      </c>
      <c r="B6073" s="7"/>
      <c r="C6073" s="6" t="str">
        <f>HYPERLINK("http://www.ncbi.nlm.nih.gov/protein/225579124","Rab31")</f>
        <v>Rab31</v>
      </c>
      <c r="D6073" s="8"/>
      <c r="E6073" s="8">
        <v>21332</v>
      </c>
      <c r="F6073" s="8"/>
      <c r="G6073" s="15">
        <v>1.4231146138911015</v>
      </c>
      <c r="H6073" s="15">
        <v>1.4231146138911015</v>
      </c>
      <c r="I6073" s="15">
        <v>1.0378924890799406</v>
      </c>
      <c r="J6073" s="15">
        <v>1.0378924890799406</v>
      </c>
      <c r="K6073" s="15">
        <v>0.98083053269791776</v>
      </c>
      <c r="L6073" s="15">
        <v>0.98083053269791776</v>
      </c>
      <c r="M6073" s="15">
        <v>0.98083053269791776</v>
      </c>
      <c r="N6073" s="15">
        <v>0.98083053269791776</v>
      </c>
      <c r="O6073" s="15">
        <v>0.98083053269791776</v>
      </c>
      <c r="P6073" s="15">
        <v>0.98083053269791776</v>
      </c>
      <c r="Q6073" s="8"/>
      <c r="R6073" s="9" t="s">
        <v>5599</v>
      </c>
    </row>
    <row r="6074" spans="1:18" x14ac:dyDescent="0.25">
      <c r="A6074" s="6" t="str">
        <f>HYPERLINK("proteomic_fractions_linear_files/Yang_linear_img/13385896.jpg", "13385896")</f>
        <v>13385896</v>
      </c>
      <c r="B6074" s="7"/>
      <c r="C6074" s="6" t="str">
        <f>HYPERLINK("http://www.ncbi.nlm.nih.gov/protein/13385896","Rab32")</f>
        <v>Rab32</v>
      </c>
      <c r="D6074" s="8"/>
      <c r="E6074" s="8">
        <v>24937</v>
      </c>
      <c r="F6074" s="8"/>
      <c r="G6074" s="15" t="s">
        <v>10</v>
      </c>
      <c r="H6074" s="15" t="s">
        <v>10</v>
      </c>
      <c r="I6074" s="15">
        <v>0.9821928245310767</v>
      </c>
      <c r="J6074" s="15">
        <v>0.9821928245310767</v>
      </c>
      <c r="K6074" s="15">
        <v>0.9821928245310767</v>
      </c>
      <c r="L6074" s="15">
        <v>0.9821928245310767</v>
      </c>
      <c r="M6074" s="15" t="s">
        <v>10</v>
      </c>
      <c r="N6074" s="15" t="s">
        <v>10</v>
      </c>
      <c r="O6074" s="15" t="s">
        <v>10</v>
      </c>
      <c r="P6074" s="15" t="s">
        <v>10</v>
      </c>
      <c r="Q6074" s="8"/>
      <c r="R6074" s="9" t="s">
        <v>5600</v>
      </c>
    </row>
    <row r="6075" spans="1:18" x14ac:dyDescent="0.25">
      <c r="A6075" s="6" t="str">
        <f>HYPERLINK("proteomic_fractions_linear_files/Yang_linear_img/6755260.jpg", "6755260")</f>
        <v>6755260</v>
      </c>
      <c r="B6075" s="7"/>
      <c r="C6075" s="6" t="str">
        <f>HYPERLINK("http://www.ncbi.nlm.nih.gov/protein/6755260","Rab33a")</f>
        <v>Rab33a</v>
      </c>
      <c r="D6075" s="8"/>
      <c r="E6075" s="8">
        <v>26410</v>
      </c>
      <c r="F6075" s="8"/>
      <c r="G6075" s="15" t="s">
        <v>10</v>
      </c>
      <c r="H6075" s="15" t="s">
        <v>10</v>
      </c>
      <c r="I6075" s="15" t="s">
        <v>10</v>
      </c>
      <c r="J6075" s="15" t="s">
        <v>10</v>
      </c>
      <c r="K6075" s="15">
        <v>1.0057791582855768</v>
      </c>
      <c r="L6075" s="15">
        <v>1.0057791582855768</v>
      </c>
      <c r="M6075" s="15" t="s">
        <v>10</v>
      </c>
      <c r="N6075" s="15" t="s">
        <v>10</v>
      </c>
      <c r="O6075" s="15" t="s">
        <v>10</v>
      </c>
      <c r="P6075" s="15" t="s">
        <v>10</v>
      </c>
      <c r="Q6075" s="8"/>
      <c r="R6075" s="9" t="s">
        <v>5601</v>
      </c>
    </row>
    <row r="6076" spans="1:18" x14ac:dyDescent="0.25">
      <c r="A6076" s="6" t="str">
        <f>HYPERLINK("proteomic_fractions_linear_files/Yang_linear_img/8394133.jpg", "8394133")</f>
        <v>8394133</v>
      </c>
      <c r="B6076" s="7"/>
      <c r="C6076" s="6" t="str">
        <f>HYPERLINK("http://www.ncbi.nlm.nih.gov/protein/8394133","Rab33b")</f>
        <v>Rab33b</v>
      </c>
      <c r="D6076" s="8"/>
      <c r="E6076" s="8">
        <v>25636</v>
      </c>
      <c r="F6076" s="8"/>
      <c r="G6076" s="15">
        <v>1.2340028021435996</v>
      </c>
      <c r="H6076" s="15">
        <v>0.79220927640985661</v>
      </c>
      <c r="I6076" s="15">
        <v>0.8888297451814402</v>
      </c>
      <c r="J6076" s="15">
        <v>0.8888297451814402</v>
      </c>
      <c r="K6076" s="15">
        <v>0.8888297451814402</v>
      </c>
      <c r="L6076" s="15">
        <v>0.8888297451814402</v>
      </c>
      <c r="M6076" s="15">
        <v>0.79220927640985661</v>
      </c>
      <c r="N6076" s="15">
        <v>0.79220927640985661</v>
      </c>
      <c r="O6076" s="15">
        <v>0.79220927640985661</v>
      </c>
      <c r="P6076" s="15">
        <v>0.79220927640985661</v>
      </c>
      <c r="Q6076" s="8"/>
      <c r="R6076" s="9" t="s">
        <v>5602</v>
      </c>
    </row>
    <row r="6077" spans="1:18" x14ac:dyDescent="0.25">
      <c r="A6077" s="6" t="str">
        <f>HYPERLINK("proteomic_fractions_linear_files/Yang_linear_img/31560774.jpg", "31560774")</f>
        <v>31560774</v>
      </c>
      <c r="B6077" s="7"/>
      <c r="C6077" s="6" t="str">
        <f>HYPERLINK("http://www.ncbi.nlm.nih.gov/protein/31560774","Rab34")</f>
        <v>Rab34</v>
      </c>
      <c r="D6077" s="8"/>
      <c r="E6077" s="8">
        <v>28998</v>
      </c>
      <c r="F6077" s="8"/>
      <c r="G6077" s="15" t="s">
        <v>10</v>
      </c>
      <c r="H6077" s="15" t="s">
        <v>10</v>
      </c>
      <c r="I6077" s="15">
        <v>0.90173303846293107</v>
      </c>
      <c r="J6077" s="15">
        <v>0.90173303846293107</v>
      </c>
      <c r="K6077" s="15">
        <v>0.90173303846293107</v>
      </c>
      <c r="L6077" s="15">
        <v>0.90173303846293107</v>
      </c>
      <c r="M6077" s="15" t="s">
        <v>10</v>
      </c>
      <c r="N6077" s="15" t="s">
        <v>10</v>
      </c>
      <c r="O6077" s="15" t="s">
        <v>10</v>
      </c>
      <c r="P6077" s="15" t="s">
        <v>10</v>
      </c>
      <c r="Q6077" s="8"/>
      <c r="R6077" s="9" t="s">
        <v>5603</v>
      </c>
    </row>
    <row r="6078" spans="1:18" x14ac:dyDescent="0.25">
      <c r="A6078" s="6" t="str">
        <f>HYPERLINK("proteomic_fractions_linear_files/Yang_linear_img/37718983.jpg", "37718983")</f>
        <v>37718983</v>
      </c>
      <c r="B6078" s="7"/>
      <c r="C6078" s="6" t="str">
        <f>HYPERLINK("http://www.ncbi.nlm.nih.gov/protein/37718983","Rab35")</f>
        <v>Rab35</v>
      </c>
      <c r="D6078" s="8"/>
      <c r="E6078" s="8">
        <v>22894</v>
      </c>
      <c r="F6078" s="8"/>
      <c r="G6078" s="15">
        <v>0.89554092115896833</v>
      </c>
      <c r="H6078" s="15">
        <v>0.89554092115896833</v>
      </c>
      <c r="I6078" s="15">
        <v>1.0047640597703238</v>
      </c>
      <c r="J6078" s="15">
        <v>1.0047640597703238</v>
      </c>
      <c r="K6078" s="15">
        <v>1.0047640597703238</v>
      </c>
      <c r="L6078" s="15">
        <v>1.0047640597703238</v>
      </c>
      <c r="M6078" s="15">
        <v>0.89554092115896833</v>
      </c>
      <c r="N6078" s="15">
        <v>0.89554092115896833</v>
      </c>
      <c r="O6078" s="15">
        <v>0.89554092115896833</v>
      </c>
      <c r="P6078" s="15">
        <v>0.89554092115896833</v>
      </c>
      <c r="Q6078" s="8"/>
      <c r="R6078" s="9" t="s">
        <v>5604</v>
      </c>
    </row>
    <row r="6079" spans="1:18" x14ac:dyDescent="0.25">
      <c r="A6079" s="6" t="str">
        <f>HYPERLINK("proteomic_fractions_linear_files/Yang_linear_img/254939625.jpg", "254939625")</f>
        <v>254939625</v>
      </c>
      <c r="B6079" s="7"/>
      <c r="C6079" s="6" t="str">
        <f>HYPERLINK("http://www.ncbi.nlm.nih.gov/protein/254939625","Rab37")</f>
        <v>Rab37</v>
      </c>
      <c r="D6079" s="8"/>
      <c r="E6079" s="8">
        <v>24585</v>
      </c>
      <c r="F6079" s="8"/>
      <c r="G6079" s="15">
        <v>1.2833629142293435</v>
      </c>
      <c r="H6079" s="15">
        <v>0.82389764746625094</v>
      </c>
      <c r="I6079" s="15">
        <v>0.92438293498869784</v>
      </c>
      <c r="J6079" s="15">
        <v>0.92438293498869784</v>
      </c>
      <c r="K6079" s="15">
        <v>0.9821928245310767</v>
      </c>
      <c r="L6079" s="15">
        <v>0.9821928245310767</v>
      </c>
      <c r="M6079" s="15">
        <v>0.82389764746625094</v>
      </c>
      <c r="N6079" s="15">
        <v>0.82389764746625094</v>
      </c>
      <c r="O6079" s="15">
        <v>0.82389764746625094</v>
      </c>
      <c r="P6079" s="15">
        <v>0.82389764746625094</v>
      </c>
      <c r="Q6079" s="8"/>
      <c r="R6079" s="9" t="s">
        <v>5605</v>
      </c>
    </row>
    <row r="6080" spans="1:18" x14ac:dyDescent="0.25">
      <c r="A6080" s="6" t="str">
        <f>HYPERLINK("proteomic_fractions_linear_files/Yang_linear_img/254939635.jpg", "254939635")</f>
        <v>254939635</v>
      </c>
      <c r="B6080" s="7"/>
      <c r="C6080" s="6" t="str">
        <f>HYPERLINK("http://www.ncbi.nlm.nih.gov/protein/254939635","Rab37")</f>
        <v>Rab37</v>
      </c>
      <c r="D6080" s="8"/>
      <c r="E6080" s="8">
        <v>24018</v>
      </c>
      <c r="F6080" s="8"/>
      <c r="G6080" s="15">
        <v>1.3368363689888996</v>
      </c>
      <c r="H6080" s="15">
        <v>0.85822671611067802</v>
      </c>
      <c r="I6080" s="15">
        <v>0.96289889061322687</v>
      </c>
      <c r="J6080" s="15">
        <v>0.96289889061322687</v>
      </c>
      <c r="K6080" s="15">
        <v>1.0231175255532048</v>
      </c>
      <c r="L6080" s="15">
        <v>1.0231175255532048</v>
      </c>
      <c r="M6080" s="15">
        <v>0.85822671611067802</v>
      </c>
      <c r="N6080" s="15">
        <v>0.85822671611067802</v>
      </c>
      <c r="O6080" s="15">
        <v>0.85822671611067802</v>
      </c>
      <c r="P6080" s="15">
        <v>0.85822671611067802</v>
      </c>
      <c r="Q6080" s="8"/>
      <c r="R6080" s="9" t="s">
        <v>5606</v>
      </c>
    </row>
    <row r="6081" spans="1:18" x14ac:dyDescent="0.25">
      <c r="A6081" s="6" t="str">
        <f>HYPERLINK("proteomic_fractions_linear_files/Yang_linear_img/21105857.jpg", "21105857")</f>
        <v>21105857</v>
      </c>
      <c r="B6081" s="7"/>
      <c r="C6081" s="6" t="str">
        <f>HYPERLINK("http://www.ncbi.nlm.nih.gov/protein/21105857","Rab38")</f>
        <v>Rab38</v>
      </c>
      <c r="D6081" s="8"/>
      <c r="E6081" s="8">
        <v>23645</v>
      </c>
      <c r="F6081" s="8"/>
      <c r="G6081" s="15" t="s">
        <v>10</v>
      </c>
      <c r="H6081" s="15" t="s">
        <v>10</v>
      </c>
      <c r="I6081" s="15">
        <v>1.0231175255532048</v>
      </c>
      <c r="J6081" s="15">
        <v>1.0231175255532048</v>
      </c>
      <c r="K6081" s="15">
        <v>1.0231175255532048</v>
      </c>
      <c r="L6081" s="15">
        <v>1.0231175255532048</v>
      </c>
      <c r="M6081" s="15" t="s">
        <v>10</v>
      </c>
      <c r="N6081" s="15" t="s">
        <v>10</v>
      </c>
      <c r="O6081" s="15" t="s">
        <v>10</v>
      </c>
      <c r="P6081" s="15" t="s">
        <v>10</v>
      </c>
      <c r="Q6081" s="8"/>
      <c r="R6081" s="9" t="s">
        <v>5607</v>
      </c>
    </row>
    <row r="6082" spans="1:18" x14ac:dyDescent="0.25">
      <c r="A6082" s="6" t="str">
        <f>HYPERLINK("proteomic_fractions_linear_files/Yang_linear_img/30425356.jpg", "30425356")</f>
        <v>30425356</v>
      </c>
      <c r="B6082" s="7"/>
      <c r="C6082" s="6" t="str">
        <f>HYPERLINK("http://www.ncbi.nlm.nih.gov/protein/30425356","Rab39")</f>
        <v>Rab39</v>
      </c>
      <c r="D6082" s="8"/>
      <c r="E6082" s="8">
        <v>24846</v>
      </c>
      <c r="F6082" s="8"/>
      <c r="G6082" s="15">
        <v>1.2833629142293435</v>
      </c>
      <c r="H6082" s="15">
        <v>0.82389764746625094</v>
      </c>
      <c r="I6082" s="15">
        <v>0.92438293498869784</v>
      </c>
      <c r="J6082" s="15">
        <v>0.92438293498869784</v>
      </c>
      <c r="K6082" s="15">
        <v>0.9821928245310767</v>
      </c>
      <c r="L6082" s="15">
        <v>0.9821928245310767</v>
      </c>
      <c r="M6082" s="15">
        <v>0.82389764746625094</v>
      </c>
      <c r="N6082" s="15">
        <v>0.82389764746625094</v>
      </c>
      <c r="O6082" s="15">
        <v>0.82389764746625094</v>
      </c>
      <c r="P6082" s="15">
        <v>0.82389764746625094</v>
      </c>
      <c r="Q6082" s="8"/>
      <c r="R6082" s="9" t="s">
        <v>5608</v>
      </c>
    </row>
    <row r="6083" spans="1:18" x14ac:dyDescent="0.25">
      <c r="A6083" s="6" t="str">
        <f>HYPERLINK("proteomic_fractions_linear_files/Yang_linear_img/30424726.jpg", "30424726")</f>
        <v>30424726</v>
      </c>
      <c r="B6083" s="7"/>
      <c r="C6083" s="6" t="str">
        <f>HYPERLINK("http://www.ncbi.nlm.nih.gov/protein/30424726","Rab39b")</f>
        <v>Rab39b</v>
      </c>
      <c r="D6083" s="8"/>
      <c r="E6083" s="8">
        <v>24505</v>
      </c>
      <c r="F6083" s="8"/>
      <c r="G6083" s="15">
        <v>1.2833629142293435</v>
      </c>
      <c r="H6083" s="15">
        <v>0.82389764746625094</v>
      </c>
      <c r="I6083" s="15">
        <v>0.92438293498869784</v>
      </c>
      <c r="J6083" s="15">
        <v>0.92438293498869784</v>
      </c>
      <c r="K6083" s="15">
        <v>0.9821928245310767</v>
      </c>
      <c r="L6083" s="15">
        <v>0.9821928245310767</v>
      </c>
      <c r="M6083" s="15">
        <v>0.82389764746625094</v>
      </c>
      <c r="N6083" s="15">
        <v>0.82389764746625094</v>
      </c>
      <c r="O6083" s="15">
        <v>0.82389764746625094</v>
      </c>
      <c r="P6083" s="15">
        <v>0.82389764746625094</v>
      </c>
      <c r="Q6083" s="8"/>
      <c r="R6083" s="9" t="s">
        <v>5609</v>
      </c>
    </row>
    <row r="6084" spans="1:18" x14ac:dyDescent="0.25">
      <c r="A6084" s="6" t="str">
        <f>HYPERLINK("proteomic_fractions_linear_files/Yang_linear_img/261862303.jpg", "261862303")</f>
        <v>261862303</v>
      </c>
      <c r="B6084" s="7"/>
      <c r="C6084" s="6" t="str">
        <f>HYPERLINK("http://www.ncbi.nlm.nih.gov/protein/261862303","Rab3a")</f>
        <v>Rab3a</v>
      </c>
      <c r="D6084" s="8"/>
      <c r="E6084" s="8">
        <v>24839</v>
      </c>
      <c r="F6084" s="8"/>
      <c r="G6084" s="15">
        <v>1.2833629142293435</v>
      </c>
      <c r="H6084" s="15">
        <v>0.82389764746625094</v>
      </c>
      <c r="I6084" s="15">
        <v>0.92438293498869784</v>
      </c>
      <c r="J6084" s="15">
        <v>0.92438293498869784</v>
      </c>
      <c r="K6084" s="15">
        <v>0.92438293498869784</v>
      </c>
      <c r="L6084" s="15">
        <v>0.92438293498869784</v>
      </c>
      <c r="M6084" s="15">
        <v>0.82389764746625094</v>
      </c>
      <c r="N6084" s="15">
        <v>0.82389764746625094</v>
      </c>
      <c r="O6084" s="15">
        <v>0.82389764746625094</v>
      </c>
      <c r="P6084" s="15">
        <v>0.82389764746625094</v>
      </c>
      <c r="Q6084" s="8"/>
      <c r="R6084" s="9" t="s">
        <v>5610</v>
      </c>
    </row>
    <row r="6085" spans="1:18" x14ac:dyDescent="0.25">
      <c r="A6085" s="6" t="str">
        <f>HYPERLINK("proteomic_fractions_linear_files/Yang_linear_img/12963723.jpg", "12963723")</f>
        <v>12963723</v>
      </c>
      <c r="B6085" s="7"/>
      <c r="C6085" s="6" t="str">
        <f>HYPERLINK("http://www.ncbi.nlm.nih.gov/protein/12963723","Rab3b")</f>
        <v>Rab3b</v>
      </c>
      <c r="D6085" s="8"/>
      <c r="E6085" s="8">
        <v>24626</v>
      </c>
      <c r="F6085" s="8"/>
      <c r="G6085" s="15">
        <v>1.2833629142293435</v>
      </c>
      <c r="H6085" s="15">
        <v>0.82389764746625094</v>
      </c>
      <c r="I6085" s="15">
        <v>0.92438293498869784</v>
      </c>
      <c r="J6085" s="15">
        <v>0.92438293498869784</v>
      </c>
      <c r="K6085" s="15">
        <v>0.92438293498869784</v>
      </c>
      <c r="L6085" s="15">
        <v>0.92438293498869784</v>
      </c>
      <c r="M6085" s="15">
        <v>0.82389764746625094</v>
      </c>
      <c r="N6085" s="15">
        <v>0.82389764746625094</v>
      </c>
      <c r="O6085" s="15">
        <v>0.82389764746625094</v>
      </c>
      <c r="P6085" s="15">
        <v>0.82389764746625094</v>
      </c>
      <c r="Q6085" s="8"/>
      <c r="R6085" s="9" t="s">
        <v>5611</v>
      </c>
    </row>
    <row r="6086" spans="1:18" x14ac:dyDescent="0.25">
      <c r="A6086" s="6" t="str">
        <f>HYPERLINK("proteomic_fractions_linear_files/Yang_linear_img/13470090.jpg", "13470090")</f>
        <v>13470090</v>
      </c>
      <c r="B6086" s="7"/>
      <c r="C6086" s="6" t="str">
        <f>HYPERLINK("http://www.ncbi.nlm.nih.gov/protein/13470090","Rab3c")</f>
        <v>Rab3c</v>
      </c>
      <c r="D6086" s="8"/>
      <c r="E6086" s="8">
        <v>25741</v>
      </c>
      <c r="F6086" s="8"/>
      <c r="G6086" s="15">
        <v>1.2340028021435996</v>
      </c>
      <c r="H6086" s="15">
        <v>0.79220927640985661</v>
      </c>
      <c r="I6086" s="15">
        <v>0.8888297451814402</v>
      </c>
      <c r="J6086" s="15">
        <v>0.8888297451814402</v>
      </c>
      <c r="K6086" s="15">
        <v>0.8888297451814402</v>
      </c>
      <c r="L6086" s="15">
        <v>0.8888297451814402</v>
      </c>
      <c r="M6086" s="15">
        <v>0.79220927640985661</v>
      </c>
      <c r="N6086" s="15">
        <v>0.79220927640985661</v>
      </c>
      <c r="O6086" s="15">
        <v>0.79220927640985661</v>
      </c>
      <c r="P6086" s="15">
        <v>0.79220927640985661</v>
      </c>
      <c r="Q6086" s="8"/>
      <c r="R6086" s="9" t="s">
        <v>5612</v>
      </c>
    </row>
    <row r="6087" spans="1:18" x14ac:dyDescent="0.25">
      <c r="A6087" s="6" t="str">
        <f>HYPERLINK("proteomic_fractions_linear_files/Yang_linear_img/15042957.jpg", "15042957")</f>
        <v>15042957</v>
      </c>
      <c r="B6087" s="7"/>
      <c r="C6087" s="6" t="str">
        <f>HYPERLINK("http://www.ncbi.nlm.nih.gov/protein/15042957","Rab3d")</f>
        <v>Rab3d</v>
      </c>
      <c r="D6087" s="8"/>
      <c r="E6087" s="8">
        <v>24285</v>
      </c>
      <c r="F6087" s="8"/>
      <c r="G6087" s="15">
        <v>1.3368363689888996</v>
      </c>
      <c r="H6087" s="15">
        <v>0.85822671611067802</v>
      </c>
      <c r="I6087" s="15">
        <v>0.96289889061322687</v>
      </c>
      <c r="J6087" s="15">
        <v>0.96289889061322687</v>
      </c>
      <c r="K6087" s="15">
        <v>0.96289889061322687</v>
      </c>
      <c r="L6087" s="15">
        <v>0.96289889061322687</v>
      </c>
      <c r="M6087" s="15">
        <v>0.85822671611067802</v>
      </c>
      <c r="N6087" s="15">
        <v>0.85822671611067802</v>
      </c>
      <c r="O6087" s="15">
        <v>0.85822671611067802</v>
      </c>
      <c r="P6087" s="15">
        <v>0.85822671611067802</v>
      </c>
      <c r="Q6087" s="8"/>
      <c r="R6087" s="9" t="s">
        <v>5613</v>
      </c>
    </row>
    <row r="6088" spans="1:18" x14ac:dyDescent="0.25">
      <c r="A6088" s="6" t="str">
        <f>HYPERLINK("proteomic_fractions_linear_files/Yang_linear_img/158966667.jpg", "158966667")</f>
        <v>158966667</v>
      </c>
      <c r="B6088" s="7"/>
      <c r="C6088" s="6" t="str">
        <f>HYPERLINK("http://www.ncbi.nlm.nih.gov/protein/158966667","Rab3gap1")</f>
        <v>Rab3gap1</v>
      </c>
      <c r="D6088" s="8"/>
      <c r="E6088" s="8">
        <v>110067</v>
      </c>
      <c r="F6088" s="8"/>
      <c r="G6088" s="15" t="s">
        <v>10</v>
      </c>
      <c r="H6088" s="15" t="s">
        <v>10</v>
      </c>
      <c r="I6088" s="15" t="s">
        <v>10</v>
      </c>
      <c r="J6088" s="15" t="s">
        <v>10</v>
      </c>
      <c r="K6088" s="15">
        <v>1.3950261012385621</v>
      </c>
      <c r="L6088" s="15">
        <v>1.3950261012385621</v>
      </c>
      <c r="M6088" s="15">
        <v>1.3950261012385621</v>
      </c>
      <c r="N6088" s="15">
        <v>1.3950261012385621</v>
      </c>
      <c r="O6088" s="15">
        <v>1.1701966195010634</v>
      </c>
      <c r="P6088" s="15">
        <v>1.1701966195010634</v>
      </c>
      <c r="Q6088" s="8"/>
      <c r="R6088" s="9" t="s">
        <v>5614</v>
      </c>
    </row>
    <row r="6089" spans="1:18" x14ac:dyDescent="0.25">
      <c r="A6089" s="6" t="str">
        <f>HYPERLINK("proteomic_fractions_linear_files/Yang_linear_img/255003810.jpg", "255003810")</f>
        <v>255003810</v>
      </c>
      <c r="B6089" s="7"/>
      <c r="C6089" s="6" t="str">
        <f>HYPERLINK("http://www.ncbi.nlm.nih.gov/protein/255003810","Rab3gap2")</f>
        <v>Rab3gap2</v>
      </c>
      <c r="D6089" s="8"/>
      <c r="E6089" s="8">
        <v>154510</v>
      </c>
      <c r="F6089" s="8"/>
      <c r="G6089" s="15" t="s">
        <v>10</v>
      </c>
      <c r="H6089" s="15" t="s">
        <v>10</v>
      </c>
      <c r="I6089" s="15" t="s">
        <v>10</v>
      </c>
      <c r="J6089" s="15" t="s">
        <v>10</v>
      </c>
      <c r="K6089" s="15">
        <v>1.2049408492899378</v>
      </c>
      <c r="L6089" s="15">
        <v>1.2049408492899378</v>
      </c>
      <c r="M6089" s="15">
        <v>1.2049408492899378</v>
      </c>
      <c r="N6089" s="15">
        <v>1.2049408492899378</v>
      </c>
      <c r="O6089" s="15">
        <v>1.2049408492899378</v>
      </c>
      <c r="P6089" s="15">
        <v>1.2049408492899378</v>
      </c>
      <c r="Q6089" s="8"/>
      <c r="R6089" s="9" t="s">
        <v>5615</v>
      </c>
    </row>
    <row r="6090" spans="1:18" x14ac:dyDescent="0.25">
      <c r="A6090" s="6" t="str">
        <f>HYPERLINK("proteomic_fractions_linear_files/Yang_linear_img/51556219.jpg", "51556219")</f>
        <v>51556219</v>
      </c>
      <c r="B6090" s="7"/>
      <c r="C6090" s="6" t="str">
        <f>HYPERLINK("http://www.ncbi.nlm.nih.gov/protein/51556219","Rab3ip")</f>
        <v>Rab3ip</v>
      </c>
      <c r="D6090" s="8"/>
      <c r="E6090" s="8">
        <v>47003</v>
      </c>
      <c r="F6090" s="8"/>
      <c r="G6090" s="15" t="s">
        <v>10</v>
      </c>
      <c r="H6090" s="15" t="s">
        <v>10</v>
      </c>
      <c r="I6090" s="15">
        <v>1.2504937784168904</v>
      </c>
      <c r="J6090" s="15">
        <v>1.2504937784168904</v>
      </c>
      <c r="K6090" s="15">
        <v>1.2504937784168904</v>
      </c>
      <c r="L6090" s="15">
        <v>1.2504937784168904</v>
      </c>
      <c r="M6090" s="15">
        <v>1.2504937784168904</v>
      </c>
      <c r="N6090" s="15">
        <v>1.2504937784168904</v>
      </c>
      <c r="O6090" s="15">
        <v>1.1302248857447037</v>
      </c>
      <c r="P6090" s="15">
        <v>1.1302248857447037</v>
      </c>
      <c r="Q6090" s="8"/>
      <c r="R6090" s="9" t="s">
        <v>5616</v>
      </c>
    </row>
    <row r="6091" spans="1:18" x14ac:dyDescent="0.25">
      <c r="A6091" s="6" t="str">
        <f>HYPERLINK("proteomic_fractions_linear_files/Yang_linear_img/253970492.jpg", "253970492")</f>
        <v>253970492</v>
      </c>
      <c r="B6091" s="7"/>
      <c r="C6091" s="6" t="str">
        <f>HYPERLINK("http://www.ncbi.nlm.nih.gov/protein/253970492","Rab40b")</f>
        <v>Rab40b</v>
      </c>
      <c r="D6091" s="8"/>
      <c r="E6091" s="8">
        <v>31063</v>
      </c>
      <c r="F6091" s="8"/>
      <c r="G6091" s="15">
        <v>1.2045589168749868</v>
      </c>
      <c r="H6091" s="15">
        <v>1.2045589168749868</v>
      </c>
      <c r="I6091" s="15">
        <v>0.7920909875250618</v>
      </c>
      <c r="J6091" s="15">
        <v>0.7920909875250618</v>
      </c>
      <c r="K6091" s="15">
        <v>0.84355671340080651</v>
      </c>
      <c r="L6091" s="15">
        <v>0.84355671340080651</v>
      </c>
      <c r="M6091" s="15">
        <v>0.7920909875250618</v>
      </c>
      <c r="N6091" s="15">
        <v>0.7920909875250618</v>
      </c>
      <c r="O6091" s="15">
        <v>0.70308846034447581</v>
      </c>
      <c r="P6091" s="15">
        <v>0.70308846034447581</v>
      </c>
      <c r="Q6091" s="8"/>
      <c r="R6091" s="9" t="s">
        <v>5617</v>
      </c>
    </row>
    <row r="6092" spans="1:18" x14ac:dyDescent="0.25">
      <c r="A6092" s="6" t="str">
        <f>HYPERLINK("proteomic_fractions_linear_files/Yang_linear_img/86476069.jpg", "86476069")</f>
        <v>86476069</v>
      </c>
      <c r="B6092" s="7"/>
      <c r="C6092" s="6" t="str">
        <f>HYPERLINK("http://www.ncbi.nlm.nih.gov/protein/86476069","Rab43")</f>
        <v>Rab43</v>
      </c>
      <c r="D6092" s="8"/>
      <c r="E6092" s="8">
        <v>23132</v>
      </c>
      <c r="F6092" s="8"/>
      <c r="G6092" s="15">
        <v>1.3949596893797211</v>
      </c>
      <c r="H6092" s="15">
        <v>0.89554092115896833</v>
      </c>
      <c r="I6092" s="15">
        <v>1.0047640597703238</v>
      </c>
      <c r="J6092" s="15">
        <v>1.0047640597703238</v>
      </c>
      <c r="K6092" s="15">
        <v>1.0676008962294312</v>
      </c>
      <c r="L6092" s="15">
        <v>1.0676008962294312</v>
      </c>
      <c r="M6092" s="15">
        <v>0.89554092115896833</v>
      </c>
      <c r="N6092" s="15">
        <v>0.89554092115896833</v>
      </c>
      <c r="O6092" s="15">
        <v>0.89554092115896833</v>
      </c>
      <c r="P6092" s="15">
        <v>0.89554092115896833</v>
      </c>
      <c r="Q6092" s="8"/>
      <c r="R6092" s="9" t="s">
        <v>5618</v>
      </c>
    </row>
    <row r="6093" spans="1:18" x14ac:dyDescent="0.25">
      <c r="A6093" s="6" t="str">
        <f>HYPERLINK("proteomic_fractions_linear_files/Yang_linear_img/171184402.jpg", "171184402")</f>
        <v>171184402</v>
      </c>
      <c r="B6093" s="7"/>
      <c r="C6093" s="6" t="str">
        <f>HYPERLINK("http://www.ncbi.nlm.nih.gov/protein/171184402","Rab4a")</f>
        <v>Rab4a</v>
      </c>
      <c r="D6093" s="8"/>
      <c r="E6093" s="8">
        <v>24278</v>
      </c>
      <c r="F6093" s="8"/>
      <c r="G6093" s="15">
        <v>1.3368363689888996</v>
      </c>
      <c r="H6093" s="15">
        <v>0.85822671611067802</v>
      </c>
      <c r="I6093" s="15">
        <v>0.96289889061322687</v>
      </c>
      <c r="J6093" s="15">
        <v>0.96289889061322687</v>
      </c>
      <c r="K6093" s="15">
        <v>0.96289889061322687</v>
      </c>
      <c r="L6093" s="15">
        <v>0.96289889061322687</v>
      </c>
      <c r="M6093" s="15">
        <v>0.85822671611067802</v>
      </c>
      <c r="N6093" s="15">
        <v>0.85822671611067802</v>
      </c>
      <c r="O6093" s="15">
        <v>0.85822671611067802</v>
      </c>
      <c r="P6093" s="15">
        <v>0.85822671611067802</v>
      </c>
      <c r="Q6093" s="8"/>
      <c r="R6093" s="9" t="s">
        <v>5619</v>
      </c>
    </row>
    <row r="6094" spans="1:18" x14ac:dyDescent="0.25">
      <c r="A6094" s="6" t="str">
        <f>HYPERLINK("proteomic_fractions_linear_files/Yang_linear_img/21313012.jpg", "21313012")</f>
        <v>21313012</v>
      </c>
      <c r="B6094" s="7"/>
      <c r="C6094" s="6" t="str">
        <f>HYPERLINK("http://www.ncbi.nlm.nih.gov/protein/21313012","Rab4b")</f>
        <v>Rab4b</v>
      </c>
      <c r="D6094" s="8"/>
      <c r="E6094" s="8">
        <v>23498</v>
      </c>
      <c r="F6094" s="8"/>
      <c r="G6094" s="15">
        <v>1.3949596893797211</v>
      </c>
      <c r="H6094" s="15">
        <v>0.89554092115896833</v>
      </c>
      <c r="I6094" s="15">
        <v>1.0047640597703238</v>
      </c>
      <c r="J6094" s="15">
        <v>1.0047640597703238</v>
      </c>
      <c r="K6094" s="15">
        <v>1.0047640597703238</v>
      </c>
      <c r="L6094" s="15">
        <v>1.0047640597703238</v>
      </c>
      <c r="M6094" s="15">
        <v>0.89554092115896833</v>
      </c>
      <c r="N6094" s="15">
        <v>0.89554092115896833</v>
      </c>
      <c r="O6094" s="15">
        <v>0.89554092115896833</v>
      </c>
      <c r="P6094" s="15">
        <v>0.89554092115896833</v>
      </c>
      <c r="Q6094" s="8"/>
      <c r="R6094" s="9" t="s">
        <v>5620</v>
      </c>
    </row>
    <row r="6095" spans="1:18" x14ac:dyDescent="0.25">
      <c r="A6095" s="6" t="str">
        <f>HYPERLINK("proteomic_fractions_linear_files/Yang_linear_img/13385374.jpg", "13385374")</f>
        <v>13385374</v>
      </c>
      <c r="B6095" s="7"/>
      <c r="C6095" s="6" t="str">
        <f>HYPERLINK("http://www.ncbi.nlm.nih.gov/protein/13385374","Rab5a")</f>
        <v>Rab5a</v>
      </c>
      <c r="D6095" s="8"/>
      <c r="E6095" s="8">
        <v>23468</v>
      </c>
      <c r="F6095" s="8"/>
      <c r="G6095" s="15">
        <v>1.3949596893797211</v>
      </c>
      <c r="H6095" s="15">
        <v>1.3949596893797211</v>
      </c>
      <c r="I6095" s="15">
        <v>1.0676008962294312</v>
      </c>
      <c r="J6095" s="15">
        <v>1.0676008962294312</v>
      </c>
      <c r="K6095" s="15">
        <v>1.0047640597703238</v>
      </c>
      <c r="L6095" s="15">
        <v>1.0047640597703238</v>
      </c>
      <c r="M6095" s="15">
        <v>1.0047640597703238</v>
      </c>
      <c r="N6095" s="15">
        <v>1.0047640597703238</v>
      </c>
      <c r="O6095" s="15">
        <v>0.89554092115896833</v>
      </c>
      <c r="P6095" s="15">
        <v>0.89554092115896833</v>
      </c>
      <c r="Q6095" s="8"/>
      <c r="R6095" s="9" t="s">
        <v>5621</v>
      </c>
    </row>
    <row r="6096" spans="1:18" x14ac:dyDescent="0.25">
      <c r="A6096" s="6" t="str">
        <f>HYPERLINK("proteomic_fractions_linear_files/Yang_linear_img/28916687.jpg", "28916687")</f>
        <v>28916687</v>
      </c>
      <c r="B6096" s="7"/>
      <c r="C6096" s="6" t="str">
        <f>HYPERLINK("http://www.ncbi.nlm.nih.gov/protein/28916687","Rab5b")</f>
        <v>Rab5b</v>
      </c>
      <c r="D6096" s="8"/>
      <c r="E6096" s="8">
        <v>23576</v>
      </c>
      <c r="F6096" s="8"/>
      <c r="G6096" s="15">
        <v>1.3368363689888996</v>
      </c>
      <c r="H6096" s="15">
        <v>1.3368363689888996</v>
      </c>
      <c r="I6096" s="15">
        <v>1.0231175255532048</v>
      </c>
      <c r="J6096" s="15">
        <v>1.0231175255532048</v>
      </c>
      <c r="K6096" s="15">
        <v>0.96289889061322687</v>
      </c>
      <c r="L6096" s="15">
        <v>0.96289889061322687</v>
      </c>
      <c r="M6096" s="15">
        <v>1.0231175255532048</v>
      </c>
      <c r="N6096" s="15">
        <v>1.0231175255532048</v>
      </c>
      <c r="O6096" s="15">
        <v>0.85822671611067802</v>
      </c>
      <c r="P6096" s="15">
        <v>0.85822671611067802</v>
      </c>
      <c r="Q6096" s="8"/>
      <c r="R6096" s="9" t="s">
        <v>5622</v>
      </c>
    </row>
    <row r="6097" spans="1:18" x14ac:dyDescent="0.25">
      <c r="A6097" s="6" t="str">
        <f>HYPERLINK("proteomic_fractions_linear_files/Yang_linear_img/113866024.jpg", "113866024")</f>
        <v>113866024</v>
      </c>
      <c r="B6097" s="7"/>
      <c r="C6097" s="6" t="str">
        <f>HYPERLINK("http://www.ncbi.nlm.nih.gov/protein/113866024","Rab5c")</f>
        <v>Rab5c</v>
      </c>
      <c r="D6097" s="8"/>
      <c r="E6097" s="8">
        <v>23281</v>
      </c>
      <c r="F6097" s="8"/>
      <c r="G6097" s="15">
        <v>1.5023207187163123</v>
      </c>
      <c r="H6097" s="15">
        <v>1.3949596893797211</v>
      </c>
      <c r="I6097" s="15">
        <v>1.0676008962294312</v>
      </c>
      <c r="J6097" s="15">
        <v>1.0676008962294312</v>
      </c>
      <c r="K6097" s="15">
        <v>1.0047640597703238</v>
      </c>
      <c r="L6097" s="15">
        <v>1.0047640597703238</v>
      </c>
      <c r="M6097" s="15">
        <v>1.0047640597703238</v>
      </c>
      <c r="N6097" s="15">
        <v>1.0047640597703238</v>
      </c>
      <c r="O6097" s="15">
        <v>0.89554092115896833</v>
      </c>
      <c r="P6097" s="15">
        <v>0.89554092115896833</v>
      </c>
      <c r="Q6097" s="8"/>
      <c r="R6097" s="9" t="s">
        <v>5623</v>
      </c>
    </row>
    <row r="6098" spans="1:18" x14ac:dyDescent="0.25">
      <c r="A6098" s="6" t="str">
        <f>HYPERLINK("proteomic_fractions_linear_files/Yang_linear_img/13195674.jpg", "13195674")</f>
        <v>13195674</v>
      </c>
      <c r="B6098" s="7"/>
      <c r="C6098" s="6" t="str">
        <f>HYPERLINK("http://www.ncbi.nlm.nih.gov/protein/13195674","Rab6a")</f>
        <v>Rab6a</v>
      </c>
      <c r="D6098" s="8"/>
      <c r="E6098" s="8">
        <v>23459</v>
      </c>
      <c r="F6098" s="8"/>
      <c r="G6098" s="15">
        <v>1.3949596893797211</v>
      </c>
      <c r="H6098" s="15">
        <v>1.3949596893797211</v>
      </c>
      <c r="I6098" s="15">
        <v>1.0047640597703238</v>
      </c>
      <c r="J6098" s="15">
        <v>1.0047640597703238</v>
      </c>
      <c r="K6098" s="15">
        <v>1.0047640597703238</v>
      </c>
      <c r="L6098" s="15">
        <v>1.0047640597703238</v>
      </c>
      <c r="M6098" s="15">
        <v>0.89554092115896833</v>
      </c>
      <c r="N6098" s="15">
        <v>0.89554092115896833</v>
      </c>
      <c r="O6098" s="15">
        <v>0.89554092115896833</v>
      </c>
      <c r="P6098" s="15">
        <v>0.89554092115896833</v>
      </c>
      <c r="Q6098" s="8"/>
      <c r="R6098" s="9" t="s">
        <v>5624</v>
      </c>
    </row>
    <row r="6099" spans="1:18" x14ac:dyDescent="0.25">
      <c r="A6099" s="6" t="str">
        <f>HYPERLINK("proteomic_fractions_linear_files/Yang_linear_img/254750706.jpg", "254750706")</f>
        <v>254750706</v>
      </c>
      <c r="B6099" s="7"/>
      <c r="C6099" s="6" t="str">
        <f>HYPERLINK("http://www.ncbi.nlm.nih.gov/protein/254750706","Rab6a")</f>
        <v>Rab6a</v>
      </c>
      <c r="D6099" s="8"/>
      <c r="E6099" s="8">
        <v>23415</v>
      </c>
      <c r="F6099" s="8"/>
      <c r="G6099" s="15">
        <v>1.3949596893797211</v>
      </c>
      <c r="H6099" s="15">
        <v>1.3949596893797211</v>
      </c>
      <c r="I6099" s="15">
        <v>1.0047640597703238</v>
      </c>
      <c r="J6099" s="15">
        <v>1.0047640597703238</v>
      </c>
      <c r="K6099" s="15">
        <v>1.0047640597703238</v>
      </c>
      <c r="L6099" s="15">
        <v>1.0047640597703238</v>
      </c>
      <c r="M6099" s="15">
        <v>0.89554092115896833</v>
      </c>
      <c r="N6099" s="15">
        <v>0.89554092115896833</v>
      </c>
      <c r="O6099" s="15">
        <v>0.89554092115896833</v>
      </c>
      <c r="P6099" s="15">
        <v>0.89554092115896833</v>
      </c>
      <c r="Q6099" s="8"/>
      <c r="R6099" s="9" t="s">
        <v>5625</v>
      </c>
    </row>
    <row r="6100" spans="1:18" x14ac:dyDescent="0.25">
      <c r="A6100" s="6" t="str">
        <f>HYPERLINK("proteomic_fractions_linear_files/Yang_linear_img/30424655.jpg", "30424655")</f>
        <v>30424655</v>
      </c>
      <c r="B6100" s="7"/>
      <c r="C6100" s="6" t="str">
        <f>HYPERLINK("http://www.ncbi.nlm.nih.gov/protein/30424655","Rab6b")</f>
        <v>Rab6b</v>
      </c>
      <c r="D6100" s="8"/>
      <c r="E6100" s="8">
        <v>23331</v>
      </c>
      <c r="F6100" s="8"/>
      <c r="G6100" s="15">
        <v>1.3949596893797211</v>
      </c>
      <c r="H6100" s="15">
        <v>0.89554092115896833</v>
      </c>
      <c r="I6100" s="15">
        <v>1.0047640597703238</v>
      </c>
      <c r="J6100" s="15">
        <v>1.0047640597703238</v>
      </c>
      <c r="K6100" s="15">
        <v>1.0047640597703238</v>
      </c>
      <c r="L6100" s="15">
        <v>1.0047640597703238</v>
      </c>
      <c r="M6100" s="15">
        <v>1.0047640597703238</v>
      </c>
      <c r="N6100" s="15">
        <v>1.0047640597703238</v>
      </c>
      <c r="O6100" s="15">
        <v>0.94764096829038047</v>
      </c>
      <c r="P6100" s="15">
        <v>0.94764096829038047</v>
      </c>
      <c r="Q6100" s="8"/>
      <c r="R6100" s="9" t="s">
        <v>5626</v>
      </c>
    </row>
    <row r="6101" spans="1:18" x14ac:dyDescent="0.25">
      <c r="A6101" s="6" t="str">
        <f>HYPERLINK("proteomic_fractions_linear_files/Yang_linear_img/148747526.jpg", "148747526")</f>
        <v>148747526</v>
      </c>
      <c r="B6101" s="7"/>
      <c r="C6101" s="6" t="str">
        <f>HYPERLINK("http://www.ncbi.nlm.nih.gov/protein/148747526","Rab7")</f>
        <v>Rab7</v>
      </c>
      <c r="D6101" s="8"/>
      <c r="E6101" s="8">
        <v>23359</v>
      </c>
      <c r="F6101" s="8"/>
      <c r="G6101" s="15">
        <v>0.89554092115896833</v>
      </c>
      <c r="H6101" s="15">
        <v>0.89554092115896833</v>
      </c>
      <c r="I6101" s="15">
        <v>0.94764096829038047</v>
      </c>
      <c r="J6101" s="15">
        <v>0.94764096829038047</v>
      </c>
      <c r="K6101" s="15">
        <v>0.94764096829038047</v>
      </c>
      <c r="L6101" s="15">
        <v>0.94764096829038047</v>
      </c>
      <c r="M6101" s="15">
        <v>1.0047640597703238</v>
      </c>
      <c r="N6101" s="15">
        <v>1.0047640597703238</v>
      </c>
      <c r="O6101" s="15">
        <v>0.94764096829038047</v>
      </c>
      <c r="P6101" s="15">
        <v>0.94764096829038047</v>
      </c>
      <c r="Q6101" s="8"/>
      <c r="R6101" s="9" t="s">
        <v>5627</v>
      </c>
    </row>
    <row r="6102" spans="1:18" x14ac:dyDescent="0.25">
      <c r="A6102" s="6" t="str">
        <f>HYPERLINK("proteomic_fractions_linear_files/Yang_linear_img/229608951.jpg", "229608951")</f>
        <v>229608951</v>
      </c>
      <c r="B6102" s="7"/>
      <c r="C6102" s="6" t="str">
        <f>HYPERLINK("http://www.ncbi.nlm.nih.gov/protein/229608951","Rab7l1")</f>
        <v>Rab7l1</v>
      </c>
      <c r="D6102" s="8"/>
      <c r="E6102" s="8">
        <v>22930</v>
      </c>
      <c r="F6102" s="8"/>
      <c r="G6102" s="15" t="s">
        <v>10</v>
      </c>
      <c r="H6102" s="15" t="s">
        <v>10</v>
      </c>
      <c r="I6102" s="15">
        <v>1.0676008962294312</v>
      </c>
      <c r="J6102" s="15">
        <v>1.0676008962294312</v>
      </c>
      <c r="K6102" s="15">
        <v>1.0676008962294312</v>
      </c>
      <c r="L6102" s="15">
        <v>1.0676008962294312</v>
      </c>
      <c r="M6102" s="15" t="s">
        <v>10</v>
      </c>
      <c r="N6102" s="15" t="s">
        <v>10</v>
      </c>
      <c r="O6102" s="15" t="s">
        <v>10</v>
      </c>
      <c r="P6102" s="15" t="s">
        <v>10</v>
      </c>
      <c r="Q6102" s="8"/>
      <c r="R6102" s="9" t="s">
        <v>5628</v>
      </c>
    </row>
    <row r="6103" spans="1:18" x14ac:dyDescent="0.25">
      <c r="A6103" s="6" t="str">
        <f>HYPERLINK("proteomic_fractions_linear_files/Yang_linear_img/38372905.jpg", "38372905")</f>
        <v>38372905</v>
      </c>
      <c r="B6103" s="7"/>
      <c r="C6103" s="6" t="str">
        <f>HYPERLINK("http://www.ncbi.nlm.nih.gov/protein/38372905","Rab8a")</f>
        <v>Rab8a</v>
      </c>
      <c r="D6103" s="8"/>
      <c r="E6103" s="8">
        <v>23537</v>
      </c>
      <c r="F6103" s="8"/>
      <c r="G6103" s="15">
        <v>1.3368363689888996</v>
      </c>
      <c r="H6103" s="15">
        <v>0.85822671611067802</v>
      </c>
      <c r="I6103" s="15">
        <v>0.85822671611067802</v>
      </c>
      <c r="J6103" s="15">
        <v>0.85822671611067802</v>
      </c>
      <c r="K6103" s="15">
        <v>0.96289889061322687</v>
      </c>
      <c r="L6103" s="15">
        <v>0.96289889061322687</v>
      </c>
      <c r="M6103" s="15">
        <v>0.85822671611067802</v>
      </c>
      <c r="N6103" s="15">
        <v>0.85822671611067802</v>
      </c>
      <c r="O6103" s="15">
        <v>0.85822671611067802</v>
      </c>
      <c r="P6103" s="15">
        <v>0.85822671611067802</v>
      </c>
      <c r="Q6103" s="8"/>
      <c r="R6103" s="9" t="s">
        <v>5629</v>
      </c>
    </row>
    <row r="6104" spans="1:18" x14ac:dyDescent="0.25">
      <c r="A6104" s="6" t="str">
        <f>HYPERLINK("proteomic_fractions_linear_files/Yang_linear_img/27734154.jpg", "27734154")</f>
        <v>27734154</v>
      </c>
      <c r="B6104" s="7"/>
      <c r="C6104" s="6" t="str">
        <f>HYPERLINK("http://www.ncbi.nlm.nih.gov/protein/27734154","Rab8b")</f>
        <v>Rab8b</v>
      </c>
      <c r="D6104" s="8"/>
      <c r="E6104" s="8">
        <v>23472</v>
      </c>
      <c r="F6104" s="8"/>
      <c r="G6104" s="15">
        <v>0.89554092115896833</v>
      </c>
      <c r="H6104" s="15">
        <v>0.89554092115896833</v>
      </c>
      <c r="I6104" s="15">
        <v>0.89554092115896833</v>
      </c>
      <c r="J6104" s="15">
        <v>0.89554092115896833</v>
      </c>
      <c r="K6104" s="15">
        <v>1.0047640597703238</v>
      </c>
      <c r="L6104" s="15">
        <v>1.0047640597703238</v>
      </c>
      <c r="M6104" s="15">
        <v>0.89554092115896833</v>
      </c>
      <c r="N6104" s="15">
        <v>0.89554092115896833</v>
      </c>
      <c r="O6104" s="15">
        <v>0.89554092115896833</v>
      </c>
      <c r="P6104" s="15">
        <v>0.89554092115896833</v>
      </c>
      <c r="Q6104" s="8"/>
      <c r="R6104" s="9" t="s">
        <v>5630</v>
      </c>
    </row>
    <row r="6105" spans="1:18" x14ac:dyDescent="0.25">
      <c r="A6105" s="6" t="str">
        <f>HYPERLINK("proteomic_fractions_linear_files/Yang_linear_img/9790227.jpg", "9790227")</f>
        <v>9790227</v>
      </c>
      <c r="B6105" s="7"/>
      <c r="C6105" s="6" t="str">
        <f>HYPERLINK("http://www.ncbi.nlm.nih.gov/protein/9790227","Rab9")</f>
        <v>Rab9</v>
      </c>
      <c r="D6105" s="8"/>
      <c r="E6105" s="8">
        <v>22779</v>
      </c>
      <c r="F6105" s="8"/>
      <c r="G6105" s="15">
        <v>1.2993655170310057</v>
      </c>
      <c r="H6105" s="15">
        <v>1.2993655170310057</v>
      </c>
      <c r="I6105" s="15">
        <v>1.0047640597703238</v>
      </c>
      <c r="J6105" s="15">
        <v>1.0047640597703238</v>
      </c>
      <c r="K6105" s="15">
        <v>1.0047640597703238</v>
      </c>
      <c r="L6105" s="15">
        <v>1.0047640597703238</v>
      </c>
      <c r="M6105" s="15">
        <v>1.0047640597703238</v>
      </c>
      <c r="N6105" s="15">
        <v>1.0047640597703238</v>
      </c>
      <c r="O6105" s="15">
        <v>0.89554092115896833</v>
      </c>
      <c r="P6105" s="15">
        <v>0.89554092115896833</v>
      </c>
      <c r="Q6105" s="8"/>
      <c r="R6105" s="9" t="s">
        <v>5631</v>
      </c>
    </row>
    <row r="6106" spans="1:18" x14ac:dyDescent="0.25">
      <c r="A6106" s="6" t="str">
        <f>HYPERLINK("proteomic_fractions_linear_files/Yang_linear_img/28892801.jpg", "28892801")</f>
        <v>28892801</v>
      </c>
      <c r="B6106" s="7"/>
      <c r="C6106" s="6" t="str">
        <f>HYPERLINK("http://www.ncbi.nlm.nih.gov/protein/28892801","Rab9b")</f>
        <v>Rab9b</v>
      </c>
      <c r="D6106" s="8"/>
      <c r="E6106" s="8">
        <v>22573</v>
      </c>
      <c r="F6106" s="8"/>
      <c r="G6106" s="15" t="s">
        <v>10</v>
      </c>
      <c r="H6106" s="15" t="s">
        <v>10</v>
      </c>
      <c r="I6106" s="15" t="s">
        <v>10</v>
      </c>
      <c r="J6106" s="15" t="s">
        <v>10</v>
      </c>
      <c r="K6106" s="15">
        <v>1.0047640597703238</v>
      </c>
      <c r="L6106" s="15">
        <v>1.0047640597703238</v>
      </c>
      <c r="M6106" s="15" t="s">
        <v>10</v>
      </c>
      <c r="N6106" s="15" t="s">
        <v>10</v>
      </c>
      <c r="O6106" s="15">
        <v>0.89554092115896833</v>
      </c>
      <c r="P6106" s="15">
        <v>0.89554092115896833</v>
      </c>
      <c r="Q6106" s="8"/>
      <c r="R6106" s="9" t="s">
        <v>5632</v>
      </c>
    </row>
    <row r="6107" spans="1:18" x14ac:dyDescent="0.25">
      <c r="A6107" s="6" t="str">
        <f>HYPERLINK("proteomic_fractions_linear_files/Yang_linear_img/33859558.jpg", "33859558")</f>
        <v>33859558</v>
      </c>
      <c r="B6107" s="7"/>
      <c r="C6107" s="6" t="str">
        <f>HYPERLINK("http://www.ncbi.nlm.nih.gov/protein/33859558","Rabac1")</f>
        <v>Rabac1</v>
      </c>
      <c r="D6107" s="8"/>
      <c r="E6107" s="8">
        <v>20488</v>
      </c>
      <c r="F6107" s="8"/>
      <c r="G6107" s="15" t="s">
        <v>10</v>
      </c>
      <c r="H6107" s="15" t="s">
        <v>10</v>
      </c>
      <c r="I6107" s="15">
        <v>0.92476495822820426</v>
      </c>
      <c r="J6107" s="15">
        <v>0.92476495822820426</v>
      </c>
      <c r="K6107" s="15">
        <v>0.97505749140176368</v>
      </c>
      <c r="L6107" s="15">
        <v>0.97505749140176368</v>
      </c>
      <c r="M6107" s="15">
        <v>0.97505749140176368</v>
      </c>
      <c r="N6107" s="15">
        <v>0.97505749140176368</v>
      </c>
      <c r="O6107" s="15" t="s">
        <v>10</v>
      </c>
      <c r="P6107" s="15" t="s">
        <v>10</v>
      </c>
      <c r="Q6107" s="8"/>
      <c r="R6107" s="9" t="s">
        <v>5633</v>
      </c>
    </row>
    <row r="6108" spans="1:18" x14ac:dyDescent="0.25">
      <c r="A6108" s="6" t="str">
        <f>HYPERLINK("proteomic_fractions_linear_files/Yang_linear_img/238231439.jpg", "238231439")</f>
        <v>238231439</v>
      </c>
      <c r="B6108" s="7"/>
      <c r="C6108" s="6" t="str">
        <f>HYPERLINK("http://www.ncbi.nlm.nih.gov/protein/238231439","Rabep1")</f>
        <v>Rabep1</v>
      </c>
      <c r="D6108" s="8"/>
      <c r="E6108" s="8">
        <v>99393</v>
      </c>
      <c r="F6108" s="8"/>
      <c r="G6108" s="15" t="s">
        <v>10</v>
      </c>
      <c r="H6108" s="15" t="s">
        <v>10</v>
      </c>
      <c r="I6108" s="15" t="s">
        <v>10</v>
      </c>
      <c r="J6108" s="15" t="s">
        <v>10</v>
      </c>
      <c r="K6108" s="15" t="s">
        <v>10</v>
      </c>
      <c r="L6108" s="15" t="s">
        <v>10</v>
      </c>
      <c r="M6108" s="15" t="s">
        <v>10</v>
      </c>
      <c r="N6108" s="15" t="s">
        <v>10</v>
      </c>
      <c r="O6108" s="15">
        <v>1.3002184661122926</v>
      </c>
      <c r="P6108" s="15">
        <v>1.3002184661122926</v>
      </c>
      <c r="Q6108" s="8"/>
      <c r="R6108" s="9" t="s">
        <v>5634</v>
      </c>
    </row>
    <row r="6109" spans="1:18" x14ac:dyDescent="0.25">
      <c r="A6109" s="6" t="str">
        <f>HYPERLINK("proteomic_fractions_linear_files/Yang_linear_img/140970573.jpg", "140970573")</f>
        <v>140970573</v>
      </c>
      <c r="B6109" s="7"/>
      <c r="C6109" s="6" t="str">
        <f>HYPERLINK("http://www.ncbi.nlm.nih.gov/protein/140970573","Rabep2")</f>
        <v>Rabep2</v>
      </c>
      <c r="D6109" s="8"/>
      <c r="E6109" s="8">
        <v>62001</v>
      </c>
      <c r="F6109" s="8"/>
      <c r="G6109" s="15" t="s">
        <v>10</v>
      </c>
      <c r="H6109" s="15" t="s">
        <v>10</v>
      </c>
      <c r="I6109" s="15" t="s">
        <v>10</v>
      </c>
      <c r="J6109" s="15" t="s">
        <v>10</v>
      </c>
      <c r="K6109" s="15">
        <v>1.1844541974464877</v>
      </c>
      <c r="L6109" s="15">
        <v>1.1844541974464877</v>
      </c>
      <c r="M6109" s="15">
        <v>1.1844541974464877</v>
      </c>
      <c r="N6109" s="15">
        <v>1.1844541974464877</v>
      </c>
      <c r="O6109" s="15">
        <v>1.1844541974464877</v>
      </c>
      <c r="P6109" s="15">
        <v>1.1844541974464877</v>
      </c>
      <c r="Q6109" s="8"/>
      <c r="R6109" s="9" t="s">
        <v>5635</v>
      </c>
    </row>
    <row r="6110" spans="1:18" x14ac:dyDescent="0.25">
      <c r="A6110" s="6" t="str">
        <f>HYPERLINK("proteomic_fractions_linear_files/Yang_linear_img/76880489.jpg", "76880489")</f>
        <v>76880489</v>
      </c>
      <c r="B6110" s="7"/>
      <c r="C6110" s="6" t="str">
        <f>HYPERLINK("http://www.ncbi.nlm.nih.gov/protein/76880489","Rabgap1")</f>
        <v>Rabgap1</v>
      </c>
      <c r="D6110" s="8"/>
      <c r="E6110" s="8">
        <v>120667</v>
      </c>
      <c r="F6110" s="8"/>
      <c r="G6110" s="15" t="s">
        <v>10</v>
      </c>
      <c r="H6110" s="15" t="s">
        <v>10</v>
      </c>
      <c r="I6110" s="15">
        <v>1.2682055465805111</v>
      </c>
      <c r="J6110" s="15">
        <v>1.2682055465805111</v>
      </c>
      <c r="K6110" s="15">
        <v>1.2682055465805111</v>
      </c>
      <c r="L6110" s="15">
        <v>1.2682055465805111</v>
      </c>
      <c r="M6110" s="15">
        <v>1.2682055465805111</v>
      </c>
      <c r="N6110" s="15">
        <v>1.2682055465805111</v>
      </c>
      <c r="O6110" s="15">
        <v>1.2682055465805111</v>
      </c>
      <c r="P6110" s="15">
        <v>1.2682055465805111</v>
      </c>
      <c r="Q6110" s="8"/>
      <c r="R6110" s="9" t="s">
        <v>5636</v>
      </c>
    </row>
    <row r="6111" spans="1:18" x14ac:dyDescent="0.25">
      <c r="A6111" s="6" t="str">
        <f>HYPERLINK("proteomic_fractions_linear_files/Yang_linear_img/76880498.jpg", "76880498")</f>
        <v>76880498</v>
      </c>
      <c r="B6111" s="7"/>
      <c r="C6111" s="6" t="str">
        <f>HYPERLINK("http://www.ncbi.nlm.nih.gov/protein/76880498","Rabgap1")</f>
        <v>Rabgap1</v>
      </c>
      <c r="D6111" s="8"/>
      <c r="E6111" s="8">
        <v>90953</v>
      </c>
      <c r="F6111" s="8"/>
      <c r="G6111" s="15" t="s">
        <v>10</v>
      </c>
      <c r="H6111" s="15" t="s">
        <v>10</v>
      </c>
      <c r="I6111" s="15">
        <v>1.6862952872114487</v>
      </c>
      <c r="J6111" s="15">
        <v>1.6862952872114487</v>
      </c>
      <c r="K6111" s="15">
        <v>1.6862952872114487</v>
      </c>
      <c r="L6111" s="15">
        <v>1.6862952872114487</v>
      </c>
      <c r="M6111" s="15">
        <v>1.6862952872114487</v>
      </c>
      <c r="N6111" s="15">
        <v>1.6862952872114487</v>
      </c>
      <c r="O6111" s="15">
        <v>1.6862952872114487</v>
      </c>
      <c r="P6111" s="15">
        <v>1.6862952872114487</v>
      </c>
      <c r="Q6111" s="8"/>
      <c r="R6111" s="9" t="s">
        <v>5637</v>
      </c>
    </row>
    <row r="6112" spans="1:18" x14ac:dyDescent="0.25">
      <c r="A6112" s="6" t="str">
        <f>HYPERLINK("proteomic_fractions_linear_files/Yang_linear_img/229577255.jpg", "229577255")</f>
        <v>229577255</v>
      </c>
      <c r="B6112" s="7"/>
      <c r="C6112" s="6" t="str">
        <f>HYPERLINK("http://www.ncbi.nlm.nih.gov/protein/229577255","Rabgap1l")</f>
        <v>Rabgap1l</v>
      </c>
      <c r="D6112" s="8"/>
      <c r="E6112" s="8">
        <v>92273</v>
      </c>
      <c r="F6112" s="8"/>
      <c r="G6112" s="15" t="s">
        <v>10</v>
      </c>
      <c r="H6112" s="15" t="s">
        <v>10</v>
      </c>
      <c r="I6112" s="15" t="s">
        <v>10</v>
      </c>
      <c r="J6112" s="15" t="s">
        <v>10</v>
      </c>
      <c r="K6112" s="15" t="s">
        <v>10</v>
      </c>
      <c r="L6112" s="15" t="s">
        <v>10</v>
      </c>
      <c r="M6112" s="15" t="s">
        <v>10</v>
      </c>
      <c r="N6112" s="15" t="s">
        <v>10</v>
      </c>
      <c r="O6112" s="15">
        <v>1.6679659906113244</v>
      </c>
      <c r="P6112" s="15">
        <v>1.6679659906113244</v>
      </c>
      <c r="Q6112" s="8"/>
      <c r="R6112" s="9" t="s">
        <v>5638</v>
      </c>
    </row>
    <row r="6113" spans="1:18" x14ac:dyDescent="0.25">
      <c r="A6113" s="6" t="str">
        <f>HYPERLINK("proteomic_fractions_linear_files/Yang_linear_img/84490375.jpg", "84490375")</f>
        <v>84490375</v>
      </c>
      <c r="B6113" s="7"/>
      <c r="C6113" s="6" t="str">
        <f>HYPERLINK("http://www.ncbi.nlm.nih.gov/protein/84490375","Rabgap1l")</f>
        <v>Rabgap1l</v>
      </c>
      <c r="D6113" s="8"/>
      <c r="E6113" s="8">
        <v>42623</v>
      </c>
      <c r="F6113" s="8"/>
      <c r="G6113" s="15" t="s">
        <v>10</v>
      </c>
      <c r="H6113" s="15" t="s">
        <v>10</v>
      </c>
      <c r="I6113" s="15" t="s">
        <v>10</v>
      </c>
      <c r="J6113" s="15" t="s">
        <v>10</v>
      </c>
      <c r="K6113" s="15" t="s">
        <v>10</v>
      </c>
      <c r="L6113" s="15" t="s">
        <v>10</v>
      </c>
      <c r="M6113" s="15" t="s">
        <v>10</v>
      </c>
      <c r="N6113" s="15" t="s">
        <v>10</v>
      </c>
      <c r="O6113" s="15">
        <v>3.568671421773066</v>
      </c>
      <c r="P6113" s="15">
        <v>3.568671421773066</v>
      </c>
      <c r="Q6113" s="8"/>
      <c r="R6113" s="9" t="s">
        <v>5639</v>
      </c>
    </row>
    <row r="6114" spans="1:18" x14ac:dyDescent="0.25">
      <c r="A6114" s="6" t="str">
        <f>HYPERLINK("proteomic_fractions_linear_files/Yang_linear_img/312261269;9910316.jpg", "312261269;9910316")</f>
        <v>312261269;9910316</v>
      </c>
      <c r="B6114" s="8"/>
      <c r="C6114" s="6" t="str">
        <f>HYPERLINK("http://www.ncbi.nlm.nih.gov/protein/312261269;9910316","Rabgef1")</f>
        <v>Rabgef1</v>
      </c>
      <c r="D6114" s="8"/>
      <c r="E6114" s="8">
        <v>56738</v>
      </c>
      <c r="F6114" s="8"/>
      <c r="G6114" s="15" t="s">
        <v>10</v>
      </c>
      <c r="H6114" s="15" t="s">
        <v>10</v>
      </c>
      <c r="I6114" s="15" t="s">
        <v>10</v>
      </c>
      <c r="J6114" s="15" t="s">
        <v>10</v>
      </c>
      <c r="K6114" s="15">
        <v>1.1483028654481462</v>
      </c>
      <c r="L6114" s="15">
        <v>1.1483028654481462</v>
      </c>
      <c r="M6114" s="15" t="s">
        <v>10</v>
      </c>
      <c r="N6114" s="15" t="s">
        <v>10</v>
      </c>
      <c r="O6114" s="15">
        <v>1.0311089050104185</v>
      </c>
      <c r="P6114" s="15">
        <v>1.0311089050104185</v>
      </c>
      <c r="Q6114" s="8"/>
      <c r="R6114" s="9" t="s">
        <v>5640</v>
      </c>
    </row>
    <row r="6115" spans="1:18" x14ac:dyDescent="0.25">
      <c r="A6115" s="6" t="str">
        <f>HYPERLINK("proteomic_fractions_linear_files/Yang_linear_img/9507023.jpg", "9507023")</f>
        <v>9507023</v>
      </c>
      <c r="B6115" s="7"/>
      <c r="C6115" s="6" t="str">
        <f>HYPERLINK("http://www.ncbi.nlm.nih.gov/protein/9507023","Rabggta")</f>
        <v>Rabggta</v>
      </c>
      <c r="D6115" s="8"/>
      <c r="E6115" s="8">
        <v>64859</v>
      </c>
      <c r="F6115" s="8"/>
      <c r="G6115" s="15" t="s">
        <v>10</v>
      </c>
      <c r="H6115" s="15" t="s">
        <v>10</v>
      </c>
      <c r="I6115" s="15" t="s">
        <v>10</v>
      </c>
      <c r="J6115" s="15" t="s">
        <v>10</v>
      </c>
      <c r="K6115" s="15">
        <v>1.0069732820083743</v>
      </c>
      <c r="L6115" s="15">
        <v>1.0069732820083743</v>
      </c>
      <c r="M6115" s="15" t="s">
        <v>10</v>
      </c>
      <c r="N6115" s="15" t="s">
        <v>10</v>
      </c>
      <c r="O6115" s="15">
        <v>0.90420319362452084</v>
      </c>
      <c r="P6115" s="15">
        <v>0.90420319362452084</v>
      </c>
      <c r="Q6115" s="8"/>
      <c r="R6115" s="9" t="s">
        <v>5641</v>
      </c>
    </row>
    <row r="6116" spans="1:18" x14ac:dyDescent="0.25">
      <c r="A6116" s="6" t="str">
        <f>HYPERLINK("proteomic_fractions_linear_files/Yang_linear_img/254553291.jpg", "254553291")</f>
        <v>254553291</v>
      </c>
      <c r="B6116" s="7"/>
      <c r="C6116" s="6" t="str">
        <f>HYPERLINK("http://www.ncbi.nlm.nih.gov/protein/254553291","Rabggtb")</f>
        <v>Rabggtb</v>
      </c>
      <c r="D6116" s="8"/>
      <c r="E6116" s="8">
        <v>37672</v>
      </c>
      <c r="F6116" s="8"/>
      <c r="G6116" s="15" t="s">
        <v>10</v>
      </c>
      <c r="H6116" s="15" t="s">
        <v>10</v>
      </c>
      <c r="I6116" s="15">
        <v>0.84431770672983131</v>
      </c>
      <c r="J6116" s="15">
        <v>0.84431770672983131</v>
      </c>
      <c r="K6116" s="15">
        <v>0.90929938238092589</v>
      </c>
      <c r="L6116" s="15">
        <v>0.90929938238092589</v>
      </c>
      <c r="M6116" s="15" t="s">
        <v>10</v>
      </c>
      <c r="N6116" s="15" t="s">
        <v>10</v>
      </c>
      <c r="O6116" s="15">
        <v>0.78645807609771401</v>
      </c>
      <c r="P6116" s="15">
        <v>0.78645807609771401</v>
      </c>
      <c r="Q6116" s="8"/>
      <c r="R6116" s="9" t="s">
        <v>5642</v>
      </c>
    </row>
    <row r="6117" spans="1:18" x14ac:dyDescent="0.25">
      <c r="A6117" s="6" t="str">
        <f>HYPERLINK("proteomic_fractions_linear_files/Yang_linear_img/254553293.jpg", "254553293")</f>
        <v>254553293</v>
      </c>
      <c r="B6117" s="7"/>
      <c r="C6117" s="6" t="str">
        <f>HYPERLINK("http://www.ncbi.nlm.nih.gov/protein/254553293","Rabggtb")</f>
        <v>Rabggtb</v>
      </c>
      <c r="D6117" s="8"/>
      <c r="E6117" s="8">
        <v>36753</v>
      </c>
      <c r="F6117" s="8"/>
      <c r="G6117" s="15" t="s">
        <v>10</v>
      </c>
      <c r="H6117" s="15" t="s">
        <v>10</v>
      </c>
      <c r="I6117" s="15">
        <v>0.86713710420901591</v>
      </c>
      <c r="J6117" s="15">
        <v>0.86713710420901591</v>
      </c>
      <c r="K6117" s="15">
        <v>0.93387504136419419</v>
      </c>
      <c r="L6117" s="15">
        <v>0.93387504136419419</v>
      </c>
      <c r="M6117" s="15" t="s">
        <v>10</v>
      </c>
      <c r="N6117" s="15" t="s">
        <v>10</v>
      </c>
      <c r="O6117" s="15">
        <v>0.80771369977603058</v>
      </c>
      <c r="P6117" s="15">
        <v>0.80771369977603058</v>
      </c>
      <c r="Q6117" s="8"/>
      <c r="R6117" s="9" t="s">
        <v>5643</v>
      </c>
    </row>
    <row r="6118" spans="1:18" x14ac:dyDescent="0.25">
      <c r="A6118" s="6" t="str">
        <f>HYPERLINK("proteomic_fractions_linear_files/Yang_linear_img/254553295.jpg", "254553295")</f>
        <v>254553295</v>
      </c>
      <c r="B6118" s="7"/>
      <c r="C6118" s="6" t="str">
        <f>HYPERLINK("http://www.ncbi.nlm.nih.gov/protein/254553295","Rabggtb")</f>
        <v>Rabggtb</v>
      </c>
      <c r="D6118" s="8"/>
      <c r="E6118" s="8">
        <v>32229</v>
      </c>
      <c r="F6118" s="8"/>
      <c r="G6118" s="15" t="s">
        <v>10</v>
      </c>
      <c r="H6118" s="15" t="s">
        <v>10</v>
      </c>
      <c r="I6118" s="15">
        <v>1.0026272767416746</v>
      </c>
      <c r="J6118" s="15">
        <v>1.0026272767416746</v>
      </c>
      <c r="K6118" s="15">
        <v>1.0026272767416746</v>
      </c>
      <c r="L6118" s="15">
        <v>1.0026272767416746</v>
      </c>
      <c r="M6118" s="15" t="s">
        <v>10</v>
      </c>
      <c r="N6118" s="15" t="s">
        <v>10</v>
      </c>
      <c r="O6118" s="15">
        <v>0.93391896536603536</v>
      </c>
      <c r="P6118" s="15">
        <v>0.93391896536603536</v>
      </c>
      <c r="Q6118" s="8"/>
      <c r="R6118" s="9" t="s">
        <v>5644</v>
      </c>
    </row>
    <row r="6119" spans="1:18" x14ac:dyDescent="0.25">
      <c r="A6119" s="6" t="str">
        <f>HYPERLINK("proteomic_fractions_linear_files/Yang_linear_img/21704004.jpg", "21704004")</f>
        <v>21704004</v>
      </c>
      <c r="B6119" s="7"/>
      <c r="C6119" s="6" t="str">
        <f>HYPERLINK("http://www.ncbi.nlm.nih.gov/protein/21704004","Rabif")</f>
        <v>Rabif</v>
      </c>
      <c r="D6119" s="8"/>
      <c r="E6119" s="8">
        <v>13784</v>
      </c>
      <c r="F6119" s="8"/>
      <c r="G6119" s="15" t="s">
        <v>10</v>
      </c>
      <c r="H6119" s="15" t="s">
        <v>10</v>
      </c>
      <c r="I6119" s="15" t="s">
        <v>10</v>
      </c>
      <c r="J6119" s="15" t="s">
        <v>10</v>
      </c>
      <c r="K6119" s="15" t="s">
        <v>10</v>
      </c>
      <c r="L6119" s="15" t="s">
        <v>10</v>
      </c>
      <c r="M6119" s="15" t="s">
        <v>10</v>
      </c>
      <c r="N6119" s="15" t="s">
        <v>10</v>
      </c>
      <c r="O6119" s="15">
        <v>1.0369624087050249</v>
      </c>
      <c r="P6119" s="15">
        <v>1.0369624087050249</v>
      </c>
      <c r="Q6119" s="8"/>
      <c r="R6119" s="9" t="s">
        <v>5645</v>
      </c>
    </row>
    <row r="6120" spans="1:18" x14ac:dyDescent="0.25">
      <c r="A6120" s="6" t="str">
        <f>HYPERLINK("proteomic_fractions_linear_files/Yang_linear_img/146134336.jpg", "146134336")</f>
        <v>146134336</v>
      </c>
      <c r="B6120" s="7"/>
      <c r="C6120" s="6" t="str">
        <f>HYPERLINK("http://www.ncbi.nlm.nih.gov/protein/146134336","Rabl2")</f>
        <v>Rabl2</v>
      </c>
      <c r="D6120" s="8"/>
      <c r="E6120" s="8">
        <v>25479</v>
      </c>
      <c r="F6120" s="8"/>
      <c r="G6120" s="15" t="s">
        <v>10</v>
      </c>
      <c r="H6120" s="15" t="s">
        <v>10</v>
      </c>
      <c r="I6120" s="15" t="s">
        <v>10</v>
      </c>
      <c r="J6120" s="15" t="s">
        <v>10</v>
      </c>
      <c r="K6120" s="15">
        <v>1.0460103246170001</v>
      </c>
      <c r="L6120" s="15">
        <v>1.0460103246170001</v>
      </c>
      <c r="M6120" s="15">
        <v>1.0460103246170001</v>
      </c>
      <c r="N6120" s="15">
        <v>1.0460103246170001</v>
      </c>
      <c r="O6120" s="15">
        <v>0.92438293498869784</v>
      </c>
      <c r="P6120" s="15">
        <v>0.92438293498869784</v>
      </c>
      <c r="Q6120" s="8"/>
      <c r="R6120" s="9" t="s">
        <v>5646</v>
      </c>
    </row>
    <row r="6121" spans="1:18" x14ac:dyDescent="0.25">
      <c r="A6121" s="6" t="str">
        <f>HYPERLINK("proteomic_fractions_linear_files/Yang_linear_img/21313026.jpg", "21313026")</f>
        <v>21313026</v>
      </c>
      <c r="B6121" s="7"/>
      <c r="C6121" s="6" t="str">
        <f>HYPERLINK("http://www.ncbi.nlm.nih.gov/protein/21313026","Rabl5")</f>
        <v>Rabl5</v>
      </c>
      <c r="D6121" s="8"/>
      <c r="E6121" s="8">
        <v>20702</v>
      </c>
      <c r="F6121" s="8"/>
      <c r="G6121" s="15" t="s">
        <v>10</v>
      </c>
      <c r="H6121" s="15" t="s">
        <v>10</v>
      </c>
      <c r="I6121" s="15" t="s">
        <v>10</v>
      </c>
      <c r="J6121" s="15" t="s">
        <v>10</v>
      </c>
      <c r="K6121" s="15">
        <v>0.98083053269791776</v>
      </c>
      <c r="L6121" s="15">
        <v>0.98083053269791776</v>
      </c>
      <c r="M6121" s="15">
        <v>0.98083053269791776</v>
      </c>
      <c r="N6121" s="15">
        <v>0.98083053269791776</v>
      </c>
      <c r="O6121" s="15">
        <v>0.98083053269791776</v>
      </c>
      <c r="P6121" s="15">
        <v>0.98083053269791776</v>
      </c>
      <c r="Q6121" s="8"/>
      <c r="R6121" s="9" t="s">
        <v>5647</v>
      </c>
    </row>
    <row r="6122" spans="1:18" x14ac:dyDescent="0.25">
      <c r="A6122" s="6" t="str">
        <f>HYPERLINK("proteomic_fractions_linear_files/Yang_linear_img/112181302.jpg", "112181302")</f>
        <v>112181302</v>
      </c>
      <c r="B6122" s="7"/>
      <c r="C6122" s="6" t="str">
        <f>HYPERLINK("http://www.ncbi.nlm.nih.gov/protein/112181302","Rabl6")</f>
        <v>Rabl6</v>
      </c>
      <c r="D6122" s="8"/>
      <c r="E6122" s="8">
        <v>79700</v>
      </c>
      <c r="F6122" s="8"/>
      <c r="G6122" s="15">
        <v>11.987352723330241</v>
      </c>
      <c r="H6122" s="15">
        <v>11.987352723330241</v>
      </c>
      <c r="I6122" s="15">
        <v>74.913750000000007</v>
      </c>
      <c r="J6122" s="15">
        <v>74.913750000000007</v>
      </c>
      <c r="K6122" s="15">
        <v>1.9181608892030231</v>
      </c>
      <c r="L6122" s="15">
        <v>1.9181608892030231</v>
      </c>
      <c r="M6122" s="15">
        <v>1.6090203518139621</v>
      </c>
      <c r="N6122" s="15">
        <v>1.6090203518139621</v>
      </c>
      <c r="O6122" s="15">
        <v>1.6090203518139621</v>
      </c>
      <c r="P6122" s="15">
        <v>1.6090203518139621</v>
      </c>
      <c r="Q6122" s="8"/>
      <c r="R6122" s="9" t="s">
        <v>5648</v>
      </c>
    </row>
    <row r="6123" spans="1:18" x14ac:dyDescent="0.25">
      <c r="A6123" s="6" t="str">
        <f>HYPERLINK("proteomic_fractions_linear_files/Yang_linear_img/45592934.jpg", "45592934")</f>
        <v>45592934</v>
      </c>
      <c r="B6123" s="7"/>
      <c r="C6123" s="6" t="str">
        <f>HYPERLINK("http://www.ncbi.nlm.nih.gov/protein/45592934","Rac1")</f>
        <v>Rac1</v>
      </c>
      <c r="D6123" s="8"/>
      <c r="E6123" s="8">
        <v>21319</v>
      </c>
      <c r="F6123" s="8"/>
      <c r="G6123" s="15">
        <v>0.92862618228739402</v>
      </c>
      <c r="H6123" s="15">
        <v>0.92862618228739402</v>
      </c>
      <c r="I6123" s="15">
        <v>1.0378924890799406</v>
      </c>
      <c r="J6123" s="15">
        <v>1.0378924890799406</v>
      </c>
      <c r="K6123" s="15">
        <v>0.98083053269791776</v>
      </c>
      <c r="L6123" s="15">
        <v>0.98083053269791776</v>
      </c>
      <c r="M6123" s="15">
        <v>0.98083053269791776</v>
      </c>
      <c r="N6123" s="15">
        <v>0.98083053269791776</v>
      </c>
      <c r="O6123" s="15">
        <v>0.98083053269791776</v>
      </c>
      <c r="P6123" s="15">
        <v>0.98083053269791776</v>
      </c>
      <c r="Q6123" s="8"/>
      <c r="R6123" s="9" t="s">
        <v>5649</v>
      </c>
    </row>
    <row r="6124" spans="1:18" x14ac:dyDescent="0.25">
      <c r="A6124" s="6" t="str">
        <f>HYPERLINK("proteomic_fractions_linear_files/Yang_linear_img/6679601.jpg", "6679601")</f>
        <v>6679601</v>
      </c>
      <c r="B6124" s="7"/>
      <c r="C6124" s="6" t="str">
        <f>HYPERLINK("http://www.ncbi.nlm.nih.gov/protein/6679601","Rac2")</f>
        <v>Rac2</v>
      </c>
      <c r="D6124" s="8"/>
      <c r="E6124" s="8">
        <v>21310</v>
      </c>
      <c r="F6124" s="8"/>
      <c r="G6124" s="15">
        <v>0.92862618228739402</v>
      </c>
      <c r="H6124" s="15">
        <v>0.92862618228739402</v>
      </c>
      <c r="I6124" s="15">
        <v>1.0378924890799406</v>
      </c>
      <c r="J6124" s="15">
        <v>1.0378924890799406</v>
      </c>
      <c r="K6124" s="15">
        <v>0.98083053269791776</v>
      </c>
      <c r="L6124" s="15">
        <v>0.98083053269791776</v>
      </c>
      <c r="M6124" s="15">
        <v>1.0378924890799406</v>
      </c>
      <c r="N6124" s="15">
        <v>1.0378924890799406</v>
      </c>
      <c r="O6124" s="15">
        <v>0.98083053269791776</v>
      </c>
      <c r="P6124" s="15">
        <v>0.98083053269791776</v>
      </c>
      <c r="Q6124" s="8"/>
      <c r="R6124" s="9" t="s">
        <v>5650</v>
      </c>
    </row>
    <row r="6125" spans="1:18" x14ac:dyDescent="0.25">
      <c r="A6125" s="6" t="str">
        <f>HYPERLINK("proteomic_fractions_linear_files/Yang_linear_img/18875380.jpg", "18875380")</f>
        <v>18875380</v>
      </c>
      <c r="B6125" s="7"/>
      <c r="C6125" s="6" t="str">
        <f>HYPERLINK("http://www.ncbi.nlm.nih.gov/protein/18875380","Rac3")</f>
        <v>Rac3</v>
      </c>
      <c r="D6125" s="8"/>
      <c r="E6125" s="8">
        <v>21248</v>
      </c>
      <c r="F6125" s="8"/>
      <c r="G6125" s="15">
        <v>0.92862618228739402</v>
      </c>
      <c r="H6125" s="15">
        <v>0.92862618228739402</v>
      </c>
      <c r="I6125" s="15">
        <v>1.0378924890799406</v>
      </c>
      <c r="J6125" s="15">
        <v>1.0378924890799406</v>
      </c>
      <c r="K6125" s="15">
        <v>0.98083053269791776</v>
      </c>
      <c r="L6125" s="15">
        <v>0.98083053269791776</v>
      </c>
      <c r="M6125" s="15">
        <v>0.98083053269791776</v>
      </c>
      <c r="N6125" s="15">
        <v>0.98083053269791776</v>
      </c>
      <c r="O6125" s="15">
        <v>0.98083053269791776</v>
      </c>
      <c r="P6125" s="15">
        <v>0.98083053269791776</v>
      </c>
      <c r="Q6125" s="8"/>
      <c r="R6125" s="9" t="s">
        <v>5651</v>
      </c>
    </row>
    <row r="6126" spans="1:18" x14ac:dyDescent="0.25">
      <c r="A6126" s="6" t="str">
        <f>HYPERLINK("proteomic_fractions_linear_files/Yang_linear_img/6755266.jpg", "6755266")</f>
        <v>6755266</v>
      </c>
      <c r="B6126" s="7"/>
      <c r="C6126" s="6" t="str">
        <f>HYPERLINK("http://www.ncbi.nlm.nih.gov/protein/6755266","Racgap1")</f>
        <v>Racgap1</v>
      </c>
      <c r="D6126" s="8"/>
      <c r="E6126" s="8">
        <v>70028</v>
      </c>
      <c r="F6126" s="8"/>
      <c r="G6126" s="15" t="s">
        <v>10</v>
      </c>
      <c r="H6126" s="15" t="s">
        <v>10</v>
      </c>
      <c r="I6126" s="15">
        <v>1.0490880034526036</v>
      </c>
      <c r="J6126" s="15">
        <v>1.0490880034526036</v>
      </c>
      <c r="K6126" s="15">
        <v>1.1871236924734836</v>
      </c>
      <c r="L6126" s="15">
        <v>1.1871236924734836</v>
      </c>
      <c r="M6126" s="15" t="s">
        <v>10</v>
      </c>
      <c r="N6126" s="15" t="s">
        <v>10</v>
      </c>
      <c r="O6126" s="15" t="s">
        <v>10</v>
      </c>
      <c r="P6126" s="15" t="s">
        <v>10</v>
      </c>
      <c r="Q6126" s="8"/>
      <c r="R6126" s="9" t="s">
        <v>5652</v>
      </c>
    </row>
    <row r="6127" spans="1:18" x14ac:dyDescent="0.25">
      <c r="A6127" s="6" t="str">
        <f>HYPERLINK("proteomic_fractions_linear_files/Yang_linear_img/84872189.jpg", "84872189")</f>
        <v>84872189</v>
      </c>
      <c r="B6127" s="7"/>
      <c r="C6127" s="6" t="str">
        <f>HYPERLINK("http://www.ncbi.nlm.nih.gov/protein/84872189","Rad1")</f>
        <v>Rad1</v>
      </c>
      <c r="D6127" s="8"/>
      <c r="E6127" s="8">
        <v>31479</v>
      </c>
      <c r="F6127" s="8"/>
      <c r="G6127" s="15" t="s">
        <v>10</v>
      </c>
      <c r="H6127" s="15" t="s">
        <v>10</v>
      </c>
      <c r="I6127" s="15" t="s">
        <v>10</v>
      </c>
      <c r="J6127" s="15" t="s">
        <v>10</v>
      </c>
      <c r="K6127" s="15" t="s">
        <v>10</v>
      </c>
      <c r="L6127" s="15" t="s">
        <v>10</v>
      </c>
      <c r="M6127" s="15" t="s">
        <v>10</v>
      </c>
      <c r="N6127" s="15" t="s">
        <v>10</v>
      </c>
      <c r="O6127" s="15">
        <v>0.7920909875250618</v>
      </c>
      <c r="P6127" s="15">
        <v>0.7920909875250618</v>
      </c>
      <c r="Q6127" s="8"/>
      <c r="R6127" s="9" t="s">
        <v>5653</v>
      </c>
    </row>
    <row r="6128" spans="1:18" x14ac:dyDescent="0.25">
      <c r="A6128" s="6" t="str">
        <f>HYPERLINK("proteomic_fractions_linear_files/Yang_linear_img/254692855.jpg", "254692855")</f>
        <v>254692855</v>
      </c>
      <c r="B6128" s="7"/>
      <c r="C6128" s="6" t="str">
        <f>HYPERLINK("http://www.ncbi.nlm.nih.gov/protein/254692855","Rad21")</f>
        <v>Rad21</v>
      </c>
      <c r="D6128" s="8"/>
      <c r="E6128" s="8">
        <v>71952</v>
      </c>
      <c r="F6128" s="8"/>
      <c r="G6128" s="15">
        <v>2.1312898768922479</v>
      </c>
      <c r="H6128" s="15">
        <v>2.1312898768922479</v>
      </c>
      <c r="I6128" s="15" t="s">
        <v>10</v>
      </c>
      <c r="J6128" s="15" t="s">
        <v>10</v>
      </c>
      <c r="K6128" s="15">
        <v>2.1312898768922479</v>
      </c>
      <c r="L6128" s="15">
        <v>2.1312898768922479</v>
      </c>
      <c r="M6128" s="15">
        <v>2.1312898768922479</v>
      </c>
      <c r="N6128" s="15">
        <v>2.1312898768922479</v>
      </c>
      <c r="O6128" s="15" t="s">
        <v>10</v>
      </c>
      <c r="P6128" s="15" t="s">
        <v>10</v>
      </c>
      <c r="Q6128" s="8"/>
      <c r="R6128" s="9" t="s">
        <v>5654</v>
      </c>
    </row>
    <row r="6129" spans="1:18" x14ac:dyDescent="0.25">
      <c r="A6129" s="6" t="str">
        <f>HYPERLINK("proteomic_fractions_linear_files/Yang_linear_img/34447211.jpg", "34447211")</f>
        <v>34447211</v>
      </c>
      <c r="B6129" s="7"/>
      <c r="C6129" s="6" t="str">
        <f>HYPERLINK("http://www.ncbi.nlm.nih.gov/protein/34447211","Rad23a")</f>
        <v>Rad23a</v>
      </c>
      <c r="D6129" s="8"/>
      <c r="E6129" s="8">
        <v>39504</v>
      </c>
      <c r="F6129" s="8"/>
      <c r="G6129" s="15" t="s">
        <v>10</v>
      </c>
      <c r="H6129" s="15" t="s">
        <v>10</v>
      </c>
      <c r="I6129" s="15">
        <v>1.2072493896103813</v>
      </c>
      <c r="J6129" s="15">
        <v>1.2072493896103813</v>
      </c>
      <c r="K6129" s="15" t="s">
        <v>10</v>
      </c>
      <c r="L6129" s="15" t="s">
        <v>10</v>
      </c>
      <c r="M6129" s="15" t="s">
        <v>10</v>
      </c>
      <c r="N6129" s="15" t="s">
        <v>10</v>
      </c>
      <c r="O6129" s="15">
        <v>1.1031397311741367</v>
      </c>
      <c r="P6129" s="15">
        <v>1.1031397311741367</v>
      </c>
      <c r="Q6129" s="8"/>
      <c r="R6129" s="9" t="s">
        <v>5655</v>
      </c>
    </row>
    <row r="6130" spans="1:18" x14ac:dyDescent="0.25">
      <c r="A6130" s="6" t="str">
        <f>HYPERLINK("proteomic_fractions_linear_files/Yang_linear_img/171906578.jpg", "171906578")</f>
        <v>171906578</v>
      </c>
      <c r="B6130" s="7"/>
      <c r="C6130" s="6" t="str">
        <f>HYPERLINK("http://www.ncbi.nlm.nih.gov/protein/171906578","Rad23b")</f>
        <v>Rad23b</v>
      </c>
      <c r="D6130" s="8"/>
      <c r="E6130" s="8">
        <v>43382</v>
      </c>
      <c r="F6130" s="8"/>
      <c r="G6130" s="15">
        <v>1.707817680039122</v>
      </c>
      <c r="H6130" s="15">
        <v>1.707817680039122</v>
      </c>
      <c r="I6130" s="15">
        <v>1.3668187810603221</v>
      </c>
      <c r="J6130" s="15">
        <v>1.3668187810603221</v>
      </c>
      <c r="K6130" s="15">
        <v>1.3668187810603221</v>
      </c>
      <c r="L6130" s="15">
        <v>1.3668187810603221</v>
      </c>
      <c r="M6130" s="15">
        <v>1.3668187810603221</v>
      </c>
      <c r="N6130" s="15">
        <v>1.3668187810603221</v>
      </c>
      <c r="O6130" s="15">
        <v>1.2353620844186297</v>
      </c>
      <c r="P6130" s="15">
        <v>1.2353620844186297</v>
      </c>
      <c r="Q6130" s="8"/>
      <c r="R6130" s="9" t="s">
        <v>5656</v>
      </c>
    </row>
    <row r="6131" spans="1:18" x14ac:dyDescent="0.25">
      <c r="A6131" s="6" t="str">
        <f>HYPERLINK("proteomic_fractions_linear_files/Yang_linear_img/153945822.jpg", "153945822")</f>
        <v>153945822</v>
      </c>
      <c r="B6131" s="7"/>
      <c r="C6131" s="6" t="str">
        <f>HYPERLINK("http://www.ncbi.nlm.nih.gov/protein/153945822","Rad50")</f>
        <v>Rad50</v>
      </c>
      <c r="D6131" s="8"/>
      <c r="E6131" s="8">
        <v>153416</v>
      </c>
      <c r="F6131" s="8"/>
      <c r="G6131" s="15">
        <v>1.2206917100649697</v>
      </c>
      <c r="H6131" s="15">
        <v>1.2206917100649697</v>
      </c>
      <c r="I6131" s="15" t="s">
        <v>10</v>
      </c>
      <c r="J6131" s="15" t="s">
        <v>10</v>
      </c>
      <c r="K6131" s="15">
        <v>1.2206917100649697</v>
      </c>
      <c r="L6131" s="15">
        <v>1.2206917100649697</v>
      </c>
      <c r="M6131" s="15">
        <v>1.2206917100649697</v>
      </c>
      <c r="N6131" s="15">
        <v>1.2206917100649697</v>
      </c>
      <c r="O6131" s="15">
        <v>1.2206917100649697</v>
      </c>
      <c r="P6131" s="15">
        <v>1.2206917100649697</v>
      </c>
      <c r="Q6131" s="8"/>
      <c r="R6131" s="9" t="s">
        <v>5657</v>
      </c>
    </row>
    <row r="6132" spans="1:18" x14ac:dyDescent="0.25">
      <c r="A6132" s="6" t="str">
        <f>HYPERLINK("proteomic_fractions_linear_files/Yang_linear_img/6755276.jpg", "6755276")</f>
        <v>6755276</v>
      </c>
      <c r="B6132" s="7"/>
      <c r="C6132" s="6" t="str">
        <f>HYPERLINK("http://www.ncbi.nlm.nih.gov/protein/6755276","Rad51")</f>
        <v>Rad51</v>
      </c>
      <c r="D6132" s="8"/>
      <c r="E6132" s="8">
        <v>36840</v>
      </c>
      <c r="F6132" s="8"/>
      <c r="G6132" s="15" t="s">
        <v>10</v>
      </c>
      <c r="H6132" s="15" t="s">
        <v>10</v>
      </c>
      <c r="I6132" s="15" t="s">
        <v>10</v>
      </c>
      <c r="J6132" s="15" t="s">
        <v>10</v>
      </c>
      <c r="K6132" s="15" t="s">
        <v>10</v>
      </c>
      <c r="L6132" s="15" t="s">
        <v>10</v>
      </c>
      <c r="M6132" s="15" t="s">
        <v>10</v>
      </c>
      <c r="N6132" s="15" t="s">
        <v>10</v>
      </c>
      <c r="O6132" s="15">
        <v>0.86713710420901591</v>
      </c>
      <c r="P6132" s="15">
        <v>0.86713710420901591</v>
      </c>
      <c r="Q6132" s="8"/>
      <c r="R6132" s="9" t="s">
        <v>5658</v>
      </c>
    </row>
    <row r="6133" spans="1:18" x14ac:dyDescent="0.25">
      <c r="A6133" s="6" t="str">
        <f>HYPERLINK("proteomic_fractions_linear_files/Yang_linear_img/110626102.jpg", "110626102")</f>
        <v>110626102</v>
      </c>
      <c r="B6133" s="7"/>
      <c r="C6133" s="6" t="str">
        <f>HYPERLINK("http://www.ncbi.nlm.nih.gov/protein/110626102","Rad51ap1")</f>
        <v>Rad51ap1</v>
      </c>
      <c r="D6133" s="8"/>
      <c r="E6133" s="8">
        <v>36089</v>
      </c>
      <c r="F6133" s="8"/>
      <c r="G6133" s="15" t="s">
        <v>10</v>
      </c>
      <c r="H6133" s="15" t="s">
        <v>10</v>
      </c>
      <c r="I6133" s="15" t="s">
        <v>10</v>
      </c>
      <c r="J6133" s="15" t="s">
        <v>10</v>
      </c>
      <c r="K6133" s="15" t="s">
        <v>10</v>
      </c>
      <c r="L6133" s="15" t="s">
        <v>10</v>
      </c>
      <c r="M6133" s="15" t="s">
        <v>10</v>
      </c>
      <c r="N6133" s="15" t="s">
        <v>10</v>
      </c>
      <c r="O6133" s="15">
        <v>1.0372590673090165</v>
      </c>
      <c r="P6133" s="15">
        <v>1.0372590673090165</v>
      </c>
      <c r="Q6133" s="8"/>
      <c r="R6133" s="9" t="s">
        <v>5659</v>
      </c>
    </row>
    <row r="6134" spans="1:18" x14ac:dyDescent="0.25">
      <c r="A6134" s="6" t="str">
        <f>HYPERLINK("proteomic_fractions_linear_files/Yang_linear_img/31982072.jpg", "31982072")</f>
        <v>31982072</v>
      </c>
      <c r="B6134" s="7"/>
      <c r="C6134" s="6" t="str">
        <f>HYPERLINK("http://www.ncbi.nlm.nih.gov/protein/31982072","Rad51b")</f>
        <v>Rad51b</v>
      </c>
      <c r="D6134" s="8"/>
      <c r="E6134" s="8">
        <v>38021</v>
      </c>
      <c r="F6134" s="8"/>
      <c r="G6134" s="15" t="s">
        <v>10</v>
      </c>
      <c r="H6134" s="15" t="s">
        <v>10</v>
      </c>
      <c r="I6134" s="15">
        <v>0.68816468724802637</v>
      </c>
      <c r="J6134" s="15">
        <v>0.68816468724802637</v>
      </c>
      <c r="K6134" s="15">
        <v>0.73468977099163313</v>
      </c>
      <c r="L6134" s="15">
        <v>0.73468977099163313</v>
      </c>
      <c r="M6134" s="15" t="s">
        <v>10</v>
      </c>
      <c r="N6134" s="15" t="s">
        <v>10</v>
      </c>
      <c r="O6134" s="15" t="s">
        <v>10</v>
      </c>
      <c r="P6134" s="15" t="s">
        <v>10</v>
      </c>
      <c r="Q6134" s="8"/>
      <c r="R6134" s="9" t="s">
        <v>5660</v>
      </c>
    </row>
    <row r="6135" spans="1:18" x14ac:dyDescent="0.25">
      <c r="A6135" s="6" t="str">
        <f>HYPERLINK("proteomic_fractions_linear_files/Yang_linear_img/16716605.jpg", "16716605")</f>
        <v>16716605</v>
      </c>
      <c r="B6135" s="7"/>
      <c r="C6135" s="6" t="str">
        <f>HYPERLINK("http://www.ncbi.nlm.nih.gov/protein/16716605","Rad51c")</f>
        <v>Rad51c</v>
      </c>
      <c r="D6135" s="8"/>
      <c r="E6135" s="8">
        <v>40544</v>
      </c>
      <c r="F6135" s="8"/>
      <c r="G6135" s="15" t="s">
        <v>10</v>
      </c>
      <c r="H6135" s="15" t="s">
        <v>10</v>
      </c>
      <c r="I6135" s="15" t="s">
        <v>10</v>
      </c>
      <c r="J6135" s="15" t="s">
        <v>10</v>
      </c>
      <c r="K6135" s="15" t="s">
        <v>10</v>
      </c>
      <c r="L6135" s="15" t="s">
        <v>10</v>
      </c>
      <c r="M6135" s="15" t="s">
        <v>10</v>
      </c>
      <c r="N6135" s="15" t="s">
        <v>10</v>
      </c>
      <c r="O6135" s="15">
        <v>0.84276528123110206</v>
      </c>
      <c r="P6135" s="15">
        <v>0.84276528123110206</v>
      </c>
      <c r="Q6135" s="8"/>
      <c r="R6135" s="9" t="s">
        <v>5661</v>
      </c>
    </row>
    <row r="6136" spans="1:18" x14ac:dyDescent="0.25">
      <c r="A6136" s="6" t="str">
        <f>HYPERLINK("proteomic_fractions_linear_files/Yang_linear_img/6755278.jpg", "6755278")</f>
        <v>6755278</v>
      </c>
      <c r="B6136" s="7"/>
      <c r="C6136" s="6" t="str">
        <f>HYPERLINK("http://www.ncbi.nlm.nih.gov/protein/6755278","Rad51d")</f>
        <v>Rad51d</v>
      </c>
      <c r="D6136" s="8"/>
      <c r="E6136" s="8">
        <v>35129</v>
      </c>
      <c r="F6136" s="8"/>
      <c r="G6136" s="15" t="s">
        <v>10</v>
      </c>
      <c r="H6136" s="15" t="s">
        <v>10</v>
      </c>
      <c r="I6136" s="15" t="s">
        <v>10</v>
      </c>
      <c r="J6136" s="15" t="s">
        <v>10</v>
      </c>
      <c r="K6136" s="15" t="s">
        <v>10</v>
      </c>
      <c r="L6136" s="15" t="s">
        <v>10</v>
      </c>
      <c r="M6136" s="15">
        <v>0.98723932944214809</v>
      </c>
      <c r="N6136" s="15">
        <v>0.98723932944214809</v>
      </c>
      <c r="O6136" s="15">
        <v>0.85386876833466085</v>
      </c>
      <c r="P6136" s="15">
        <v>0.85386876833466085</v>
      </c>
      <c r="Q6136" s="8"/>
      <c r="R6136" s="9" t="s">
        <v>5662</v>
      </c>
    </row>
    <row r="6137" spans="1:18" x14ac:dyDescent="0.25">
      <c r="A6137" s="6" t="str">
        <f>HYPERLINK("proteomic_fractions_linear_files/Yang_linear_img/126090612.jpg", "126090612")</f>
        <v>126090612</v>
      </c>
      <c r="B6137" s="7"/>
      <c r="C6137" s="6" t="str">
        <f>HYPERLINK("http://www.ncbi.nlm.nih.gov/protein/126090612","Rad54l2")</f>
        <v>Rad54l2</v>
      </c>
      <c r="D6137" s="8"/>
      <c r="E6137" s="8">
        <v>162511</v>
      </c>
      <c r="F6137" s="8"/>
      <c r="G6137" s="15" t="s">
        <v>10</v>
      </c>
      <c r="H6137" s="15" t="s">
        <v>10</v>
      </c>
      <c r="I6137" s="15" t="s">
        <v>10</v>
      </c>
      <c r="J6137" s="15" t="s">
        <v>10</v>
      </c>
      <c r="K6137" s="15" t="s">
        <v>10</v>
      </c>
      <c r="L6137" s="15" t="s">
        <v>10</v>
      </c>
      <c r="M6137" s="15" t="s">
        <v>10</v>
      </c>
      <c r="N6137" s="15" t="s">
        <v>10</v>
      </c>
      <c r="O6137" s="15">
        <v>1.4316616418886445</v>
      </c>
      <c r="P6137" s="15">
        <v>1.4316616418886445</v>
      </c>
      <c r="Q6137" s="8"/>
      <c r="R6137" s="9" t="s">
        <v>5663</v>
      </c>
    </row>
    <row r="6138" spans="1:18" x14ac:dyDescent="0.25">
      <c r="A6138" s="6" t="str">
        <f>HYPERLINK("proteomic_fractions_linear_files/Yang_linear_img/28201956.jpg", "28201956")</f>
        <v>28201956</v>
      </c>
      <c r="B6138" s="7"/>
      <c r="C6138" s="6" t="str">
        <f>HYPERLINK("http://www.ncbi.nlm.nih.gov/protein/28201956","Rae1")</f>
        <v>Rae1</v>
      </c>
      <c r="D6138" s="8"/>
      <c r="E6138" s="8">
        <v>40834</v>
      </c>
      <c r="F6138" s="8"/>
      <c r="G6138" s="15">
        <v>1.2956236495122215</v>
      </c>
      <c r="H6138" s="15">
        <v>1.2956236495122215</v>
      </c>
      <c r="I6138" s="15">
        <v>0.98798337081031085</v>
      </c>
      <c r="J6138" s="15">
        <v>0.98798337081031085</v>
      </c>
      <c r="K6138" s="15">
        <v>0.98798337081031085</v>
      </c>
      <c r="L6138" s="15">
        <v>0.98798337081031085</v>
      </c>
      <c r="M6138" s="15">
        <v>0.98798337081031085</v>
      </c>
      <c r="N6138" s="15">
        <v>0.98798337081031085</v>
      </c>
      <c r="O6138" s="15">
        <v>0.84276528123110206</v>
      </c>
      <c r="P6138" s="15">
        <v>0.84276528123110206</v>
      </c>
      <c r="Q6138" s="8"/>
      <c r="R6138" s="9" t="s">
        <v>5664</v>
      </c>
    </row>
    <row r="6139" spans="1:18" x14ac:dyDescent="0.25">
      <c r="A6139" s="6" t="str">
        <f>HYPERLINK("proteomic_fractions_linear_files/Yang_linear_img/6679617.jpg", "6679617")</f>
        <v>6679617</v>
      </c>
      <c r="B6139" s="7"/>
      <c r="C6139" s="6" t="str">
        <f>HYPERLINK("http://www.ncbi.nlm.nih.gov/protein/6679617","Raet1a")</f>
        <v>Raet1a</v>
      </c>
      <c r="D6139" s="8"/>
      <c r="E6139" s="8">
        <v>22837</v>
      </c>
      <c r="F6139" s="8"/>
      <c r="G6139" s="15" t="s">
        <v>10</v>
      </c>
      <c r="H6139" s="15" t="s">
        <v>10</v>
      </c>
      <c r="I6139" s="15" t="s">
        <v>10</v>
      </c>
      <c r="J6139" s="15" t="s">
        <v>10</v>
      </c>
      <c r="K6139" s="15">
        <v>1.9185038803028465</v>
      </c>
      <c r="L6139" s="15">
        <v>1.9185038803028465</v>
      </c>
      <c r="M6139" s="15" t="s">
        <v>10</v>
      </c>
      <c r="N6139" s="15" t="s">
        <v>10</v>
      </c>
      <c r="O6139" s="15" t="s">
        <v>10</v>
      </c>
      <c r="P6139" s="15" t="s">
        <v>10</v>
      </c>
      <c r="Q6139" s="8"/>
      <c r="R6139" s="9" t="s">
        <v>5665</v>
      </c>
    </row>
    <row r="6140" spans="1:18" x14ac:dyDescent="0.25">
      <c r="A6140" s="6" t="str">
        <f>HYPERLINK("proteomic_fractions_linear_files/Yang_linear_img/6679619.jpg", "6679619")</f>
        <v>6679619</v>
      </c>
      <c r="B6140" s="7"/>
      <c r="C6140" s="6" t="str">
        <f>HYPERLINK("http://www.ncbi.nlm.nih.gov/protein/6679619","Raet1b")</f>
        <v>Raet1b</v>
      </c>
      <c r="D6140" s="8"/>
      <c r="E6140" s="8">
        <v>22846</v>
      </c>
      <c r="F6140" s="8"/>
      <c r="G6140" s="15" t="s">
        <v>10</v>
      </c>
      <c r="H6140" s="15" t="s">
        <v>10</v>
      </c>
      <c r="I6140" s="15" t="s">
        <v>10</v>
      </c>
      <c r="J6140" s="15" t="s">
        <v>10</v>
      </c>
      <c r="K6140" s="15">
        <v>1.9185038803028465</v>
      </c>
      <c r="L6140" s="15">
        <v>1.9185038803028465</v>
      </c>
      <c r="M6140" s="15" t="s">
        <v>10</v>
      </c>
      <c r="N6140" s="15" t="s">
        <v>10</v>
      </c>
      <c r="O6140" s="15" t="s">
        <v>10</v>
      </c>
      <c r="P6140" s="15" t="s">
        <v>10</v>
      </c>
      <c r="Q6140" s="8"/>
      <c r="R6140" s="9" t="s">
        <v>5666</v>
      </c>
    </row>
    <row r="6141" spans="1:18" x14ac:dyDescent="0.25">
      <c r="A6141" s="6" t="str">
        <f>HYPERLINK("proteomic_fractions_linear_files/Yang_linear_img/6679621.jpg", "6679621")</f>
        <v>6679621</v>
      </c>
      <c r="B6141" s="7"/>
      <c r="C6141" s="6" t="str">
        <f>HYPERLINK("http://www.ncbi.nlm.nih.gov/protein/6679621","Raet1c")</f>
        <v>Raet1c</v>
      </c>
      <c r="D6141" s="8"/>
      <c r="E6141" s="8">
        <v>22729</v>
      </c>
      <c r="F6141" s="8"/>
      <c r="G6141" s="15" t="s">
        <v>10</v>
      </c>
      <c r="H6141" s="15" t="s">
        <v>10</v>
      </c>
      <c r="I6141" s="15" t="s">
        <v>10</v>
      </c>
      <c r="J6141" s="15" t="s">
        <v>10</v>
      </c>
      <c r="K6141" s="15">
        <v>1.9185038803028465</v>
      </c>
      <c r="L6141" s="15">
        <v>1.9185038803028465</v>
      </c>
      <c r="M6141" s="15" t="s">
        <v>10</v>
      </c>
      <c r="N6141" s="15" t="s">
        <v>10</v>
      </c>
      <c r="O6141" s="15" t="s">
        <v>10</v>
      </c>
      <c r="P6141" s="15" t="s">
        <v>10</v>
      </c>
      <c r="Q6141" s="8"/>
      <c r="R6141" s="9" t="s">
        <v>5667</v>
      </c>
    </row>
    <row r="6142" spans="1:18" x14ac:dyDescent="0.25">
      <c r="A6142" s="6" t="str">
        <f>HYPERLINK("proteomic_fractions_linear_files/Yang_linear_img/9910522.jpg", "9910522")</f>
        <v>9910522</v>
      </c>
      <c r="B6142" s="7"/>
      <c r="C6142" s="6" t="str">
        <f>HYPERLINK("http://www.ncbi.nlm.nih.gov/protein/9910522","Raet1d")</f>
        <v>Raet1d</v>
      </c>
      <c r="D6142" s="8"/>
      <c r="E6142" s="8">
        <v>22105</v>
      </c>
      <c r="F6142" s="8"/>
      <c r="G6142" s="15" t="s">
        <v>10</v>
      </c>
      <c r="H6142" s="15" t="s">
        <v>10</v>
      </c>
      <c r="I6142" s="15" t="s">
        <v>10</v>
      </c>
      <c r="J6142" s="15" t="s">
        <v>10</v>
      </c>
      <c r="K6142" s="15">
        <v>2.0057086021347938</v>
      </c>
      <c r="L6142" s="15">
        <v>2.0057086021347938</v>
      </c>
      <c r="M6142" s="15" t="s">
        <v>10</v>
      </c>
      <c r="N6142" s="15" t="s">
        <v>10</v>
      </c>
      <c r="O6142" s="15" t="s">
        <v>10</v>
      </c>
      <c r="P6142" s="15" t="s">
        <v>10</v>
      </c>
      <c r="Q6142" s="8"/>
      <c r="R6142" s="9" t="s">
        <v>5668</v>
      </c>
    </row>
    <row r="6143" spans="1:18" x14ac:dyDescent="0.25">
      <c r="A6143" s="6" t="str">
        <f>HYPERLINK("proteomic_fractions_linear_files/Yang_linear_img/38016148.jpg", "38016148")</f>
        <v>38016148</v>
      </c>
      <c r="B6143" s="7"/>
      <c r="C6143" s="6" t="str">
        <f>HYPERLINK("http://www.ncbi.nlm.nih.gov/protein/38016148","Raet1e")</f>
        <v>Raet1e</v>
      </c>
      <c r="D6143" s="8"/>
      <c r="E6143" s="8">
        <v>22505</v>
      </c>
      <c r="F6143" s="8"/>
      <c r="G6143" s="15" t="s">
        <v>10</v>
      </c>
      <c r="H6143" s="15" t="s">
        <v>10</v>
      </c>
      <c r="I6143" s="15" t="s">
        <v>10</v>
      </c>
      <c r="J6143" s="15" t="s">
        <v>10</v>
      </c>
      <c r="K6143" s="15">
        <v>1.9185038803028465</v>
      </c>
      <c r="L6143" s="15">
        <v>1.9185038803028465</v>
      </c>
      <c r="M6143" s="15" t="s">
        <v>10</v>
      </c>
      <c r="N6143" s="15" t="s">
        <v>10</v>
      </c>
      <c r="O6143" s="15" t="s">
        <v>10</v>
      </c>
      <c r="P6143" s="15" t="s">
        <v>10</v>
      </c>
      <c r="Q6143" s="8"/>
      <c r="R6143" s="9" t="s">
        <v>5669</v>
      </c>
    </row>
    <row r="6144" spans="1:18" x14ac:dyDescent="0.25">
      <c r="A6144" s="6" t="str">
        <f>HYPERLINK("proteomic_fractions_linear_files/Yang_linear_img/18497290.jpg", "18497290")</f>
        <v>18497290</v>
      </c>
      <c r="B6144" s="7"/>
      <c r="C6144" s="6" t="str">
        <f>HYPERLINK("http://www.ncbi.nlm.nih.gov/protein/18497290","Raf1")</f>
        <v>Raf1</v>
      </c>
      <c r="D6144" s="8"/>
      <c r="E6144" s="8">
        <v>72787</v>
      </c>
      <c r="F6144" s="8"/>
      <c r="G6144" s="15" t="s">
        <v>10</v>
      </c>
      <c r="H6144" s="15" t="s">
        <v>10</v>
      </c>
      <c r="I6144" s="15" t="s">
        <v>10</v>
      </c>
      <c r="J6144" s="15" t="s">
        <v>10</v>
      </c>
      <c r="K6144" s="15">
        <v>1.1383377873033405</v>
      </c>
      <c r="L6144" s="15">
        <v>1.1383377873033405</v>
      </c>
      <c r="M6144" s="15">
        <v>1.0059747978312636</v>
      </c>
      <c r="N6144" s="15">
        <v>1.0059747978312636</v>
      </c>
      <c r="O6144" s="15" t="s">
        <v>10</v>
      </c>
      <c r="P6144" s="15" t="s">
        <v>10</v>
      </c>
      <c r="Q6144" s="8"/>
      <c r="R6144" s="9" t="s">
        <v>5670</v>
      </c>
    </row>
    <row r="6145" spans="1:18" x14ac:dyDescent="0.25">
      <c r="A6145" s="6" t="str">
        <f>HYPERLINK("proteomic_fractions_linear_files/Yang_linear_img/13507620.jpg", "13507620")</f>
        <v>13507620</v>
      </c>
      <c r="B6145" s="7"/>
      <c r="C6145" s="6" t="str">
        <f>HYPERLINK("http://www.ncbi.nlm.nih.gov/protein/13507620","Rai14")</f>
        <v>Rai14</v>
      </c>
      <c r="D6145" s="8"/>
      <c r="E6145" s="8">
        <v>108722</v>
      </c>
      <c r="F6145" s="8"/>
      <c r="G6145" s="15">
        <v>1.4078245058370811</v>
      </c>
      <c r="H6145" s="15">
        <v>1.4078245058370811</v>
      </c>
      <c r="I6145" s="15" t="s">
        <v>10</v>
      </c>
      <c r="J6145" s="15" t="s">
        <v>10</v>
      </c>
      <c r="K6145" s="15">
        <v>1.4078245058370811</v>
      </c>
      <c r="L6145" s="15">
        <v>1.4078245058370811</v>
      </c>
      <c r="M6145" s="15" t="s">
        <v>10</v>
      </c>
      <c r="N6145" s="15" t="s">
        <v>10</v>
      </c>
      <c r="O6145" s="15" t="s">
        <v>10</v>
      </c>
      <c r="P6145" s="15" t="s">
        <v>10</v>
      </c>
      <c r="Q6145" s="8"/>
      <c r="R6145" s="9" t="s">
        <v>5671</v>
      </c>
    </row>
    <row r="6146" spans="1:18" x14ac:dyDescent="0.25">
      <c r="A6146" s="6" t="str">
        <f>HYPERLINK("proteomic_fractions_linear_files/Yang_linear_img/34328471.jpg", "34328471")</f>
        <v>34328471</v>
      </c>
      <c r="B6146" s="7"/>
      <c r="C6146" s="6" t="str">
        <f>HYPERLINK("http://www.ncbi.nlm.nih.gov/protein/34328471","Rala")</f>
        <v>Rala</v>
      </c>
      <c r="D6146" s="8"/>
      <c r="E6146" s="8">
        <v>23422</v>
      </c>
      <c r="F6146" s="8"/>
      <c r="G6146" s="15">
        <v>1.3949596893797211</v>
      </c>
      <c r="H6146" s="15">
        <v>1.3949596893797211</v>
      </c>
      <c r="I6146" s="15">
        <v>1.0047640597703238</v>
      </c>
      <c r="J6146" s="15">
        <v>1.0047640597703238</v>
      </c>
      <c r="K6146" s="15">
        <v>1.0676008962294312</v>
      </c>
      <c r="L6146" s="15">
        <v>1.0676008962294312</v>
      </c>
      <c r="M6146" s="15">
        <v>1.0676008962294312</v>
      </c>
      <c r="N6146" s="15">
        <v>1.0676008962294312</v>
      </c>
      <c r="O6146" s="15" t="s">
        <v>10</v>
      </c>
      <c r="P6146" s="15" t="s">
        <v>10</v>
      </c>
      <c r="Q6146" s="8"/>
      <c r="R6146" s="9" t="s">
        <v>5672</v>
      </c>
    </row>
    <row r="6147" spans="1:18" x14ac:dyDescent="0.25">
      <c r="A6147" s="6" t="str">
        <f>HYPERLINK("proteomic_fractions_linear_files/Yang_linear_img/11612509.jpg", "11612509")</f>
        <v>11612509</v>
      </c>
      <c r="B6147" s="7"/>
      <c r="C6147" s="6" t="str">
        <f>HYPERLINK("http://www.ncbi.nlm.nih.gov/protein/11612509","Ralb")</f>
        <v>Ralb</v>
      </c>
      <c r="D6147" s="8"/>
      <c r="E6147" s="8">
        <v>23218</v>
      </c>
      <c r="F6147" s="8"/>
      <c r="G6147" s="15">
        <v>1.3949596893797211</v>
      </c>
      <c r="H6147" s="15">
        <v>1.3949596893797211</v>
      </c>
      <c r="I6147" s="15">
        <v>1.0047640597703238</v>
      </c>
      <c r="J6147" s="15">
        <v>1.0047640597703238</v>
      </c>
      <c r="K6147" s="15">
        <v>1.0676008962294312</v>
      </c>
      <c r="L6147" s="15">
        <v>1.0676008962294312</v>
      </c>
      <c r="M6147" s="15">
        <v>1.0047640597703238</v>
      </c>
      <c r="N6147" s="15">
        <v>1.0047640597703238</v>
      </c>
      <c r="O6147" s="15" t="s">
        <v>10</v>
      </c>
      <c r="P6147" s="15" t="s">
        <v>10</v>
      </c>
      <c r="Q6147" s="8"/>
      <c r="R6147" s="9" t="s">
        <v>5673</v>
      </c>
    </row>
    <row r="6148" spans="1:18" x14ac:dyDescent="0.25">
      <c r="A6148" s="6" t="str">
        <f>HYPERLINK("proteomic_fractions_linear_files/Yang_linear_img/163310721.jpg", "163310721")</f>
        <v>163310721</v>
      </c>
      <c r="B6148" s="7"/>
      <c r="C6148" s="6" t="str">
        <f>HYPERLINK("http://www.ncbi.nlm.nih.gov/protein/163310721","Ralgapa1")</f>
        <v>Ralgapa1</v>
      </c>
      <c r="D6148" s="8"/>
      <c r="E6148" s="8">
        <v>229259</v>
      </c>
      <c r="F6148" s="8"/>
      <c r="G6148" s="15" t="s">
        <v>10</v>
      </c>
      <c r="H6148" s="15" t="s">
        <v>10</v>
      </c>
      <c r="I6148" s="15" t="s">
        <v>10</v>
      </c>
      <c r="J6148" s="15" t="s">
        <v>10</v>
      </c>
      <c r="K6148" s="15">
        <v>1.3178311119497763</v>
      </c>
      <c r="L6148" s="15">
        <v>1.3178311119497763</v>
      </c>
      <c r="M6148" s="15" t="s">
        <v>10</v>
      </c>
      <c r="N6148" s="15" t="s">
        <v>10</v>
      </c>
      <c r="O6148" s="15" t="s">
        <v>10</v>
      </c>
      <c r="P6148" s="15" t="s">
        <v>10</v>
      </c>
      <c r="Q6148" s="8"/>
      <c r="R6148" s="9" t="s">
        <v>5674</v>
      </c>
    </row>
    <row r="6149" spans="1:18" x14ac:dyDescent="0.25">
      <c r="A6149" s="6" t="str">
        <f>HYPERLINK("proteomic_fractions_linear_files/Yang_linear_img/51230692.jpg", "51230692")</f>
        <v>51230692</v>
      </c>
      <c r="B6149" s="7"/>
      <c r="C6149" s="6" t="str">
        <f>HYPERLINK("http://www.ncbi.nlm.nih.gov/protein/51230692","Ralgapa1")</f>
        <v>Ralgapa1</v>
      </c>
      <c r="D6149" s="8"/>
      <c r="E6149" s="8">
        <v>234138</v>
      </c>
      <c r="F6149" s="8"/>
      <c r="G6149" s="15" t="s">
        <v>10</v>
      </c>
      <c r="H6149" s="15" t="s">
        <v>10</v>
      </c>
      <c r="I6149" s="15" t="s">
        <v>10</v>
      </c>
      <c r="J6149" s="15" t="s">
        <v>10</v>
      </c>
      <c r="K6149" s="15">
        <v>1.289672327506405</v>
      </c>
      <c r="L6149" s="15">
        <v>1.289672327506405</v>
      </c>
      <c r="M6149" s="15" t="s">
        <v>10</v>
      </c>
      <c r="N6149" s="15" t="s">
        <v>10</v>
      </c>
      <c r="O6149" s="15" t="s">
        <v>10</v>
      </c>
      <c r="P6149" s="15" t="s">
        <v>10</v>
      </c>
      <c r="Q6149" s="8"/>
      <c r="R6149" s="9" t="s">
        <v>5675</v>
      </c>
    </row>
    <row r="6150" spans="1:18" x14ac:dyDescent="0.25">
      <c r="A6150" s="6" t="str">
        <f>HYPERLINK("proteomic_fractions_linear_files/Yang_linear_img/158187505.jpg", "158187505")</f>
        <v>158187505</v>
      </c>
      <c r="B6150" s="7"/>
      <c r="C6150" s="6" t="str">
        <f>HYPERLINK("http://www.ncbi.nlm.nih.gov/protein/158187505","Ralgapa2")</f>
        <v>Ralgapa2</v>
      </c>
      <c r="D6150" s="8"/>
      <c r="E6150" s="8">
        <v>213934</v>
      </c>
      <c r="F6150" s="8"/>
      <c r="G6150" s="15" t="s">
        <v>10</v>
      </c>
      <c r="H6150" s="15" t="s">
        <v>10</v>
      </c>
      <c r="I6150" s="15" t="s">
        <v>10</v>
      </c>
      <c r="J6150" s="15" t="s">
        <v>10</v>
      </c>
      <c r="K6150" s="15">
        <v>1.0904712505974254</v>
      </c>
      <c r="L6150" s="15">
        <v>1.0904712505974254</v>
      </c>
      <c r="M6150" s="15">
        <v>0.16146437631063171</v>
      </c>
      <c r="N6150" s="15">
        <v>0.16146437631063171</v>
      </c>
      <c r="O6150" s="15" t="s">
        <v>10</v>
      </c>
      <c r="P6150" s="15" t="s">
        <v>10</v>
      </c>
      <c r="Q6150" s="8"/>
      <c r="R6150" s="9" t="s">
        <v>5676</v>
      </c>
    </row>
    <row r="6151" spans="1:18" x14ac:dyDescent="0.25">
      <c r="A6151" s="6" t="str">
        <f>HYPERLINK("proteomic_fractions_linear_files/Yang_linear_img/124487299.jpg", "124487299")</f>
        <v>124487299</v>
      </c>
      <c r="B6151" s="7"/>
      <c r="C6151" s="6" t="str">
        <f>HYPERLINK("http://www.ncbi.nlm.nih.gov/protein/124487299","Ralgapb")</f>
        <v>Ralgapb</v>
      </c>
      <c r="D6151" s="8"/>
      <c r="E6151" s="8">
        <v>166045</v>
      </c>
      <c r="F6151" s="8"/>
      <c r="G6151" s="15" t="s">
        <v>10</v>
      </c>
      <c r="H6151" s="15" t="s">
        <v>10</v>
      </c>
      <c r="I6151" s="15" t="s">
        <v>10</v>
      </c>
      <c r="J6151" s="15" t="s">
        <v>10</v>
      </c>
      <c r="K6151" s="15">
        <v>1.4057882387219824</v>
      </c>
      <c r="L6151" s="15">
        <v>1.4057882387219824</v>
      </c>
      <c r="M6151" s="15">
        <v>0.22494774953689514</v>
      </c>
      <c r="N6151" s="15">
        <v>0.22494774953689514</v>
      </c>
      <c r="O6151" s="15" t="s">
        <v>10</v>
      </c>
      <c r="P6151" s="15" t="s">
        <v>10</v>
      </c>
      <c r="Q6151" s="8"/>
      <c r="R6151" s="9" t="s">
        <v>5677</v>
      </c>
    </row>
    <row r="6152" spans="1:18" x14ac:dyDescent="0.25">
      <c r="A6152" s="6" t="str">
        <f>HYPERLINK("proteomic_fractions_linear_files/Yang_linear_img/213417784;213417775.jpg", "213417784;213417775")</f>
        <v>213417784;213417775</v>
      </c>
      <c r="B6152" s="8"/>
      <c r="C6152" s="6" t="str">
        <f>HYPERLINK("http://www.ncbi.nlm.nih.gov/protein/213417784;213417775","Raly")</f>
        <v>Raly</v>
      </c>
      <c r="D6152" s="8"/>
      <c r="E6152" s="8">
        <v>31068</v>
      </c>
      <c r="F6152" s="8"/>
      <c r="G6152" s="15">
        <v>1.557741147884363</v>
      </c>
      <c r="H6152" s="15">
        <v>1.557741147884363</v>
      </c>
      <c r="I6152" s="15" t="s">
        <v>10</v>
      </c>
      <c r="J6152" s="15" t="s">
        <v>10</v>
      </c>
      <c r="K6152" s="15">
        <v>1.2045589168749868</v>
      </c>
      <c r="L6152" s="15">
        <v>1.2045589168749868</v>
      </c>
      <c r="M6152" s="15" t="s">
        <v>10</v>
      </c>
      <c r="N6152" s="15" t="s">
        <v>10</v>
      </c>
      <c r="O6152" s="15" t="s">
        <v>10</v>
      </c>
      <c r="P6152" s="15" t="s">
        <v>10</v>
      </c>
      <c r="Q6152" s="8"/>
      <c r="R6152" s="9" t="s">
        <v>5678</v>
      </c>
    </row>
    <row r="6153" spans="1:18" x14ac:dyDescent="0.25">
      <c r="A6153" s="6" t="str">
        <f>HYPERLINK("proteomic_fractions_linear_files/Yang_linear_img/213417775.jpg", "213417775")</f>
        <v>213417775</v>
      </c>
      <c r="B6153" s="7"/>
      <c r="C6153" s="6" t="str">
        <f>HYPERLINK("http://www.ncbi.nlm.nih.gov/protein/213417775","Raly")</f>
        <v>Raly</v>
      </c>
      <c r="D6153" s="8"/>
      <c r="E6153" s="8">
        <v>31068</v>
      </c>
      <c r="F6153" s="8"/>
      <c r="G6153" s="15" t="s">
        <v>10</v>
      </c>
      <c r="H6153" s="15" t="s">
        <v>10</v>
      </c>
      <c r="I6153" s="15">
        <v>1.1146250493701673</v>
      </c>
      <c r="J6153" s="15">
        <v>1.1146250493701673</v>
      </c>
      <c r="K6153" s="15" t="s">
        <v>10</v>
      </c>
      <c r="L6153" s="15" t="s">
        <v>10</v>
      </c>
      <c r="M6153" s="15">
        <v>1.1146250493701673</v>
      </c>
      <c r="N6153" s="15">
        <v>1.1146250493701673</v>
      </c>
      <c r="O6153" s="15" t="s">
        <v>10</v>
      </c>
      <c r="P6153" s="15" t="s">
        <v>10</v>
      </c>
      <c r="Q6153" s="8"/>
      <c r="R6153" s="9" t="s">
        <v>5678</v>
      </c>
    </row>
    <row r="6154" spans="1:18" x14ac:dyDescent="0.25">
      <c r="A6154" s="6" t="str">
        <f>HYPERLINK("proteomic_fractions_linear_files/Yang_linear_img/213417812.jpg", "213417812")</f>
        <v>213417812</v>
      </c>
      <c r="B6154" s="7"/>
      <c r="C6154" s="6" t="str">
        <f>HYPERLINK("http://www.ncbi.nlm.nih.gov/protein/213417812","Raly")</f>
        <v>Raly</v>
      </c>
      <c r="D6154" s="8"/>
      <c r="E6154" s="8">
        <v>33057</v>
      </c>
      <c r="F6154" s="8"/>
      <c r="G6154" s="15">
        <v>1.4633325934671289</v>
      </c>
      <c r="H6154" s="15">
        <v>1.4633325934671289</v>
      </c>
      <c r="I6154" s="15">
        <v>1.0470720160750056</v>
      </c>
      <c r="J6154" s="15">
        <v>1.0470720160750056</v>
      </c>
      <c r="K6154" s="15">
        <v>1.1315553461552907</v>
      </c>
      <c r="L6154" s="15">
        <v>1.1315553461552907</v>
      </c>
      <c r="M6154" s="15">
        <v>1.0470720160750056</v>
      </c>
      <c r="N6154" s="15">
        <v>1.0470720160750056</v>
      </c>
      <c r="O6154" s="15" t="s">
        <v>10</v>
      </c>
      <c r="P6154" s="15" t="s">
        <v>10</v>
      </c>
      <c r="Q6154" s="8"/>
      <c r="R6154" s="9" t="s">
        <v>5679</v>
      </c>
    </row>
    <row r="6155" spans="1:18" x14ac:dyDescent="0.25">
      <c r="A6155" s="6" t="str">
        <f>HYPERLINK("proteomic_fractions_linear_files/Yang_linear_img/153792001.jpg", "153792001")</f>
        <v>153792001</v>
      </c>
      <c r="B6155" s="7"/>
      <c r="C6155" s="6" t="str">
        <f>HYPERLINK("http://www.ncbi.nlm.nih.gov/protein/153792001","Ranbp1")</f>
        <v>Ranbp1</v>
      </c>
      <c r="D6155" s="8"/>
      <c r="E6155" s="8">
        <v>23465</v>
      </c>
      <c r="F6155" s="8"/>
      <c r="G6155" s="15">
        <v>1.0047640597703238</v>
      </c>
      <c r="H6155" s="15">
        <v>1.0047640597703238</v>
      </c>
      <c r="I6155" s="15">
        <v>1.136967744148913</v>
      </c>
      <c r="J6155" s="15">
        <v>1.136967744148913</v>
      </c>
      <c r="K6155" s="15">
        <v>1.136967744148913</v>
      </c>
      <c r="L6155" s="15">
        <v>1.136967744148913</v>
      </c>
      <c r="M6155" s="15">
        <v>1.136967744148913</v>
      </c>
      <c r="N6155" s="15">
        <v>1.136967744148913</v>
      </c>
      <c r="O6155" s="15">
        <v>1.0047640597703238</v>
      </c>
      <c r="P6155" s="15">
        <v>1.0047640597703238</v>
      </c>
      <c r="Q6155" s="8"/>
      <c r="R6155" s="9" t="s">
        <v>5680</v>
      </c>
    </row>
    <row r="6156" spans="1:18" x14ac:dyDescent="0.25">
      <c r="A6156" s="6" t="str">
        <f>HYPERLINK("proteomic_fractions_linear_files/Yang_linear_img/40804757.jpg", "40804757")</f>
        <v>40804757</v>
      </c>
      <c r="B6156" s="7"/>
      <c r="C6156" s="6" t="str">
        <f>HYPERLINK("http://www.ncbi.nlm.nih.gov/protein/40804757","Ranbp10")</f>
        <v>Ranbp10</v>
      </c>
      <c r="D6156" s="8"/>
      <c r="E6156" s="8">
        <v>69957</v>
      </c>
      <c r="F6156" s="8"/>
      <c r="G6156" s="15" t="s">
        <v>10</v>
      </c>
      <c r="H6156" s="15" t="s">
        <v>10</v>
      </c>
      <c r="I6156" s="15" t="s">
        <v>10</v>
      </c>
      <c r="J6156" s="15" t="s">
        <v>10</v>
      </c>
      <c r="K6156" s="15">
        <v>1.1871236924734836</v>
      </c>
      <c r="L6156" s="15">
        <v>1.1871236924734836</v>
      </c>
      <c r="M6156" s="15">
        <v>1.1871236924734836</v>
      </c>
      <c r="N6156" s="15">
        <v>1.1871236924734836</v>
      </c>
      <c r="O6156" s="15" t="s">
        <v>10</v>
      </c>
      <c r="P6156" s="15" t="s">
        <v>10</v>
      </c>
      <c r="Q6156" s="8"/>
      <c r="R6156" s="9" t="s">
        <v>5681</v>
      </c>
    </row>
    <row r="6157" spans="1:18" x14ac:dyDescent="0.25">
      <c r="A6157" s="6" t="str">
        <f>HYPERLINK("proteomic_fractions_linear_files/Yang_linear_img/153792534.jpg", "153792534")</f>
        <v>153792534</v>
      </c>
      <c r="B6157" s="7"/>
      <c r="C6157" s="6" t="str">
        <f>HYPERLINK("http://www.ncbi.nlm.nih.gov/protein/153792534","Ranbp2")</f>
        <v>Ranbp2</v>
      </c>
      <c r="D6157" s="8"/>
      <c r="E6157" s="8">
        <v>340991</v>
      </c>
      <c r="F6157" s="8"/>
      <c r="G6157" s="15">
        <v>0.88499508691055362</v>
      </c>
      <c r="H6157" s="15">
        <v>0.88499508691055362</v>
      </c>
      <c r="I6157" s="15">
        <v>0.88499508691055362</v>
      </c>
      <c r="J6157" s="15">
        <v>0.88499508691055362</v>
      </c>
      <c r="K6157" s="15">
        <v>0.68434266166524649</v>
      </c>
      <c r="L6157" s="15">
        <v>0.68434266166524649</v>
      </c>
      <c r="M6157" s="15">
        <v>0.88499508691055362</v>
      </c>
      <c r="N6157" s="15">
        <v>0.88499508691055362</v>
      </c>
      <c r="O6157" s="15">
        <v>0.68434266166524649</v>
      </c>
      <c r="P6157" s="15">
        <v>0.68434266166524649</v>
      </c>
      <c r="Q6157" s="8"/>
      <c r="R6157" s="9" t="s">
        <v>5682</v>
      </c>
    </row>
    <row r="6158" spans="1:18" x14ac:dyDescent="0.25">
      <c r="A6158" s="6" t="str">
        <f>HYPERLINK("proteomic_fractions_linear_files/Yang_linear_img/357197128.jpg", "357197128")</f>
        <v>357197128</v>
      </c>
      <c r="B6158" s="7"/>
      <c r="C6158" s="6" t="str">
        <f>HYPERLINK("http://www.ncbi.nlm.nih.gov/protein/357197128","Ranbp3")</f>
        <v>Ranbp3</v>
      </c>
      <c r="D6158" s="8"/>
      <c r="E6158" s="8">
        <v>59200</v>
      </c>
      <c r="F6158" s="8"/>
      <c r="G6158" s="15" t="s">
        <v>10</v>
      </c>
      <c r="H6158" s="15" t="s">
        <v>10</v>
      </c>
      <c r="I6158" s="15">
        <v>1.244680682062411</v>
      </c>
      <c r="J6158" s="15">
        <v>1.244680682062411</v>
      </c>
      <c r="K6158" s="15">
        <v>1.244680682062411</v>
      </c>
      <c r="L6158" s="15">
        <v>1.244680682062411</v>
      </c>
      <c r="M6158" s="15">
        <v>0.47319002199461119</v>
      </c>
      <c r="N6158" s="15">
        <v>0.47319002199461119</v>
      </c>
      <c r="O6158" s="15">
        <v>1.4084518385278619</v>
      </c>
      <c r="P6158" s="15">
        <v>1.4084518385278619</v>
      </c>
      <c r="Q6158" s="8"/>
      <c r="R6158" s="9" t="s">
        <v>5683</v>
      </c>
    </row>
    <row r="6159" spans="1:18" x14ac:dyDescent="0.25">
      <c r="A6159" s="6" t="str">
        <f>HYPERLINK("proteomic_fractions_linear_files/Yang_linear_img/357197131.jpg", "357197131")</f>
        <v>357197131</v>
      </c>
      <c r="B6159" s="7"/>
      <c r="C6159" s="6" t="str">
        <f>HYPERLINK("http://www.ncbi.nlm.nih.gov/protein/357197131","Ranbp3")</f>
        <v>Ranbp3</v>
      </c>
      <c r="D6159" s="8"/>
      <c r="E6159" s="8">
        <v>46719</v>
      </c>
      <c r="F6159" s="8"/>
      <c r="G6159" s="15" t="s">
        <v>10</v>
      </c>
      <c r="H6159" s="15" t="s">
        <v>10</v>
      </c>
      <c r="I6159" s="15">
        <v>1.5624714945038776</v>
      </c>
      <c r="J6159" s="15">
        <v>1.5624714945038776</v>
      </c>
      <c r="K6159" s="15">
        <v>1.5624714945038776</v>
      </c>
      <c r="L6159" s="15">
        <v>1.5624714945038776</v>
      </c>
      <c r="M6159" s="15">
        <v>0.59400449569536296</v>
      </c>
      <c r="N6159" s="15">
        <v>0.59400449569536296</v>
      </c>
      <c r="O6159" s="15">
        <v>1.76805656325838</v>
      </c>
      <c r="P6159" s="15">
        <v>1.76805656325838</v>
      </c>
      <c r="Q6159" s="8"/>
      <c r="R6159" s="9" t="s">
        <v>5684</v>
      </c>
    </row>
    <row r="6160" spans="1:18" x14ac:dyDescent="0.25">
      <c r="A6160" s="6" t="str">
        <f>HYPERLINK("proteomic_fractions_linear_files/Yang_linear_img/83523744.jpg", "83523744")</f>
        <v>83523744</v>
      </c>
      <c r="B6160" s="7"/>
      <c r="C6160" s="6" t="str">
        <f>HYPERLINK("http://www.ncbi.nlm.nih.gov/protein/83523744","Ranbp3")</f>
        <v>Ranbp3</v>
      </c>
      <c r="D6160" s="8"/>
      <c r="E6160" s="8">
        <v>52442</v>
      </c>
      <c r="F6160" s="8"/>
      <c r="G6160" s="15" t="s">
        <v>10</v>
      </c>
      <c r="H6160" s="15" t="s">
        <v>10</v>
      </c>
      <c r="I6160" s="15">
        <v>1.4122338508015817</v>
      </c>
      <c r="J6160" s="15">
        <v>1.4122338508015817</v>
      </c>
      <c r="K6160" s="15">
        <v>1.4122338508015817</v>
      </c>
      <c r="L6160" s="15">
        <v>1.4122338508015817</v>
      </c>
      <c r="M6160" s="15">
        <v>0.53688867880157809</v>
      </c>
      <c r="N6160" s="15">
        <v>0.53688867880157809</v>
      </c>
      <c r="O6160" s="15">
        <v>1.5980511244835358</v>
      </c>
      <c r="P6160" s="15">
        <v>1.5980511244835358</v>
      </c>
      <c r="Q6160" s="8"/>
      <c r="R6160" s="9" t="s">
        <v>5685</v>
      </c>
    </row>
    <row r="6161" spans="1:18" x14ac:dyDescent="0.25">
      <c r="A6161" s="6" t="str">
        <f>HYPERLINK("proteomic_fractions_linear_files/Yang_linear_img/53850664.jpg", "53850664")</f>
        <v>53850664</v>
      </c>
      <c r="B6161" s="7"/>
      <c r="C6161" s="6" t="str">
        <f>HYPERLINK("http://www.ncbi.nlm.nih.gov/protein/53850664","Ranbp6")</f>
        <v>Ranbp6</v>
      </c>
      <c r="D6161" s="8"/>
      <c r="E6161" s="8">
        <v>124457</v>
      </c>
      <c r="F6161" s="8"/>
      <c r="G6161" s="15" t="s">
        <v>10</v>
      </c>
      <c r="H6161" s="15" t="s">
        <v>10</v>
      </c>
      <c r="I6161" s="15" t="s">
        <v>10</v>
      </c>
      <c r="J6161" s="15" t="s">
        <v>10</v>
      </c>
      <c r="K6161" s="15">
        <v>1.0380776463315884</v>
      </c>
      <c r="L6161" s="15">
        <v>1.0380776463315884</v>
      </c>
      <c r="M6161" s="15" t="s">
        <v>10</v>
      </c>
      <c r="N6161" s="15" t="s">
        <v>10</v>
      </c>
      <c r="O6161" s="15" t="s">
        <v>10</v>
      </c>
      <c r="P6161" s="15" t="s">
        <v>10</v>
      </c>
      <c r="Q6161" s="8"/>
      <c r="R6161" s="9" t="s">
        <v>5686</v>
      </c>
    </row>
    <row r="6162" spans="1:18" x14ac:dyDescent="0.25">
      <c r="A6162" s="6" t="str">
        <f>HYPERLINK("proteomic_fractions_linear_files/Yang_linear_img/161353515.jpg", "161353515")</f>
        <v>161353515</v>
      </c>
      <c r="B6162" s="7"/>
      <c r="C6162" s="6" t="str">
        <f>HYPERLINK("http://www.ncbi.nlm.nih.gov/protein/161353515","Ranbp9")</f>
        <v>Ranbp9</v>
      </c>
      <c r="D6162" s="8"/>
      <c r="E6162" s="8">
        <v>75637</v>
      </c>
      <c r="F6162" s="8"/>
      <c r="G6162" s="15" t="s">
        <v>10</v>
      </c>
      <c r="H6162" s="15" t="s">
        <v>10</v>
      </c>
      <c r="I6162" s="15" t="s">
        <v>10</v>
      </c>
      <c r="J6162" s="15" t="s">
        <v>10</v>
      </c>
      <c r="K6162" s="15">
        <v>1.2495786997708489</v>
      </c>
      <c r="L6162" s="15">
        <v>1.2495786997708489</v>
      </c>
      <c r="M6162" s="15">
        <v>1.2495786997708489</v>
      </c>
      <c r="N6162" s="15">
        <v>1.2495786997708489</v>
      </c>
      <c r="O6162" s="15" t="s">
        <v>10</v>
      </c>
      <c r="P6162" s="15" t="s">
        <v>10</v>
      </c>
      <c r="Q6162" s="8"/>
      <c r="R6162" s="9" t="s">
        <v>5687</v>
      </c>
    </row>
    <row r="6163" spans="1:18" x14ac:dyDescent="0.25">
      <c r="A6163" s="6" t="str">
        <f>HYPERLINK("proteomic_fractions_linear_files/Yang_linear_img/226051567.jpg", "226051567")</f>
        <v>226051567</v>
      </c>
      <c r="B6163" s="7"/>
      <c r="C6163" s="6" t="str">
        <f>HYPERLINK("http://www.ncbi.nlm.nih.gov/protein/226051567","Rangap1")</f>
        <v>Rangap1</v>
      </c>
      <c r="D6163" s="8"/>
      <c r="E6163" s="8">
        <v>63400</v>
      </c>
      <c r="F6163" s="8"/>
      <c r="G6163" s="15">
        <v>1.7428819654147851</v>
      </c>
      <c r="H6163" s="15">
        <v>1.7428819654147851</v>
      </c>
      <c r="I6163" s="15">
        <v>1.3190263249705374</v>
      </c>
      <c r="J6163" s="15">
        <v>1.3190263249705374</v>
      </c>
      <c r="K6163" s="15">
        <v>1.1656533371695594</v>
      </c>
      <c r="L6163" s="15">
        <v>1.1656533371695594</v>
      </c>
      <c r="M6163" s="15">
        <v>1.5074282727394366</v>
      </c>
      <c r="N6163" s="15">
        <v>1.1656533371695594</v>
      </c>
      <c r="O6163" s="15">
        <v>1.3190263249705374</v>
      </c>
      <c r="P6163" s="15">
        <v>1.038940687786418</v>
      </c>
      <c r="Q6163" s="8"/>
      <c r="R6163" s="9" t="s">
        <v>5688</v>
      </c>
    </row>
    <row r="6164" spans="1:18" x14ac:dyDescent="0.25">
      <c r="A6164" s="6" t="str">
        <f>HYPERLINK("proteomic_fractions_linear_files/Yang_linear_img/21704066.jpg", "21704066")</f>
        <v>21704066</v>
      </c>
      <c r="B6164" s="7"/>
      <c r="C6164" s="6" t="str">
        <f>HYPERLINK("http://www.ncbi.nlm.nih.gov/protein/21704066","Rap1a")</f>
        <v>Rap1a</v>
      </c>
      <c r="D6164" s="8"/>
      <c r="E6164" s="8">
        <v>20856</v>
      </c>
      <c r="F6164" s="8"/>
      <c r="G6164" s="15">
        <v>1.4231146138911015</v>
      </c>
      <c r="H6164" s="15">
        <v>1.4231146138911015</v>
      </c>
      <c r="I6164" s="15">
        <v>0.98083053269791776</v>
      </c>
      <c r="J6164" s="15">
        <v>0.98083053269791776</v>
      </c>
      <c r="K6164" s="15">
        <v>0.98083053269791776</v>
      </c>
      <c r="L6164" s="15">
        <v>0.98083053269791776</v>
      </c>
      <c r="M6164" s="15">
        <v>0.98083053269791776</v>
      </c>
      <c r="N6164" s="15">
        <v>0.98083053269791776</v>
      </c>
      <c r="O6164" s="15">
        <v>0.98083053269791776</v>
      </c>
      <c r="P6164" s="15">
        <v>0.98083053269791776</v>
      </c>
      <c r="Q6164" s="8"/>
      <c r="R6164" s="9" t="s">
        <v>5689</v>
      </c>
    </row>
    <row r="6165" spans="1:18" x14ac:dyDescent="0.25">
      <c r="A6165" s="6" t="str">
        <f>HYPERLINK("proteomic_fractions_linear_files/Yang_linear_img/33859753.jpg", "33859753")</f>
        <v>33859753</v>
      </c>
      <c r="B6165" s="7"/>
      <c r="C6165" s="6" t="str">
        <f>HYPERLINK("http://www.ncbi.nlm.nih.gov/protein/33859753","Rap1b")</f>
        <v>Rap1b</v>
      </c>
      <c r="D6165" s="8"/>
      <c r="E6165" s="8">
        <v>20694</v>
      </c>
      <c r="F6165" s="8"/>
      <c r="G6165" s="15">
        <v>1.4231146138911015</v>
      </c>
      <c r="H6165" s="15">
        <v>1.4231146138911015</v>
      </c>
      <c r="I6165" s="15">
        <v>0.98083053269791776</v>
      </c>
      <c r="J6165" s="15">
        <v>0.98083053269791776</v>
      </c>
      <c r="K6165" s="15">
        <v>0.98083053269791776</v>
      </c>
      <c r="L6165" s="15">
        <v>0.98083053269791776</v>
      </c>
      <c r="M6165" s="15">
        <v>0.98083053269791776</v>
      </c>
      <c r="N6165" s="15">
        <v>0.98083053269791776</v>
      </c>
      <c r="O6165" s="15">
        <v>0.98083053269791776</v>
      </c>
      <c r="P6165" s="15">
        <v>0.98083053269791776</v>
      </c>
      <c r="Q6165" s="8"/>
      <c r="R6165" s="9" t="s">
        <v>5690</v>
      </c>
    </row>
    <row r="6166" spans="1:18" x14ac:dyDescent="0.25">
      <c r="A6166" s="6" t="str">
        <f>HYPERLINK("proteomic_fractions_linear_files/Yang_linear_img/100818161.jpg", "100818161")</f>
        <v>100818161</v>
      </c>
      <c r="B6166" s="7"/>
      <c r="C6166" s="6" t="str">
        <f>HYPERLINK("http://www.ncbi.nlm.nih.gov/protein/100818161","Rap1gds1")</f>
        <v>Rap1gds1</v>
      </c>
      <c r="D6166" s="8"/>
      <c r="E6166" s="8">
        <v>65946</v>
      </c>
      <c r="F6166" s="8"/>
      <c r="G6166" s="15" t="s">
        <v>10</v>
      </c>
      <c r="H6166" s="15" t="s">
        <v>10</v>
      </c>
      <c r="I6166" s="15" t="s">
        <v>10</v>
      </c>
      <c r="J6166" s="15" t="s">
        <v>10</v>
      </c>
      <c r="K6166" s="15">
        <v>0.8905031452362705</v>
      </c>
      <c r="L6166" s="15">
        <v>0.8905031452362705</v>
      </c>
      <c r="M6166" s="15" t="s">
        <v>10</v>
      </c>
      <c r="N6166" s="15" t="s">
        <v>10</v>
      </c>
      <c r="O6166" s="15">
        <v>0.80485711560607698</v>
      </c>
      <c r="P6166" s="15">
        <v>0.80485711560607698</v>
      </c>
      <c r="Q6166" s="8"/>
      <c r="R6166" s="9" t="s">
        <v>5691</v>
      </c>
    </row>
    <row r="6167" spans="1:18" x14ac:dyDescent="0.25">
      <c r="A6167" s="6" t="str">
        <f>HYPERLINK("proteomic_fractions_linear_files/Yang_linear_img/100818462.jpg", "100818462")</f>
        <v>100818462</v>
      </c>
      <c r="B6167" s="7"/>
      <c r="C6167" s="6" t="str">
        <f>HYPERLINK("http://www.ncbi.nlm.nih.gov/protein/100818462","Rap1gds1")</f>
        <v>Rap1gds1</v>
      </c>
      <c r="D6167" s="8"/>
      <c r="E6167" s="8">
        <v>60662</v>
      </c>
      <c r="F6167" s="8"/>
      <c r="G6167" s="15" t="s">
        <v>10</v>
      </c>
      <c r="H6167" s="15" t="s">
        <v>10</v>
      </c>
      <c r="I6167" s="15" t="s">
        <v>10</v>
      </c>
      <c r="J6167" s="15" t="s">
        <v>10</v>
      </c>
      <c r="K6167" s="15">
        <v>0.96349520632121066</v>
      </c>
      <c r="L6167" s="15">
        <v>0.96349520632121066</v>
      </c>
      <c r="M6167" s="15" t="s">
        <v>10</v>
      </c>
      <c r="N6167" s="15" t="s">
        <v>10</v>
      </c>
      <c r="O6167" s="15">
        <v>0.87082901032788651</v>
      </c>
      <c r="P6167" s="15">
        <v>0.87082901032788651</v>
      </c>
      <c r="Q6167" s="8"/>
      <c r="R6167" s="9" t="s">
        <v>5692</v>
      </c>
    </row>
    <row r="6168" spans="1:18" x14ac:dyDescent="0.25">
      <c r="A6168" s="6" t="str">
        <f>HYPERLINK("proteomic_fractions_linear_files/Yang_linear_img/40254160.jpg", "40254160")</f>
        <v>40254160</v>
      </c>
      <c r="B6168" s="7"/>
      <c r="C6168" s="6" t="str">
        <f>HYPERLINK("http://www.ncbi.nlm.nih.gov/protein/40254160","Rap2a")</f>
        <v>Rap2a</v>
      </c>
      <c r="D6168" s="8"/>
      <c r="E6168" s="8">
        <v>20511</v>
      </c>
      <c r="F6168" s="8"/>
      <c r="G6168" s="15" t="s">
        <v>10</v>
      </c>
      <c r="H6168" s="15" t="s">
        <v>10</v>
      </c>
      <c r="I6168" s="15">
        <v>0.92862618228739402</v>
      </c>
      <c r="J6168" s="15">
        <v>0.92862618228739402</v>
      </c>
      <c r="K6168" s="15">
        <v>0.92862618228739402</v>
      </c>
      <c r="L6168" s="15">
        <v>0.92862618228739402</v>
      </c>
      <c r="M6168" s="15" t="s">
        <v>10</v>
      </c>
      <c r="N6168" s="15" t="s">
        <v>10</v>
      </c>
      <c r="O6168" s="15" t="s">
        <v>10</v>
      </c>
      <c r="P6168" s="15" t="s">
        <v>10</v>
      </c>
      <c r="Q6168" s="8"/>
      <c r="R6168" s="9" t="s">
        <v>5693</v>
      </c>
    </row>
    <row r="6169" spans="1:18" x14ac:dyDescent="0.25">
      <c r="A6169" s="6" t="str">
        <f>HYPERLINK("proteomic_fractions_linear_files/Yang_linear_img/13386338.jpg", "13386338")</f>
        <v>13386338</v>
      </c>
      <c r="B6169" s="7"/>
      <c r="C6169" s="6" t="str">
        <f>HYPERLINK("http://www.ncbi.nlm.nih.gov/protein/13386338","Rap2b")</f>
        <v>Rap2b</v>
      </c>
      <c r="D6169" s="8"/>
      <c r="E6169" s="8">
        <v>20373</v>
      </c>
      <c r="F6169" s="8"/>
      <c r="G6169" s="15">
        <v>1.2277410306638459</v>
      </c>
      <c r="H6169" s="15">
        <v>1.30751290577125</v>
      </c>
      <c r="I6169" s="15">
        <v>0.92476495822820426</v>
      </c>
      <c r="J6169" s="15">
        <v>0.92476495822820426</v>
      </c>
      <c r="K6169" s="15">
        <v>0.97505749140176368</v>
      </c>
      <c r="L6169" s="15">
        <v>0.97505749140176368</v>
      </c>
      <c r="M6169" s="15">
        <v>0.97505749140176368</v>
      </c>
      <c r="N6169" s="15">
        <v>0.97505749140176368</v>
      </c>
      <c r="O6169" s="15" t="s">
        <v>10</v>
      </c>
      <c r="P6169" s="15" t="s">
        <v>10</v>
      </c>
      <c r="Q6169" s="8"/>
      <c r="R6169" s="9" t="s">
        <v>5694</v>
      </c>
    </row>
    <row r="6170" spans="1:18" x14ac:dyDescent="0.25">
      <c r="A6170" s="6" t="str">
        <f>HYPERLINK("proteomic_fractions_linear_files/Yang_linear_img/27369539.jpg", "27369539")</f>
        <v>27369539</v>
      </c>
      <c r="B6170" s="7"/>
      <c r="C6170" s="6" t="str">
        <f>HYPERLINK("http://www.ncbi.nlm.nih.gov/protein/27369539","Rap2c")</f>
        <v>Rap2c</v>
      </c>
      <c r="D6170" s="8"/>
      <c r="E6170" s="8">
        <v>20614</v>
      </c>
      <c r="F6170" s="8"/>
      <c r="G6170" s="15" t="s">
        <v>10</v>
      </c>
      <c r="H6170" s="15" t="s">
        <v>10</v>
      </c>
      <c r="I6170" s="15">
        <v>0.92862618228739402</v>
      </c>
      <c r="J6170" s="15">
        <v>1.100455874986545</v>
      </c>
      <c r="K6170" s="15">
        <v>0.92862618228739402</v>
      </c>
      <c r="L6170" s="15">
        <v>0.92862618228739402</v>
      </c>
      <c r="M6170" s="15">
        <v>1.100455874986545</v>
      </c>
      <c r="N6170" s="15">
        <v>1.100455874986545</v>
      </c>
      <c r="O6170" s="15">
        <v>1.0378924890799406</v>
      </c>
      <c r="P6170" s="15">
        <v>1.0378924890799406</v>
      </c>
      <c r="Q6170" s="8"/>
      <c r="R6170" s="9" t="s">
        <v>5695</v>
      </c>
    </row>
    <row r="6171" spans="1:18" x14ac:dyDescent="0.25">
      <c r="A6171" s="6" t="str">
        <f>HYPERLINK("proteomic_fractions_linear_files/Yang_linear_img/323637461.jpg", "323637461")</f>
        <v>323637461</v>
      </c>
      <c r="B6171" s="7"/>
      <c r="C6171" s="6" t="str">
        <f>HYPERLINK("http://www.ncbi.nlm.nih.gov/protein/323637461","Rapgef4")</f>
        <v>Rapgef4</v>
      </c>
      <c r="D6171" s="8"/>
      <c r="E6171" s="8">
        <v>115361</v>
      </c>
      <c r="F6171" s="8"/>
      <c r="G6171" s="15" t="s">
        <v>10</v>
      </c>
      <c r="H6171" s="15" t="s">
        <v>10</v>
      </c>
      <c r="I6171" s="15">
        <v>0.14536064800527845</v>
      </c>
      <c r="J6171" s="15">
        <v>0.14536064800527845</v>
      </c>
      <c r="K6171" s="15">
        <v>0.15278208491616493</v>
      </c>
      <c r="L6171" s="15">
        <v>0.15278208491616493</v>
      </c>
      <c r="M6171" s="15" t="s">
        <v>10</v>
      </c>
      <c r="N6171" s="15" t="s">
        <v>10</v>
      </c>
      <c r="O6171" s="15" t="s">
        <v>10</v>
      </c>
      <c r="P6171" s="15" t="s">
        <v>10</v>
      </c>
      <c r="Q6171" s="8"/>
      <c r="R6171" s="9" t="s">
        <v>5696</v>
      </c>
    </row>
    <row r="6172" spans="1:18" x14ac:dyDescent="0.25">
      <c r="A6172" s="6" t="str">
        <f>HYPERLINK("proteomic_fractions_linear_files/Yang_linear_img/323637463.jpg", "323637463")</f>
        <v>323637463</v>
      </c>
      <c r="B6172" s="7"/>
      <c r="C6172" s="6" t="str">
        <f>HYPERLINK("http://www.ncbi.nlm.nih.gov/protein/323637463","Rapgef4")</f>
        <v>Rapgef4</v>
      </c>
      <c r="D6172" s="8"/>
      <c r="E6172" s="8">
        <v>99374</v>
      </c>
      <c r="F6172" s="8"/>
      <c r="G6172" s="15" t="s">
        <v>10</v>
      </c>
      <c r="H6172" s="15" t="s">
        <v>10</v>
      </c>
      <c r="I6172" s="15">
        <v>0.16885327798592953</v>
      </c>
      <c r="J6172" s="15">
        <v>0.16885327798592953</v>
      </c>
      <c r="K6172" s="15">
        <v>0.17747413904402998</v>
      </c>
      <c r="L6172" s="15">
        <v>0.17747413904402998</v>
      </c>
      <c r="M6172" s="15" t="s">
        <v>10</v>
      </c>
      <c r="N6172" s="15" t="s">
        <v>10</v>
      </c>
      <c r="O6172" s="15" t="s">
        <v>10</v>
      </c>
      <c r="P6172" s="15" t="s">
        <v>10</v>
      </c>
      <c r="Q6172" s="8"/>
      <c r="R6172" s="9" t="s">
        <v>5697</v>
      </c>
    </row>
    <row r="6173" spans="1:18" x14ac:dyDescent="0.25">
      <c r="A6173" s="6" t="str">
        <f>HYPERLINK("proteomic_fractions_linear_files/Yang_linear_img/9790087.jpg", "9790087")</f>
        <v>9790087</v>
      </c>
      <c r="B6173" s="7"/>
      <c r="C6173" s="6" t="str">
        <f>HYPERLINK("http://www.ncbi.nlm.nih.gov/protein/9790087","Rapgef4")</f>
        <v>Rapgef4</v>
      </c>
      <c r="D6173" s="8"/>
      <c r="E6173" s="8">
        <v>113358</v>
      </c>
      <c r="F6173" s="8"/>
      <c r="G6173" s="15" t="s">
        <v>10</v>
      </c>
      <c r="H6173" s="15" t="s">
        <v>10</v>
      </c>
      <c r="I6173" s="15">
        <v>0.14793340283723028</v>
      </c>
      <c r="J6173" s="15">
        <v>0.14793340283723028</v>
      </c>
      <c r="K6173" s="15">
        <v>0.15548619261379618</v>
      </c>
      <c r="L6173" s="15">
        <v>0.15548619261379618</v>
      </c>
      <c r="M6173" s="15" t="s">
        <v>10</v>
      </c>
      <c r="N6173" s="15" t="s">
        <v>10</v>
      </c>
      <c r="O6173" s="15" t="s">
        <v>10</v>
      </c>
      <c r="P6173" s="15" t="s">
        <v>10</v>
      </c>
      <c r="Q6173" s="8"/>
      <c r="R6173" s="9" t="s">
        <v>5698</v>
      </c>
    </row>
    <row r="6174" spans="1:18" x14ac:dyDescent="0.25">
      <c r="A6174" s="6" t="str">
        <f>HYPERLINK("proteomic_fractions_linear_files/Yang_linear_img/124257963.jpg", "124257963")</f>
        <v>124257963</v>
      </c>
      <c r="B6174" s="7"/>
      <c r="C6174" s="6" t="str">
        <f>HYPERLINK("http://www.ncbi.nlm.nih.gov/protein/124257963","Rapgefl1")</f>
        <v>Rapgefl1</v>
      </c>
      <c r="D6174" s="8"/>
      <c r="E6174" s="8">
        <v>73564</v>
      </c>
      <c r="F6174" s="8"/>
      <c r="G6174" s="15" t="s">
        <v>10</v>
      </c>
      <c r="H6174" s="15" t="s">
        <v>10</v>
      </c>
      <c r="I6174" s="15">
        <v>0.22589830433252733</v>
      </c>
      <c r="J6174" s="15">
        <v>0.22589830433252733</v>
      </c>
      <c r="K6174" s="15">
        <v>0.23743161845079686</v>
      </c>
      <c r="L6174" s="15">
        <v>0.23743161845079686</v>
      </c>
      <c r="M6174" s="15" t="s">
        <v>10</v>
      </c>
      <c r="N6174" s="15" t="s">
        <v>10</v>
      </c>
      <c r="O6174" s="15" t="s">
        <v>10</v>
      </c>
      <c r="P6174" s="15" t="s">
        <v>10</v>
      </c>
      <c r="Q6174" s="8"/>
      <c r="R6174" s="9" t="s">
        <v>5699</v>
      </c>
    </row>
    <row r="6175" spans="1:18" x14ac:dyDescent="0.25">
      <c r="A6175" s="6" t="str">
        <f>HYPERLINK("proteomic_fractions_linear_files/Yang_linear_img/262118273.jpg", "262118273")</f>
        <v>262118273</v>
      </c>
      <c r="B6175" s="7"/>
      <c r="C6175" s="6" t="str">
        <f>HYPERLINK("http://www.ncbi.nlm.nih.gov/protein/262118273","Rars")</f>
        <v>Rars</v>
      </c>
      <c r="D6175" s="8"/>
      <c r="E6175" s="8">
        <v>75543</v>
      </c>
      <c r="F6175" s="8"/>
      <c r="G6175" s="15">
        <v>1.0934034009624192</v>
      </c>
      <c r="H6175" s="15">
        <v>1.0934034009624192</v>
      </c>
      <c r="I6175" s="15">
        <v>0.96626526633792431</v>
      </c>
      <c r="J6175" s="15">
        <v>0.96626526633792431</v>
      </c>
      <c r="K6175" s="15">
        <v>0.96626526633792431</v>
      </c>
      <c r="L6175" s="15">
        <v>0.96626526633792431</v>
      </c>
      <c r="M6175" s="15">
        <v>0.96626526633792431</v>
      </c>
      <c r="N6175" s="15">
        <v>0.96626526633792431</v>
      </c>
      <c r="O6175" s="15">
        <v>0.77333167875781383</v>
      </c>
      <c r="P6175" s="15">
        <v>0.77333167875781383</v>
      </c>
      <c r="Q6175" s="8"/>
      <c r="R6175" s="9" t="s">
        <v>5700</v>
      </c>
    </row>
    <row r="6176" spans="1:18" x14ac:dyDescent="0.25">
      <c r="A6176" s="6" t="str">
        <f>HYPERLINK("proteomic_fractions_linear_files/Yang_linear_img/240120047.jpg", "240120047")</f>
        <v>240120047</v>
      </c>
      <c r="B6176" s="7"/>
      <c r="C6176" s="6" t="str">
        <f>HYPERLINK("http://www.ncbi.nlm.nih.gov/protein/240120047","Rars2")</f>
        <v>Rars2</v>
      </c>
      <c r="D6176" s="8"/>
      <c r="E6176" s="8">
        <v>63556</v>
      </c>
      <c r="F6176" s="8"/>
      <c r="G6176" s="15" t="s">
        <v>10</v>
      </c>
      <c r="H6176" s="15" t="s">
        <v>10</v>
      </c>
      <c r="I6176" s="15">
        <v>1.0227072395397552</v>
      </c>
      <c r="J6176" s="15">
        <v>1.0227072395397552</v>
      </c>
      <c r="K6176" s="15" t="s">
        <v>10</v>
      </c>
      <c r="L6176" s="15" t="s">
        <v>10</v>
      </c>
      <c r="M6176" s="15" t="s">
        <v>10</v>
      </c>
      <c r="N6176" s="15" t="s">
        <v>10</v>
      </c>
      <c r="O6176" s="15" t="s">
        <v>10</v>
      </c>
      <c r="P6176" s="15" t="s">
        <v>10</v>
      </c>
      <c r="Q6176" s="8"/>
      <c r="R6176" s="9" t="s">
        <v>5701</v>
      </c>
    </row>
    <row r="6177" spans="1:18" x14ac:dyDescent="0.25">
      <c r="A6177" s="6" t="str">
        <f>HYPERLINK("proteomic_fractions_linear_files/Yang_linear_img/164663773.jpg", "164663773")</f>
        <v>164663773</v>
      </c>
      <c r="B6177" s="7"/>
      <c r="C6177" s="6" t="str">
        <f>HYPERLINK("http://www.ncbi.nlm.nih.gov/protein/164663773","Rasa1")</f>
        <v>Rasa1</v>
      </c>
      <c r="D6177" s="8"/>
      <c r="E6177" s="8">
        <v>115298</v>
      </c>
      <c r="F6177" s="8"/>
      <c r="G6177" s="15" t="s">
        <v>10</v>
      </c>
      <c r="H6177" s="15" t="s">
        <v>10</v>
      </c>
      <c r="I6177" s="15" t="s">
        <v>10</v>
      </c>
      <c r="J6177" s="15" t="s">
        <v>10</v>
      </c>
      <c r="K6177" s="15">
        <v>1.3343727924890594</v>
      </c>
      <c r="L6177" s="15">
        <v>1.3343727924890594</v>
      </c>
      <c r="M6177" s="15" t="s">
        <v>10</v>
      </c>
      <c r="N6177" s="15" t="s">
        <v>10</v>
      </c>
      <c r="O6177" s="15">
        <v>1.1193185056097128</v>
      </c>
      <c r="P6177" s="15">
        <v>1.1193185056097128</v>
      </c>
      <c r="Q6177" s="8"/>
      <c r="R6177" s="9" t="s">
        <v>5702</v>
      </c>
    </row>
    <row r="6178" spans="1:18" x14ac:dyDescent="0.25">
      <c r="A6178" s="6" t="str">
        <f>HYPERLINK("proteomic_fractions_linear_files/Yang_linear_img/31980729.jpg", "31980729")</f>
        <v>31980729</v>
      </c>
      <c r="B6178" s="7"/>
      <c r="C6178" s="6" t="str">
        <f>HYPERLINK("http://www.ncbi.nlm.nih.gov/protein/31980729","Rasal1")</f>
        <v>Rasal1</v>
      </c>
      <c r="D6178" s="8"/>
      <c r="E6178" s="8">
        <v>89264</v>
      </c>
      <c r="F6178" s="8"/>
      <c r="G6178" s="15">
        <v>0.36049520062622009</v>
      </c>
      <c r="H6178" s="15">
        <v>0.36049520062622009</v>
      </c>
      <c r="I6178" s="15" t="s">
        <v>10</v>
      </c>
      <c r="J6178" s="15" t="s">
        <v>10</v>
      </c>
      <c r="K6178" s="15" t="s">
        <v>10</v>
      </c>
      <c r="L6178" s="15" t="s">
        <v>10</v>
      </c>
      <c r="M6178" s="15" t="s">
        <v>10</v>
      </c>
      <c r="N6178" s="15" t="s">
        <v>10</v>
      </c>
      <c r="O6178" s="15" t="s">
        <v>10</v>
      </c>
      <c r="P6178" s="15" t="s">
        <v>10</v>
      </c>
      <c r="Q6178" s="8"/>
      <c r="R6178" s="9" t="s">
        <v>5703</v>
      </c>
    </row>
    <row r="6179" spans="1:18" x14ac:dyDescent="0.25">
      <c r="A6179" s="6" t="str">
        <f>HYPERLINK("proteomic_fractions_linear_files/Yang_linear_img/530537198.jpg", "530537198")</f>
        <v>530537198</v>
      </c>
      <c r="B6179" s="7"/>
      <c r="C6179" s="6" t="str">
        <f>HYPERLINK("http://www.ncbi.nlm.nih.gov/protein/530537198","Rasal1")</f>
        <v>Rasal1</v>
      </c>
      <c r="D6179" s="8"/>
      <c r="E6179" s="8">
        <v>69105</v>
      </c>
      <c r="F6179" s="8"/>
      <c r="G6179" s="15">
        <v>0.46498656312657372</v>
      </c>
      <c r="H6179" s="15">
        <v>0.46498656312657372</v>
      </c>
      <c r="I6179" s="15" t="s">
        <v>10</v>
      </c>
      <c r="J6179" s="15" t="s">
        <v>10</v>
      </c>
      <c r="K6179" s="15" t="s">
        <v>10</v>
      </c>
      <c r="L6179" s="15" t="s">
        <v>10</v>
      </c>
      <c r="M6179" s="15" t="s">
        <v>10</v>
      </c>
      <c r="N6179" s="15" t="s">
        <v>10</v>
      </c>
      <c r="O6179" s="15" t="s">
        <v>10</v>
      </c>
      <c r="P6179" s="15" t="s">
        <v>10</v>
      </c>
      <c r="Q6179" s="8"/>
      <c r="R6179" s="9" t="s">
        <v>5704</v>
      </c>
    </row>
    <row r="6180" spans="1:18" x14ac:dyDescent="0.25">
      <c r="A6180" s="6" t="str">
        <f>HYPERLINK("proteomic_fractions_linear_files/Yang_linear_img/6677677.jpg", "6677677")</f>
        <v>6677677</v>
      </c>
      <c r="B6180" s="7"/>
      <c r="C6180" s="6" t="str">
        <f>HYPERLINK("http://www.ncbi.nlm.nih.gov/protein/6677677","Rasl2-9")</f>
        <v>Rasl2-9</v>
      </c>
      <c r="D6180" s="8"/>
      <c r="E6180" s="8">
        <v>24321</v>
      </c>
      <c r="F6180" s="8"/>
      <c r="G6180" s="15">
        <v>1.3368363689888996</v>
      </c>
      <c r="H6180" s="15">
        <v>1.3368363689888996</v>
      </c>
      <c r="I6180" s="15">
        <v>1.0231175255532048</v>
      </c>
      <c r="J6180" s="15">
        <v>1.0231175255532048</v>
      </c>
      <c r="K6180" s="15">
        <v>0.96289889061322687</v>
      </c>
      <c r="L6180" s="15">
        <v>0.96289889061322687</v>
      </c>
      <c r="M6180" s="15">
        <v>1.0231175255532048</v>
      </c>
      <c r="N6180" s="15">
        <v>1.0231175255532048</v>
      </c>
      <c r="O6180" s="15">
        <v>12.574305193187449</v>
      </c>
      <c r="P6180" s="15">
        <v>12.574305193187449</v>
      </c>
      <c r="Q6180" s="8"/>
      <c r="R6180" s="9" t="s">
        <v>5705</v>
      </c>
    </row>
    <row r="6181" spans="1:18" x14ac:dyDescent="0.25">
      <c r="A6181" s="6" t="str">
        <f>HYPERLINK("proteomic_fractions_linear_files/Yang_linear_img/110431380.jpg", "110431380")</f>
        <v>110431380</v>
      </c>
      <c r="B6181" s="7"/>
      <c r="C6181" s="6" t="str">
        <f>HYPERLINK("http://www.ncbi.nlm.nih.gov/protein/110431380","Rassf6")</f>
        <v>Rassf6</v>
      </c>
      <c r="D6181" s="8"/>
      <c r="E6181" s="8">
        <v>39742</v>
      </c>
      <c r="F6181" s="8"/>
      <c r="G6181" s="15" t="s">
        <v>10</v>
      </c>
      <c r="H6181" s="15" t="s">
        <v>10</v>
      </c>
      <c r="I6181" s="15" t="s">
        <v>10</v>
      </c>
      <c r="J6181" s="15" t="s">
        <v>10</v>
      </c>
      <c r="K6181" s="15">
        <v>0.93353316057811475</v>
      </c>
      <c r="L6181" s="15">
        <v>0.93353316057811475</v>
      </c>
      <c r="M6181" s="15">
        <v>0.93353316057811475</v>
      </c>
      <c r="N6181" s="15">
        <v>0.93353316057811475</v>
      </c>
      <c r="O6181" s="15">
        <v>0.8638344132618796</v>
      </c>
      <c r="P6181" s="15">
        <v>0.8638344132618796</v>
      </c>
      <c r="Q6181" s="8"/>
      <c r="R6181" s="9" t="s">
        <v>5706</v>
      </c>
    </row>
    <row r="6182" spans="1:18" x14ac:dyDescent="0.25">
      <c r="A6182" s="6" t="str">
        <f>HYPERLINK("proteomic_fractions_linear_files/Yang_linear_img/29789209.jpg", "29789209")</f>
        <v>29789209</v>
      </c>
      <c r="B6182" s="7"/>
      <c r="C6182" s="6" t="str">
        <f>HYPERLINK("http://www.ncbi.nlm.nih.gov/protein/29789209","Raver1")</f>
        <v>Raver1</v>
      </c>
      <c r="D6182" s="8"/>
      <c r="E6182" s="8">
        <v>79251</v>
      </c>
      <c r="F6182" s="8"/>
      <c r="G6182" s="15">
        <v>1.2021263440833483</v>
      </c>
      <c r="H6182" s="15">
        <v>1.2021263440833483</v>
      </c>
      <c r="I6182" s="15">
        <v>1.0518817528246058</v>
      </c>
      <c r="J6182" s="15">
        <v>1.0518817528246058</v>
      </c>
      <c r="K6182" s="15">
        <v>1.2021263440833483</v>
      </c>
      <c r="L6182" s="15">
        <v>1.2021263440833483</v>
      </c>
      <c r="M6182" s="15" t="s">
        <v>10</v>
      </c>
      <c r="N6182" s="15" t="s">
        <v>10</v>
      </c>
      <c r="O6182" s="15" t="s">
        <v>10</v>
      </c>
      <c r="P6182" s="15" t="s">
        <v>10</v>
      </c>
      <c r="Q6182" s="8"/>
      <c r="R6182" s="9" t="s">
        <v>5707</v>
      </c>
    </row>
    <row r="6183" spans="1:18" x14ac:dyDescent="0.25">
      <c r="A6183" s="6" t="str">
        <f>HYPERLINK("proteomic_fractions_linear_files/Yang_linear_img/226693374.jpg", "226693374")</f>
        <v>226693374</v>
      </c>
      <c r="B6183" s="7"/>
      <c r="C6183" s="6" t="str">
        <f>HYPERLINK("http://www.ncbi.nlm.nih.gov/protein/226693374","Rb1cc1")</f>
        <v>Rb1cc1</v>
      </c>
      <c r="D6183" s="8"/>
      <c r="E6183" s="8">
        <v>182220</v>
      </c>
      <c r="F6183" s="8"/>
      <c r="G6183" s="15" t="s">
        <v>10</v>
      </c>
      <c r="H6183" s="15" t="s">
        <v>10</v>
      </c>
      <c r="I6183" s="15" t="s">
        <v>10</v>
      </c>
      <c r="J6183" s="15" t="s">
        <v>10</v>
      </c>
      <c r="K6183" s="15" t="s">
        <v>10</v>
      </c>
      <c r="L6183" s="15" t="s">
        <v>10</v>
      </c>
      <c r="M6183" s="15" t="s">
        <v>10</v>
      </c>
      <c r="N6183" s="15" t="s">
        <v>10</v>
      </c>
      <c r="O6183" s="15">
        <v>1.2822024594936763</v>
      </c>
      <c r="P6183" s="15">
        <v>1.2822024594936763</v>
      </c>
      <c r="Q6183" s="8"/>
      <c r="R6183" s="9" t="s">
        <v>5708</v>
      </c>
    </row>
    <row r="6184" spans="1:18" x14ac:dyDescent="0.25">
      <c r="A6184" s="6" t="str">
        <f>HYPERLINK("proteomic_fractions_linear_files/Yang_linear_img/47059484.jpg", "47059484")</f>
        <v>47059484</v>
      </c>
      <c r="B6184" s="7"/>
      <c r="C6184" s="6" t="str">
        <f>HYPERLINK("http://www.ncbi.nlm.nih.gov/protein/47059484","Rbbp4")</f>
        <v>Rbbp4</v>
      </c>
      <c r="D6184" s="8"/>
      <c r="E6184" s="8">
        <v>47525</v>
      </c>
      <c r="F6184" s="8"/>
      <c r="G6184" s="15">
        <v>1.2244418246998718</v>
      </c>
      <c r="H6184" s="15">
        <v>6.2871525965937245</v>
      </c>
      <c r="I6184" s="15">
        <v>1.006041158008651</v>
      </c>
      <c r="J6184" s="15">
        <v>1.006041158008651</v>
      </c>
      <c r="K6184" s="15">
        <v>1.1066785339583558</v>
      </c>
      <c r="L6184" s="15">
        <v>1.1066785339583558</v>
      </c>
      <c r="M6184" s="15">
        <v>1.006041158008651</v>
      </c>
      <c r="N6184" s="15">
        <v>1.006041158008651</v>
      </c>
      <c r="O6184" s="15">
        <v>1.006041158008651</v>
      </c>
      <c r="P6184" s="15">
        <v>1.006041158008651</v>
      </c>
      <c r="Q6184" s="8"/>
      <c r="R6184" s="9" t="s">
        <v>5709</v>
      </c>
    </row>
    <row r="6185" spans="1:18" x14ac:dyDescent="0.25">
      <c r="A6185" s="6" t="str">
        <f>HYPERLINK("proteomic_fractions_linear_files/Yang_linear_img/164450487.jpg", "164450487")</f>
        <v>164450487</v>
      </c>
      <c r="B6185" s="7"/>
      <c r="C6185" s="6" t="str">
        <f>HYPERLINK("http://www.ncbi.nlm.nih.gov/protein/164450487","Rbbp5")</f>
        <v>Rbbp5</v>
      </c>
      <c r="D6185" s="8"/>
      <c r="E6185" s="8">
        <v>58967</v>
      </c>
      <c r="F6185" s="8"/>
      <c r="G6185" s="15">
        <v>1.4084518385278619</v>
      </c>
      <c r="H6185" s="15">
        <v>1.4084518385278619</v>
      </c>
      <c r="I6185" s="15" t="s">
        <v>10</v>
      </c>
      <c r="J6185" s="15" t="s">
        <v>10</v>
      </c>
      <c r="K6185" s="15" t="s">
        <v>10</v>
      </c>
      <c r="L6185" s="15" t="s">
        <v>10</v>
      </c>
      <c r="M6185" s="15">
        <v>1.244680682062411</v>
      </c>
      <c r="N6185" s="15">
        <v>1.244680682062411</v>
      </c>
      <c r="O6185" s="15">
        <v>1.1093773445854971</v>
      </c>
      <c r="P6185" s="15">
        <v>1.1093773445854971</v>
      </c>
      <c r="Q6185" s="8"/>
      <c r="R6185" s="9" t="s">
        <v>5710</v>
      </c>
    </row>
    <row r="6186" spans="1:18" x14ac:dyDescent="0.25">
      <c r="A6186" s="6" t="str">
        <f>HYPERLINK("proteomic_fractions_linear_files/Yang_linear_img/163937858.jpg", "163937858")</f>
        <v>163937858</v>
      </c>
      <c r="B6186" s="7"/>
      <c r="C6186" s="6" t="str">
        <f>HYPERLINK("http://www.ncbi.nlm.nih.gov/protein/163937858","Rbbp6")</f>
        <v>Rbbp6</v>
      </c>
      <c r="D6186" s="8"/>
      <c r="E6186" s="8">
        <v>199457</v>
      </c>
      <c r="F6186" s="8"/>
      <c r="G6186" s="15" t="s">
        <v>10</v>
      </c>
      <c r="H6186" s="15" t="s">
        <v>10</v>
      </c>
      <c r="I6186" s="15">
        <v>30.116080402010052</v>
      </c>
      <c r="J6186" s="15">
        <v>30.116080402010052</v>
      </c>
      <c r="K6186" s="15">
        <v>30.116080402010052</v>
      </c>
      <c r="L6186" s="15">
        <v>30.116080402010052</v>
      </c>
      <c r="M6186" s="15" t="s">
        <v>10</v>
      </c>
      <c r="N6186" s="15" t="s">
        <v>10</v>
      </c>
      <c r="O6186" s="15" t="s">
        <v>10</v>
      </c>
      <c r="P6186" s="15" t="s">
        <v>10</v>
      </c>
      <c r="Q6186" s="8"/>
      <c r="R6186" s="9" t="s">
        <v>5711</v>
      </c>
    </row>
    <row r="6187" spans="1:18" x14ac:dyDescent="0.25">
      <c r="A6187" s="6" t="str">
        <f>HYPERLINK("proteomic_fractions_linear_files/Yang_linear_img/157909799.jpg", "157909799")</f>
        <v>157909799</v>
      </c>
      <c r="B6187" s="7"/>
      <c r="C6187" s="6" t="str">
        <f>HYPERLINK("http://www.ncbi.nlm.nih.gov/protein/157909799","Rbbp7")</f>
        <v>Rbbp7</v>
      </c>
      <c r="D6187" s="8"/>
      <c r="E6187" s="8">
        <v>47659</v>
      </c>
      <c r="F6187" s="8"/>
      <c r="G6187" s="15">
        <v>6.2871525965937245</v>
      </c>
      <c r="H6187" s="15">
        <v>6.2871525965937245</v>
      </c>
      <c r="I6187" s="15">
        <v>1.006041158008651</v>
      </c>
      <c r="J6187" s="15">
        <v>1.006041158008651</v>
      </c>
      <c r="K6187" s="15">
        <v>1.1066785339583558</v>
      </c>
      <c r="L6187" s="15">
        <v>1.1066785339583558</v>
      </c>
      <c r="M6187" s="15">
        <v>1.006041158008651</v>
      </c>
      <c r="N6187" s="15">
        <v>1.006041158008651</v>
      </c>
      <c r="O6187" s="15">
        <v>0.91928310931178059</v>
      </c>
      <c r="P6187" s="15">
        <v>0.91928310931178059</v>
      </c>
      <c r="Q6187" s="8"/>
      <c r="R6187" s="9" t="s">
        <v>5712</v>
      </c>
    </row>
    <row r="6188" spans="1:18" x14ac:dyDescent="0.25">
      <c r="A6188" s="6" t="str">
        <f>HYPERLINK("proteomic_fractions_linear_files/Yang_linear_img/86439977.jpg", "86439977")</f>
        <v>86439977</v>
      </c>
      <c r="B6188" s="7"/>
      <c r="C6188" s="6" t="str">
        <f>HYPERLINK("http://www.ncbi.nlm.nih.gov/protein/86439977","Rbbp9")</f>
        <v>Rbbp9</v>
      </c>
      <c r="D6188" s="8"/>
      <c r="E6188" s="8">
        <v>20781</v>
      </c>
      <c r="F6188" s="8"/>
      <c r="G6188" s="15" t="s">
        <v>10</v>
      </c>
      <c r="H6188" s="15" t="s">
        <v>10</v>
      </c>
      <c r="I6188" s="15">
        <v>0.92862618228739402</v>
      </c>
      <c r="J6188" s="15">
        <v>0.92862618228739402</v>
      </c>
      <c r="K6188" s="15">
        <v>0.92862618228739402</v>
      </c>
      <c r="L6188" s="15">
        <v>0.92862618228739402</v>
      </c>
      <c r="M6188" s="15">
        <v>0.98083053269791776</v>
      </c>
      <c r="N6188" s="15">
        <v>0.98083053269791776</v>
      </c>
      <c r="O6188" s="15">
        <v>0.92862618228739402</v>
      </c>
      <c r="P6188" s="15">
        <v>0.92862618228739402</v>
      </c>
      <c r="Q6188" s="8"/>
      <c r="R6188" s="9" t="s">
        <v>5713</v>
      </c>
    </row>
    <row r="6189" spans="1:18" x14ac:dyDescent="0.25">
      <c r="A6189" s="6" t="str">
        <f>HYPERLINK("proteomic_fractions_linear_files/Yang_linear_img/145046239.jpg", "145046239")</f>
        <v>145046239</v>
      </c>
      <c r="B6189" s="7"/>
      <c r="C6189" s="6" t="str">
        <f>HYPERLINK("http://www.ncbi.nlm.nih.gov/protein/145046239","Rbck1")</f>
        <v>Rbck1</v>
      </c>
      <c r="D6189" s="8"/>
      <c r="E6189" s="8">
        <v>57404</v>
      </c>
      <c r="F6189" s="8"/>
      <c r="G6189" s="15" t="s">
        <v>10</v>
      </c>
      <c r="H6189" s="15" t="s">
        <v>10</v>
      </c>
      <c r="I6189" s="15">
        <v>1.0311089050104185</v>
      </c>
      <c r="J6189" s="15">
        <v>1.0311089050104185</v>
      </c>
      <c r="K6189" s="15" t="s">
        <v>10</v>
      </c>
      <c r="L6189" s="15" t="s">
        <v>10</v>
      </c>
      <c r="M6189" s="15" t="s">
        <v>10</v>
      </c>
      <c r="N6189" s="15" t="s">
        <v>10</v>
      </c>
      <c r="O6189" s="15">
        <v>1.1483028654481462</v>
      </c>
      <c r="P6189" s="15">
        <v>1.1483028654481462</v>
      </c>
      <c r="Q6189" s="8"/>
      <c r="R6189" s="9" t="s">
        <v>5714</v>
      </c>
    </row>
    <row r="6190" spans="1:18" x14ac:dyDescent="0.25">
      <c r="A6190" s="6" t="str">
        <f>HYPERLINK("proteomic_fractions_linear_files/Yang_linear_img/213417847.jpg", "213417847")</f>
        <v>213417847</v>
      </c>
      <c r="B6190" s="7"/>
      <c r="C6190" s="6" t="str">
        <f>HYPERLINK("http://www.ncbi.nlm.nih.gov/protein/213417847","Rbl1")</f>
        <v>Rbl1</v>
      </c>
      <c r="D6190" s="8"/>
      <c r="E6190" s="8">
        <v>119326</v>
      </c>
      <c r="F6190" s="8"/>
      <c r="G6190" s="15" t="s">
        <v>10</v>
      </c>
      <c r="H6190" s="15" t="s">
        <v>10</v>
      </c>
      <c r="I6190" s="15" t="s">
        <v>10</v>
      </c>
      <c r="J6190" s="15" t="s">
        <v>10</v>
      </c>
      <c r="K6190" s="15">
        <v>1.0816943541606467</v>
      </c>
      <c r="L6190" s="15">
        <v>1.0816943541606467</v>
      </c>
      <c r="M6190" s="15">
        <v>1.0816943541606467</v>
      </c>
      <c r="N6190" s="15">
        <v>1.0816943541606467</v>
      </c>
      <c r="O6190" s="15">
        <v>1.0816943541606467</v>
      </c>
      <c r="P6190" s="15">
        <v>1.0816943541606467</v>
      </c>
      <c r="Q6190" s="8"/>
      <c r="R6190" s="9" t="s">
        <v>5715</v>
      </c>
    </row>
    <row r="6191" spans="1:18" x14ac:dyDescent="0.25">
      <c r="A6191" s="6" t="str">
        <f>HYPERLINK("proteomic_fractions_linear_files/Yang_linear_img/213417872.jpg", "213417872")</f>
        <v>213417872</v>
      </c>
      <c r="B6191" s="7"/>
      <c r="C6191" s="6" t="str">
        <f>HYPERLINK("http://www.ncbi.nlm.nih.gov/protein/213417872","Rbl1")</f>
        <v>Rbl1</v>
      </c>
      <c r="D6191" s="8"/>
      <c r="E6191" s="8">
        <v>67366</v>
      </c>
      <c r="F6191" s="8"/>
      <c r="G6191" s="15" t="s">
        <v>10</v>
      </c>
      <c r="H6191" s="15" t="s">
        <v>10</v>
      </c>
      <c r="I6191" s="15" t="s">
        <v>10</v>
      </c>
      <c r="J6191" s="15" t="s">
        <v>10</v>
      </c>
      <c r="K6191" s="15">
        <v>1.9212183305241339</v>
      </c>
      <c r="L6191" s="15">
        <v>1.9212183305241339</v>
      </c>
      <c r="M6191" s="15">
        <v>1.9212183305241339</v>
      </c>
      <c r="N6191" s="15">
        <v>1.9212183305241339</v>
      </c>
      <c r="O6191" s="15">
        <v>1.9212183305241339</v>
      </c>
      <c r="P6191" s="15">
        <v>1.9212183305241339</v>
      </c>
      <c r="Q6191" s="8"/>
      <c r="R6191" s="9" t="s">
        <v>5716</v>
      </c>
    </row>
    <row r="6192" spans="1:18" x14ac:dyDescent="0.25">
      <c r="A6192" s="6" t="str">
        <f>HYPERLINK("proteomic_fractions_linear_files/Yang_linear_img/21704124.jpg", "21704124")</f>
        <v>21704124</v>
      </c>
      <c r="B6192" s="7"/>
      <c r="C6192" s="6" t="str">
        <f>HYPERLINK("http://www.ncbi.nlm.nih.gov/protein/21704124","Rbm10")</f>
        <v>Rbm10</v>
      </c>
      <c r="D6192" s="8"/>
      <c r="E6192" s="8">
        <v>103363</v>
      </c>
      <c r="F6192" s="8"/>
      <c r="G6192" s="15">
        <v>1.2497245450982231</v>
      </c>
      <c r="H6192" s="15">
        <v>1.2497245450982231</v>
      </c>
      <c r="I6192" s="15" t="s">
        <v>10</v>
      </c>
      <c r="J6192" s="15" t="s">
        <v>10</v>
      </c>
      <c r="K6192" s="15" t="s">
        <v>10</v>
      </c>
      <c r="L6192" s="15" t="s">
        <v>10</v>
      </c>
      <c r="M6192" s="15" t="s">
        <v>10</v>
      </c>
      <c r="N6192" s="15" t="s">
        <v>10</v>
      </c>
      <c r="O6192" s="15" t="s">
        <v>10</v>
      </c>
      <c r="P6192" s="15" t="s">
        <v>10</v>
      </c>
      <c r="Q6192" s="8"/>
      <c r="R6192" s="9" t="s">
        <v>5717</v>
      </c>
    </row>
    <row r="6193" spans="1:18" x14ac:dyDescent="0.25">
      <c r="A6193" s="6" t="str">
        <f>HYPERLINK("proteomic_fractions_linear_files/Yang_linear_img/269847193.jpg", "269847193")</f>
        <v>269847193</v>
      </c>
      <c r="B6193" s="7"/>
      <c r="C6193" s="6" t="str">
        <f>HYPERLINK("http://www.ncbi.nlm.nih.gov/protein/269847193","Rbm10")</f>
        <v>Rbm10</v>
      </c>
      <c r="D6193" s="8"/>
      <c r="E6193" s="8">
        <v>103264</v>
      </c>
      <c r="F6193" s="8"/>
      <c r="G6193" s="15">
        <v>1.2497245450982231</v>
      </c>
      <c r="H6193" s="15">
        <v>1.2497245450982231</v>
      </c>
      <c r="I6193" s="15" t="s">
        <v>10</v>
      </c>
      <c r="J6193" s="15" t="s">
        <v>10</v>
      </c>
      <c r="K6193" s="15" t="s">
        <v>10</v>
      </c>
      <c r="L6193" s="15" t="s">
        <v>10</v>
      </c>
      <c r="M6193" s="15" t="s">
        <v>10</v>
      </c>
      <c r="N6193" s="15" t="s">
        <v>10</v>
      </c>
      <c r="O6193" s="15" t="s">
        <v>10</v>
      </c>
      <c r="P6193" s="15" t="s">
        <v>10</v>
      </c>
      <c r="Q6193" s="8"/>
      <c r="R6193" s="9" t="s">
        <v>5718</v>
      </c>
    </row>
    <row r="6194" spans="1:18" x14ac:dyDescent="0.25">
      <c r="A6194" s="6" t="str">
        <f>HYPERLINK("proteomic_fractions_linear_files/Yang_linear_img/269847199.jpg", "269847199")</f>
        <v>269847199</v>
      </c>
      <c r="B6194" s="7"/>
      <c r="C6194" s="6" t="str">
        <f>HYPERLINK("http://www.ncbi.nlm.nih.gov/protein/269847199","Rbm10")</f>
        <v>Rbm10</v>
      </c>
      <c r="D6194" s="8"/>
      <c r="E6194" s="8">
        <v>94299</v>
      </c>
      <c r="F6194" s="8"/>
      <c r="G6194" s="15">
        <v>1.3693790228203933</v>
      </c>
      <c r="H6194" s="15">
        <v>1.3693790228203933</v>
      </c>
      <c r="I6194" s="15" t="s">
        <v>10</v>
      </c>
      <c r="J6194" s="15" t="s">
        <v>10</v>
      </c>
      <c r="K6194" s="15" t="s">
        <v>10</v>
      </c>
      <c r="L6194" s="15" t="s">
        <v>10</v>
      </c>
      <c r="M6194" s="15" t="s">
        <v>10</v>
      </c>
      <c r="N6194" s="15" t="s">
        <v>10</v>
      </c>
      <c r="O6194" s="15" t="s">
        <v>10</v>
      </c>
      <c r="P6194" s="15" t="s">
        <v>10</v>
      </c>
      <c r="Q6194" s="8"/>
      <c r="R6194" s="9" t="s">
        <v>5719</v>
      </c>
    </row>
    <row r="6195" spans="1:18" x14ac:dyDescent="0.25">
      <c r="A6195" s="6" t="str">
        <f>HYPERLINK("proteomic_fractions_linear_files/Yang_linear_img/114155120.jpg", "114155120")</f>
        <v>114155120</v>
      </c>
      <c r="B6195" s="7"/>
      <c r="C6195" s="6" t="str">
        <f>HYPERLINK("http://www.ncbi.nlm.nih.gov/protein/114155120","Rbm12")</f>
        <v>Rbm12</v>
      </c>
      <c r="D6195" s="8"/>
      <c r="E6195" s="8">
        <v>102666</v>
      </c>
      <c r="F6195" s="8"/>
      <c r="G6195" s="15" t="s">
        <v>10</v>
      </c>
      <c r="H6195" s="15" t="s">
        <v>10</v>
      </c>
      <c r="I6195" s="15" t="s">
        <v>10</v>
      </c>
      <c r="J6195" s="15" t="s">
        <v>10</v>
      </c>
      <c r="K6195" s="15">
        <v>1.2497245450982231</v>
      </c>
      <c r="L6195" s="15">
        <v>1.2497245450982231</v>
      </c>
      <c r="M6195" s="15" t="s">
        <v>10</v>
      </c>
      <c r="N6195" s="15" t="s">
        <v>10</v>
      </c>
      <c r="O6195" s="15">
        <v>1.2497245450982231</v>
      </c>
      <c r="P6195" s="15">
        <v>1.2497245450982231</v>
      </c>
      <c r="Q6195" s="8"/>
      <c r="R6195" s="9" t="s">
        <v>5720</v>
      </c>
    </row>
    <row r="6196" spans="1:18" x14ac:dyDescent="0.25">
      <c r="A6196" s="6" t="str">
        <f>HYPERLINK("proteomic_fractions_linear_files/Yang_linear_img/86262142.jpg", "86262142")</f>
        <v>86262142</v>
      </c>
      <c r="B6196" s="7"/>
      <c r="C6196" s="6" t="str">
        <f>HYPERLINK("http://www.ncbi.nlm.nih.gov/protein/86262142","Rbm14")</f>
        <v>Rbm14</v>
      </c>
      <c r="D6196" s="8"/>
      <c r="E6196" s="8">
        <v>69318</v>
      </c>
      <c r="F6196" s="8"/>
      <c r="G6196" s="15">
        <v>1.3763475533707901</v>
      </c>
      <c r="H6196" s="15">
        <v>1.3763475533707901</v>
      </c>
      <c r="I6196" s="15">
        <v>1.0642921774156846</v>
      </c>
      <c r="J6196" s="15">
        <v>1.0642921774156846</v>
      </c>
      <c r="K6196" s="15">
        <v>1.2043283836687515</v>
      </c>
      <c r="L6196" s="15">
        <v>1.2043283836687515</v>
      </c>
      <c r="M6196" s="15" t="s">
        <v>10</v>
      </c>
      <c r="N6196" s="15" t="s">
        <v>10</v>
      </c>
      <c r="O6196" s="15" t="s">
        <v>10</v>
      </c>
      <c r="P6196" s="15" t="s">
        <v>10</v>
      </c>
      <c r="Q6196" s="8"/>
      <c r="R6196" s="9" t="s">
        <v>5721</v>
      </c>
    </row>
    <row r="6197" spans="1:18" x14ac:dyDescent="0.25">
      <c r="A6197" s="6" t="str">
        <f>HYPERLINK("proteomic_fractions_linear_files/Yang_linear_img/124249066.jpg", "124249066")</f>
        <v>124249066</v>
      </c>
      <c r="B6197" s="7"/>
      <c r="C6197" s="6" t="str">
        <f>HYPERLINK("http://www.ncbi.nlm.nih.gov/protein/124249066","Rbm15")</f>
        <v>Rbm15</v>
      </c>
      <c r="D6197" s="8"/>
      <c r="E6197" s="8">
        <v>105591</v>
      </c>
      <c r="F6197" s="8"/>
      <c r="G6197" s="15">
        <v>1.0358638096333157</v>
      </c>
      <c r="H6197" s="15">
        <v>1.0358638096333157</v>
      </c>
      <c r="I6197" s="15" t="s">
        <v>10</v>
      </c>
      <c r="J6197" s="15" t="s">
        <v>10</v>
      </c>
      <c r="K6197" s="15">
        <v>1.2143549825011035</v>
      </c>
      <c r="L6197" s="15">
        <v>1.2143549825011035</v>
      </c>
      <c r="M6197" s="15" t="s">
        <v>10</v>
      </c>
      <c r="N6197" s="15" t="s">
        <v>10</v>
      </c>
      <c r="O6197" s="15" t="s">
        <v>10</v>
      </c>
      <c r="P6197" s="15" t="s">
        <v>10</v>
      </c>
      <c r="Q6197" s="8"/>
      <c r="R6197" s="9" t="s">
        <v>5722</v>
      </c>
    </row>
    <row r="6198" spans="1:18" x14ac:dyDescent="0.25">
      <c r="A6198" s="6" t="str">
        <f>HYPERLINK("proteomic_fractions_linear_files/Yang_linear_img/22779924.jpg", "22779924")</f>
        <v>22779924</v>
      </c>
      <c r="B6198" s="7"/>
      <c r="C6198" s="6" t="str">
        <f>HYPERLINK("http://www.ncbi.nlm.nih.gov/protein/22779924","Rbm17")</f>
        <v>Rbm17</v>
      </c>
      <c r="D6198" s="8"/>
      <c r="E6198" s="8">
        <v>45173</v>
      </c>
      <c r="F6198" s="8"/>
      <c r="G6198" s="15" t="s">
        <v>10</v>
      </c>
      <c r="H6198" s="15" t="s">
        <v>10</v>
      </c>
      <c r="I6198" s="15" t="s">
        <v>10</v>
      </c>
      <c r="J6198" s="15" t="s">
        <v>10</v>
      </c>
      <c r="K6198" s="15">
        <v>1.1804571028889128</v>
      </c>
      <c r="L6198" s="15">
        <v>1.1804571028889128</v>
      </c>
      <c r="M6198" s="15" t="s">
        <v>10</v>
      </c>
      <c r="N6198" s="15" t="s">
        <v>10</v>
      </c>
      <c r="O6198" s="15" t="s">
        <v>10</v>
      </c>
      <c r="P6198" s="15" t="s">
        <v>10</v>
      </c>
      <c r="Q6198" s="8"/>
      <c r="R6198" s="9" t="s">
        <v>5723</v>
      </c>
    </row>
    <row r="6199" spans="1:18" x14ac:dyDescent="0.25">
      <c r="A6199" s="6" t="str">
        <f>HYPERLINK("proteomic_fractions_linear_files/Yang_linear_img/30794154.jpg", "30794154")</f>
        <v>30794154</v>
      </c>
      <c r="B6199" s="7"/>
      <c r="C6199" s="6" t="str">
        <f>HYPERLINK("http://www.ncbi.nlm.nih.gov/protein/30794154","Rbm19")</f>
        <v>Rbm19</v>
      </c>
      <c r="D6199" s="8"/>
      <c r="E6199" s="8">
        <v>105953</v>
      </c>
      <c r="F6199" s="8"/>
      <c r="G6199" s="15" t="s">
        <v>10</v>
      </c>
      <c r="H6199" s="15" t="s">
        <v>10</v>
      </c>
      <c r="I6199" s="15" t="s">
        <v>10</v>
      </c>
      <c r="J6199" s="15" t="s">
        <v>10</v>
      </c>
      <c r="K6199" s="15">
        <v>1.4476685956249231</v>
      </c>
      <c r="L6199" s="15">
        <v>1.4476685956249231</v>
      </c>
      <c r="M6199" s="15" t="s">
        <v>10</v>
      </c>
      <c r="N6199" s="15" t="s">
        <v>10</v>
      </c>
      <c r="O6199" s="15" t="s">
        <v>10</v>
      </c>
      <c r="P6199" s="15" t="s">
        <v>10</v>
      </c>
      <c r="Q6199" s="8"/>
      <c r="R6199" s="9" t="s">
        <v>5724</v>
      </c>
    </row>
    <row r="6200" spans="1:18" x14ac:dyDescent="0.25">
      <c r="A6200" s="6" t="str">
        <f>HYPERLINK("proteomic_fractions_linear_files/Yang_linear_img/110625591.jpg", "110625591")</f>
        <v>110625591</v>
      </c>
      <c r="B6200" s="7"/>
      <c r="C6200" s="6" t="str">
        <f>HYPERLINK("http://www.ncbi.nlm.nih.gov/protein/110625591","Rbm22")</f>
        <v>Rbm22</v>
      </c>
      <c r="D6200" s="8"/>
      <c r="E6200" s="8">
        <v>46765</v>
      </c>
      <c r="F6200" s="8"/>
      <c r="G6200" s="15" t="s">
        <v>10</v>
      </c>
      <c r="H6200" s="15" t="s">
        <v>10</v>
      </c>
      <c r="I6200" s="15" t="s">
        <v>10</v>
      </c>
      <c r="J6200" s="15" t="s">
        <v>10</v>
      </c>
      <c r="K6200" s="15">
        <v>1.1302248857447037</v>
      </c>
      <c r="L6200" s="15">
        <v>1.1302248857447037</v>
      </c>
      <c r="M6200" s="15" t="s">
        <v>10</v>
      </c>
      <c r="N6200" s="15" t="s">
        <v>10</v>
      </c>
      <c r="O6200" s="15" t="s">
        <v>10</v>
      </c>
      <c r="P6200" s="15" t="s">
        <v>10</v>
      </c>
      <c r="Q6200" s="8"/>
      <c r="R6200" s="9" t="s">
        <v>5725</v>
      </c>
    </row>
    <row r="6201" spans="1:18" x14ac:dyDescent="0.25">
      <c r="A6201" s="6" t="str">
        <f>HYPERLINK("proteomic_fractions_linear_files/Yang_linear_img/161353449.jpg", "161353449")</f>
        <v>161353449</v>
      </c>
      <c r="B6201" s="7"/>
      <c r="C6201" s="6" t="str">
        <f>HYPERLINK("http://www.ncbi.nlm.nih.gov/protein/161353449","Rbm25")</f>
        <v>Rbm25</v>
      </c>
      <c r="D6201" s="8"/>
      <c r="E6201" s="8">
        <v>99421</v>
      </c>
      <c r="F6201" s="8"/>
      <c r="G6201" s="15">
        <v>1.5500290013761802</v>
      </c>
      <c r="H6201" s="15">
        <v>1.5500290013761802</v>
      </c>
      <c r="I6201" s="15">
        <v>60.536363636363639</v>
      </c>
      <c r="J6201" s="15">
        <v>60.536363636363639</v>
      </c>
      <c r="K6201" s="15">
        <v>1.5500290013761802</v>
      </c>
      <c r="L6201" s="15">
        <v>1.5500290013761802</v>
      </c>
      <c r="M6201" s="15" t="s">
        <v>10</v>
      </c>
      <c r="N6201" s="15" t="s">
        <v>10</v>
      </c>
      <c r="O6201" s="15">
        <v>0.16088325033516945</v>
      </c>
      <c r="P6201" s="15">
        <v>0.16088325033516945</v>
      </c>
      <c r="Q6201" s="8"/>
      <c r="R6201" s="9" t="s">
        <v>5726</v>
      </c>
    </row>
    <row r="6202" spans="1:18" x14ac:dyDescent="0.25">
      <c r="A6202" s="6" t="str">
        <f>HYPERLINK("proteomic_fractions_linear_files/Yang_linear_img/123701991.jpg", "123701991")</f>
        <v>123701991</v>
      </c>
      <c r="B6202" s="7"/>
      <c r="C6202" s="6" t="str">
        <f>HYPERLINK("http://www.ncbi.nlm.nih.gov/protein/123701991","Rbm26")</f>
        <v>Rbm26</v>
      </c>
      <c r="D6202" s="8"/>
      <c r="E6202" s="8">
        <v>110883</v>
      </c>
      <c r="F6202" s="8"/>
      <c r="G6202" s="15">
        <v>5.3467820330567948</v>
      </c>
      <c r="H6202" s="15">
        <v>5.3467820330567948</v>
      </c>
      <c r="I6202" s="15" t="s">
        <v>10</v>
      </c>
      <c r="J6202" s="15" t="s">
        <v>10</v>
      </c>
      <c r="K6202" s="15">
        <v>1.6825750598192826</v>
      </c>
      <c r="L6202" s="15">
        <v>1.6825750598192826</v>
      </c>
      <c r="M6202" s="15" t="s">
        <v>10</v>
      </c>
      <c r="N6202" s="15" t="s">
        <v>10</v>
      </c>
      <c r="O6202" s="15" t="s">
        <v>10</v>
      </c>
      <c r="P6202" s="15" t="s">
        <v>10</v>
      </c>
      <c r="Q6202" s="8"/>
      <c r="R6202" s="9" t="s">
        <v>5727</v>
      </c>
    </row>
    <row r="6203" spans="1:18" x14ac:dyDescent="0.25">
      <c r="A6203" s="6" t="str">
        <f>HYPERLINK("proteomic_fractions_linear_files/Yang_linear_img/166235127.jpg", "166235127")</f>
        <v>166235127</v>
      </c>
      <c r="B6203" s="7"/>
      <c r="C6203" s="6" t="str">
        <f>HYPERLINK("http://www.ncbi.nlm.nih.gov/protein/166235127","Rbm28")</f>
        <v>Rbm28</v>
      </c>
      <c r="D6203" s="8"/>
      <c r="E6203" s="8">
        <v>84083</v>
      </c>
      <c r="F6203" s="8"/>
      <c r="G6203" s="15" t="s">
        <v>10</v>
      </c>
      <c r="H6203" s="15" t="s">
        <v>10</v>
      </c>
      <c r="I6203" s="15" t="s">
        <v>10</v>
      </c>
      <c r="J6203" s="15" t="s">
        <v>10</v>
      </c>
      <c r="K6203" s="15">
        <v>1.3071614740610888</v>
      </c>
      <c r="L6203" s="15">
        <v>1.3071614740610888</v>
      </c>
      <c r="M6203" s="15">
        <v>1.3071614740610888</v>
      </c>
      <c r="N6203" s="15">
        <v>1.3071614740610888</v>
      </c>
      <c r="O6203" s="15" t="s">
        <v>10</v>
      </c>
      <c r="P6203" s="15" t="s">
        <v>10</v>
      </c>
      <c r="Q6203" s="8"/>
      <c r="R6203" s="9" t="s">
        <v>5728</v>
      </c>
    </row>
    <row r="6204" spans="1:18" x14ac:dyDescent="0.25">
      <c r="A6204" s="6" t="str">
        <f>HYPERLINK("proteomic_fractions_linear_files/Yang_linear_img/261862339.jpg", "261862339")</f>
        <v>261862339</v>
      </c>
      <c r="B6204" s="7"/>
      <c r="C6204" s="6" t="str">
        <f>HYPERLINK("http://www.ncbi.nlm.nih.gov/protein/261862339","Rbm3")</f>
        <v>Rbm3</v>
      </c>
      <c r="D6204" s="8"/>
      <c r="E6204" s="8">
        <v>16474</v>
      </c>
      <c r="F6204" s="8"/>
      <c r="G6204" s="15">
        <v>1.4443483359198404</v>
      </c>
      <c r="H6204" s="15">
        <v>1.4443483359198404</v>
      </c>
      <c r="I6204" s="15">
        <v>0.99546511144886096</v>
      </c>
      <c r="J6204" s="15">
        <v>0.99546511144886096</v>
      </c>
      <c r="K6204" s="15">
        <v>1.0447796575379389</v>
      </c>
      <c r="L6204" s="15">
        <v>1.0447796575379389</v>
      </c>
      <c r="M6204" s="15">
        <v>1.0447796575379389</v>
      </c>
      <c r="N6204" s="15">
        <v>1.0447796575379389</v>
      </c>
      <c r="O6204" s="15">
        <v>0.99546511144886096</v>
      </c>
      <c r="P6204" s="15">
        <v>0.99546511144886096</v>
      </c>
      <c r="Q6204" s="8"/>
      <c r="R6204" s="9" t="s">
        <v>5729</v>
      </c>
    </row>
    <row r="6205" spans="1:18" x14ac:dyDescent="0.25">
      <c r="A6205" s="6" t="str">
        <f>HYPERLINK("proteomic_fractions_linear_files/Yang_linear_img/37497112.jpg", "37497112")</f>
        <v>37497112</v>
      </c>
      <c r="B6205" s="7"/>
      <c r="C6205" s="6" t="str">
        <f>HYPERLINK("http://www.ncbi.nlm.nih.gov/protein/37497112","Rbm3")</f>
        <v>Rbm3</v>
      </c>
      <c r="D6205" s="8"/>
      <c r="E6205" s="8">
        <v>16630</v>
      </c>
      <c r="F6205" s="8"/>
      <c r="G6205" s="15">
        <v>1.3593866691010261</v>
      </c>
      <c r="H6205" s="15">
        <v>1.3593866691010261</v>
      </c>
      <c r="I6205" s="15">
        <v>0.93690834018716329</v>
      </c>
      <c r="J6205" s="15">
        <v>0.93690834018716329</v>
      </c>
      <c r="K6205" s="15">
        <v>0.98332203062394252</v>
      </c>
      <c r="L6205" s="15">
        <v>0.98332203062394252</v>
      </c>
      <c r="M6205" s="15">
        <v>0.98332203062394252</v>
      </c>
      <c r="N6205" s="15">
        <v>0.98332203062394252</v>
      </c>
      <c r="O6205" s="15">
        <v>0.93690834018716329</v>
      </c>
      <c r="P6205" s="15">
        <v>0.93690834018716329</v>
      </c>
      <c r="Q6205" s="8"/>
      <c r="R6205" s="9" t="s">
        <v>5730</v>
      </c>
    </row>
    <row r="6206" spans="1:18" x14ac:dyDescent="0.25">
      <c r="A6206" s="6" t="str">
        <f>HYPERLINK("proteomic_fractions_linear_files/Yang_linear_img/294610680.jpg", "294610680")</f>
        <v>294610680</v>
      </c>
      <c r="B6206" s="7"/>
      <c r="C6206" s="6" t="str">
        <f>HYPERLINK("http://www.ncbi.nlm.nih.gov/protein/294610680","Rbm31y")</f>
        <v>Rbm31y</v>
      </c>
      <c r="D6206" s="8"/>
      <c r="E6206" s="8">
        <v>62433</v>
      </c>
      <c r="F6206" s="8"/>
      <c r="G6206" s="15">
        <v>0.9479549610579654</v>
      </c>
      <c r="H6206" s="15">
        <v>0.9479549610579654</v>
      </c>
      <c r="I6206" s="15">
        <v>0.71170305237041076</v>
      </c>
      <c r="J6206" s="15">
        <v>0.71170305237041076</v>
      </c>
      <c r="K6206" s="15">
        <v>0.65334384198746365</v>
      </c>
      <c r="L6206" s="15">
        <v>0.65334384198746365</v>
      </c>
      <c r="M6206" s="15">
        <v>0.71170305237041076</v>
      </c>
      <c r="N6206" s="15">
        <v>0.71170305237041076</v>
      </c>
      <c r="O6206" s="15">
        <v>0.55731252468508363</v>
      </c>
      <c r="P6206" s="15">
        <v>0.55731252468508363</v>
      </c>
      <c r="Q6206" s="8"/>
      <c r="R6206" s="9" t="s">
        <v>5731</v>
      </c>
    </row>
    <row r="6207" spans="1:18" x14ac:dyDescent="0.25">
      <c r="A6207" s="6" t="str">
        <f>HYPERLINK("proteomic_fractions_linear_files/Yang_linear_img/145966792.jpg", "145966792")</f>
        <v>145966792</v>
      </c>
      <c r="B6207" s="7"/>
      <c r="C6207" s="6" t="str">
        <f>HYPERLINK("http://www.ncbi.nlm.nih.gov/protein/145966792","Rbm33")</f>
        <v>Rbm33</v>
      </c>
      <c r="D6207" s="8"/>
      <c r="E6207" s="8">
        <v>137194</v>
      </c>
      <c r="F6207" s="8"/>
      <c r="G6207" s="15" t="s">
        <v>10</v>
      </c>
      <c r="H6207" s="15" t="s">
        <v>10</v>
      </c>
      <c r="I6207" s="15" t="s">
        <v>10</v>
      </c>
      <c r="J6207" s="15" t="s">
        <v>10</v>
      </c>
      <c r="K6207" s="15" t="s">
        <v>10</v>
      </c>
      <c r="L6207" s="15" t="s">
        <v>10</v>
      </c>
      <c r="M6207" s="15">
        <v>0.4777610462083528</v>
      </c>
      <c r="N6207" s="15">
        <v>0.4777610462083528</v>
      </c>
      <c r="O6207" s="15" t="s">
        <v>10</v>
      </c>
      <c r="P6207" s="15" t="s">
        <v>10</v>
      </c>
      <c r="Q6207" s="8"/>
      <c r="R6207" s="9" t="s">
        <v>5732</v>
      </c>
    </row>
    <row r="6208" spans="1:18" x14ac:dyDescent="0.25">
      <c r="A6208" s="6" t="str">
        <f>HYPERLINK("proteomic_fractions_linear_files/Yang_linear_img/42794007.jpg", "42794007")</f>
        <v>42794007</v>
      </c>
      <c r="B6208" s="7"/>
      <c r="C6208" s="6" t="str">
        <f>HYPERLINK("http://www.ncbi.nlm.nih.gov/protein/42794007","Rbm34")</f>
        <v>Rbm34</v>
      </c>
      <c r="D6208" s="8"/>
      <c r="E6208" s="8">
        <v>48985</v>
      </c>
      <c r="F6208" s="8"/>
      <c r="G6208" s="15" t="s">
        <v>10</v>
      </c>
      <c r="H6208" s="15" t="s">
        <v>10</v>
      </c>
      <c r="I6208" s="15" t="s">
        <v>10</v>
      </c>
      <c r="J6208" s="15" t="s">
        <v>10</v>
      </c>
      <c r="K6208" s="15">
        <v>1.0840932577551241</v>
      </c>
      <c r="L6208" s="15">
        <v>1.0840932577551241</v>
      </c>
      <c r="M6208" s="15" t="s">
        <v>10</v>
      </c>
      <c r="N6208" s="15" t="s">
        <v>10</v>
      </c>
      <c r="O6208" s="15" t="s">
        <v>10</v>
      </c>
      <c r="P6208" s="15" t="s">
        <v>10</v>
      </c>
      <c r="Q6208" s="8"/>
      <c r="R6208" s="9" t="s">
        <v>5733</v>
      </c>
    </row>
    <row r="6209" spans="1:18" x14ac:dyDescent="0.25">
      <c r="A6209" s="6" t="str">
        <f>HYPERLINK("proteomic_fractions_linear_files/Yang_linear_img/118403314.jpg", "118403314")</f>
        <v>118403314</v>
      </c>
      <c r="B6209" s="7"/>
      <c r="C6209" s="6" t="str">
        <f>HYPERLINK("http://www.ncbi.nlm.nih.gov/protein/118403314","Rbm39")</f>
        <v>Rbm39</v>
      </c>
      <c r="D6209" s="8"/>
      <c r="E6209" s="8">
        <v>59276</v>
      </c>
      <c r="F6209" s="8"/>
      <c r="G6209" s="15">
        <v>1.4084518385278619</v>
      </c>
      <c r="H6209" s="15">
        <v>1.4084518385278619</v>
      </c>
      <c r="I6209" s="15">
        <v>101.57796610169493</v>
      </c>
      <c r="J6209" s="15">
        <v>101.57796610169493</v>
      </c>
      <c r="K6209" s="15">
        <v>1.4084518385278619</v>
      </c>
      <c r="L6209" s="15">
        <v>1.4084518385278619</v>
      </c>
      <c r="M6209" s="15">
        <v>1.244680682062411</v>
      </c>
      <c r="N6209" s="15">
        <v>1.244680682062411</v>
      </c>
      <c r="O6209" s="15" t="s">
        <v>10</v>
      </c>
      <c r="P6209" s="15" t="s">
        <v>10</v>
      </c>
      <c r="Q6209" s="8"/>
      <c r="R6209" s="9" t="s">
        <v>5734</v>
      </c>
    </row>
    <row r="6210" spans="1:18" x14ac:dyDescent="0.25">
      <c r="A6210" s="6" t="str">
        <f>HYPERLINK("proteomic_fractions_linear_files/Yang_linear_img/86262144.jpg", "86262144")</f>
        <v>86262144</v>
      </c>
      <c r="B6210" s="7"/>
      <c r="C6210" s="6" t="str">
        <f>HYPERLINK("http://www.ncbi.nlm.nih.gov/protein/86262144","Rbm4")</f>
        <v>Rbm4</v>
      </c>
      <c r="D6210" s="8"/>
      <c r="E6210" s="8">
        <v>39915</v>
      </c>
      <c r="F6210" s="8"/>
      <c r="G6210" s="15" t="s">
        <v>10</v>
      </c>
      <c r="H6210" s="15" t="s">
        <v>10</v>
      </c>
      <c r="I6210" s="15" t="s">
        <v>10</v>
      </c>
      <c r="J6210" s="15" t="s">
        <v>10</v>
      </c>
      <c r="K6210" s="15">
        <v>1.0126829550805687</v>
      </c>
      <c r="L6210" s="15">
        <v>1.0126829550805687</v>
      </c>
      <c r="M6210" s="15">
        <v>0.93353316057811475</v>
      </c>
      <c r="N6210" s="15">
        <v>0.93353316057811475</v>
      </c>
      <c r="O6210" s="15" t="s">
        <v>10</v>
      </c>
      <c r="P6210" s="15" t="s">
        <v>10</v>
      </c>
      <c r="Q6210" s="8"/>
      <c r="R6210" s="9" t="s">
        <v>5735</v>
      </c>
    </row>
    <row r="6211" spans="1:18" x14ac:dyDescent="0.25">
      <c r="A6211" s="6" t="str">
        <f>HYPERLINK("proteomic_fractions_linear_files/Yang_linear_img/224922828.jpg", "224922828")</f>
        <v>224922828</v>
      </c>
      <c r="B6211" s="7"/>
      <c r="C6211" s="6" t="str">
        <f>HYPERLINK("http://www.ncbi.nlm.nih.gov/protein/224922828","Rbm42")</f>
        <v>Rbm42</v>
      </c>
      <c r="D6211" s="8"/>
      <c r="E6211" s="8">
        <v>50105</v>
      </c>
      <c r="F6211" s="8"/>
      <c r="G6211" s="15" t="s">
        <v>10</v>
      </c>
      <c r="H6211" s="15" t="s">
        <v>10</v>
      </c>
      <c r="I6211" s="15" t="s">
        <v>10</v>
      </c>
      <c r="J6211" s="15" t="s">
        <v>10</v>
      </c>
      <c r="K6211" s="15">
        <v>1.1754641517118771</v>
      </c>
      <c r="L6211" s="15">
        <v>1.1754641517118771</v>
      </c>
      <c r="M6211" s="15">
        <v>1.1754641517118771</v>
      </c>
      <c r="N6211" s="15">
        <v>1.1754641517118771</v>
      </c>
      <c r="O6211" s="15" t="s">
        <v>10</v>
      </c>
      <c r="P6211" s="15" t="s">
        <v>10</v>
      </c>
      <c r="Q6211" s="8"/>
      <c r="R6211" s="9" t="s">
        <v>5736</v>
      </c>
    </row>
    <row r="6212" spans="1:18" x14ac:dyDescent="0.25">
      <c r="A6212" s="6" t="str">
        <f>HYPERLINK("proteomic_fractions_linear_files/Yang_linear_img/461496486.jpg", "461496486")</f>
        <v>461496486</v>
      </c>
      <c r="B6212" s="7"/>
      <c r="C6212" s="6" t="str">
        <f>HYPERLINK("http://www.ncbi.nlm.nih.gov/protein/461496486","Rbm46")</f>
        <v>Rbm46</v>
      </c>
      <c r="D6212" s="8"/>
      <c r="E6212" s="8">
        <v>55101</v>
      </c>
      <c r="F6212" s="8"/>
      <c r="G6212" s="15" t="s">
        <v>10</v>
      </c>
      <c r="H6212" s="15" t="s">
        <v>10</v>
      </c>
      <c r="I6212" s="15" t="s">
        <v>10</v>
      </c>
      <c r="J6212" s="15" t="s">
        <v>10</v>
      </c>
      <c r="K6212" s="15">
        <v>1.3352029134851318</v>
      </c>
      <c r="L6212" s="15">
        <v>1.3352029134851318</v>
      </c>
      <c r="M6212" s="15" t="s">
        <v>10</v>
      </c>
      <c r="N6212" s="15" t="s">
        <v>10</v>
      </c>
      <c r="O6212" s="15" t="s">
        <v>10</v>
      </c>
      <c r="P6212" s="15" t="s">
        <v>10</v>
      </c>
      <c r="Q6212" s="8"/>
      <c r="R6212" s="9" t="s">
        <v>5737</v>
      </c>
    </row>
    <row r="6213" spans="1:18" x14ac:dyDescent="0.25">
      <c r="A6213" s="6" t="str">
        <f>HYPERLINK("proteomic_fractions_linear_files/Yang_linear_img/226423939.jpg", "226423939")</f>
        <v>226423939</v>
      </c>
      <c r="B6213" s="7"/>
      <c r="C6213" s="6" t="str">
        <f>HYPERLINK("http://www.ncbi.nlm.nih.gov/protein/226423939","Rbm46")</f>
        <v>Rbm46</v>
      </c>
      <c r="D6213" s="8"/>
      <c r="E6213" s="8">
        <v>59947</v>
      </c>
      <c r="F6213" s="8"/>
      <c r="G6213" s="15" t="s">
        <v>10</v>
      </c>
      <c r="H6213" s="15" t="s">
        <v>10</v>
      </c>
      <c r="I6213" s="15" t="s">
        <v>10</v>
      </c>
      <c r="J6213" s="15" t="s">
        <v>10</v>
      </c>
      <c r="K6213" s="15">
        <v>1.2239360040280374</v>
      </c>
      <c r="L6213" s="15">
        <v>1.2239360040280374</v>
      </c>
      <c r="M6213" s="15">
        <v>1.2239360040280374</v>
      </c>
      <c r="N6213" s="15">
        <v>1.2239360040280374</v>
      </c>
      <c r="O6213" s="15" t="s">
        <v>10</v>
      </c>
      <c r="P6213" s="15" t="s">
        <v>10</v>
      </c>
      <c r="Q6213" s="8"/>
      <c r="R6213" s="9" t="s">
        <v>5737</v>
      </c>
    </row>
    <row r="6214" spans="1:18" x14ac:dyDescent="0.25">
      <c r="A6214" s="6" t="str">
        <f>HYPERLINK("proteomic_fractions_linear_files/Yang_linear_img/188497698.jpg", "188497698")</f>
        <v>188497698</v>
      </c>
      <c r="B6214" s="7"/>
      <c r="C6214" s="6" t="str">
        <f>HYPERLINK("http://www.ncbi.nlm.nih.gov/protein/188497698","Rbm47")</f>
        <v>Rbm47</v>
      </c>
      <c r="D6214" s="8"/>
      <c r="E6214" s="8">
        <v>63931</v>
      </c>
      <c r="F6214" s="8"/>
      <c r="G6214" s="15">
        <v>1.2984165386428728</v>
      </c>
      <c r="H6214" s="15">
        <v>1.2984165386428728</v>
      </c>
      <c r="I6214" s="15">
        <v>1.1474400037762851</v>
      </c>
      <c r="J6214" s="15">
        <v>1.1474400037762851</v>
      </c>
      <c r="K6214" s="15">
        <v>1.1474400037762851</v>
      </c>
      <c r="L6214" s="15">
        <v>1.1474400037762851</v>
      </c>
      <c r="M6214" s="15">
        <v>1.1474400037762851</v>
      </c>
      <c r="N6214" s="15">
        <v>1.1474400037762851</v>
      </c>
      <c r="O6214" s="15" t="s">
        <v>10</v>
      </c>
      <c r="P6214" s="15" t="s">
        <v>10</v>
      </c>
      <c r="Q6214" s="8"/>
      <c r="R6214" s="9" t="s">
        <v>5738</v>
      </c>
    </row>
    <row r="6215" spans="1:18" x14ac:dyDescent="0.25">
      <c r="A6215" s="6" t="str">
        <f>HYPERLINK("proteomic_fractions_linear_files/Yang_linear_img/27754120.jpg", "27754120")</f>
        <v>27754120</v>
      </c>
      <c r="B6215" s="7"/>
      <c r="C6215" s="6" t="str">
        <f>HYPERLINK("http://www.ncbi.nlm.nih.gov/protein/27754120","Rbm4b")</f>
        <v>Rbm4b</v>
      </c>
      <c r="D6215" s="8"/>
      <c r="E6215" s="8">
        <v>39860</v>
      </c>
      <c r="F6215" s="8"/>
      <c r="G6215" s="15" t="s">
        <v>10</v>
      </c>
      <c r="H6215" s="15" t="s">
        <v>10</v>
      </c>
      <c r="I6215" s="15" t="s">
        <v>10</v>
      </c>
      <c r="J6215" s="15" t="s">
        <v>10</v>
      </c>
      <c r="K6215" s="15">
        <v>1.0126829550805687</v>
      </c>
      <c r="L6215" s="15">
        <v>1.0126829550805687</v>
      </c>
      <c r="M6215" s="15">
        <v>0.93353316057811475</v>
      </c>
      <c r="N6215" s="15">
        <v>0.93353316057811475</v>
      </c>
      <c r="O6215" s="15" t="s">
        <v>10</v>
      </c>
      <c r="P6215" s="15" t="s">
        <v>10</v>
      </c>
      <c r="Q6215" s="8"/>
      <c r="R6215" s="9" t="s">
        <v>5739</v>
      </c>
    </row>
    <row r="6216" spans="1:18" x14ac:dyDescent="0.25">
      <c r="A6216" s="6" t="str">
        <f>HYPERLINK("proteomic_fractions_linear_files/Yang_linear_img/22507333.jpg", "22507333")</f>
        <v>22507333</v>
      </c>
      <c r="B6216" s="7"/>
      <c r="C6216" s="6" t="str">
        <f>HYPERLINK("http://www.ncbi.nlm.nih.gov/protein/22507333","Rbm5")</f>
        <v>Rbm5</v>
      </c>
      <c r="D6216" s="8"/>
      <c r="E6216" s="8">
        <v>92180</v>
      </c>
      <c r="F6216" s="8"/>
      <c r="G6216" s="15">
        <v>1.6679659906113244</v>
      </c>
      <c r="H6216" s="15">
        <v>1.6679659906113244</v>
      </c>
      <c r="I6216" s="15" t="s">
        <v>10</v>
      </c>
      <c r="J6216" s="15" t="s">
        <v>10</v>
      </c>
      <c r="K6216" s="15">
        <v>1.6679659906113244</v>
      </c>
      <c r="L6216" s="15">
        <v>1.6679659906113244</v>
      </c>
      <c r="M6216" s="15" t="s">
        <v>10</v>
      </c>
      <c r="N6216" s="15" t="s">
        <v>10</v>
      </c>
      <c r="O6216" s="15" t="s">
        <v>10</v>
      </c>
      <c r="P6216" s="15" t="s">
        <v>10</v>
      </c>
      <c r="Q6216" s="8"/>
      <c r="R6216" s="9" t="s">
        <v>5740</v>
      </c>
    </row>
    <row r="6217" spans="1:18" x14ac:dyDescent="0.25">
      <c r="A6217" s="6" t="str">
        <f>HYPERLINK("proteomic_fractions_linear_files/Yang_linear_img/27753952.jpg", "27753952")</f>
        <v>27753952</v>
      </c>
      <c r="B6217" s="7"/>
      <c r="C6217" s="6" t="str">
        <f>HYPERLINK("http://www.ncbi.nlm.nih.gov/protein/27753952","Rbm7")</f>
        <v>Rbm7</v>
      </c>
      <c r="D6217" s="8"/>
      <c r="E6217" s="8">
        <v>30017</v>
      </c>
      <c r="F6217" s="8"/>
      <c r="G6217" s="15" t="s">
        <v>10</v>
      </c>
      <c r="H6217" s="15" t="s">
        <v>10</v>
      </c>
      <c r="I6217" s="15" t="s">
        <v>10</v>
      </c>
      <c r="J6217" s="15" t="s">
        <v>10</v>
      </c>
      <c r="K6217" s="15" t="s">
        <v>10</v>
      </c>
      <c r="L6217" s="15" t="s">
        <v>10</v>
      </c>
      <c r="M6217" s="15">
        <v>0.93060704325606869</v>
      </c>
      <c r="N6217" s="15">
        <v>0.93060704325606869</v>
      </c>
      <c r="O6217" s="15" t="s">
        <v>10</v>
      </c>
      <c r="P6217" s="15" t="s">
        <v>10</v>
      </c>
      <c r="Q6217" s="8"/>
      <c r="R6217" s="9" t="s">
        <v>5741</v>
      </c>
    </row>
    <row r="6218" spans="1:18" x14ac:dyDescent="0.25">
      <c r="A6218" s="6" t="str">
        <f>HYPERLINK("proteomic_fractions_linear_files/Yang_linear_img/162287294.jpg", "162287294")</f>
        <v>162287294</v>
      </c>
      <c r="B6218" s="7"/>
      <c r="C6218" s="6" t="str">
        <f>HYPERLINK("http://www.ncbi.nlm.nih.gov/protein/162287294","Rbm8a")</f>
        <v>Rbm8a</v>
      </c>
      <c r="D6218" s="8"/>
      <c r="E6218" s="8">
        <v>19629</v>
      </c>
      <c r="F6218" s="8"/>
      <c r="G6218" s="15">
        <v>0.92476495822820426</v>
      </c>
      <c r="H6218" s="15">
        <v>0.92476495822820426</v>
      </c>
      <c r="I6218" s="15">
        <v>0.97505749140176368</v>
      </c>
      <c r="J6218" s="15">
        <v>0.97505749140176368</v>
      </c>
      <c r="K6218" s="15">
        <v>1.0298720593328137</v>
      </c>
      <c r="L6218" s="15">
        <v>1.0298720593328137</v>
      </c>
      <c r="M6218" s="15">
        <v>1.0298720593328137</v>
      </c>
      <c r="N6218" s="15">
        <v>1.0298720593328137</v>
      </c>
      <c r="O6218" s="15">
        <v>0.97505749140176368</v>
      </c>
      <c r="P6218" s="15">
        <v>0.97505749140176368</v>
      </c>
      <c r="Q6218" s="8"/>
      <c r="R6218" s="9" t="s">
        <v>5742</v>
      </c>
    </row>
    <row r="6219" spans="1:18" x14ac:dyDescent="0.25">
      <c r="A6219" s="6" t="str">
        <f>HYPERLINK("proteomic_fractions_linear_files/Yang_linear_img/162287296.jpg", "162287296")</f>
        <v>162287296</v>
      </c>
      <c r="B6219" s="7"/>
      <c r="C6219" s="6" t="str">
        <f>HYPERLINK("http://www.ncbi.nlm.nih.gov/protein/162287296","Rbm8a")</f>
        <v>Rbm8a</v>
      </c>
      <c r="D6219" s="8"/>
      <c r="E6219" s="8">
        <v>19758</v>
      </c>
      <c r="F6219" s="8"/>
      <c r="G6219" s="15">
        <v>0.92476495822820426</v>
      </c>
      <c r="H6219" s="15">
        <v>0.92476495822820426</v>
      </c>
      <c r="I6219" s="15">
        <v>0.97505749140176368</v>
      </c>
      <c r="J6219" s="15">
        <v>0.97505749140176368</v>
      </c>
      <c r="K6219" s="15">
        <v>1.0298720593328137</v>
      </c>
      <c r="L6219" s="15">
        <v>1.0298720593328137</v>
      </c>
      <c r="M6219" s="15">
        <v>1.0298720593328137</v>
      </c>
      <c r="N6219" s="15">
        <v>1.0298720593328137</v>
      </c>
      <c r="O6219" s="15">
        <v>0.97505749140176368</v>
      </c>
      <c r="P6219" s="15">
        <v>0.97505749140176368</v>
      </c>
      <c r="Q6219" s="8"/>
      <c r="R6219" s="9" t="s">
        <v>5743</v>
      </c>
    </row>
    <row r="6220" spans="1:18" x14ac:dyDescent="0.25">
      <c r="A6220" s="6" t="str">
        <f>HYPERLINK("proteomic_fractions_linear_files/Yang_linear_img/213513165.jpg", "213513165")</f>
        <v>213513165</v>
      </c>
      <c r="B6220" s="7"/>
      <c r="C6220" s="6" t="str">
        <f>HYPERLINK("http://www.ncbi.nlm.nih.gov/protein/213513165","Rbms1")</f>
        <v>Rbms1</v>
      </c>
      <c r="D6220" s="8"/>
      <c r="E6220" s="8">
        <v>43860</v>
      </c>
      <c r="F6220" s="8"/>
      <c r="G6220" s="15" t="s">
        <v>10</v>
      </c>
      <c r="H6220" s="15" t="s">
        <v>10</v>
      </c>
      <c r="I6220" s="15">
        <v>1.0974994451003466</v>
      </c>
      <c r="J6220" s="15">
        <v>1.0974994451003466</v>
      </c>
      <c r="K6220" s="15">
        <v>1.0974994451003466</v>
      </c>
      <c r="L6220" s="15">
        <v>1.0974994451003466</v>
      </c>
      <c r="M6220" s="15">
        <v>1.0974994451003466</v>
      </c>
      <c r="N6220" s="15">
        <v>1.0974994451003466</v>
      </c>
      <c r="O6220" s="15">
        <v>1.0028543010673969</v>
      </c>
      <c r="P6220" s="15">
        <v>1.0028543010673969</v>
      </c>
      <c r="Q6220" s="8"/>
      <c r="R6220" s="9" t="s">
        <v>5744</v>
      </c>
    </row>
    <row r="6221" spans="1:18" x14ac:dyDescent="0.25">
      <c r="A6221" s="6" t="str">
        <f>HYPERLINK("proteomic_fractions_linear_files/Yang_linear_img/213513185.jpg", "213513185")</f>
        <v>213513185</v>
      </c>
      <c r="B6221" s="7"/>
      <c r="C6221" s="6" t="str">
        <f>HYPERLINK("http://www.ncbi.nlm.nih.gov/protein/213513185","Rbms1")</f>
        <v>Rbms1</v>
      </c>
      <c r="D6221" s="8"/>
      <c r="E6221" s="8">
        <v>43058</v>
      </c>
      <c r="F6221" s="8"/>
      <c r="G6221" s="15" t="s">
        <v>10</v>
      </c>
      <c r="H6221" s="15" t="s">
        <v>10</v>
      </c>
      <c r="I6221" s="15">
        <v>1.123022688009657</v>
      </c>
      <c r="J6221" s="15">
        <v>1.123022688009657</v>
      </c>
      <c r="K6221" s="15">
        <v>1.123022688009657</v>
      </c>
      <c r="L6221" s="15">
        <v>1.123022688009657</v>
      </c>
      <c r="M6221" s="15">
        <v>1.123022688009657</v>
      </c>
      <c r="N6221" s="15">
        <v>1.123022688009657</v>
      </c>
      <c r="O6221" s="15">
        <v>1.0261764941154761</v>
      </c>
      <c r="P6221" s="15">
        <v>1.0261764941154761</v>
      </c>
      <c r="Q6221" s="8"/>
      <c r="R6221" s="9" t="s">
        <v>5745</v>
      </c>
    </row>
    <row r="6222" spans="1:18" x14ac:dyDescent="0.25">
      <c r="A6222" s="6" t="str">
        <f>HYPERLINK("proteomic_fractions_linear_files/Yang_linear_img/213513205.jpg", "213513205")</f>
        <v>213513205</v>
      </c>
      <c r="B6222" s="7"/>
      <c r="C6222" s="6" t="str">
        <f>HYPERLINK("http://www.ncbi.nlm.nih.gov/protein/213513205","Rbms1")</f>
        <v>Rbms1</v>
      </c>
      <c r="D6222" s="8"/>
      <c r="E6222" s="8">
        <v>44890</v>
      </c>
      <c r="F6222" s="8"/>
      <c r="G6222" s="15" t="s">
        <v>10</v>
      </c>
      <c r="H6222" s="15" t="s">
        <v>10</v>
      </c>
      <c r="I6222" s="15">
        <v>1.0731105685425613</v>
      </c>
      <c r="J6222" s="15">
        <v>1.0731105685425613</v>
      </c>
      <c r="K6222" s="15">
        <v>1.0731105685425613</v>
      </c>
      <c r="L6222" s="15">
        <v>1.0731105685425613</v>
      </c>
      <c r="M6222" s="15">
        <v>1.0731105685425613</v>
      </c>
      <c r="N6222" s="15">
        <v>1.0731105685425613</v>
      </c>
      <c r="O6222" s="15">
        <v>0.98056864993256598</v>
      </c>
      <c r="P6222" s="15">
        <v>0.98056864993256598</v>
      </c>
      <c r="Q6222" s="8"/>
      <c r="R6222" s="9" t="s">
        <v>5746</v>
      </c>
    </row>
    <row r="6223" spans="1:18" x14ac:dyDescent="0.25">
      <c r="A6223" s="6" t="str">
        <f>HYPERLINK("proteomic_fractions_linear_files/Yang_linear_img/84872203.jpg", "84872203")</f>
        <v>84872203</v>
      </c>
      <c r="B6223" s="7"/>
      <c r="C6223" s="6" t="str">
        <f>HYPERLINK("http://www.ncbi.nlm.nih.gov/protein/84872203","Rbms2")</f>
        <v>Rbms2</v>
      </c>
      <c r="D6223" s="8"/>
      <c r="E6223" s="8">
        <v>40593</v>
      </c>
      <c r="F6223" s="8"/>
      <c r="G6223" s="15" t="s">
        <v>10</v>
      </c>
      <c r="H6223" s="15" t="s">
        <v>10</v>
      </c>
      <c r="I6223" s="15">
        <v>0.98798337081031085</v>
      </c>
      <c r="J6223" s="15">
        <v>0.98798337081031085</v>
      </c>
      <c r="K6223" s="15">
        <v>1.0762338840723285</v>
      </c>
      <c r="L6223" s="15">
        <v>1.0762338840723285</v>
      </c>
      <c r="M6223" s="15" t="s">
        <v>10</v>
      </c>
      <c r="N6223" s="15" t="s">
        <v>10</v>
      </c>
      <c r="O6223" s="15" t="s">
        <v>10</v>
      </c>
      <c r="P6223" s="15" t="s">
        <v>10</v>
      </c>
      <c r="Q6223" s="8"/>
      <c r="R6223" s="9" t="s">
        <v>5747</v>
      </c>
    </row>
    <row r="6224" spans="1:18" x14ac:dyDescent="0.25">
      <c r="A6224" s="6" t="str">
        <f>HYPERLINK("proteomic_fractions_linear_files/Yang_linear_img/84872207.jpg", "84872207")</f>
        <v>84872207</v>
      </c>
      <c r="B6224" s="7"/>
      <c r="C6224" s="6" t="str">
        <f>HYPERLINK("http://www.ncbi.nlm.nih.gov/protein/84872207","Rbms2")</f>
        <v>Rbms2</v>
      </c>
      <c r="D6224" s="8"/>
      <c r="E6224" s="8">
        <v>37452</v>
      </c>
      <c r="F6224" s="8"/>
      <c r="G6224" s="15" t="s">
        <v>10</v>
      </c>
      <c r="H6224" s="15" t="s">
        <v>10</v>
      </c>
      <c r="I6224" s="15">
        <v>1.0947923838708851</v>
      </c>
      <c r="J6224" s="15">
        <v>1.0947923838708851</v>
      </c>
      <c r="K6224" s="15">
        <v>1.1925834931612289</v>
      </c>
      <c r="L6224" s="15">
        <v>1.1925834931612289</v>
      </c>
      <c r="M6224" s="15" t="s">
        <v>10</v>
      </c>
      <c r="N6224" s="15" t="s">
        <v>10</v>
      </c>
      <c r="O6224" s="15" t="s">
        <v>10</v>
      </c>
      <c r="P6224" s="15" t="s">
        <v>10</v>
      </c>
      <c r="Q6224" s="8"/>
      <c r="R6224" s="9" t="s">
        <v>5748</v>
      </c>
    </row>
    <row r="6225" spans="1:18" x14ac:dyDescent="0.25">
      <c r="A6225" s="6" t="str">
        <f>HYPERLINK("proteomic_fractions_linear_files/Yang_linear_img/148747313.jpg", "148747313")</f>
        <v>148747313</v>
      </c>
      <c r="B6225" s="7"/>
      <c r="C6225" s="6" t="str">
        <f>HYPERLINK("http://www.ncbi.nlm.nih.gov/protein/148747313","Rbms3")</f>
        <v>Rbms3</v>
      </c>
      <c r="D6225" s="8"/>
      <c r="E6225" s="8">
        <v>44828</v>
      </c>
      <c r="F6225" s="8"/>
      <c r="G6225" s="15" t="s">
        <v>10</v>
      </c>
      <c r="H6225" s="15" t="s">
        <v>10</v>
      </c>
      <c r="I6225" s="15">
        <v>1.0731105685425613</v>
      </c>
      <c r="J6225" s="15">
        <v>1.0731105685425613</v>
      </c>
      <c r="K6225" s="15">
        <v>1.0731105685425613</v>
      </c>
      <c r="L6225" s="15">
        <v>1.0731105685425613</v>
      </c>
      <c r="M6225" s="15">
        <v>1.0731105685425613</v>
      </c>
      <c r="N6225" s="15">
        <v>1.0731105685425613</v>
      </c>
      <c r="O6225" s="15">
        <v>0.98056864993256598</v>
      </c>
      <c r="P6225" s="15">
        <v>0.98056864993256598</v>
      </c>
      <c r="Q6225" s="8"/>
      <c r="R6225" s="9" t="s">
        <v>5749</v>
      </c>
    </row>
    <row r="6226" spans="1:18" x14ac:dyDescent="0.25">
      <c r="A6226" s="6" t="str">
        <f>HYPERLINK("proteomic_fractions_linear_files/Yang_linear_img/287324565.jpg", "287324565")</f>
        <v>287324565</v>
      </c>
      <c r="B6226" s="7"/>
      <c r="C6226" s="6" t="str">
        <f>HYPERLINK("http://www.ncbi.nlm.nih.gov/protein/287324565","Rbms3")</f>
        <v>Rbms3</v>
      </c>
      <c r="D6226" s="8"/>
      <c r="E6226" s="8">
        <v>49873</v>
      </c>
      <c r="F6226" s="8"/>
      <c r="G6226" s="15" t="s">
        <v>10</v>
      </c>
      <c r="H6226" s="15" t="s">
        <v>10</v>
      </c>
      <c r="I6226" s="15">
        <v>0.96579951168830502</v>
      </c>
      <c r="J6226" s="15">
        <v>0.96579951168830502</v>
      </c>
      <c r="K6226" s="15">
        <v>0.96579951168830502</v>
      </c>
      <c r="L6226" s="15">
        <v>0.96579951168830502</v>
      </c>
      <c r="M6226" s="15">
        <v>0.96579951168830502</v>
      </c>
      <c r="N6226" s="15">
        <v>0.96579951168830502</v>
      </c>
      <c r="O6226" s="15">
        <v>0.88251178493930937</v>
      </c>
      <c r="P6226" s="15">
        <v>0.88251178493930937</v>
      </c>
      <c r="Q6226" s="8"/>
      <c r="R6226" s="9" t="s">
        <v>5750</v>
      </c>
    </row>
    <row r="6227" spans="1:18" x14ac:dyDescent="0.25">
      <c r="A6227" s="6" t="str">
        <f>HYPERLINK("proteomic_fractions_linear_files/Yang_linear_img/287324670.jpg", "287324670")</f>
        <v>287324670</v>
      </c>
      <c r="B6227" s="7"/>
      <c r="C6227" s="6" t="str">
        <f>HYPERLINK("http://www.ncbi.nlm.nih.gov/protein/287324670","Rbms3")</f>
        <v>Rbms3</v>
      </c>
      <c r="D6227" s="8"/>
      <c r="E6227" s="8">
        <v>44889</v>
      </c>
      <c r="F6227" s="8"/>
      <c r="G6227" s="15" t="s">
        <v>10</v>
      </c>
      <c r="H6227" s="15" t="s">
        <v>10</v>
      </c>
      <c r="I6227" s="15">
        <v>1.0731105685425613</v>
      </c>
      <c r="J6227" s="15">
        <v>1.0731105685425613</v>
      </c>
      <c r="K6227" s="15">
        <v>1.0731105685425613</v>
      </c>
      <c r="L6227" s="15">
        <v>1.0731105685425613</v>
      </c>
      <c r="M6227" s="15">
        <v>1.0731105685425613</v>
      </c>
      <c r="N6227" s="15">
        <v>1.0731105685425613</v>
      </c>
      <c r="O6227" s="15">
        <v>0.98056864993256598</v>
      </c>
      <c r="P6227" s="15">
        <v>0.98056864993256598</v>
      </c>
      <c r="Q6227" s="8"/>
      <c r="R6227" s="9" t="s">
        <v>5751</v>
      </c>
    </row>
    <row r="6228" spans="1:18" x14ac:dyDescent="0.25">
      <c r="A6228" s="6" t="str">
        <f>HYPERLINK("proteomic_fractions_linear_files/Yang_linear_img/287324761.jpg", "287324761")</f>
        <v>287324761</v>
      </c>
      <c r="B6228" s="7"/>
      <c r="C6228" s="6" t="str">
        <f>HYPERLINK("http://www.ncbi.nlm.nih.gov/protein/287324761","Rbms3")</f>
        <v>Rbms3</v>
      </c>
      <c r="D6228" s="8"/>
      <c r="E6228" s="8">
        <v>46796</v>
      </c>
      <c r="F6228" s="8"/>
      <c r="G6228" s="15" t="s">
        <v>10</v>
      </c>
      <c r="H6228" s="15" t="s">
        <v>10</v>
      </c>
      <c r="I6228" s="15">
        <v>1.0274462890301117</v>
      </c>
      <c r="J6228" s="15">
        <v>1.0274462890301117</v>
      </c>
      <c r="K6228" s="15">
        <v>1.0274462890301117</v>
      </c>
      <c r="L6228" s="15">
        <v>1.0274462890301117</v>
      </c>
      <c r="M6228" s="15">
        <v>1.0274462890301117</v>
      </c>
      <c r="N6228" s="15">
        <v>1.0274462890301117</v>
      </c>
      <c r="O6228" s="15">
        <v>0.93884232440352056</v>
      </c>
      <c r="P6228" s="15">
        <v>0.93884232440352056</v>
      </c>
      <c r="Q6228" s="8"/>
      <c r="R6228" s="9" t="s">
        <v>5752</v>
      </c>
    </row>
    <row r="6229" spans="1:18" x14ac:dyDescent="0.25">
      <c r="A6229" s="6" t="str">
        <f>HYPERLINK("proteomic_fractions_linear_files/Yang_linear_img/287324845.jpg", "287324845")</f>
        <v>287324845</v>
      </c>
      <c r="B6229" s="7"/>
      <c r="C6229" s="6" t="str">
        <f>HYPERLINK("http://www.ncbi.nlm.nih.gov/protein/287324845","Rbms3")</f>
        <v>Rbms3</v>
      </c>
      <c r="D6229" s="8"/>
      <c r="E6229" s="8">
        <v>44020</v>
      </c>
      <c r="F6229" s="8"/>
      <c r="G6229" s="15" t="s">
        <v>10</v>
      </c>
      <c r="H6229" s="15" t="s">
        <v>10</v>
      </c>
      <c r="I6229" s="15">
        <v>1.0974994451003466</v>
      </c>
      <c r="J6229" s="15">
        <v>1.0974994451003466</v>
      </c>
      <c r="K6229" s="15">
        <v>1.0974994451003466</v>
      </c>
      <c r="L6229" s="15">
        <v>1.0974994451003466</v>
      </c>
      <c r="M6229" s="15">
        <v>1.0974994451003466</v>
      </c>
      <c r="N6229" s="15">
        <v>1.0974994451003466</v>
      </c>
      <c r="O6229" s="15">
        <v>1.0028543010673969</v>
      </c>
      <c r="P6229" s="15">
        <v>1.0028543010673969</v>
      </c>
      <c r="Q6229" s="8"/>
      <c r="R6229" s="9" t="s">
        <v>5753</v>
      </c>
    </row>
    <row r="6230" spans="1:18" x14ac:dyDescent="0.25">
      <c r="A6230" s="6" t="str">
        <f>HYPERLINK("proteomic_fractions_linear_files/Yang_linear_img/287324984.jpg", "287324984")</f>
        <v>287324984</v>
      </c>
      <c r="B6230" s="7"/>
      <c r="C6230" s="6" t="str">
        <f>HYPERLINK("http://www.ncbi.nlm.nih.gov/protein/287324984","Rbms3")</f>
        <v>Rbms3</v>
      </c>
      <c r="D6230" s="8"/>
      <c r="E6230" s="8">
        <v>42113</v>
      </c>
      <c r="F6230" s="8"/>
      <c r="G6230" s="15" t="s">
        <v>10</v>
      </c>
      <c r="H6230" s="15" t="s">
        <v>10</v>
      </c>
      <c r="I6230" s="15">
        <v>1.1497613234384585</v>
      </c>
      <c r="J6230" s="15">
        <v>1.1497613234384585</v>
      </c>
      <c r="K6230" s="15">
        <v>1.1497613234384585</v>
      </c>
      <c r="L6230" s="15">
        <v>1.1497613234384585</v>
      </c>
      <c r="M6230" s="15">
        <v>1.1497613234384585</v>
      </c>
      <c r="N6230" s="15">
        <v>1.1497613234384585</v>
      </c>
      <c r="O6230" s="15">
        <v>1.0506092677848922</v>
      </c>
      <c r="P6230" s="15">
        <v>1.0506092677848922</v>
      </c>
      <c r="Q6230" s="8"/>
      <c r="R6230" s="9" t="s">
        <v>5754</v>
      </c>
    </row>
    <row r="6231" spans="1:18" x14ac:dyDescent="0.25">
      <c r="A6231" s="6" t="str">
        <f>HYPERLINK("proteomic_fractions_linear_files/Yang_linear_img/6755296.jpg", "6755296")</f>
        <v>6755296</v>
      </c>
      <c r="B6231" s="7"/>
      <c r="C6231" s="6" t="str">
        <f>HYPERLINK("http://www.ncbi.nlm.nih.gov/protein/6755296","Rbmx")</f>
        <v>Rbmx</v>
      </c>
      <c r="D6231" s="8"/>
      <c r="E6231" s="8">
        <v>42170</v>
      </c>
      <c r="F6231" s="8"/>
      <c r="G6231" s="15">
        <v>1.2647754673809781</v>
      </c>
      <c r="H6231" s="15">
        <v>1.2647754673809781</v>
      </c>
      <c r="I6231" s="15">
        <v>0.96445995721958921</v>
      </c>
      <c r="J6231" s="15">
        <v>0.96445995721958921</v>
      </c>
      <c r="K6231" s="15">
        <v>1.0506092677848922</v>
      </c>
      <c r="L6231" s="15">
        <v>1.0506092677848922</v>
      </c>
      <c r="M6231" s="15">
        <v>0.96445995721958921</v>
      </c>
      <c r="N6231" s="15">
        <v>0.96445995721958921</v>
      </c>
      <c r="O6231" s="15">
        <v>0.34565413623500829</v>
      </c>
      <c r="P6231" s="15">
        <v>0.34565413623500829</v>
      </c>
      <c r="Q6231" s="8"/>
      <c r="R6231" s="9" t="s">
        <v>5755</v>
      </c>
    </row>
    <row r="6232" spans="1:18" x14ac:dyDescent="0.25">
      <c r="A6232" s="6" t="str">
        <f>HYPERLINK("proteomic_fractions_linear_files/Yang_linear_img/27734072.jpg", "27734072")</f>
        <v>27734072</v>
      </c>
      <c r="B6232" s="7"/>
      <c r="C6232" s="6" t="str">
        <f>HYPERLINK("http://www.ncbi.nlm.nih.gov/protein/27734072","Rbmx2")</f>
        <v>Rbmx2</v>
      </c>
      <c r="D6232" s="8"/>
      <c r="E6232" s="8">
        <v>37405</v>
      </c>
      <c r="F6232" s="8"/>
      <c r="G6232" s="15" t="s">
        <v>10</v>
      </c>
      <c r="H6232" s="15" t="s">
        <v>10</v>
      </c>
      <c r="I6232" s="15" t="s">
        <v>10</v>
      </c>
      <c r="J6232" s="15" t="s">
        <v>10</v>
      </c>
      <c r="K6232" s="15" t="s">
        <v>10</v>
      </c>
      <c r="L6232" s="15" t="s">
        <v>10</v>
      </c>
      <c r="M6232" s="15">
        <v>1.0947923838708851</v>
      </c>
      <c r="N6232" s="15">
        <v>1.0947923838708851</v>
      </c>
      <c r="O6232" s="15" t="s">
        <v>10</v>
      </c>
      <c r="P6232" s="15" t="s">
        <v>10</v>
      </c>
      <c r="Q6232" s="8"/>
      <c r="R6232" s="9" t="s">
        <v>5756</v>
      </c>
    </row>
    <row r="6233" spans="1:18" x14ac:dyDescent="0.25">
      <c r="A6233" s="6" t="str">
        <f>HYPERLINK("proteomic_fractions_linear_files/Yang_linear_img/83699420.jpg", "83699420")</f>
        <v>83699420</v>
      </c>
      <c r="B6233" s="7"/>
      <c r="C6233" s="6" t="str">
        <f>HYPERLINK("http://www.ncbi.nlm.nih.gov/protein/83699420","Rbmxl1")</f>
        <v>Rbmxl1</v>
      </c>
      <c r="D6233" s="8"/>
      <c r="E6233" s="8">
        <v>42031</v>
      </c>
      <c r="F6233" s="8"/>
      <c r="G6233" s="15">
        <v>1.2647754673809781</v>
      </c>
      <c r="H6233" s="15">
        <v>1.2647754673809781</v>
      </c>
      <c r="I6233" s="15" t="s">
        <v>10</v>
      </c>
      <c r="J6233" s="15" t="s">
        <v>10</v>
      </c>
      <c r="K6233" s="15" t="s">
        <v>10</v>
      </c>
      <c r="L6233" s="15" t="s">
        <v>10</v>
      </c>
      <c r="M6233" s="15" t="s">
        <v>10</v>
      </c>
      <c r="N6233" s="15" t="s">
        <v>10</v>
      </c>
      <c r="O6233" s="15" t="s">
        <v>10</v>
      </c>
      <c r="P6233" s="15" t="s">
        <v>10</v>
      </c>
      <c r="Q6233" s="8"/>
      <c r="R6233" s="9" t="s">
        <v>5757</v>
      </c>
    </row>
    <row r="6234" spans="1:18" x14ac:dyDescent="0.25">
      <c r="A6234" s="6" t="str">
        <f>HYPERLINK("proteomic_fractions_linear_files/Yang_linear_img/83699420;355390287.jpg", "83699420;355390287")</f>
        <v>83699420;355390287</v>
      </c>
      <c r="B6234" s="8"/>
      <c r="C6234" s="6" t="str">
        <f>HYPERLINK("http://www.ncbi.nlm.nih.gov/protein/83699420;355390287","Rbmxl1")</f>
        <v>Rbmxl1</v>
      </c>
      <c r="D6234" s="8"/>
      <c r="E6234" s="8">
        <v>42031</v>
      </c>
      <c r="F6234" s="8"/>
      <c r="G6234" s="15" t="s">
        <v>10</v>
      </c>
      <c r="H6234" s="15" t="s">
        <v>10</v>
      </c>
      <c r="I6234" s="15" t="s">
        <v>10</v>
      </c>
      <c r="J6234" s="15" t="s">
        <v>10</v>
      </c>
      <c r="K6234" s="15">
        <v>1.0506092677848922</v>
      </c>
      <c r="L6234" s="15">
        <v>1.0506092677848922</v>
      </c>
      <c r="M6234" s="15" t="s">
        <v>10</v>
      </c>
      <c r="N6234" s="15" t="s">
        <v>10</v>
      </c>
      <c r="O6234" s="15" t="s">
        <v>10</v>
      </c>
      <c r="P6234" s="15" t="s">
        <v>10</v>
      </c>
      <c r="Q6234" s="8"/>
      <c r="R6234" s="9" t="s">
        <v>5757</v>
      </c>
    </row>
    <row r="6235" spans="1:18" x14ac:dyDescent="0.25">
      <c r="A6235" s="6" t="str">
        <f>HYPERLINK("proteomic_fractions_linear_files/Yang_linear_img/355390287;83699420.jpg", "355390287;83699420")</f>
        <v>355390287;83699420</v>
      </c>
      <c r="B6235" s="8"/>
      <c r="C6235" s="6" t="str">
        <f>HYPERLINK("http://www.ncbi.nlm.nih.gov/protein/355390287;83699420","Rbmxl1")</f>
        <v>Rbmxl1</v>
      </c>
      <c r="D6235" s="8"/>
      <c r="E6235" s="8">
        <v>42031</v>
      </c>
      <c r="F6235" s="8"/>
      <c r="G6235" s="15" t="s">
        <v>10</v>
      </c>
      <c r="H6235" s="15" t="s">
        <v>10</v>
      </c>
      <c r="I6235" s="15">
        <v>0.96445995721958921</v>
      </c>
      <c r="J6235" s="15">
        <v>0.96445995721958921</v>
      </c>
      <c r="K6235" s="15" t="s">
        <v>10</v>
      </c>
      <c r="L6235" s="15" t="s">
        <v>10</v>
      </c>
      <c r="M6235" s="15">
        <v>0.96445995721958921</v>
      </c>
      <c r="N6235" s="15">
        <v>0.96445995721958921</v>
      </c>
      <c r="O6235" s="15">
        <v>0.34565413623500829</v>
      </c>
      <c r="P6235" s="15">
        <v>0.34565413623500829</v>
      </c>
      <c r="Q6235" s="8"/>
      <c r="R6235" s="9" t="s">
        <v>5757</v>
      </c>
    </row>
    <row r="6236" spans="1:18" x14ac:dyDescent="0.25">
      <c r="A6236" s="6" t="str">
        <f>HYPERLINK("proteomic_fractions_linear_files/Yang_linear_img/6755300.jpg", "6755300")</f>
        <v>6755300</v>
      </c>
      <c r="B6236" s="7"/>
      <c r="C6236" s="6" t="str">
        <f>HYPERLINK("http://www.ncbi.nlm.nih.gov/protein/6755300","Rbp1")</f>
        <v>Rbp1</v>
      </c>
      <c r="D6236" s="8"/>
      <c r="E6236" s="8">
        <v>15715</v>
      </c>
      <c r="F6236" s="8"/>
      <c r="G6236" s="15" t="s">
        <v>10</v>
      </c>
      <c r="H6236" s="15" t="s">
        <v>10</v>
      </c>
      <c r="I6236" s="15" t="s">
        <v>10</v>
      </c>
      <c r="J6236" s="15" t="s">
        <v>10</v>
      </c>
      <c r="K6236" s="15">
        <v>4.0908289581590207</v>
      </c>
      <c r="L6236" s="15">
        <v>4.0908289581590207</v>
      </c>
      <c r="M6236" s="15" t="s">
        <v>10</v>
      </c>
      <c r="N6236" s="15" t="s">
        <v>10</v>
      </c>
      <c r="O6236" s="15" t="s">
        <v>10</v>
      </c>
      <c r="P6236" s="15" t="s">
        <v>10</v>
      </c>
      <c r="Q6236" s="8"/>
      <c r="R6236" s="9" t="s">
        <v>5758</v>
      </c>
    </row>
    <row r="6237" spans="1:18" x14ac:dyDescent="0.25">
      <c r="A6237" s="6" t="str">
        <f>HYPERLINK("proteomic_fractions_linear_files/Yang_linear_img/555290065.jpg", "555290065")</f>
        <v>555290065</v>
      </c>
      <c r="B6237" s="7"/>
      <c r="C6237" s="6" t="str">
        <f>HYPERLINK("http://www.ncbi.nlm.nih.gov/protein/555290065","Rbpms")</f>
        <v>Rbpms</v>
      </c>
      <c r="D6237" s="8"/>
      <c r="E6237" s="8">
        <v>20587</v>
      </c>
      <c r="F6237" s="8"/>
      <c r="G6237" s="15">
        <v>1.6453988824035801</v>
      </c>
      <c r="H6237" s="15">
        <v>1.6453988824035801</v>
      </c>
      <c r="I6237" s="15" t="s">
        <v>10</v>
      </c>
      <c r="J6237" s="15" t="s">
        <v>10</v>
      </c>
      <c r="K6237" s="15" t="s">
        <v>10</v>
      </c>
      <c r="L6237" s="15" t="s">
        <v>10</v>
      </c>
      <c r="M6237" s="15" t="s">
        <v>10</v>
      </c>
      <c r="N6237" s="15" t="s">
        <v>10</v>
      </c>
      <c r="O6237" s="15" t="s">
        <v>10</v>
      </c>
      <c r="P6237" s="15" t="s">
        <v>10</v>
      </c>
      <c r="Q6237" s="8"/>
      <c r="R6237" s="9" t="s">
        <v>5759</v>
      </c>
    </row>
    <row r="6238" spans="1:18" x14ac:dyDescent="0.25">
      <c r="A6238" s="6" t="str">
        <f>HYPERLINK("proteomic_fractions_linear_files/Yang_linear_img/111185961;33342267.jpg", "111185961;33342267")</f>
        <v>111185961;33342267</v>
      </c>
      <c r="B6238" s="8"/>
      <c r="C6238" s="6" t="str">
        <f>HYPERLINK("http://www.ncbi.nlm.nih.gov/protein/111185961;33342267","Rbpms")</f>
        <v>Rbpms</v>
      </c>
      <c r="D6238" s="8"/>
      <c r="E6238" s="8">
        <v>21685</v>
      </c>
      <c r="F6238" s="8"/>
      <c r="G6238" s="15" t="s">
        <v>10</v>
      </c>
      <c r="H6238" s="15" t="s">
        <v>10</v>
      </c>
      <c r="I6238" s="15" t="s">
        <v>10</v>
      </c>
      <c r="J6238" s="15" t="s">
        <v>10</v>
      </c>
      <c r="K6238" s="15">
        <v>1.1161282096944054</v>
      </c>
      <c r="L6238" s="15">
        <v>1.1161282096944054</v>
      </c>
      <c r="M6238" s="15" t="s">
        <v>10</v>
      </c>
      <c r="N6238" s="15" t="s">
        <v>10</v>
      </c>
      <c r="O6238" s="15" t="s">
        <v>10</v>
      </c>
      <c r="P6238" s="15" t="s">
        <v>10</v>
      </c>
      <c r="Q6238" s="8"/>
      <c r="R6238" s="9" t="s">
        <v>5760</v>
      </c>
    </row>
    <row r="6239" spans="1:18" x14ac:dyDescent="0.25">
      <c r="A6239" s="6" t="str">
        <f>HYPERLINK("proteomic_fractions_linear_files/Yang_linear_img/33342267.jpg", "33342267")</f>
        <v>33342267</v>
      </c>
      <c r="B6239" s="7"/>
      <c r="C6239" s="6" t="str">
        <f>HYPERLINK("http://www.ncbi.nlm.nih.gov/protein/33342267","Rbpms")</f>
        <v>Rbpms</v>
      </c>
      <c r="D6239" s="8"/>
      <c r="E6239" s="8">
        <v>21685</v>
      </c>
      <c r="F6239" s="8"/>
      <c r="G6239" s="15">
        <v>1.5706080241125084</v>
      </c>
      <c r="H6239" s="15">
        <v>1.5706080241125084</v>
      </c>
      <c r="I6239" s="15">
        <v>1.0504351533962475</v>
      </c>
      <c r="J6239" s="15">
        <v>1.0504351533962475</v>
      </c>
      <c r="K6239" s="15" t="s">
        <v>10</v>
      </c>
      <c r="L6239" s="15" t="s">
        <v>10</v>
      </c>
      <c r="M6239" s="15">
        <v>1.1161282096944054</v>
      </c>
      <c r="N6239" s="15">
        <v>1.1161282096944054</v>
      </c>
      <c r="O6239" s="15">
        <v>0.93624732666619426</v>
      </c>
      <c r="P6239" s="15">
        <v>0.93624732666619426</v>
      </c>
      <c r="Q6239" s="8"/>
      <c r="R6239" s="9" t="s">
        <v>5761</v>
      </c>
    </row>
    <row r="6240" spans="1:18" x14ac:dyDescent="0.25">
      <c r="A6240" s="6" t="str">
        <f>HYPERLINK("proteomic_fractions_linear_files/Yang_linear_img/111185959.jpg", "111185959")</f>
        <v>111185959</v>
      </c>
      <c r="B6240" s="7"/>
      <c r="C6240" s="6" t="str">
        <f>HYPERLINK("http://www.ncbi.nlm.nih.gov/protein/111185959","Rbpms")</f>
        <v>Rbpms</v>
      </c>
      <c r="D6240" s="8"/>
      <c r="E6240" s="8">
        <v>24160</v>
      </c>
      <c r="F6240" s="8"/>
      <c r="G6240" s="15">
        <v>1.4397240221031327</v>
      </c>
      <c r="H6240" s="15">
        <v>1.4397240221031327</v>
      </c>
      <c r="I6240" s="15">
        <v>0.96289889061322687</v>
      </c>
      <c r="J6240" s="15">
        <v>0.96289889061322687</v>
      </c>
      <c r="K6240" s="15">
        <v>1.0231175255532048</v>
      </c>
      <c r="L6240" s="15">
        <v>1.0231175255532048</v>
      </c>
      <c r="M6240" s="15">
        <v>1.0231175255532048</v>
      </c>
      <c r="N6240" s="15">
        <v>1.0231175255532048</v>
      </c>
      <c r="O6240" s="15">
        <v>0.85822671611067802</v>
      </c>
      <c r="P6240" s="15">
        <v>0.85822671611067802</v>
      </c>
      <c r="Q6240" s="8"/>
      <c r="R6240" s="9" t="s">
        <v>5762</v>
      </c>
    </row>
    <row r="6241" spans="1:18" x14ac:dyDescent="0.25">
      <c r="A6241" s="6" t="str">
        <f>HYPERLINK("proteomic_fractions_linear_files/Yang_linear_img/155030209.jpg", "155030209")</f>
        <v>155030209</v>
      </c>
      <c r="B6241" s="7"/>
      <c r="C6241" s="6" t="str">
        <f>HYPERLINK("http://www.ncbi.nlm.nih.gov/protein/155030209","Rc3h2")</f>
        <v>Rc3h2</v>
      </c>
      <c r="D6241" s="8"/>
      <c r="E6241" s="8">
        <v>131164</v>
      </c>
      <c r="F6241" s="8"/>
      <c r="G6241" s="15" t="s">
        <v>10</v>
      </c>
      <c r="H6241" s="15" t="s">
        <v>10</v>
      </c>
      <c r="I6241" s="15" t="s">
        <v>10</v>
      </c>
      <c r="J6241" s="15" t="s">
        <v>10</v>
      </c>
      <c r="K6241" s="15">
        <v>0.98260784843600735</v>
      </c>
      <c r="L6241" s="15">
        <v>0.98260784843600735</v>
      </c>
      <c r="M6241" s="15" t="s">
        <v>10</v>
      </c>
      <c r="N6241" s="15" t="s">
        <v>10</v>
      </c>
      <c r="O6241" s="15" t="s">
        <v>10</v>
      </c>
      <c r="P6241" s="15" t="s">
        <v>10</v>
      </c>
      <c r="Q6241" s="8"/>
      <c r="R6241" s="9" t="s">
        <v>5763</v>
      </c>
    </row>
    <row r="6242" spans="1:18" x14ac:dyDescent="0.25">
      <c r="A6242" s="6" t="str">
        <f>HYPERLINK("proteomic_fractions_linear_files/Yang_linear_img/169808411.jpg", "169808411")</f>
        <v>169808411</v>
      </c>
      <c r="B6242" s="7"/>
      <c r="C6242" s="6" t="str">
        <f>HYPERLINK("http://www.ncbi.nlm.nih.gov/protein/169808411","Rcbtb1")</f>
        <v>Rcbtb1</v>
      </c>
      <c r="D6242" s="8"/>
      <c r="E6242" s="8">
        <v>58237</v>
      </c>
      <c r="F6242" s="8"/>
      <c r="G6242" s="15" t="s">
        <v>10</v>
      </c>
      <c r="H6242" s="15" t="s">
        <v>10</v>
      </c>
      <c r="I6242" s="15" t="s">
        <v>10</v>
      </c>
      <c r="J6242" s="15" t="s">
        <v>10</v>
      </c>
      <c r="K6242" s="15" t="s">
        <v>10</v>
      </c>
      <c r="L6242" s="15" t="s">
        <v>10</v>
      </c>
      <c r="M6242" s="15">
        <v>0.91587189017243242</v>
      </c>
      <c r="N6242" s="15">
        <v>0.91587189017243242</v>
      </c>
      <c r="O6242" s="15" t="s">
        <v>10</v>
      </c>
      <c r="P6242" s="15" t="s">
        <v>10</v>
      </c>
      <c r="Q6242" s="8"/>
      <c r="R6242" s="9" t="s">
        <v>5764</v>
      </c>
    </row>
    <row r="6243" spans="1:18" x14ac:dyDescent="0.25">
      <c r="A6243" s="6" t="str">
        <f>HYPERLINK("proteomic_fractions_linear_files/Yang_linear_img/33239431.jpg", "33239431")</f>
        <v>33239431</v>
      </c>
      <c r="B6243" s="7"/>
      <c r="C6243" s="6" t="str">
        <f>HYPERLINK("http://www.ncbi.nlm.nih.gov/protein/33239431","Rcc2")</f>
        <v>Rcc2</v>
      </c>
      <c r="D6243" s="8"/>
      <c r="E6243" s="8">
        <v>55852</v>
      </c>
      <c r="F6243" s="8"/>
      <c r="G6243" s="15">
        <v>1.3113600043157543</v>
      </c>
      <c r="H6243" s="15">
        <v>1.3113600043157543</v>
      </c>
      <c r="I6243" s="15">
        <v>1.0495215640284616</v>
      </c>
      <c r="J6243" s="15">
        <v>1.0495215640284616</v>
      </c>
      <c r="K6243" s="15">
        <v>1.0495215640284616</v>
      </c>
      <c r="L6243" s="15">
        <v>1.0495215640284616</v>
      </c>
      <c r="M6243" s="15">
        <v>1.0495215640284616</v>
      </c>
      <c r="N6243" s="15">
        <v>1.0495215640284616</v>
      </c>
      <c r="O6243" s="15">
        <v>0.94858160053573359</v>
      </c>
      <c r="P6243" s="15">
        <v>0.94858160053573359</v>
      </c>
      <c r="Q6243" s="8"/>
      <c r="R6243" s="9" t="s">
        <v>5765</v>
      </c>
    </row>
    <row r="6244" spans="1:18" x14ac:dyDescent="0.25">
      <c r="A6244" s="6" t="str">
        <f>HYPERLINK("proteomic_fractions_linear_files/Yang_linear_img/12963507.jpg", "12963507")</f>
        <v>12963507</v>
      </c>
      <c r="B6244" s="7"/>
      <c r="C6244" s="6" t="str">
        <f>HYPERLINK("http://www.ncbi.nlm.nih.gov/protein/12963507","Rce1")</f>
        <v>Rce1</v>
      </c>
      <c r="D6244" s="8"/>
      <c r="E6244" s="8">
        <v>35736</v>
      </c>
      <c r="F6244" s="8"/>
      <c r="G6244" s="15" t="s">
        <v>10</v>
      </c>
      <c r="H6244" s="15" t="s">
        <v>10</v>
      </c>
      <c r="I6244" s="15">
        <v>0.68207835036880327</v>
      </c>
      <c r="J6244" s="15">
        <v>0.68207835036880327</v>
      </c>
      <c r="K6244" s="15" t="s">
        <v>10</v>
      </c>
      <c r="L6244" s="15" t="s">
        <v>10</v>
      </c>
      <c r="M6244" s="15" t="s">
        <v>10</v>
      </c>
      <c r="N6244" s="15" t="s">
        <v>10</v>
      </c>
      <c r="O6244" s="15" t="s">
        <v>10</v>
      </c>
      <c r="P6244" s="15" t="s">
        <v>10</v>
      </c>
      <c r="Q6244" s="8"/>
      <c r="R6244" s="9" t="s">
        <v>5766</v>
      </c>
    </row>
    <row r="6245" spans="1:18" x14ac:dyDescent="0.25">
      <c r="A6245" s="6" t="str">
        <f>HYPERLINK("proteomic_fractions_linear_files/Yang_linear_img/13386058.jpg", "13386058")</f>
        <v>13386058</v>
      </c>
      <c r="B6245" s="7"/>
      <c r="C6245" s="6" t="str">
        <f>HYPERLINK("http://www.ncbi.nlm.nih.gov/protein/13386058","Rchy1")</f>
        <v>Rchy1</v>
      </c>
      <c r="D6245" s="8"/>
      <c r="E6245" s="8">
        <v>29883</v>
      </c>
      <c r="F6245" s="8"/>
      <c r="G6245" s="15" t="s">
        <v>10</v>
      </c>
      <c r="H6245" s="15" t="s">
        <v>10</v>
      </c>
      <c r="I6245" s="15">
        <v>0.93060704325606869</v>
      </c>
      <c r="J6245" s="15">
        <v>0.93060704325606869</v>
      </c>
      <c r="K6245" s="15">
        <v>0.93060704325606869</v>
      </c>
      <c r="L6245" s="15">
        <v>0.93060704325606869</v>
      </c>
      <c r="M6245" s="15" t="s">
        <v>10</v>
      </c>
      <c r="N6245" s="15" t="s">
        <v>10</v>
      </c>
      <c r="O6245" s="15">
        <v>0.87167527051416671</v>
      </c>
      <c r="P6245" s="15">
        <v>0.87167527051416671</v>
      </c>
      <c r="Q6245" s="8"/>
      <c r="R6245" s="9" t="s">
        <v>5767</v>
      </c>
    </row>
    <row r="6246" spans="1:18" x14ac:dyDescent="0.25">
      <c r="A6246" s="6" t="str">
        <f>HYPERLINK("proteomic_fractions_linear_files/Yang_linear_img/422398909.jpg", "422398909")</f>
        <v>422398909</v>
      </c>
      <c r="B6246" s="7"/>
      <c r="C6246" s="6" t="str">
        <f>HYPERLINK("http://www.ncbi.nlm.nih.gov/protein/422398909","Rchy1")</f>
        <v>Rchy1</v>
      </c>
      <c r="D6246" s="8"/>
      <c r="E6246" s="8">
        <v>25123</v>
      </c>
      <c r="F6246" s="8"/>
      <c r="G6246" s="15" t="s">
        <v>10</v>
      </c>
      <c r="H6246" s="15" t="s">
        <v>10</v>
      </c>
      <c r="I6246" s="15">
        <v>1.1167284519072824</v>
      </c>
      <c r="J6246" s="15">
        <v>1.1167284519072824</v>
      </c>
      <c r="K6246" s="15">
        <v>1.1167284519072824</v>
      </c>
      <c r="L6246" s="15">
        <v>1.1167284519072824</v>
      </c>
      <c r="M6246" s="15" t="s">
        <v>10</v>
      </c>
      <c r="N6246" s="15" t="s">
        <v>10</v>
      </c>
      <c r="O6246" s="15">
        <v>1.0460103246170001</v>
      </c>
      <c r="P6246" s="15">
        <v>1.0460103246170001</v>
      </c>
      <c r="Q6246" s="8"/>
      <c r="R6246" s="9" t="s">
        <v>5768</v>
      </c>
    </row>
    <row r="6247" spans="1:18" x14ac:dyDescent="0.25">
      <c r="A6247" s="6" t="str">
        <f>HYPERLINK("proteomic_fractions_linear_files/Yang_linear_img/506949339.jpg", "506949339")</f>
        <v>506949339</v>
      </c>
      <c r="B6247" s="7"/>
      <c r="C6247" s="6" t="str">
        <f>HYPERLINK("http://www.ncbi.nlm.nih.gov/protein/506949339","Rcn2")</f>
        <v>Rcn2</v>
      </c>
      <c r="D6247" s="8"/>
      <c r="E6247" s="8">
        <v>7160</v>
      </c>
      <c r="F6247" s="8"/>
      <c r="G6247" s="15">
        <v>5.7867597433175346</v>
      </c>
      <c r="H6247" s="15">
        <v>5.7867597433175346</v>
      </c>
      <c r="I6247" s="15" t="s">
        <v>10</v>
      </c>
      <c r="J6247" s="15" t="s">
        <v>10</v>
      </c>
      <c r="K6247" s="15" t="s">
        <v>10</v>
      </c>
      <c r="L6247" s="15" t="s">
        <v>10</v>
      </c>
      <c r="M6247" s="15" t="s">
        <v>10</v>
      </c>
      <c r="N6247" s="15" t="s">
        <v>10</v>
      </c>
      <c r="O6247" s="15" t="s">
        <v>10</v>
      </c>
      <c r="P6247" s="15" t="s">
        <v>10</v>
      </c>
      <c r="Q6247" s="8"/>
      <c r="R6247" s="9" t="s">
        <v>5769</v>
      </c>
    </row>
    <row r="6248" spans="1:18" x14ac:dyDescent="0.25">
      <c r="A6248" s="6" t="str">
        <f>HYPERLINK("proteomic_fractions_linear_files/Yang_linear_img/114205428.jpg", "114205428")</f>
        <v>114205428</v>
      </c>
      <c r="B6248" s="7"/>
      <c r="C6248" s="6" t="str">
        <f>HYPERLINK("http://www.ncbi.nlm.nih.gov/protein/114205428","Rcn2")</f>
        <v>Rcn2</v>
      </c>
      <c r="D6248" s="8"/>
      <c r="E6248" s="8">
        <v>34771</v>
      </c>
      <c r="F6248" s="8"/>
      <c r="G6248" s="15">
        <v>1.1573519486635071</v>
      </c>
      <c r="H6248" s="15">
        <v>1.1573519486635071</v>
      </c>
      <c r="I6248" s="15">
        <v>1.2607311213418706</v>
      </c>
      <c r="J6248" s="15">
        <v>1.2607311213418706</v>
      </c>
      <c r="K6248" s="15">
        <v>1.2607311213418706</v>
      </c>
      <c r="L6248" s="15">
        <v>1.2607311213418706</v>
      </c>
      <c r="M6248" s="15" t="s">
        <v>10</v>
      </c>
      <c r="N6248" s="15" t="s">
        <v>10</v>
      </c>
      <c r="O6248" s="15" t="s">
        <v>10</v>
      </c>
      <c r="P6248" s="15" t="s">
        <v>10</v>
      </c>
      <c r="Q6248" s="8"/>
      <c r="R6248" s="9" t="s">
        <v>5770</v>
      </c>
    </row>
    <row r="6249" spans="1:18" x14ac:dyDescent="0.25">
      <c r="A6249" s="6" t="str">
        <f>HYPERLINK("proteomic_fractions_linear_files/Yang_linear_img/39930559.jpg", "39930559")</f>
        <v>39930559</v>
      </c>
      <c r="B6249" s="7"/>
      <c r="C6249" s="6" t="str">
        <f>HYPERLINK("http://www.ncbi.nlm.nih.gov/protein/39930559","Rcor1")</f>
        <v>Rcor1</v>
      </c>
      <c r="D6249" s="8"/>
      <c r="E6249" s="8">
        <v>43756</v>
      </c>
      <c r="F6249" s="8"/>
      <c r="G6249" s="15" t="s">
        <v>10</v>
      </c>
      <c r="H6249" s="15" t="s">
        <v>10</v>
      </c>
      <c r="I6249" s="15" t="s">
        <v>10</v>
      </c>
      <c r="J6249" s="15" t="s">
        <v>10</v>
      </c>
      <c r="K6249" s="15" t="s">
        <v>10</v>
      </c>
      <c r="L6249" s="15" t="s">
        <v>10</v>
      </c>
      <c r="M6249" s="15">
        <v>1.4875741666032802</v>
      </c>
      <c r="N6249" s="15">
        <v>1.4875741666032802</v>
      </c>
      <c r="O6249" s="15" t="s">
        <v>10</v>
      </c>
      <c r="P6249" s="15" t="s">
        <v>10</v>
      </c>
      <c r="Q6249" s="8"/>
      <c r="R6249" s="9" t="s">
        <v>5771</v>
      </c>
    </row>
    <row r="6250" spans="1:18" x14ac:dyDescent="0.25">
      <c r="A6250" s="6" t="str">
        <f>HYPERLINK("proteomic_fractions_linear_files/Yang_linear_img/57634523.jpg", "57634523")</f>
        <v>57634523</v>
      </c>
      <c r="B6250" s="7"/>
      <c r="C6250" s="6" t="str">
        <f>HYPERLINK("http://www.ncbi.nlm.nih.gov/protein/57634523","Rcor3")</f>
        <v>Rcor3</v>
      </c>
      <c r="D6250" s="8"/>
      <c r="E6250" s="8">
        <v>44276</v>
      </c>
      <c r="F6250" s="8"/>
      <c r="G6250" s="15" t="s">
        <v>10</v>
      </c>
      <c r="H6250" s="15" t="s">
        <v>10</v>
      </c>
      <c r="I6250" s="15" t="s">
        <v>10</v>
      </c>
      <c r="J6250" s="15" t="s">
        <v>10</v>
      </c>
      <c r="K6250" s="15" t="s">
        <v>10</v>
      </c>
      <c r="L6250" s="15" t="s">
        <v>10</v>
      </c>
      <c r="M6250" s="15">
        <v>1.4875741666032802</v>
      </c>
      <c r="N6250" s="15">
        <v>1.4875741666032802</v>
      </c>
      <c r="O6250" s="15" t="s">
        <v>10</v>
      </c>
      <c r="P6250" s="15" t="s">
        <v>10</v>
      </c>
      <c r="Q6250" s="8"/>
      <c r="R6250" s="9" t="s">
        <v>5772</v>
      </c>
    </row>
    <row r="6251" spans="1:18" x14ac:dyDescent="0.25">
      <c r="A6251" s="6" t="str">
        <f>HYPERLINK("proteomic_fractions_linear_files/Yang_linear_img/25141231.jpg", "25141231")</f>
        <v>25141231</v>
      </c>
      <c r="B6251" s="7"/>
      <c r="C6251" s="6" t="str">
        <f>HYPERLINK("http://www.ncbi.nlm.nih.gov/protein/25141231","Rdh10")</f>
        <v>Rdh10</v>
      </c>
      <c r="D6251" s="8"/>
      <c r="E6251" s="8">
        <v>37945</v>
      </c>
      <c r="F6251" s="8"/>
      <c r="G6251" s="15" t="s">
        <v>10</v>
      </c>
      <c r="H6251" s="15" t="s">
        <v>10</v>
      </c>
      <c r="I6251" s="15">
        <v>0.90929938238092589</v>
      </c>
      <c r="J6251" s="15">
        <v>0.90929938238092589</v>
      </c>
      <c r="K6251" s="15">
        <v>0.98266648481906815</v>
      </c>
      <c r="L6251" s="15">
        <v>0.98266648481906815</v>
      </c>
      <c r="M6251" s="15" t="s">
        <v>10</v>
      </c>
      <c r="N6251" s="15" t="s">
        <v>10</v>
      </c>
      <c r="O6251" s="15" t="s">
        <v>10</v>
      </c>
      <c r="P6251" s="15" t="s">
        <v>10</v>
      </c>
      <c r="Q6251" s="8"/>
      <c r="R6251" s="9" t="s">
        <v>5773</v>
      </c>
    </row>
    <row r="6252" spans="1:18" x14ac:dyDescent="0.25">
      <c r="A6252" s="6" t="str">
        <f>HYPERLINK("proteomic_fractions_linear_files/Yang_linear_img/19482172.jpg", "19482172")</f>
        <v>19482172</v>
      </c>
      <c r="B6252" s="7"/>
      <c r="C6252" s="6" t="str">
        <f>HYPERLINK("http://www.ncbi.nlm.nih.gov/protein/19482172","Rdh11")</f>
        <v>Rdh11</v>
      </c>
      <c r="D6252" s="8"/>
      <c r="E6252" s="8">
        <v>32968</v>
      </c>
      <c r="F6252" s="8"/>
      <c r="G6252" s="15">
        <v>0.79243206410378786</v>
      </c>
      <c r="H6252" s="15">
        <v>0.79243206410378786</v>
      </c>
      <c r="I6252" s="15">
        <v>0.84600640296006246</v>
      </c>
      <c r="J6252" s="15">
        <v>0.84600640296006246</v>
      </c>
      <c r="K6252" s="15">
        <v>0.84600640296006246</v>
      </c>
      <c r="L6252" s="15">
        <v>0.84600640296006246</v>
      </c>
      <c r="M6252" s="15">
        <v>0.84600640296006246</v>
      </c>
      <c r="N6252" s="15">
        <v>0.84600640296006246</v>
      </c>
      <c r="O6252" s="15" t="s">
        <v>10</v>
      </c>
      <c r="P6252" s="15" t="s">
        <v>10</v>
      </c>
      <c r="Q6252" s="8"/>
      <c r="R6252" s="9" t="s">
        <v>5774</v>
      </c>
    </row>
    <row r="6253" spans="1:18" x14ac:dyDescent="0.25">
      <c r="A6253" s="6" t="str">
        <f>HYPERLINK("proteomic_fractions_linear_files/Yang_linear_img/58037513.jpg", "58037513")</f>
        <v>58037513</v>
      </c>
      <c r="B6253" s="7"/>
      <c r="C6253" s="6" t="str">
        <f>HYPERLINK("http://www.ncbi.nlm.nih.gov/protein/58037513","Rdh12")</f>
        <v>Rdh12</v>
      </c>
      <c r="D6253" s="8"/>
      <c r="E6253" s="8">
        <v>33139</v>
      </c>
      <c r="F6253" s="8"/>
      <c r="G6253" s="15" t="s">
        <v>10</v>
      </c>
      <c r="H6253" s="15" t="s">
        <v>10</v>
      </c>
      <c r="I6253" s="15">
        <v>0.84600640296006246</v>
      </c>
      <c r="J6253" s="15">
        <v>0.79243206410378786</v>
      </c>
      <c r="K6253" s="15">
        <v>0.84600640296006246</v>
      </c>
      <c r="L6253" s="15">
        <v>0.84600640296006246</v>
      </c>
      <c r="M6253" s="15" t="s">
        <v>10</v>
      </c>
      <c r="N6253" s="15" t="s">
        <v>10</v>
      </c>
      <c r="O6253" s="15" t="s">
        <v>10</v>
      </c>
      <c r="P6253" s="15" t="s">
        <v>10</v>
      </c>
      <c r="Q6253" s="8"/>
      <c r="R6253" s="9" t="s">
        <v>5775</v>
      </c>
    </row>
    <row r="6254" spans="1:18" x14ac:dyDescent="0.25">
      <c r="A6254" s="6" t="str">
        <f>HYPERLINK("proteomic_fractions_linear_files/Yang_linear_img/30425078.jpg", "30425078")</f>
        <v>30425078</v>
      </c>
      <c r="B6254" s="7"/>
      <c r="C6254" s="6" t="str">
        <f>HYPERLINK("http://www.ncbi.nlm.nih.gov/protein/30425078","Rdh13")</f>
        <v>Rdh13</v>
      </c>
      <c r="D6254" s="8"/>
      <c r="E6254" s="8">
        <v>34807</v>
      </c>
      <c r="F6254" s="8"/>
      <c r="G6254" s="15" t="s">
        <v>10</v>
      </c>
      <c r="H6254" s="15" t="s">
        <v>10</v>
      </c>
      <c r="I6254" s="15">
        <v>0.91668779587810256</v>
      </c>
      <c r="J6254" s="15">
        <v>0.91668779587810256</v>
      </c>
      <c r="K6254" s="15" t="s">
        <v>10</v>
      </c>
      <c r="L6254" s="15" t="s">
        <v>10</v>
      </c>
      <c r="M6254" s="15" t="s">
        <v>10</v>
      </c>
      <c r="N6254" s="15" t="s">
        <v>10</v>
      </c>
      <c r="O6254" s="15" t="s">
        <v>10</v>
      </c>
      <c r="P6254" s="15" t="s">
        <v>10</v>
      </c>
      <c r="Q6254" s="8"/>
      <c r="R6254" s="9" t="s">
        <v>5776</v>
      </c>
    </row>
    <row r="6255" spans="1:18" x14ac:dyDescent="0.25">
      <c r="A6255" s="6" t="str">
        <f>HYPERLINK("proteomic_fractions_linear_files/Yang_linear_img/12963791.jpg", "12963791")</f>
        <v>12963791</v>
      </c>
      <c r="B6255" s="7"/>
      <c r="C6255" s="6" t="str">
        <f>HYPERLINK("http://www.ncbi.nlm.nih.gov/protein/12963791","Rdh14")</f>
        <v>Rdh14</v>
      </c>
      <c r="D6255" s="8"/>
      <c r="E6255" s="8">
        <v>36235</v>
      </c>
      <c r="F6255" s="8"/>
      <c r="G6255" s="15" t="s">
        <v>10</v>
      </c>
      <c r="H6255" s="15" t="s">
        <v>10</v>
      </c>
      <c r="I6255" s="15">
        <v>0.83015019143647584</v>
      </c>
      <c r="J6255" s="15">
        <v>0.83015019143647584</v>
      </c>
      <c r="K6255" s="15">
        <v>0.77550586938005717</v>
      </c>
      <c r="L6255" s="15">
        <v>0.77550586938005717</v>
      </c>
      <c r="M6255" s="15" t="s">
        <v>10</v>
      </c>
      <c r="N6255" s="15" t="s">
        <v>10</v>
      </c>
      <c r="O6255" s="15" t="s">
        <v>10</v>
      </c>
      <c r="P6255" s="15" t="s">
        <v>10</v>
      </c>
      <c r="Q6255" s="8"/>
      <c r="R6255" s="9" t="s">
        <v>5777</v>
      </c>
    </row>
    <row r="6256" spans="1:18" x14ac:dyDescent="0.25">
      <c r="A6256" s="6" t="str">
        <f>HYPERLINK("proteomic_fractions_linear_files/Yang_linear_img/157277948.jpg", "157277948")</f>
        <v>157277948</v>
      </c>
      <c r="B6256" s="7"/>
      <c r="C6256" s="6" t="str">
        <f>HYPERLINK("http://www.ncbi.nlm.nih.gov/protein/157277948","Rdx")</f>
        <v>Rdx</v>
      </c>
      <c r="D6256" s="8"/>
      <c r="E6256" s="8">
        <v>68412</v>
      </c>
      <c r="F6256" s="8"/>
      <c r="G6256" s="15">
        <v>1.6147288797225217</v>
      </c>
      <c r="H6256" s="15">
        <v>1.6147288797225217</v>
      </c>
      <c r="I6256" s="15">
        <v>1.222039095193292</v>
      </c>
      <c r="J6256" s="15">
        <v>1.222039095193292</v>
      </c>
      <c r="K6256" s="15">
        <v>1.3965879585674192</v>
      </c>
      <c r="L6256" s="15">
        <v>1.3965879585674192</v>
      </c>
      <c r="M6256" s="15">
        <v>1.222039095193292</v>
      </c>
      <c r="N6256" s="15">
        <v>1.222039095193292</v>
      </c>
      <c r="O6256" s="15">
        <v>1.222039095193292</v>
      </c>
      <c r="P6256" s="15">
        <v>1.222039095193292</v>
      </c>
      <c r="Q6256" s="8"/>
      <c r="R6256" s="9" t="s">
        <v>5778</v>
      </c>
    </row>
    <row r="6257" spans="1:18" x14ac:dyDescent="0.25">
      <c r="A6257" s="6" t="str">
        <f>HYPERLINK("proteomic_fractions_linear_files/Yang_linear_img/157277952.jpg", "157277952")</f>
        <v>157277952</v>
      </c>
      <c r="B6257" s="7"/>
      <c r="C6257" s="6" t="str">
        <f>HYPERLINK("http://www.ncbi.nlm.nih.gov/protein/157277952","Rdx")</f>
        <v>Rdx</v>
      </c>
      <c r="D6257" s="8"/>
      <c r="E6257" s="8">
        <v>46236</v>
      </c>
      <c r="F6257" s="8"/>
      <c r="G6257" s="15">
        <v>2.3869905178506841</v>
      </c>
      <c r="H6257" s="15">
        <v>2.3869905178506841</v>
      </c>
      <c r="I6257" s="15">
        <v>1.8064925755031274</v>
      </c>
      <c r="J6257" s="15">
        <v>1.8064925755031274</v>
      </c>
      <c r="K6257" s="15">
        <v>2.0645213300561851</v>
      </c>
      <c r="L6257" s="15">
        <v>2.0645213300561851</v>
      </c>
      <c r="M6257" s="15">
        <v>1.8064925755031274</v>
      </c>
      <c r="N6257" s="15">
        <v>1.8064925755031274</v>
      </c>
      <c r="O6257" s="15">
        <v>1.8064925755031274</v>
      </c>
      <c r="P6257" s="15">
        <v>1.8064925755031274</v>
      </c>
      <c r="Q6257" s="8"/>
      <c r="R6257" s="9" t="s">
        <v>5779</v>
      </c>
    </row>
    <row r="6258" spans="1:18" x14ac:dyDescent="0.25">
      <c r="A6258" s="6" t="str">
        <f>HYPERLINK("proteomic_fractions_linear_files/Yang_linear_img/110625690.jpg", "110625690")</f>
        <v>110625690</v>
      </c>
      <c r="B6258" s="7"/>
      <c r="C6258" s="6" t="str">
        <f>HYPERLINK("http://www.ncbi.nlm.nih.gov/protein/110625690","Recql")</f>
        <v>Recql</v>
      </c>
      <c r="D6258" s="8"/>
      <c r="E6258" s="8">
        <v>72354</v>
      </c>
      <c r="F6258" s="8"/>
      <c r="G6258" s="15" t="s">
        <v>10</v>
      </c>
      <c r="H6258" s="15" t="s">
        <v>10</v>
      </c>
      <c r="I6258" s="15" t="s">
        <v>10</v>
      </c>
      <c r="J6258" s="15" t="s">
        <v>10</v>
      </c>
      <c r="K6258" s="15">
        <v>1.0199466700233646</v>
      </c>
      <c r="L6258" s="15">
        <v>1.0199466700233646</v>
      </c>
      <c r="M6258" s="15">
        <v>1.0199466700233646</v>
      </c>
      <c r="N6258" s="15">
        <v>1.0199466700233646</v>
      </c>
      <c r="O6258" s="15">
        <v>0.30271864264831599</v>
      </c>
      <c r="P6258" s="15">
        <v>0.30271864264831599</v>
      </c>
      <c r="Q6258" s="8"/>
      <c r="R6258" s="9" t="s">
        <v>5780</v>
      </c>
    </row>
    <row r="6259" spans="1:18" x14ac:dyDescent="0.25">
      <c r="A6259" s="6" t="str">
        <f>HYPERLINK("proteomic_fractions_linear_files/Yang_linear_img/326368214.jpg", "326368214")</f>
        <v>326368214</v>
      </c>
      <c r="B6259" s="7"/>
      <c r="C6259" s="6" t="str">
        <f>HYPERLINK("http://www.ncbi.nlm.nih.gov/protein/326368214","Recql")</f>
        <v>Recql</v>
      </c>
      <c r="D6259" s="8"/>
      <c r="E6259" s="8">
        <v>71170</v>
      </c>
      <c r="F6259" s="8"/>
      <c r="G6259" s="15" t="s">
        <v>10</v>
      </c>
      <c r="H6259" s="15" t="s">
        <v>10</v>
      </c>
      <c r="I6259" s="15" t="s">
        <v>10</v>
      </c>
      <c r="J6259" s="15" t="s">
        <v>10</v>
      </c>
      <c r="K6259" s="15">
        <v>1.0343121160800317</v>
      </c>
      <c r="L6259" s="15">
        <v>1.0343121160800317</v>
      </c>
      <c r="M6259" s="15">
        <v>1.0343121160800317</v>
      </c>
      <c r="N6259" s="15">
        <v>1.0343121160800317</v>
      </c>
      <c r="O6259" s="15">
        <v>0.3069822855025176</v>
      </c>
      <c r="P6259" s="15">
        <v>0.3069822855025176</v>
      </c>
      <c r="Q6259" s="8"/>
      <c r="R6259" s="9" t="s">
        <v>5781</v>
      </c>
    </row>
    <row r="6260" spans="1:18" x14ac:dyDescent="0.25">
      <c r="A6260" s="6" t="str">
        <f>HYPERLINK("proteomic_fractions_linear_files/Yang_linear_img/326368226.jpg", "326368226")</f>
        <v>326368226</v>
      </c>
      <c r="B6260" s="7"/>
      <c r="C6260" s="6" t="str">
        <f>HYPERLINK("http://www.ncbi.nlm.nih.gov/protein/326368226","Recql")</f>
        <v>Recql</v>
      </c>
      <c r="D6260" s="8"/>
      <c r="E6260" s="8">
        <v>70409</v>
      </c>
      <c r="F6260" s="8"/>
      <c r="G6260" s="15" t="s">
        <v>10</v>
      </c>
      <c r="H6260" s="15" t="s">
        <v>10</v>
      </c>
      <c r="I6260" s="15" t="s">
        <v>10</v>
      </c>
      <c r="J6260" s="15" t="s">
        <v>10</v>
      </c>
      <c r="K6260" s="15">
        <v>1.0490880034526036</v>
      </c>
      <c r="L6260" s="15">
        <v>1.0490880034526036</v>
      </c>
      <c r="M6260" s="15">
        <v>1.0490880034526036</v>
      </c>
      <c r="N6260" s="15">
        <v>1.0490880034526036</v>
      </c>
      <c r="O6260" s="15">
        <v>0.31136774672398215</v>
      </c>
      <c r="P6260" s="15">
        <v>0.31136774672398215</v>
      </c>
      <c r="Q6260" s="8"/>
      <c r="R6260" s="9" t="s">
        <v>5782</v>
      </c>
    </row>
    <row r="6261" spans="1:18" x14ac:dyDescent="0.25">
      <c r="A6261" s="6" t="str">
        <f>HYPERLINK("proteomic_fractions_linear_files/Yang_linear_img/30519927.jpg", "30519927")</f>
        <v>30519927</v>
      </c>
      <c r="B6261" s="7"/>
      <c r="C6261" s="6" t="str">
        <f>HYPERLINK("http://www.ncbi.nlm.nih.gov/protein/30519927","Reep3")</f>
        <v>Reep3</v>
      </c>
      <c r="D6261" s="8"/>
      <c r="E6261" s="8">
        <v>29083</v>
      </c>
      <c r="F6261" s="8"/>
      <c r="G6261" s="15" t="s">
        <v>10</v>
      </c>
      <c r="H6261" s="15" t="s">
        <v>10</v>
      </c>
      <c r="I6261" s="15" t="s">
        <v>10</v>
      </c>
      <c r="J6261" s="15" t="s">
        <v>10</v>
      </c>
      <c r="K6261" s="15" t="s">
        <v>10</v>
      </c>
      <c r="L6261" s="15" t="s">
        <v>10</v>
      </c>
      <c r="M6261" s="15">
        <v>0.90173303846293107</v>
      </c>
      <c r="N6261" s="15">
        <v>0.90173303846293107</v>
      </c>
      <c r="O6261" s="15" t="s">
        <v>10</v>
      </c>
      <c r="P6261" s="15" t="s">
        <v>10</v>
      </c>
      <c r="Q6261" s="8"/>
      <c r="R6261" s="9" t="s">
        <v>5783</v>
      </c>
    </row>
    <row r="6262" spans="1:18" x14ac:dyDescent="0.25">
      <c r="A6262" s="6" t="str">
        <f>HYPERLINK("proteomic_fractions_linear_files/Yang_linear_img/326319958.jpg", "326319958")</f>
        <v>326319958</v>
      </c>
      <c r="B6262" s="7"/>
      <c r="C6262" s="6" t="str">
        <f>HYPERLINK("http://www.ncbi.nlm.nih.gov/protein/326319958","Reep3")</f>
        <v>Reep3</v>
      </c>
      <c r="D6262" s="8"/>
      <c r="E6262" s="8">
        <v>30447</v>
      </c>
      <c r="F6262" s="8"/>
      <c r="G6262" s="15" t="s">
        <v>10</v>
      </c>
      <c r="H6262" s="15" t="s">
        <v>10</v>
      </c>
      <c r="I6262" s="15" t="s">
        <v>10</v>
      </c>
      <c r="J6262" s="15" t="s">
        <v>10</v>
      </c>
      <c r="K6262" s="15" t="s">
        <v>10</v>
      </c>
      <c r="L6262" s="15" t="s">
        <v>10</v>
      </c>
      <c r="M6262" s="15">
        <v>0.87167527051416671</v>
      </c>
      <c r="N6262" s="15">
        <v>0.87167527051416671</v>
      </c>
      <c r="O6262" s="15" t="s">
        <v>10</v>
      </c>
      <c r="P6262" s="15" t="s">
        <v>10</v>
      </c>
      <c r="Q6262" s="8"/>
      <c r="R6262" s="9" t="s">
        <v>5784</v>
      </c>
    </row>
    <row r="6263" spans="1:18" x14ac:dyDescent="0.25">
      <c r="A6263" s="6" t="str">
        <f>HYPERLINK("proteomic_fractions_linear_files/Yang_linear_img/161016826.jpg", "161016826")</f>
        <v>161016826</v>
      </c>
      <c r="B6263" s="7"/>
      <c r="C6263" s="6" t="str">
        <f>HYPERLINK("http://www.ncbi.nlm.nih.gov/protein/161016826","Reep5")</f>
        <v>Reep5</v>
      </c>
      <c r="D6263" s="8"/>
      <c r="E6263" s="8">
        <v>21316</v>
      </c>
      <c r="F6263" s="8"/>
      <c r="G6263" s="15">
        <v>1.100455874986545</v>
      </c>
      <c r="H6263" s="15">
        <v>1.100455874986545</v>
      </c>
      <c r="I6263" s="15">
        <v>0.79602259621938198</v>
      </c>
      <c r="J6263" s="15">
        <v>0.79602259621938198</v>
      </c>
      <c r="K6263" s="15">
        <v>0.83666379835042703</v>
      </c>
      <c r="L6263" s="15">
        <v>0.83666379835042703</v>
      </c>
      <c r="M6263" s="15">
        <v>0.83666379835042703</v>
      </c>
      <c r="N6263" s="15">
        <v>0.83666379835042703</v>
      </c>
      <c r="O6263" s="15" t="s">
        <v>10</v>
      </c>
      <c r="P6263" s="15" t="s">
        <v>10</v>
      </c>
      <c r="Q6263" s="8"/>
      <c r="R6263" s="9" t="s">
        <v>5785</v>
      </c>
    </row>
    <row r="6264" spans="1:18" x14ac:dyDescent="0.25">
      <c r="A6264" s="6" t="str">
        <f>HYPERLINK("proteomic_fractions_linear_files/Yang_linear_img/21314830.jpg", "21314830")</f>
        <v>21314830</v>
      </c>
      <c r="B6264" s="7"/>
      <c r="C6264" s="6" t="str">
        <f>HYPERLINK("http://www.ncbi.nlm.nih.gov/protein/21314830","Reep6")</f>
        <v>Reep6</v>
      </c>
      <c r="D6264" s="8"/>
      <c r="E6264" s="8">
        <v>22073</v>
      </c>
      <c r="F6264" s="8"/>
      <c r="G6264" s="15">
        <v>1.0504351533962475</v>
      </c>
      <c r="H6264" s="15">
        <v>1.0504351533962475</v>
      </c>
      <c r="I6264" s="15">
        <v>0.7239746265082625</v>
      </c>
      <c r="J6264" s="15">
        <v>0.7239746265082625</v>
      </c>
      <c r="K6264" s="15">
        <v>0.75983975093668288</v>
      </c>
      <c r="L6264" s="15">
        <v>0.75983975093668288</v>
      </c>
      <c r="M6264" s="15">
        <v>0.7239746265082625</v>
      </c>
      <c r="N6264" s="15">
        <v>0.7239746265082625</v>
      </c>
      <c r="O6264" s="15">
        <v>0.69074264971883115</v>
      </c>
      <c r="P6264" s="15">
        <v>0.69074264971883115</v>
      </c>
      <c r="Q6264" s="8"/>
      <c r="R6264" s="9" t="s">
        <v>5786</v>
      </c>
    </row>
    <row r="6265" spans="1:18" x14ac:dyDescent="0.25">
      <c r="A6265" s="6" t="str">
        <f>HYPERLINK("proteomic_fractions_linear_files/Yang_linear_img/326368217.jpg", "326368217")</f>
        <v>326368217</v>
      </c>
      <c r="B6265" s="7"/>
      <c r="C6265" s="6" t="str">
        <f>HYPERLINK("http://www.ncbi.nlm.nih.gov/protein/326368217","Reep6")</f>
        <v>Reep6</v>
      </c>
      <c r="D6265" s="8"/>
      <c r="E6265" s="8">
        <v>19318</v>
      </c>
      <c r="F6265" s="8"/>
      <c r="G6265" s="15">
        <v>1.2162933355114445</v>
      </c>
      <c r="H6265" s="15">
        <v>1.2162933355114445</v>
      </c>
      <c r="I6265" s="15">
        <v>0.83828640964114609</v>
      </c>
      <c r="J6265" s="15">
        <v>0.83828640964114609</v>
      </c>
      <c r="K6265" s="15">
        <v>0.87981444845300116</v>
      </c>
      <c r="L6265" s="15">
        <v>0.87981444845300116</v>
      </c>
      <c r="M6265" s="15">
        <v>0.83828640964114609</v>
      </c>
      <c r="N6265" s="15">
        <v>0.83828640964114609</v>
      </c>
      <c r="O6265" s="15">
        <v>0.79980727862180456</v>
      </c>
      <c r="P6265" s="15">
        <v>0.79980727862180456</v>
      </c>
      <c r="Q6265" s="8"/>
      <c r="R6265" s="9" t="s">
        <v>5787</v>
      </c>
    </row>
    <row r="6266" spans="1:18" x14ac:dyDescent="0.25">
      <c r="A6266" s="6" t="str">
        <f>HYPERLINK("proteomic_fractions_linear_files/Yang_linear_img/6677709.jpg", "6677709")</f>
        <v>6677709</v>
      </c>
      <c r="B6266" s="7"/>
      <c r="C6266" s="6" t="str">
        <f>HYPERLINK("http://www.ncbi.nlm.nih.gov/protein/6677709","Rela")</f>
        <v>Rela</v>
      </c>
      <c r="D6266" s="8"/>
      <c r="E6266" s="8">
        <v>60081</v>
      </c>
      <c r="F6266" s="8"/>
      <c r="G6266" s="15" t="s">
        <v>10</v>
      </c>
      <c r="H6266" s="15" t="s">
        <v>10</v>
      </c>
      <c r="I6266" s="15" t="s">
        <v>10</v>
      </c>
      <c r="J6266" s="15" t="s">
        <v>10</v>
      </c>
      <c r="K6266" s="15">
        <v>1.0908877221757389</v>
      </c>
      <c r="L6266" s="15">
        <v>1.0908877221757389</v>
      </c>
      <c r="M6266" s="15" t="s">
        <v>10</v>
      </c>
      <c r="N6266" s="15" t="s">
        <v>10</v>
      </c>
      <c r="O6266" s="15">
        <v>0.57588960884125306</v>
      </c>
      <c r="P6266" s="15">
        <v>0.97955345975989749</v>
      </c>
      <c r="Q6266" s="8"/>
      <c r="R6266" s="9" t="s">
        <v>5788</v>
      </c>
    </row>
    <row r="6267" spans="1:18" x14ac:dyDescent="0.25">
      <c r="A6267" s="6" t="str">
        <f>HYPERLINK("proteomic_fractions_linear_files/Yang_linear_img/110625912.jpg", "110625912")</f>
        <v>110625912</v>
      </c>
      <c r="B6267" s="7"/>
      <c r="C6267" s="6" t="str">
        <f>HYPERLINK("http://www.ncbi.nlm.nih.gov/protein/110625912","Rell1")</f>
        <v>Rell1</v>
      </c>
      <c r="D6267" s="8"/>
      <c r="E6267" s="8">
        <v>27209</v>
      </c>
      <c r="F6267" s="8"/>
      <c r="G6267" s="15" t="s">
        <v>10</v>
      </c>
      <c r="H6267" s="15" t="s">
        <v>10</v>
      </c>
      <c r="I6267" s="15">
        <v>0.72226480844575092</v>
      </c>
      <c r="J6267" s="15">
        <v>0.72226480844575092</v>
      </c>
      <c r="K6267" s="15">
        <v>1.2797546863138958</v>
      </c>
      <c r="L6267" s="15">
        <v>1.1882989946567994</v>
      </c>
      <c r="M6267" s="15" t="s">
        <v>10</v>
      </c>
      <c r="N6267" s="15" t="s">
        <v>10</v>
      </c>
      <c r="O6267" s="15" t="s">
        <v>10</v>
      </c>
      <c r="P6267" s="15" t="s">
        <v>10</v>
      </c>
      <c r="Q6267" s="8"/>
      <c r="R6267" s="9" t="s">
        <v>5789</v>
      </c>
    </row>
    <row r="6268" spans="1:18" x14ac:dyDescent="0.25">
      <c r="A6268" s="6" t="str">
        <f>HYPERLINK("proteomic_fractions_linear_files/Yang_linear_img/257796226.jpg", "257796226")</f>
        <v>257796226</v>
      </c>
      <c r="B6268" s="7"/>
      <c r="C6268" s="6" t="str">
        <f>HYPERLINK("http://www.ncbi.nlm.nih.gov/protein/257796226","Renbp")</f>
        <v>Renbp</v>
      </c>
      <c r="D6268" s="8"/>
      <c r="E6268" s="8">
        <v>47853</v>
      </c>
      <c r="F6268" s="8"/>
      <c r="G6268" s="15">
        <v>0.77794430048176233</v>
      </c>
      <c r="H6268" s="15">
        <v>0.77794430048176233</v>
      </c>
      <c r="I6268" s="15" t="s">
        <v>10</v>
      </c>
      <c r="J6268" s="15" t="s">
        <v>10</v>
      </c>
      <c r="K6268" s="15">
        <v>0.91928310931178059</v>
      </c>
      <c r="L6268" s="15">
        <v>0.91928310931178059</v>
      </c>
      <c r="M6268" s="15" t="s">
        <v>10</v>
      </c>
      <c r="N6268" s="15" t="s">
        <v>10</v>
      </c>
      <c r="O6268" s="15">
        <v>0.84390246256714052</v>
      </c>
      <c r="P6268" s="15">
        <v>0.84390246256714052</v>
      </c>
      <c r="Q6268" s="8"/>
      <c r="R6268" s="9" t="s">
        <v>5790</v>
      </c>
    </row>
    <row r="6269" spans="1:18" x14ac:dyDescent="0.25">
      <c r="A6269" s="6" t="str">
        <f>HYPERLINK("proteomic_fractions_linear_files/Yang_linear_img/257796315.jpg", "257796315")</f>
        <v>257796315</v>
      </c>
      <c r="B6269" s="7"/>
      <c r="C6269" s="6" t="str">
        <f>HYPERLINK("http://www.ncbi.nlm.nih.gov/protein/257796315","Renbp")</f>
        <v>Renbp</v>
      </c>
      <c r="D6269" s="8"/>
      <c r="E6269" s="8">
        <v>49640</v>
      </c>
      <c r="F6269" s="8"/>
      <c r="G6269" s="15">
        <v>0.74682652846249187</v>
      </c>
      <c r="H6269" s="15">
        <v>0.74682652846249187</v>
      </c>
      <c r="I6269" s="15" t="s">
        <v>10</v>
      </c>
      <c r="J6269" s="15" t="s">
        <v>10</v>
      </c>
      <c r="K6269" s="15">
        <v>0.88251178493930937</v>
      </c>
      <c r="L6269" s="15">
        <v>0.88251178493930937</v>
      </c>
      <c r="M6269" s="15" t="s">
        <v>10</v>
      </c>
      <c r="N6269" s="15" t="s">
        <v>10</v>
      </c>
      <c r="O6269" s="15">
        <v>0.81014636406445495</v>
      </c>
      <c r="P6269" s="15">
        <v>0.81014636406445495</v>
      </c>
      <c r="Q6269" s="8"/>
      <c r="R6269" s="9" t="s">
        <v>5791</v>
      </c>
    </row>
    <row r="6270" spans="1:18" x14ac:dyDescent="0.25">
      <c r="A6270" s="6" t="str">
        <f>HYPERLINK("proteomic_fractions_linear_files/Yang_linear_img/161484650.jpg", "161484650")</f>
        <v>161484650</v>
      </c>
      <c r="B6270" s="7"/>
      <c r="C6270" s="6" t="str">
        <f>HYPERLINK("http://www.ncbi.nlm.nih.gov/protein/161484650","Reps1")</f>
        <v>Reps1</v>
      </c>
      <c r="D6270" s="8"/>
      <c r="E6270" s="8">
        <v>86388</v>
      </c>
      <c r="F6270" s="8"/>
      <c r="G6270" s="15" t="s">
        <v>10</v>
      </c>
      <c r="H6270" s="15" t="s">
        <v>10</v>
      </c>
      <c r="I6270" s="15">
        <v>1.2767623700131565</v>
      </c>
      <c r="J6270" s="15">
        <v>1.2767623700131565</v>
      </c>
      <c r="K6270" s="15">
        <v>1.4967631179664764</v>
      </c>
      <c r="L6270" s="15">
        <v>1.4967631179664764</v>
      </c>
      <c r="M6270" s="15">
        <v>1.4967631179664764</v>
      </c>
      <c r="N6270" s="15">
        <v>1.4967631179664764</v>
      </c>
      <c r="O6270" s="15">
        <v>1.4967631179664764</v>
      </c>
      <c r="P6270" s="15">
        <v>1.2767623700131565</v>
      </c>
      <c r="Q6270" s="8"/>
      <c r="R6270" s="9" t="s">
        <v>5792</v>
      </c>
    </row>
    <row r="6271" spans="1:18" x14ac:dyDescent="0.25">
      <c r="A6271" s="6" t="str">
        <f>HYPERLINK("proteomic_fractions_linear_files/Yang_linear_img/161484652.jpg", "161484652")</f>
        <v>161484652</v>
      </c>
      <c r="B6271" s="7"/>
      <c r="C6271" s="6" t="str">
        <f>HYPERLINK("http://www.ncbi.nlm.nih.gov/protein/161484652","Reps1")</f>
        <v>Reps1</v>
      </c>
      <c r="D6271" s="8"/>
      <c r="E6271" s="8">
        <v>83376</v>
      </c>
      <c r="F6271" s="8"/>
      <c r="G6271" s="15" t="s">
        <v>10</v>
      </c>
      <c r="H6271" s="15" t="s">
        <v>10</v>
      </c>
      <c r="I6271" s="15">
        <v>1.3229104074835116</v>
      </c>
      <c r="J6271" s="15">
        <v>1.3229104074835116</v>
      </c>
      <c r="K6271" s="15">
        <v>1.5508629897002044</v>
      </c>
      <c r="L6271" s="15">
        <v>1.5508629897002044</v>
      </c>
      <c r="M6271" s="15">
        <v>1.5508629897002044</v>
      </c>
      <c r="N6271" s="15">
        <v>1.5508629897002044</v>
      </c>
      <c r="O6271" s="15">
        <v>1.5508629897002044</v>
      </c>
      <c r="P6271" s="15">
        <v>1.3229104074835116</v>
      </c>
      <c r="Q6271" s="8"/>
      <c r="R6271" s="9" t="s">
        <v>5793</v>
      </c>
    </row>
    <row r="6272" spans="1:18" x14ac:dyDescent="0.25">
      <c r="A6272" s="6" t="str">
        <f>HYPERLINK("proteomic_fractions_linear_files/Yang_linear_img/84490401.jpg", "84490401")</f>
        <v>84490401</v>
      </c>
      <c r="B6272" s="7"/>
      <c r="C6272" s="6" t="str">
        <f>HYPERLINK("http://www.ncbi.nlm.nih.gov/protein/84490401","Reps2")</f>
        <v>Reps2</v>
      </c>
      <c r="D6272" s="8"/>
      <c r="E6272" s="8">
        <v>70481</v>
      </c>
      <c r="F6272" s="8"/>
      <c r="G6272" s="15" t="s">
        <v>10</v>
      </c>
      <c r="H6272" s="15" t="s">
        <v>10</v>
      </c>
      <c r="I6272" s="15" t="s">
        <v>10</v>
      </c>
      <c r="J6272" s="15" t="s">
        <v>10</v>
      </c>
      <c r="K6272" s="15" t="s">
        <v>10</v>
      </c>
      <c r="L6272" s="15" t="s">
        <v>10</v>
      </c>
      <c r="M6272" s="15" t="s">
        <v>10</v>
      </c>
      <c r="N6272" s="15" t="s">
        <v>10</v>
      </c>
      <c r="O6272" s="15">
        <v>1.5685937688733067</v>
      </c>
      <c r="P6272" s="15">
        <v>1.5685937688733067</v>
      </c>
      <c r="Q6272" s="8"/>
      <c r="R6272" s="9" t="s">
        <v>5794</v>
      </c>
    </row>
    <row r="6273" spans="1:18" x14ac:dyDescent="0.25">
      <c r="A6273" s="6" t="str">
        <f>HYPERLINK("proteomic_fractions_linear_files/Yang_linear_img/13385882.jpg", "13385882")</f>
        <v>13385882</v>
      </c>
      <c r="B6273" s="7"/>
      <c r="C6273" s="6" t="str">
        <f>HYPERLINK("http://www.ncbi.nlm.nih.gov/protein/13385882","Rer1")</f>
        <v>Rer1</v>
      </c>
      <c r="D6273" s="8"/>
      <c r="E6273" s="8">
        <v>22857</v>
      </c>
      <c r="F6273" s="8"/>
      <c r="G6273" s="15">
        <v>4.1290426601123702</v>
      </c>
      <c r="H6273" s="15">
        <v>4.1290426601123702</v>
      </c>
      <c r="I6273" s="15">
        <v>0.89554092115896833</v>
      </c>
      <c r="J6273" s="15">
        <v>0.89554092115896833</v>
      </c>
      <c r="K6273" s="15">
        <v>0.94764096829038047</v>
      </c>
      <c r="L6273" s="15">
        <v>0.94764096829038047</v>
      </c>
      <c r="M6273" s="15">
        <v>0.89554092115896833</v>
      </c>
      <c r="N6273" s="15">
        <v>0.89554092115896833</v>
      </c>
      <c r="O6273" s="15" t="s">
        <v>10</v>
      </c>
      <c r="P6273" s="15" t="s">
        <v>10</v>
      </c>
      <c r="Q6273" s="8"/>
      <c r="R6273" s="9" t="s">
        <v>5795</v>
      </c>
    </row>
    <row r="6274" spans="1:18" x14ac:dyDescent="0.25">
      <c r="A6274" s="6" t="str">
        <f>HYPERLINK("proteomic_fractions_linear_files/Yang_linear_img/148234285.jpg", "148234285")</f>
        <v>148234285</v>
      </c>
      <c r="B6274" s="7"/>
      <c r="C6274" s="6" t="str">
        <f>HYPERLINK("http://www.ncbi.nlm.nih.gov/protein/148234285","Rere")</f>
        <v>Rere</v>
      </c>
      <c r="D6274" s="8"/>
      <c r="E6274" s="8">
        <v>171624</v>
      </c>
      <c r="F6274" s="8"/>
      <c r="G6274" s="15" t="s">
        <v>10</v>
      </c>
      <c r="H6274" s="15" t="s">
        <v>10</v>
      </c>
      <c r="I6274" s="15" t="s">
        <v>10</v>
      </c>
      <c r="J6274" s="15" t="s">
        <v>10</v>
      </c>
      <c r="K6274" s="15" t="s">
        <v>10</v>
      </c>
      <c r="L6274" s="15" t="s">
        <v>10</v>
      </c>
      <c r="M6274" s="15" t="s">
        <v>10</v>
      </c>
      <c r="N6274" s="15" t="s">
        <v>10</v>
      </c>
      <c r="O6274" s="15">
        <v>1.0858478583717464</v>
      </c>
      <c r="P6274" s="15">
        <v>1.0858478583717464</v>
      </c>
      <c r="Q6274" s="8"/>
      <c r="R6274" s="9" t="s">
        <v>5796</v>
      </c>
    </row>
    <row r="6275" spans="1:18" x14ac:dyDescent="0.25">
      <c r="A6275" s="6" t="str">
        <f>HYPERLINK("proteomic_fractions_linear_files/Yang_linear_img/27229283.jpg", "27229283")</f>
        <v>27229283</v>
      </c>
      <c r="B6275" s="7"/>
      <c r="C6275" s="6" t="str">
        <f>HYPERLINK("http://www.ncbi.nlm.nih.gov/protein/27229283","Rexo2")</f>
        <v>Rexo2</v>
      </c>
      <c r="D6275" s="8"/>
      <c r="E6275" s="8">
        <v>24215</v>
      </c>
      <c r="F6275" s="8"/>
      <c r="G6275" s="15" t="s">
        <v>10</v>
      </c>
      <c r="H6275" s="15" t="s">
        <v>10</v>
      </c>
      <c r="I6275" s="15">
        <v>1.0231175255532048</v>
      </c>
      <c r="J6275" s="15">
        <v>1.0231175255532048</v>
      </c>
      <c r="K6275" s="15">
        <v>1.0231175255532048</v>
      </c>
      <c r="L6275" s="15">
        <v>1.0231175255532048</v>
      </c>
      <c r="M6275" s="15" t="s">
        <v>10</v>
      </c>
      <c r="N6275" s="15" t="s">
        <v>10</v>
      </c>
      <c r="O6275" s="15">
        <v>0.85822671611067802</v>
      </c>
      <c r="P6275" s="15">
        <v>0.85822671611067802</v>
      </c>
      <c r="Q6275" s="8"/>
      <c r="R6275" s="9" t="s">
        <v>5797</v>
      </c>
    </row>
    <row r="6276" spans="1:18" x14ac:dyDescent="0.25">
      <c r="A6276" s="6" t="str">
        <f>HYPERLINK("proteomic_fractions_linear_files/Yang_linear_img/76563952.jpg", "76563952")</f>
        <v>76563952</v>
      </c>
      <c r="B6276" s="7"/>
      <c r="C6276" s="6" t="str">
        <f>HYPERLINK("http://www.ncbi.nlm.nih.gov/protein/76563952","Rexo4")</f>
        <v>Rexo4</v>
      </c>
      <c r="D6276" s="8"/>
      <c r="E6276" s="8">
        <v>47468</v>
      </c>
      <c r="F6276" s="8"/>
      <c r="G6276" s="15" t="s">
        <v>10</v>
      </c>
      <c r="H6276" s="15" t="s">
        <v>10</v>
      </c>
      <c r="I6276" s="15" t="s">
        <v>10</v>
      </c>
      <c r="J6276" s="15" t="s">
        <v>10</v>
      </c>
      <c r="K6276" s="15">
        <v>1.1302248857447037</v>
      </c>
      <c r="L6276" s="15">
        <v>1.1302248857447037</v>
      </c>
      <c r="M6276" s="15" t="s">
        <v>10</v>
      </c>
      <c r="N6276" s="15" t="s">
        <v>10</v>
      </c>
      <c r="O6276" s="15" t="s">
        <v>10</v>
      </c>
      <c r="P6276" s="15" t="s">
        <v>10</v>
      </c>
      <c r="Q6276" s="8"/>
      <c r="R6276" s="9" t="s">
        <v>5798</v>
      </c>
    </row>
    <row r="6277" spans="1:18" x14ac:dyDescent="0.25">
      <c r="A6277" s="6" t="str">
        <f>HYPERLINK("proteomic_fractions_linear_files/Yang_linear_img/188219597.jpg", "188219597")</f>
        <v>188219597</v>
      </c>
      <c r="B6277" s="7"/>
      <c r="C6277" s="6" t="str">
        <f>HYPERLINK("http://www.ncbi.nlm.nih.gov/protein/188219597","Rfc1")</f>
        <v>Rfc1</v>
      </c>
      <c r="D6277" s="8"/>
      <c r="E6277" s="8">
        <v>125805</v>
      </c>
      <c r="F6277" s="8"/>
      <c r="G6277" s="15">
        <v>1.4822685050788917</v>
      </c>
      <c r="H6277" s="15">
        <v>1.4822685050788917</v>
      </c>
      <c r="I6277" s="15">
        <v>0.58282666858477972</v>
      </c>
      <c r="J6277" s="15">
        <v>0.58282666858477972</v>
      </c>
      <c r="K6277" s="15">
        <v>1.4822685050788917</v>
      </c>
      <c r="L6277" s="15">
        <v>1.4822685050788917</v>
      </c>
      <c r="M6277" s="15">
        <v>1.4822685050788917</v>
      </c>
      <c r="N6277" s="15">
        <v>1.4822685050788917</v>
      </c>
      <c r="O6277" s="15" t="s">
        <v>10</v>
      </c>
      <c r="P6277" s="15" t="s">
        <v>10</v>
      </c>
      <c r="Q6277" s="8"/>
      <c r="R6277" s="9" t="s">
        <v>5799</v>
      </c>
    </row>
    <row r="6278" spans="1:18" x14ac:dyDescent="0.25">
      <c r="A6278" s="6" t="str">
        <f>HYPERLINK("proteomic_fractions_linear_files/Yang_linear_img/11177922.jpg", "11177922")</f>
        <v>11177922</v>
      </c>
      <c r="B6278" s="7"/>
      <c r="C6278" s="6" t="str">
        <f>HYPERLINK("http://www.ncbi.nlm.nih.gov/protein/11177922","Rfc2")</f>
        <v>Rfc2</v>
      </c>
      <c r="D6278" s="8"/>
      <c r="E6278" s="8">
        <v>38594</v>
      </c>
      <c r="F6278" s="8"/>
      <c r="G6278" s="15">
        <v>1.3620658879487455</v>
      </c>
      <c r="H6278" s="15">
        <v>1.3620658879487455</v>
      </c>
      <c r="I6278" s="15">
        <v>1.038649184698019</v>
      </c>
      <c r="J6278" s="15">
        <v>1.038649184698019</v>
      </c>
      <c r="K6278" s="15">
        <v>1.038649184698019</v>
      </c>
      <c r="L6278" s="15">
        <v>1.038649184698019</v>
      </c>
      <c r="M6278" s="15">
        <v>0.95746990828524592</v>
      </c>
      <c r="N6278" s="15">
        <v>0.95746990828524592</v>
      </c>
      <c r="O6278" s="15">
        <v>0.8859840136019278</v>
      </c>
      <c r="P6278" s="15">
        <v>0.8859840136019278</v>
      </c>
      <c r="Q6278" s="8"/>
      <c r="R6278" s="9" t="s">
        <v>5800</v>
      </c>
    </row>
    <row r="6279" spans="1:18" x14ac:dyDescent="0.25">
      <c r="A6279" s="6" t="str">
        <f>HYPERLINK("proteomic_fractions_linear_files/Yang_linear_img/124249204.jpg", "124249204")</f>
        <v>124249204</v>
      </c>
      <c r="B6279" s="7"/>
      <c r="C6279" s="6" t="str">
        <f>HYPERLINK("http://www.ncbi.nlm.nih.gov/protein/124249204","Rfc3")</f>
        <v>Rfc3</v>
      </c>
      <c r="D6279" s="8"/>
      <c r="E6279" s="8">
        <v>40395</v>
      </c>
      <c r="F6279" s="8"/>
      <c r="G6279" s="15">
        <v>1.2072493896103813</v>
      </c>
      <c r="H6279" s="15">
        <v>1.2072493896103813</v>
      </c>
      <c r="I6279" s="15" t="s">
        <v>10</v>
      </c>
      <c r="J6279" s="15" t="s">
        <v>10</v>
      </c>
      <c r="K6279" s="15">
        <v>1.0126829550805687</v>
      </c>
      <c r="L6279" s="15">
        <v>1.0126829550805687</v>
      </c>
      <c r="M6279" s="15">
        <v>0.93353316057811475</v>
      </c>
      <c r="N6279" s="15">
        <v>0.93353316057811475</v>
      </c>
      <c r="O6279" s="15">
        <v>0.8638344132618796</v>
      </c>
      <c r="P6279" s="15">
        <v>0.8638344132618796</v>
      </c>
      <c r="Q6279" s="8"/>
      <c r="R6279" s="9" t="s">
        <v>5801</v>
      </c>
    </row>
    <row r="6280" spans="1:18" x14ac:dyDescent="0.25">
      <c r="A6280" s="6" t="str">
        <f>HYPERLINK("proteomic_fractions_linear_files/Yang_linear_img/21703948.jpg", "21703948")</f>
        <v>21703948</v>
      </c>
      <c r="B6280" s="7"/>
      <c r="C6280" s="6" t="str">
        <f>HYPERLINK("http://www.ncbi.nlm.nih.gov/protein/21703948","Rfc4")</f>
        <v>Rfc4</v>
      </c>
      <c r="D6280" s="8"/>
      <c r="E6280" s="8">
        <v>39736</v>
      </c>
      <c r="F6280" s="8"/>
      <c r="G6280" s="15">
        <v>1.2072493896103813</v>
      </c>
      <c r="H6280" s="15">
        <v>1.2072493896103813</v>
      </c>
      <c r="I6280" s="15">
        <v>0.93353316057811475</v>
      </c>
      <c r="J6280" s="15">
        <v>0.93353316057811475</v>
      </c>
      <c r="K6280" s="15">
        <v>0.93353316057811475</v>
      </c>
      <c r="L6280" s="15">
        <v>0.93353316057811475</v>
      </c>
      <c r="M6280" s="15">
        <v>0.93353316057811475</v>
      </c>
      <c r="N6280" s="15">
        <v>0.93353316057811475</v>
      </c>
      <c r="O6280" s="15">
        <v>0.8638344132618796</v>
      </c>
      <c r="P6280" s="15">
        <v>0.8638344132618796</v>
      </c>
      <c r="Q6280" s="8"/>
      <c r="R6280" s="9" t="s">
        <v>5802</v>
      </c>
    </row>
    <row r="6281" spans="1:18" x14ac:dyDescent="0.25">
      <c r="A6281" s="6" t="str">
        <f>HYPERLINK("proteomic_fractions_linear_files/Yang_linear_img/110625924.jpg", "110625924")</f>
        <v>110625924</v>
      </c>
      <c r="B6281" s="7"/>
      <c r="C6281" s="6" t="str">
        <f>HYPERLINK("http://www.ncbi.nlm.nih.gov/protein/110625924","Rfc5")</f>
        <v>Rfc5</v>
      </c>
      <c r="D6281" s="8"/>
      <c r="E6281" s="8">
        <v>37965</v>
      </c>
      <c r="F6281" s="8"/>
      <c r="G6281" s="15" t="s">
        <v>10</v>
      </c>
      <c r="H6281" s="15" t="s">
        <v>10</v>
      </c>
      <c r="I6281" s="15">
        <v>0.90929938238092589</v>
      </c>
      <c r="J6281" s="15">
        <v>0.90929938238092589</v>
      </c>
      <c r="K6281" s="15">
        <v>0.98266648481906815</v>
      </c>
      <c r="L6281" s="15">
        <v>0.98266648481906815</v>
      </c>
      <c r="M6281" s="15">
        <v>0.98266648481906815</v>
      </c>
      <c r="N6281" s="15">
        <v>0.98266648481906815</v>
      </c>
      <c r="O6281" s="15">
        <v>0.84431770672983131</v>
      </c>
      <c r="P6281" s="15">
        <v>0.84431770672983131</v>
      </c>
      <c r="Q6281" s="8"/>
      <c r="R6281" s="9" t="s">
        <v>5803</v>
      </c>
    </row>
    <row r="6282" spans="1:18" x14ac:dyDescent="0.25">
      <c r="A6282" s="6" t="str">
        <f>HYPERLINK("proteomic_fractions_linear_files/Yang_linear_img/14149726.jpg", "14149726")</f>
        <v>14149726</v>
      </c>
      <c r="B6282" s="7"/>
      <c r="C6282" s="6" t="str">
        <f>HYPERLINK("http://www.ncbi.nlm.nih.gov/protein/14149726","Rfk")</f>
        <v>Rfk</v>
      </c>
      <c r="D6282" s="8"/>
      <c r="E6282" s="8">
        <v>17306</v>
      </c>
      <c r="F6282" s="8"/>
      <c r="G6282" s="15" t="s">
        <v>10</v>
      </c>
      <c r="H6282" s="15" t="s">
        <v>10</v>
      </c>
      <c r="I6282" s="15">
        <v>0.89390225257731093</v>
      </c>
      <c r="J6282" s="15">
        <v>0.89390225257731093</v>
      </c>
      <c r="K6282" s="15">
        <v>0.93690834018716329</v>
      </c>
      <c r="L6282" s="15">
        <v>0.93690834018716329</v>
      </c>
      <c r="M6282" s="15">
        <v>0.93690834018716329</v>
      </c>
      <c r="N6282" s="15">
        <v>0.93690834018716329</v>
      </c>
      <c r="O6282" s="15">
        <v>0.85396904246296157</v>
      </c>
      <c r="P6282" s="15">
        <v>0.85396904246296157</v>
      </c>
      <c r="Q6282" s="8"/>
      <c r="R6282" s="9" t="s">
        <v>5804</v>
      </c>
    </row>
    <row r="6283" spans="1:18" x14ac:dyDescent="0.25">
      <c r="A6283" s="6" t="str">
        <f>HYPERLINK("proteomic_fractions_linear_files/Yang_linear_img/239916007.jpg", "239916007")</f>
        <v>239916007</v>
      </c>
      <c r="B6283" s="7"/>
      <c r="C6283" s="6" t="str">
        <f>HYPERLINK("http://www.ncbi.nlm.nih.gov/protein/239916007","Rfx1")</f>
        <v>Rfx1</v>
      </c>
      <c r="D6283" s="8"/>
      <c r="E6283" s="8">
        <v>103576</v>
      </c>
      <c r="F6283" s="8"/>
      <c r="G6283" s="15">
        <v>18.134273116663373</v>
      </c>
      <c r="H6283" s="15">
        <v>18.134273116663373</v>
      </c>
      <c r="I6283" s="15">
        <v>5.7066615929740783</v>
      </c>
      <c r="J6283" s="15">
        <v>5.7066615929740783</v>
      </c>
      <c r="K6283" s="15">
        <v>3.9331111321099979</v>
      </c>
      <c r="L6283" s="15">
        <v>3.9331111321099979</v>
      </c>
      <c r="M6283" s="15">
        <v>5.7066615929740783</v>
      </c>
      <c r="N6283" s="15">
        <v>5.7066615929740783</v>
      </c>
      <c r="O6283" s="15">
        <v>2.9017627368894114</v>
      </c>
      <c r="P6283" s="15">
        <v>2.9017627368894114</v>
      </c>
      <c r="Q6283" s="8"/>
      <c r="R6283" s="9" t="s">
        <v>5805</v>
      </c>
    </row>
    <row r="6284" spans="1:18" x14ac:dyDescent="0.25">
      <c r="A6284" s="6" t="str">
        <f>HYPERLINK("proteomic_fractions_linear_files/Yang_linear_img/88703055.jpg", "88703055")</f>
        <v>88703055</v>
      </c>
      <c r="B6284" s="7"/>
      <c r="C6284" s="6" t="str">
        <f>HYPERLINK("http://www.ncbi.nlm.nih.gov/protein/88703055","Rfx7")</f>
        <v>Rfx7</v>
      </c>
      <c r="D6284" s="8"/>
      <c r="E6284" s="8">
        <v>157508</v>
      </c>
      <c r="F6284" s="8"/>
      <c r="G6284" s="15" t="s">
        <v>10</v>
      </c>
      <c r="H6284" s="15" t="s">
        <v>10</v>
      </c>
      <c r="I6284" s="15" t="s">
        <v>10</v>
      </c>
      <c r="J6284" s="15" t="s">
        <v>10</v>
      </c>
      <c r="K6284" s="15">
        <v>0.10080659356444162</v>
      </c>
      <c r="L6284" s="15">
        <v>0.10080659356444162</v>
      </c>
      <c r="M6284" s="15" t="s">
        <v>10</v>
      </c>
      <c r="N6284" s="15" t="s">
        <v>10</v>
      </c>
      <c r="O6284" s="15" t="s">
        <v>10</v>
      </c>
      <c r="P6284" s="15" t="s">
        <v>10</v>
      </c>
      <c r="Q6284" s="8"/>
      <c r="R6284" s="9" t="s">
        <v>5806</v>
      </c>
    </row>
    <row r="6285" spans="1:18" x14ac:dyDescent="0.25">
      <c r="A6285" s="6" t="str">
        <f>HYPERLINK("proteomic_fractions_linear_files/Yang_linear_img/31982627.jpg", "31982627")</f>
        <v>31982627</v>
      </c>
      <c r="B6285" s="7"/>
      <c r="C6285" s="6" t="str">
        <f>HYPERLINK("http://www.ncbi.nlm.nih.gov/protein/31982627","Rgl3")</f>
        <v>Rgl3</v>
      </c>
      <c r="D6285" s="8"/>
      <c r="E6285" s="8">
        <v>77814</v>
      </c>
      <c r="F6285" s="8"/>
      <c r="G6285" s="15">
        <v>0.9414892338677211</v>
      </c>
      <c r="H6285" s="15">
        <v>0.9414892338677211</v>
      </c>
      <c r="I6285" s="15">
        <v>1.2175382202895451</v>
      </c>
      <c r="J6285" s="15">
        <v>1.2175382202895451</v>
      </c>
      <c r="K6285" s="15">
        <v>1.2175382202895451</v>
      </c>
      <c r="L6285" s="15">
        <v>1.2175382202895451</v>
      </c>
      <c r="M6285" s="15">
        <v>1.2175382202895451</v>
      </c>
      <c r="N6285" s="15">
        <v>1.2175382202895451</v>
      </c>
      <c r="O6285" s="15">
        <v>1.0653674163223572</v>
      </c>
      <c r="P6285" s="15">
        <v>1.0653674163223572</v>
      </c>
      <c r="Q6285" s="8"/>
      <c r="R6285" s="9" t="s">
        <v>5807</v>
      </c>
    </row>
    <row r="6286" spans="1:18" x14ac:dyDescent="0.25">
      <c r="A6286" s="6" t="str">
        <f>HYPERLINK("proteomic_fractions_linear_files/Yang_linear_img/170014730.jpg", "170014730")</f>
        <v>170014730</v>
      </c>
      <c r="B6286" s="7"/>
      <c r="C6286" s="6" t="str">
        <f>HYPERLINK("http://www.ncbi.nlm.nih.gov/protein/170014730","Rhbdd1")</f>
        <v>Rhbdd1</v>
      </c>
      <c r="D6286" s="8"/>
      <c r="E6286" s="8">
        <v>35645</v>
      </c>
      <c r="F6286" s="8"/>
      <c r="G6286" s="15">
        <v>0.72639605876180557</v>
      </c>
      <c r="H6286" s="15">
        <v>0.72639605876180557</v>
      </c>
      <c r="I6286" s="15">
        <v>0.77550586938005717</v>
      </c>
      <c r="J6286" s="15">
        <v>0.77550586938005717</v>
      </c>
      <c r="K6286" s="15">
        <v>0.77550586938005717</v>
      </c>
      <c r="L6286" s="15">
        <v>0.77550586938005717</v>
      </c>
      <c r="M6286" s="15" t="s">
        <v>10</v>
      </c>
      <c r="N6286" s="15" t="s">
        <v>10</v>
      </c>
      <c r="O6286" s="15" t="s">
        <v>10</v>
      </c>
      <c r="P6286" s="15" t="s">
        <v>10</v>
      </c>
      <c r="Q6286" s="8"/>
      <c r="R6286" s="9" t="s">
        <v>5808</v>
      </c>
    </row>
    <row r="6287" spans="1:18" x14ac:dyDescent="0.25">
      <c r="A6287" s="6" t="str">
        <f>HYPERLINK("proteomic_fractions_linear_files/Yang_linear_img/22122463.jpg", "22122463")</f>
        <v>22122463</v>
      </c>
      <c r="B6287" s="7"/>
      <c r="C6287" s="6" t="str">
        <f>HYPERLINK("http://www.ncbi.nlm.nih.gov/protein/22122463","Rhbdd2")</f>
        <v>Rhbdd2</v>
      </c>
      <c r="D6287" s="8"/>
      <c r="E6287" s="8">
        <v>38977</v>
      </c>
      <c r="F6287" s="8"/>
      <c r="G6287" s="15" t="s">
        <v>10</v>
      </c>
      <c r="H6287" s="15" t="s">
        <v>10</v>
      </c>
      <c r="I6287" s="15">
        <v>0.76629248440290076</v>
      </c>
      <c r="J6287" s="15">
        <v>0.76629248440290076</v>
      </c>
      <c r="K6287" s="15" t="s">
        <v>10</v>
      </c>
      <c r="L6287" s="15" t="s">
        <v>10</v>
      </c>
      <c r="M6287" s="15" t="s">
        <v>10</v>
      </c>
      <c r="N6287" s="15" t="s">
        <v>10</v>
      </c>
      <c r="O6287" s="15" t="s">
        <v>10</v>
      </c>
      <c r="P6287" s="15" t="s">
        <v>10</v>
      </c>
      <c r="Q6287" s="8"/>
      <c r="R6287" s="9" t="s">
        <v>5809</v>
      </c>
    </row>
    <row r="6288" spans="1:18" x14ac:dyDescent="0.25">
      <c r="A6288" s="6" t="str">
        <f>HYPERLINK("proteomic_fractions_linear_files/Yang_linear_img/28626508.jpg", "28626508")</f>
        <v>28626508</v>
      </c>
      <c r="B6288" s="7"/>
      <c r="C6288" s="6" t="str">
        <f>HYPERLINK("http://www.ncbi.nlm.nih.gov/protein/28626508","Rheb")</f>
        <v>Rheb</v>
      </c>
      <c r="D6288" s="8"/>
      <c r="E6288" s="8">
        <v>20320</v>
      </c>
      <c r="F6288" s="8"/>
      <c r="G6288" s="15">
        <v>1.2277410306638459</v>
      </c>
      <c r="H6288" s="15">
        <v>1.2277410306638459</v>
      </c>
      <c r="I6288" s="15">
        <v>0.83582372603035116</v>
      </c>
      <c r="J6288" s="15">
        <v>0.83582372603035116</v>
      </c>
      <c r="K6288" s="15">
        <v>0.83582372603035116</v>
      </c>
      <c r="L6288" s="15">
        <v>0.83582372603035116</v>
      </c>
      <c r="M6288" s="15">
        <v>0.83582372603035116</v>
      </c>
      <c r="N6288" s="15">
        <v>0.83582372603035116</v>
      </c>
      <c r="O6288" s="15">
        <v>0.79637208915908875</v>
      </c>
      <c r="P6288" s="15">
        <v>0.79637208915908875</v>
      </c>
      <c r="Q6288" s="8"/>
      <c r="R6288" s="9" t="s">
        <v>5810</v>
      </c>
    </row>
    <row r="6289" spans="1:18" x14ac:dyDescent="0.25">
      <c r="A6289" s="6" t="str">
        <f>HYPERLINK("proteomic_fractions_linear_files/Yang_linear_img/31542143.jpg", "31542143")</f>
        <v>31542143</v>
      </c>
      <c r="B6289" s="7"/>
      <c r="C6289" s="6" t="str">
        <f>HYPERLINK("http://www.ncbi.nlm.nih.gov/protein/31542143","Rhoa")</f>
        <v>Rhoa</v>
      </c>
      <c r="D6289" s="8"/>
      <c r="E6289" s="8">
        <v>21651</v>
      </c>
      <c r="F6289" s="8"/>
      <c r="G6289" s="15">
        <v>1.4583669479878905</v>
      </c>
      <c r="H6289" s="15">
        <v>1.4583669479878905</v>
      </c>
      <c r="I6289" s="15">
        <v>0.99071555775812503</v>
      </c>
      <c r="J6289" s="15">
        <v>0.99071555775812503</v>
      </c>
      <c r="K6289" s="15">
        <v>0.99071555775812503</v>
      </c>
      <c r="L6289" s="15">
        <v>1.0504351533962475</v>
      </c>
      <c r="M6289" s="15">
        <v>1.0504351533962475</v>
      </c>
      <c r="N6289" s="15">
        <v>1.0504351533962475</v>
      </c>
      <c r="O6289" s="15">
        <v>0.93624732666619426</v>
      </c>
      <c r="P6289" s="15">
        <v>0.93624732666619426</v>
      </c>
      <c r="Q6289" s="8"/>
      <c r="R6289" s="9" t="s">
        <v>5811</v>
      </c>
    </row>
    <row r="6290" spans="1:18" x14ac:dyDescent="0.25">
      <c r="A6290" s="6" t="str">
        <f>HYPERLINK("proteomic_fractions_linear_files/Yang_linear_img/6680726.jpg", "6680726")</f>
        <v>6680726</v>
      </c>
      <c r="B6290" s="7"/>
      <c r="C6290" s="6" t="str">
        <f>HYPERLINK("http://www.ncbi.nlm.nih.gov/protein/6680726","Rhob")</f>
        <v>Rhob</v>
      </c>
      <c r="D6290" s="8"/>
      <c r="E6290" s="8">
        <v>21992</v>
      </c>
      <c r="F6290" s="8"/>
      <c r="G6290" s="15">
        <v>1.4583669479878905</v>
      </c>
      <c r="H6290" s="15">
        <v>1.4583669479878905</v>
      </c>
      <c r="I6290" s="15">
        <v>1.0504351533962475</v>
      </c>
      <c r="J6290" s="15">
        <v>1.0504351533962475</v>
      </c>
      <c r="K6290" s="15">
        <v>1.0504351533962475</v>
      </c>
      <c r="L6290" s="15">
        <v>1.0504351533962475</v>
      </c>
      <c r="M6290" s="15">
        <v>0.93624732666619426</v>
      </c>
      <c r="N6290" s="15">
        <v>0.93624732666619426</v>
      </c>
      <c r="O6290" s="15">
        <v>0.99071555775812503</v>
      </c>
      <c r="P6290" s="15">
        <v>0.99071555775812503</v>
      </c>
      <c r="Q6290" s="8"/>
      <c r="R6290" s="9" t="s">
        <v>5812</v>
      </c>
    </row>
    <row r="6291" spans="1:18" x14ac:dyDescent="0.25">
      <c r="A6291" s="6" t="str">
        <f>HYPERLINK("proteomic_fractions_linear_files/Yang_linear_img/160415213.jpg", "160415213")</f>
        <v>160415213</v>
      </c>
      <c r="B6291" s="7"/>
      <c r="C6291" s="6" t="str">
        <f>HYPERLINK("http://www.ncbi.nlm.nih.gov/protein/160415213","Rhoc")</f>
        <v>Rhoc</v>
      </c>
      <c r="D6291" s="8"/>
      <c r="E6291" s="8">
        <v>21875</v>
      </c>
      <c r="F6291" s="8"/>
      <c r="G6291" s="15">
        <v>1.4583669479878905</v>
      </c>
      <c r="H6291" s="15">
        <v>1.4583669479878905</v>
      </c>
      <c r="I6291" s="15">
        <v>0.99071555775812503</v>
      </c>
      <c r="J6291" s="15">
        <v>0.99071555775812503</v>
      </c>
      <c r="K6291" s="15">
        <v>1.0504351533962475</v>
      </c>
      <c r="L6291" s="15">
        <v>1.0504351533962475</v>
      </c>
      <c r="M6291" s="15">
        <v>1.0504351533962475</v>
      </c>
      <c r="N6291" s="15">
        <v>1.0504351533962475</v>
      </c>
      <c r="O6291" s="15">
        <v>0.93624732666619426</v>
      </c>
      <c r="P6291" s="15">
        <v>0.93624732666619426</v>
      </c>
      <c r="Q6291" s="8"/>
      <c r="R6291" s="9" t="s">
        <v>5813</v>
      </c>
    </row>
    <row r="6292" spans="1:18" x14ac:dyDescent="0.25">
      <c r="A6292" s="6" t="str">
        <f>HYPERLINK("proteomic_fractions_linear_files/Yang_linear_img/6671573.jpg", "6671573")</f>
        <v>6671573</v>
      </c>
      <c r="B6292" s="7"/>
      <c r="C6292" s="6" t="str">
        <f>HYPERLINK("http://www.ncbi.nlm.nih.gov/protein/6671573","Rhod")</f>
        <v>Rhod</v>
      </c>
      <c r="D6292" s="8"/>
      <c r="E6292" s="8">
        <v>23431</v>
      </c>
      <c r="F6292" s="8"/>
      <c r="G6292" s="15" t="s">
        <v>10</v>
      </c>
      <c r="H6292" s="15" t="s">
        <v>10</v>
      </c>
      <c r="I6292" s="15">
        <v>1.0047640597703238</v>
      </c>
      <c r="J6292" s="15">
        <v>1.0047640597703238</v>
      </c>
      <c r="K6292" s="15">
        <v>0.94764096829038047</v>
      </c>
      <c r="L6292" s="15">
        <v>0.94764096829038047</v>
      </c>
      <c r="M6292" s="15" t="s">
        <v>10</v>
      </c>
      <c r="N6292" s="15" t="s">
        <v>10</v>
      </c>
      <c r="O6292" s="15" t="s">
        <v>10</v>
      </c>
      <c r="P6292" s="15" t="s">
        <v>10</v>
      </c>
      <c r="Q6292" s="8"/>
      <c r="R6292" s="9" t="s">
        <v>5814</v>
      </c>
    </row>
    <row r="6293" spans="1:18" x14ac:dyDescent="0.25">
      <c r="A6293" s="6" t="str">
        <f>HYPERLINK("proteomic_fractions_linear_files/Yang_linear_img/28201958.jpg", "28201958")</f>
        <v>28201958</v>
      </c>
      <c r="B6293" s="7"/>
      <c r="C6293" s="6" t="str">
        <f>HYPERLINK("http://www.ncbi.nlm.nih.gov/protein/28201958","Rhof")</f>
        <v>Rhof</v>
      </c>
      <c r="D6293" s="8"/>
      <c r="E6293" s="8">
        <v>23446</v>
      </c>
      <c r="F6293" s="8"/>
      <c r="G6293" s="15" t="s">
        <v>10</v>
      </c>
      <c r="H6293" s="15" t="s">
        <v>10</v>
      </c>
      <c r="I6293" s="15">
        <v>1.0047640597703238</v>
      </c>
      <c r="J6293" s="15">
        <v>1.0047640597703238</v>
      </c>
      <c r="K6293" s="15">
        <v>1.0047640597703238</v>
      </c>
      <c r="L6293" s="15">
        <v>1.0047640597703238</v>
      </c>
      <c r="M6293" s="15" t="s">
        <v>10</v>
      </c>
      <c r="N6293" s="15" t="s">
        <v>10</v>
      </c>
      <c r="O6293" s="15" t="s">
        <v>10</v>
      </c>
      <c r="P6293" s="15" t="s">
        <v>10</v>
      </c>
      <c r="Q6293" s="8"/>
      <c r="R6293" s="9" t="s">
        <v>5815</v>
      </c>
    </row>
    <row r="6294" spans="1:18" x14ac:dyDescent="0.25">
      <c r="A6294" s="6" t="str">
        <f>HYPERLINK("proteomic_fractions_linear_files/Yang_linear_img/9625037.jpg", "9625037")</f>
        <v>9625037</v>
      </c>
      <c r="B6294" s="7"/>
      <c r="C6294" s="6" t="str">
        <f>HYPERLINK("http://www.ncbi.nlm.nih.gov/protein/9625037","Rhog")</f>
        <v>Rhog</v>
      </c>
      <c r="D6294" s="8"/>
      <c r="E6294" s="8">
        <v>21177</v>
      </c>
      <c r="F6294" s="8"/>
      <c r="G6294" s="15">
        <v>0.92862618228739402</v>
      </c>
      <c r="H6294" s="15">
        <v>0.92862618228739402</v>
      </c>
      <c r="I6294" s="15">
        <v>1.0378924890799406</v>
      </c>
      <c r="J6294" s="15">
        <v>1.0378924890799406</v>
      </c>
      <c r="K6294" s="15">
        <v>1.0378924890799406</v>
      </c>
      <c r="L6294" s="15">
        <v>1.0378924890799406</v>
      </c>
      <c r="M6294" s="15">
        <v>1.0378924890799406</v>
      </c>
      <c r="N6294" s="15">
        <v>1.0378924890799406</v>
      </c>
      <c r="O6294" s="15">
        <v>0.98083053269791776</v>
      </c>
      <c r="P6294" s="15">
        <v>0.98083053269791776</v>
      </c>
      <c r="Q6294" s="8"/>
      <c r="R6294" s="9" t="s">
        <v>5816</v>
      </c>
    </row>
    <row r="6295" spans="1:18" x14ac:dyDescent="0.25">
      <c r="A6295" s="6" t="str">
        <f>HYPERLINK("proteomic_fractions_linear_files/Yang_linear_img/13489097.jpg", "13489097")</f>
        <v>13489097</v>
      </c>
      <c r="B6295" s="7"/>
      <c r="C6295" s="6" t="str">
        <f>HYPERLINK("http://www.ncbi.nlm.nih.gov/protein/13489097","Rhoj")</f>
        <v>Rhoj</v>
      </c>
      <c r="D6295" s="8"/>
      <c r="E6295" s="8">
        <v>23635</v>
      </c>
      <c r="F6295" s="8"/>
      <c r="G6295" s="15" t="s">
        <v>10</v>
      </c>
      <c r="H6295" s="15" t="s">
        <v>10</v>
      </c>
      <c r="I6295" s="15">
        <v>0.90815592794494793</v>
      </c>
      <c r="J6295" s="15">
        <v>0.90815592794494793</v>
      </c>
      <c r="K6295" s="15">
        <v>0.90815592794494793</v>
      </c>
      <c r="L6295" s="15">
        <v>0.90815592794494793</v>
      </c>
      <c r="M6295" s="15">
        <v>0.90815592794494793</v>
      </c>
      <c r="N6295" s="15">
        <v>0.90815592794494793</v>
      </c>
      <c r="O6295" s="15">
        <v>0.81254790950146971</v>
      </c>
      <c r="P6295" s="15">
        <v>0.81254790950146971</v>
      </c>
      <c r="Q6295" s="8"/>
      <c r="R6295" s="9" t="s">
        <v>5817</v>
      </c>
    </row>
    <row r="6296" spans="1:18" x14ac:dyDescent="0.25">
      <c r="A6296" s="6" t="str">
        <f>HYPERLINK("proteomic_fractions_linear_files/Yang_linear_img/34328361.jpg", "34328361")</f>
        <v>34328361</v>
      </c>
      <c r="B6296" s="7"/>
      <c r="C6296" s="6" t="str">
        <f>HYPERLINK("http://www.ncbi.nlm.nih.gov/protein/34328361","Rhoq")</f>
        <v>Rhoq</v>
      </c>
      <c r="D6296" s="8"/>
      <c r="E6296" s="8">
        <v>22514</v>
      </c>
      <c r="F6296" s="8"/>
      <c r="G6296" s="15" t="s">
        <v>10</v>
      </c>
      <c r="H6296" s="15" t="s">
        <v>10</v>
      </c>
      <c r="I6296" s="15">
        <v>0.94764096829038047</v>
      </c>
      <c r="J6296" s="15">
        <v>0.94764096829038047</v>
      </c>
      <c r="K6296" s="15">
        <v>0.94764096829038047</v>
      </c>
      <c r="L6296" s="15">
        <v>0.94764096829038047</v>
      </c>
      <c r="M6296" s="15">
        <v>0.94764096829038047</v>
      </c>
      <c r="N6296" s="15">
        <v>0.94764096829038047</v>
      </c>
      <c r="O6296" s="15">
        <v>0.84787607947979449</v>
      </c>
      <c r="P6296" s="15">
        <v>0.84787607947979449</v>
      </c>
      <c r="Q6296" s="8"/>
      <c r="R6296" s="9" t="s">
        <v>5818</v>
      </c>
    </row>
    <row r="6297" spans="1:18" x14ac:dyDescent="0.25">
      <c r="A6297" s="6" t="str">
        <f>HYPERLINK("proteomic_fractions_linear_files/Yang_linear_img/254039727.jpg", "254039727")</f>
        <v>254039727</v>
      </c>
      <c r="B6297" s="7"/>
      <c r="C6297" s="6" t="str">
        <f>HYPERLINK("http://www.ncbi.nlm.nih.gov/protein/254039727","Rhot1")</f>
        <v>Rhot1</v>
      </c>
      <c r="D6297" s="8"/>
      <c r="E6297" s="8">
        <v>75901</v>
      </c>
      <c r="F6297" s="8"/>
      <c r="G6297" s="15">
        <v>1.4447574186990984</v>
      </c>
      <c r="H6297" s="15">
        <v>1.2495786997708489</v>
      </c>
      <c r="I6297" s="15">
        <v>1.0934034009624192</v>
      </c>
      <c r="J6297" s="15">
        <v>1.0934034009624192</v>
      </c>
      <c r="K6297" s="15">
        <v>1.0934034009624192</v>
      </c>
      <c r="L6297" s="15">
        <v>1.0934034009624192</v>
      </c>
      <c r="M6297" s="15" t="s">
        <v>10</v>
      </c>
      <c r="N6297" s="15" t="s">
        <v>10</v>
      </c>
      <c r="O6297" s="15" t="s">
        <v>10</v>
      </c>
      <c r="P6297" s="15" t="s">
        <v>10</v>
      </c>
      <c r="Q6297" s="8"/>
      <c r="R6297" s="9" t="s">
        <v>5819</v>
      </c>
    </row>
    <row r="6298" spans="1:18" x14ac:dyDescent="0.25">
      <c r="A6298" s="6" t="str">
        <f>HYPERLINK("proteomic_fractions_linear_files/Yang_linear_img/254039729.jpg", "254039729")</f>
        <v>254039729</v>
      </c>
      <c r="B6298" s="7"/>
      <c r="C6298" s="6" t="str">
        <f>HYPERLINK("http://www.ncbi.nlm.nih.gov/protein/254039729","Rhot1")</f>
        <v>Rhot1</v>
      </c>
      <c r="D6298" s="8"/>
      <c r="E6298" s="8">
        <v>76873</v>
      </c>
      <c r="F6298" s="8"/>
      <c r="G6298" s="15">
        <v>1.4259943353393696</v>
      </c>
      <c r="H6298" s="15">
        <v>1.2333504049686299</v>
      </c>
      <c r="I6298" s="15">
        <v>1.079203356794076</v>
      </c>
      <c r="J6298" s="15">
        <v>1.079203356794076</v>
      </c>
      <c r="K6298" s="15">
        <v>1.079203356794076</v>
      </c>
      <c r="L6298" s="15">
        <v>1.079203356794076</v>
      </c>
      <c r="M6298" s="15" t="s">
        <v>10</v>
      </c>
      <c r="N6298" s="15" t="s">
        <v>10</v>
      </c>
      <c r="O6298" s="15" t="s">
        <v>10</v>
      </c>
      <c r="P6298" s="15" t="s">
        <v>10</v>
      </c>
      <c r="Q6298" s="8"/>
      <c r="R6298" s="9" t="s">
        <v>5820</v>
      </c>
    </row>
    <row r="6299" spans="1:18" x14ac:dyDescent="0.25">
      <c r="A6299" s="6" t="str">
        <f>HYPERLINK("proteomic_fractions_linear_files/Yang_linear_img/31559891.jpg", "31559891")</f>
        <v>31559891</v>
      </c>
      <c r="B6299" s="7"/>
      <c r="C6299" s="6" t="str">
        <f>HYPERLINK("http://www.ncbi.nlm.nih.gov/protein/31559891","Rhot1")</f>
        <v>Rhot1</v>
      </c>
      <c r="D6299" s="8"/>
      <c r="E6299" s="8">
        <v>72111</v>
      </c>
      <c r="F6299" s="8"/>
      <c r="G6299" s="15">
        <v>1.525021719737937</v>
      </c>
      <c r="H6299" s="15">
        <v>1.3189997386470071</v>
      </c>
      <c r="I6299" s="15">
        <v>1.1541480343492203</v>
      </c>
      <c r="J6299" s="15">
        <v>1.1541480343492203</v>
      </c>
      <c r="K6299" s="15">
        <v>1.1541480343492203</v>
      </c>
      <c r="L6299" s="15">
        <v>1.1541480343492203</v>
      </c>
      <c r="M6299" s="15" t="s">
        <v>10</v>
      </c>
      <c r="N6299" s="15" t="s">
        <v>10</v>
      </c>
      <c r="O6299" s="15" t="s">
        <v>10</v>
      </c>
      <c r="P6299" s="15" t="s">
        <v>10</v>
      </c>
      <c r="Q6299" s="8"/>
      <c r="R6299" s="9" t="s">
        <v>5821</v>
      </c>
    </row>
    <row r="6300" spans="1:18" x14ac:dyDescent="0.25">
      <c r="A6300" s="6" t="str">
        <f>HYPERLINK("proteomic_fractions_linear_files/Yang_linear_img/22122457.jpg", "22122457")</f>
        <v>22122457</v>
      </c>
      <c r="B6300" s="7"/>
      <c r="C6300" s="6" t="str">
        <f>HYPERLINK("http://www.ncbi.nlm.nih.gov/protein/22122457","Rhot2")</f>
        <v>Rhot2</v>
      </c>
      <c r="D6300" s="8"/>
      <c r="E6300" s="8">
        <v>68940</v>
      </c>
      <c r="F6300" s="8"/>
      <c r="G6300" s="15">
        <v>1.5913270119004561</v>
      </c>
      <c r="H6300" s="15">
        <v>1.3763475533707901</v>
      </c>
      <c r="I6300" s="15">
        <v>1.2043283836687515</v>
      </c>
      <c r="J6300" s="15">
        <v>1.2043283836687515</v>
      </c>
      <c r="K6300" s="15">
        <v>1.2043283836687515</v>
      </c>
      <c r="L6300" s="15">
        <v>1.2043283836687515</v>
      </c>
      <c r="M6300" s="15" t="s">
        <v>10</v>
      </c>
      <c r="N6300" s="15" t="s">
        <v>10</v>
      </c>
      <c r="O6300" s="15" t="s">
        <v>10</v>
      </c>
      <c r="P6300" s="15" t="s">
        <v>10</v>
      </c>
      <c r="Q6300" s="8"/>
      <c r="R6300" s="9" t="s">
        <v>5822</v>
      </c>
    </row>
    <row r="6301" spans="1:18" x14ac:dyDescent="0.25">
      <c r="A6301" s="6" t="str">
        <f>HYPERLINK("proteomic_fractions_linear_files/Yang_linear_img/229092577.jpg", "229092577")</f>
        <v>229092577</v>
      </c>
      <c r="B6301" s="7"/>
      <c r="C6301" s="6" t="str">
        <f>HYPERLINK("http://www.ncbi.nlm.nih.gov/protein/229092577","Rhpn2")</f>
        <v>Rhpn2</v>
      </c>
      <c r="D6301" s="8"/>
      <c r="E6301" s="8">
        <v>76826</v>
      </c>
      <c r="F6301" s="8"/>
      <c r="G6301" s="15" t="s">
        <v>10</v>
      </c>
      <c r="H6301" s="15" t="s">
        <v>10</v>
      </c>
      <c r="I6301" s="15">
        <v>1.079203356794076</v>
      </c>
      <c r="J6301" s="15">
        <v>1.079203356794076</v>
      </c>
      <c r="K6301" s="15">
        <v>1.079203356794076</v>
      </c>
      <c r="L6301" s="15">
        <v>1.079203356794076</v>
      </c>
      <c r="M6301" s="15">
        <v>1.079203356794076</v>
      </c>
      <c r="N6301" s="15">
        <v>1.079203356794076</v>
      </c>
      <c r="O6301" s="15">
        <v>1.079203356794076</v>
      </c>
      <c r="P6301" s="15">
        <v>1.079203356794076</v>
      </c>
      <c r="Q6301" s="8"/>
      <c r="R6301" s="9" t="s">
        <v>5823</v>
      </c>
    </row>
    <row r="6302" spans="1:18" x14ac:dyDescent="0.25">
      <c r="A6302" s="6" t="str">
        <f>HYPERLINK("proteomic_fractions_linear_files/Yang_linear_img/13385124.jpg", "13385124")</f>
        <v>13385124</v>
      </c>
      <c r="B6302" s="7"/>
      <c r="C6302" s="6" t="str">
        <f>HYPERLINK("http://www.ncbi.nlm.nih.gov/protein/13385124","Ribc1")</f>
        <v>Ribc1</v>
      </c>
      <c r="D6302" s="8"/>
      <c r="E6302" s="8">
        <v>44831</v>
      </c>
      <c r="F6302" s="8"/>
      <c r="G6302" s="15">
        <v>0.28327154093194723</v>
      </c>
      <c r="H6302" s="15">
        <v>0.28327154093194723</v>
      </c>
      <c r="I6302" s="15" t="s">
        <v>10</v>
      </c>
      <c r="J6302" s="15" t="s">
        <v>10</v>
      </c>
      <c r="K6302" s="15">
        <v>0.28327154093194723</v>
      </c>
      <c r="L6302" s="15">
        <v>0.28327154093194723</v>
      </c>
      <c r="M6302" s="15" t="s">
        <v>10</v>
      </c>
      <c r="N6302" s="15" t="s">
        <v>10</v>
      </c>
      <c r="O6302" s="15" t="s">
        <v>10</v>
      </c>
      <c r="P6302" s="15" t="s">
        <v>10</v>
      </c>
      <c r="Q6302" s="8"/>
      <c r="R6302" s="9" t="s">
        <v>5824</v>
      </c>
    </row>
    <row r="6303" spans="1:18" x14ac:dyDescent="0.25">
      <c r="A6303" s="6" t="str">
        <f>HYPERLINK("proteomic_fractions_linear_files/Yang_linear_img/16716495.jpg", "16716495")</f>
        <v>16716495</v>
      </c>
      <c r="B6303" s="7"/>
      <c r="C6303" s="6" t="str">
        <f>HYPERLINK("http://www.ncbi.nlm.nih.gov/protein/16716495","Ric8")</f>
        <v>Ric8</v>
      </c>
      <c r="D6303" s="8"/>
      <c r="E6303" s="8">
        <v>59716</v>
      </c>
      <c r="F6303" s="8"/>
      <c r="G6303" s="15" t="s">
        <v>10</v>
      </c>
      <c r="H6303" s="15" t="s">
        <v>10</v>
      </c>
      <c r="I6303" s="15">
        <v>0.25327230489690478</v>
      </c>
      <c r="J6303" s="15">
        <v>0.25327230489690478</v>
      </c>
      <c r="K6303" s="15">
        <v>0.25327230489690478</v>
      </c>
      <c r="L6303" s="15">
        <v>0.25327230489690478</v>
      </c>
      <c r="M6303" s="15">
        <v>0.25327230489690478</v>
      </c>
      <c r="N6303" s="15">
        <v>0.25327230489690478</v>
      </c>
      <c r="O6303" s="15" t="s">
        <v>10</v>
      </c>
      <c r="P6303" s="15" t="s">
        <v>10</v>
      </c>
      <c r="Q6303" s="8"/>
      <c r="R6303" s="9" t="s">
        <v>5825</v>
      </c>
    </row>
    <row r="6304" spans="1:18" x14ac:dyDescent="0.25">
      <c r="A6304" s="6" t="str">
        <f>HYPERLINK("proteomic_fractions_linear_files/Yang_linear_img/34147209.jpg", "34147209")</f>
        <v>34147209</v>
      </c>
      <c r="B6304" s="7"/>
      <c r="C6304" s="6" t="str">
        <f>HYPERLINK("http://www.ncbi.nlm.nih.gov/protein/34147209","Ric8b")</f>
        <v>Ric8b</v>
      </c>
      <c r="D6304" s="8"/>
      <c r="E6304" s="8">
        <v>63221</v>
      </c>
      <c r="F6304" s="8"/>
      <c r="G6304" s="15" t="s">
        <v>10</v>
      </c>
      <c r="H6304" s="15" t="s">
        <v>10</v>
      </c>
      <c r="I6304" s="15" t="s">
        <v>10</v>
      </c>
      <c r="J6304" s="15" t="s">
        <v>10</v>
      </c>
      <c r="K6304" s="15" t="s">
        <v>10</v>
      </c>
      <c r="L6304" s="15" t="s">
        <v>10</v>
      </c>
      <c r="M6304" s="15">
        <v>1.038940687786418</v>
      </c>
      <c r="N6304" s="15">
        <v>1.038940687786418</v>
      </c>
      <c r="O6304" s="15" t="s">
        <v>10</v>
      </c>
      <c r="P6304" s="15" t="s">
        <v>10</v>
      </c>
      <c r="Q6304" s="8"/>
      <c r="R6304" s="9" t="s">
        <v>5826</v>
      </c>
    </row>
    <row r="6305" spans="1:18" x14ac:dyDescent="0.25">
      <c r="A6305" s="6" t="str">
        <f>HYPERLINK("proteomic_fractions_linear_files/Yang_linear_img/61806725.jpg", "61806725")</f>
        <v>61806725</v>
      </c>
      <c r="B6305" s="7"/>
      <c r="C6305" s="6" t="str">
        <f>HYPERLINK("http://www.ncbi.nlm.nih.gov/protein/61806725","Ric8b")</f>
        <v>Ric8b</v>
      </c>
      <c r="D6305" s="8"/>
      <c r="E6305" s="8">
        <v>58552</v>
      </c>
      <c r="F6305" s="8"/>
      <c r="G6305" s="15" t="s">
        <v>10</v>
      </c>
      <c r="H6305" s="15" t="s">
        <v>10</v>
      </c>
      <c r="I6305" s="15" t="s">
        <v>10</v>
      </c>
      <c r="J6305" s="15" t="s">
        <v>10</v>
      </c>
      <c r="K6305" s="15" t="s">
        <v>10</v>
      </c>
      <c r="L6305" s="15" t="s">
        <v>10</v>
      </c>
      <c r="M6305" s="15">
        <v>1.1093773445854971</v>
      </c>
      <c r="N6305" s="15">
        <v>1.1093773445854971</v>
      </c>
      <c r="O6305" s="15" t="s">
        <v>10</v>
      </c>
      <c r="P6305" s="15" t="s">
        <v>10</v>
      </c>
      <c r="Q6305" s="8"/>
      <c r="R6305" s="9" t="s">
        <v>5827</v>
      </c>
    </row>
    <row r="6306" spans="1:18" x14ac:dyDescent="0.25">
      <c r="A6306" s="6" t="str">
        <f>HYPERLINK("proteomic_fractions_linear_files/Yang_linear_img/168480120.jpg", "168480120")</f>
        <v>168480120</v>
      </c>
      <c r="B6306" s="7"/>
      <c r="C6306" s="6" t="str">
        <f>HYPERLINK("http://www.ncbi.nlm.nih.gov/protein/168480120","Rictor")</f>
        <v>Rictor</v>
      </c>
      <c r="D6306" s="8"/>
      <c r="E6306" s="8">
        <v>191439</v>
      </c>
      <c r="F6306" s="8"/>
      <c r="G6306" s="15" t="s">
        <v>10</v>
      </c>
      <c r="H6306" s="15" t="s">
        <v>10</v>
      </c>
      <c r="I6306" s="15">
        <v>1.2217845425541836</v>
      </c>
      <c r="J6306" s="15">
        <v>1.2217845425541836</v>
      </c>
      <c r="K6306" s="15">
        <v>1.2217845425541836</v>
      </c>
      <c r="L6306" s="15">
        <v>1.2217845425541836</v>
      </c>
      <c r="M6306" s="15">
        <v>0.80341817348817712</v>
      </c>
      <c r="N6306" s="15">
        <v>0.80341817348817712</v>
      </c>
      <c r="O6306" s="15" t="s">
        <v>10</v>
      </c>
      <c r="P6306" s="15" t="s">
        <v>10</v>
      </c>
      <c r="Q6306" s="8"/>
      <c r="R6306" s="9" t="s">
        <v>5828</v>
      </c>
    </row>
    <row r="6307" spans="1:18" x14ac:dyDescent="0.25">
      <c r="A6307" s="6" t="str">
        <f>HYPERLINK("proteomic_fractions_linear_files/Yang_linear_img/71480154.jpg", "71480154")</f>
        <v>71480154</v>
      </c>
      <c r="B6307" s="7"/>
      <c r="C6307" s="6" t="str">
        <f>HYPERLINK("http://www.ncbi.nlm.nih.gov/protein/71480154","Rilp")</f>
        <v>Rilp</v>
      </c>
      <c r="D6307" s="8"/>
      <c r="E6307" s="8">
        <v>41008</v>
      </c>
      <c r="F6307" s="8"/>
      <c r="G6307" s="15" t="s">
        <v>10</v>
      </c>
      <c r="H6307" s="15" t="s">
        <v>10</v>
      </c>
      <c r="I6307" s="15">
        <v>0.53160347001655495</v>
      </c>
      <c r="J6307" s="15">
        <v>0.53160347001655495</v>
      </c>
      <c r="K6307" s="15">
        <v>0.53160347001655495</v>
      </c>
      <c r="L6307" s="15">
        <v>0.53160347001655495</v>
      </c>
      <c r="M6307" s="15" t="s">
        <v>10</v>
      </c>
      <c r="N6307" s="15" t="s">
        <v>10</v>
      </c>
      <c r="O6307" s="15" t="s">
        <v>10</v>
      </c>
      <c r="P6307" s="15" t="s">
        <v>10</v>
      </c>
      <c r="Q6307" s="8"/>
      <c r="R6307" s="9" t="s">
        <v>5829</v>
      </c>
    </row>
    <row r="6308" spans="1:18" x14ac:dyDescent="0.25">
      <c r="A6308" s="6" t="str">
        <f>HYPERLINK("proteomic_fractions_linear_files/Yang_linear_img/10946796.jpg", "10946796")</f>
        <v>10946796</v>
      </c>
      <c r="B6308" s="7"/>
      <c r="C6308" s="6" t="str">
        <f>HYPERLINK("http://www.ncbi.nlm.nih.gov/protein/10946796","Rilpl1")</f>
        <v>Rilpl1</v>
      </c>
      <c r="D6308" s="8"/>
      <c r="E6308" s="8">
        <v>47192</v>
      </c>
      <c r="F6308" s="8"/>
      <c r="G6308" s="15" t="s">
        <v>10</v>
      </c>
      <c r="H6308" s="15" t="s">
        <v>10</v>
      </c>
      <c r="I6308" s="15" t="s">
        <v>10</v>
      </c>
      <c r="J6308" s="15" t="s">
        <v>10</v>
      </c>
      <c r="K6308" s="15">
        <v>1.1302248857447037</v>
      </c>
      <c r="L6308" s="15">
        <v>1.1302248857447037</v>
      </c>
      <c r="M6308" s="15" t="s">
        <v>10</v>
      </c>
      <c r="N6308" s="15" t="s">
        <v>10</v>
      </c>
      <c r="O6308" s="15">
        <v>0.93884232440352056</v>
      </c>
      <c r="P6308" s="15">
        <v>1.0274462890301117</v>
      </c>
      <c r="Q6308" s="8"/>
      <c r="R6308" s="9" t="s">
        <v>5830</v>
      </c>
    </row>
    <row r="6309" spans="1:18" x14ac:dyDescent="0.25">
      <c r="A6309" s="6" t="str">
        <f>HYPERLINK("proteomic_fractions_linear_files/Yang_linear_img/21703974.jpg", "21703974")</f>
        <v>21703974</v>
      </c>
      <c r="B6309" s="7"/>
      <c r="C6309" s="6" t="str">
        <f>HYPERLINK("http://www.ncbi.nlm.nih.gov/protein/21703974","Rin1")</f>
        <v>Rin1</v>
      </c>
      <c r="D6309" s="8"/>
      <c r="E6309" s="8">
        <v>82883</v>
      </c>
      <c r="F6309" s="8"/>
      <c r="G6309" s="15" t="s">
        <v>10</v>
      </c>
      <c r="H6309" s="15" t="s">
        <v>10</v>
      </c>
      <c r="I6309" s="15" t="s">
        <v>10</v>
      </c>
      <c r="J6309" s="15" t="s">
        <v>10</v>
      </c>
      <c r="K6309" s="15">
        <v>1.3229104074835116</v>
      </c>
      <c r="L6309" s="15">
        <v>1.3229104074835116</v>
      </c>
      <c r="M6309" s="15">
        <v>3.6359436703192625</v>
      </c>
      <c r="N6309" s="15">
        <v>3.6359436703192625</v>
      </c>
      <c r="O6309" s="15" t="s">
        <v>10</v>
      </c>
      <c r="P6309" s="15" t="s">
        <v>10</v>
      </c>
      <c r="Q6309" s="8"/>
      <c r="R6309" s="9" t="s">
        <v>5831</v>
      </c>
    </row>
    <row r="6310" spans="1:18" x14ac:dyDescent="0.25">
      <c r="A6310" s="6" t="str">
        <f>HYPERLINK("proteomic_fractions_linear_files/Yang_linear_img/224967114.jpg", "224967114")</f>
        <v>224967114</v>
      </c>
      <c r="B6310" s="7"/>
      <c r="C6310" s="6" t="str">
        <f>HYPERLINK("http://www.ncbi.nlm.nih.gov/protein/224967114","Rin2")</f>
        <v>Rin2</v>
      </c>
      <c r="D6310" s="8"/>
      <c r="E6310" s="8">
        <v>96454</v>
      </c>
      <c r="F6310" s="8"/>
      <c r="G6310" s="15" t="s">
        <v>10</v>
      </c>
      <c r="H6310" s="15" t="s">
        <v>10</v>
      </c>
      <c r="I6310" s="15" t="s">
        <v>10</v>
      </c>
      <c r="J6310" s="15" t="s">
        <v>10</v>
      </c>
      <c r="K6310" s="15">
        <v>4.2608703931191645</v>
      </c>
      <c r="L6310" s="15">
        <v>4.2608703931191645</v>
      </c>
      <c r="M6310" s="15" t="s">
        <v>10</v>
      </c>
      <c r="N6310" s="15" t="s">
        <v>10</v>
      </c>
      <c r="O6310" s="15" t="s">
        <v>10</v>
      </c>
      <c r="P6310" s="15" t="s">
        <v>10</v>
      </c>
      <c r="Q6310" s="8"/>
      <c r="R6310" s="9" t="s">
        <v>5832</v>
      </c>
    </row>
    <row r="6311" spans="1:18" x14ac:dyDescent="0.25">
      <c r="A6311" s="6" t="str">
        <f>HYPERLINK("proteomic_fractions_linear_files/Yang_linear_img/238624151.jpg", "238624151")</f>
        <v>238624151</v>
      </c>
      <c r="B6311" s="7"/>
      <c r="C6311" s="6" t="str">
        <f>HYPERLINK("http://www.ncbi.nlm.nih.gov/protein/238624151","Rin3")</f>
        <v>Rin3</v>
      </c>
      <c r="D6311" s="8"/>
      <c r="E6311" s="8">
        <v>107090</v>
      </c>
      <c r="F6311" s="8"/>
      <c r="G6311" s="15" t="s">
        <v>10</v>
      </c>
      <c r="H6311" s="15" t="s">
        <v>10</v>
      </c>
      <c r="I6311" s="15" t="s">
        <v>10</v>
      </c>
      <c r="J6311" s="15" t="s">
        <v>10</v>
      </c>
      <c r="K6311" s="15" t="s">
        <v>10</v>
      </c>
      <c r="L6311" s="15" t="s">
        <v>10</v>
      </c>
      <c r="M6311" s="15" t="s">
        <v>10</v>
      </c>
      <c r="N6311" s="15" t="s">
        <v>10</v>
      </c>
      <c r="O6311" s="15">
        <v>1.2030058705151119</v>
      </c>
      <c r="P6311" s="15">
        <v>1.2030058705151119</v>
      </c>
      <c r="Q6311" s="8"/>
      <c r="R6311" s="9" t="s">
        <v>5833</v>
      </c>
    </row>
    <row r="6312" spans="1:18" x14ac:dyDescent="0.25">
      <c r="A6312" s="6" t="str">
        <f>HYPERLINK("proteomic_fractions_linear_files/Yang_linear_img/238624153.jpg", "238624153")</f>
        <v>238624153</v>
      </c>
      <c r="B6312" s="7"/>
      <c r="C6312" s="6" t="str">
        <f>HYPERLINK("http://www.ncbi.nlm.nih.gov/protein/238624153","Rin3")</f>
        <v>Rin3</v>
      </c>
      <c r="D6312" s="8"/>
      <c r="E6312" s="8">
        <v>98547</v>
      </c>
      <c r="F6312" s="8"/>
      <c r="G6312" s="15" t="s">
        <v>10</v>
      </c>
      <c r="H6312" s="15" t="s">
        <v>10</v>
      </c>
      <c r="I6312" s="15" t="s">
        <v>10</v>
      </c>
      <c r="J6312" s="15" t="s">
        <v>10</v>
      </c>
      <c r="K6312" s="15" t="s">
        <v>10</v>
      </c>
      <c r="L6312" s="15" t="s">
        <v>10</v>
      </c>
      <c r="M6312" s="15" t="s">
        <v>10</v>
      </c>
      <c r="N6312" s="15" t="s">
        <v>10</v>
      </c>
      <c r="O6312" s="15">
        <v>1.3002184661122926</v>
      </c>
      <c r="P6312" s="15">
        <v>1.3002184661122926</v>
      </c>
      <c r="Q6312" s="8"/>
      <c r="R6312" s="9" t="s">
        <v>5834</v>
      </c>
    </row>
    <row r="6313" spans="1:18" x14ac:dyDescent="0.25">
      <c r="A6313" s="6" t="str">
        <f>HYPERLINK("proteomic_fractions_linear_files/Yang_linear_img/226958428.jpg", "226958428")</f>
        <v>226958428</v>
      </c>
      <c r="B6313" s="7"/>
      <c r="C6313" s="6" t="str">
        <f>HYPERLINK("http://www.ncbi.nlm.nih.gov/protein/226958428","Ring1")</f>
        <v>Ring1</v>
      </c>
      <c r="D6313" s="8"/>
      <c r="E6313" s="8">
        <v>42500</v>
      </c>
      <c r="F6313" s="8"/>
      <c r="G6313" s="15" t="s">
        <v>10</v>
      </c>
      <c r="H6313" s="15" t="s">
        <v>10</v>
      </c>
      <c r="I6313" s="15" t="s">
        <v>10</v>
      </c>
      <c r="J6313" s="15" t="s">
        <v>10</v>
      </c>
      <c r="K6313" s="15">
        <v>1.2353620844186297</v>
      </c>
      <c r="L6313" s="15">
        <v>1.2353620844186297</v>
      </c>
      <c r="M6313" s="15">
        <v>1.2353620844186297</v>
      </c>
      <c r="N6313" s="15">
        <v>1.2353620844186297</v>
      </c>
      <c r="O6313" s="15">
        <v>1.123022688009657</v>
      </c>
      <c r="P6313" s="15">
        <v>1.123022688009657</v>
      </c>
      <c r="Q6313" s="8"/>
      <c r="R6313" s="9" t="s">
        <v>5835</v>
      </c>
    </row>
    <row r="6314" spans="1:18" x14ac:dyDescent="0.25">
      <c r="A6314" s="6" t="str">
        <f>HYPERLINK("proteomic_fractions_linear_files/Yang_linear_img/62899067.jpg", "62899067")</f>
        <v>62899067</v>
      </c>
      <c r="B6314" s="7"/>
      <c r="C6314" s="6" t="str">
        <f>HYPERLINK("http://www.ncbi.nlm.nih.gov/protein/62899067","Rint1")</f>
        <v>Rint1</v>
      </c>
      <c r="D6314" s="8"/>
      <c r="E6314" s="8">
        <v>89963</v>
      </c>
      <c r="F6314" s="8"/>
      <c r="G6314" s="15" t="s">
        <v>10</v>
      </c>
      <c r="H6314" s="15" t="s">
        <v>10</v>
      </c>
      <c r="I6314" s="15" t="s">
        <v>10</v>
      </c>
      <c r="J6314" s="15" t="s">
        <v>10</v>
      </c>
      <c r="K6314" s="15">
        <v>1.0551997909176056</v>
      </c>
      <c r="L6314" s="15">
        <v>1.0551997909176056</v>
      </c>
      <c r="M6314" s="15" t="s">
        <v>10</v>
      </c>
      <c r="N6314" s="15" t="s">
        <v>10</v>
      </c>
      <c r="O6314" s="15" t="s">
        <v>10</v>
      </c>
      <c r="P6314" s="15" t="s">
        <v>10</v>
      </c>
      <c r="Q6314" s="8"/>
      <c r="R6314" s="9" t="s">
        <v>5836</v>
      </c>
    </row>
    <row r="6315" spans="1:18" x14ac:dyDescent="0.25">
      <c r="A6315" s="6" t="str">
        <f>HYPERLINK("proteomic_fractions_linear_files/Yang_linear_img/22208995.jpg", "22208995")</f>
        <v>22208995</v>
      </c>
      <c r="B6315" s="7"/>
      <c r="C6315" s="6" t="str">
        <f>HYPERLINK("http://www.ncbi.nlm.nih.gov/protein/22208995","Riok1")</f>
        <v>Riok1</v>
      </c>
      <c r="D6315" s="8"/>
      <c r="E6315" s="8">
        <v>64780</v>
      </c>
      <c r="F6315" s="8"/>
      <c r="G6315" s="15" t="s">
        <v>10</v>
      </c>
      <c r="H6315" s="15" t="s">
        <v>10</v>
      </c>
      <c r="I6315" s="15" t="s">
        <v>10</v>
      </c>
      <c r="J6315" s="15" t="s">
        <v>10</v>
      </c>
      <c r="K6315" s="15" t="s">
        <v>10</v>
      </c>
      <c r="L6315" s="15" t="s">
        <v>10</v>
      </c>
      <c r="M6315" s="15">
        <v>1.2784408995868286</v>
      </c>
      <c r="N6315" s="15">
        <v>1.2784408995868286</v>
      </c>
      <c r="O6315" s="15" t="s">
        <v>10</v>
      </c>
      <c r="P6315" s="15" t="s">
        <v>10</v>
      </c>
      <c r="Q6315" s="8"/>
      <c r="R6315" s="9" t="s">
        <v>5837</v>
      </c>
    </row>
    <row r="6316" spans="1:18" x14ac:dyDescent="0.25">
      <c r="A6316" s="6" t="str">
        <f>HYPERLINK("proteomic_fractions_linear_files/Yang_linear_img/34328467.jpg", "34328467")</f>
        <v>34328467</v>
      </c>
      <c r="B6316" s="7"/>
      <c r="C6316" s="6" t="str">
        <f>HYPERLINK("http://www.ncbi.nlm.nih.gov/protein/34328467","Ripk1")</f>
        <v>Ripk1</v>
      </c>
      <c r="D6316" s="8"/>
      <c r="E6316" s="8">
        <v>74724</v>
      </c>
      <c r="F6316" s="8"/>
      <c r="G6316" s="15" t="s">
        <v>10</v>
      </c>
      <c r="H6316" s="15" t="s">
        <v>10</v>
      </c>
      <c r="I6316" s="15" t="s">
        <v>10</v>
      </c>
      <c r="J6316" s="15" t="s">
        <v>10</v>
      </c>
      <c r="K6316" s="15" t="s">
        <v>10</v>
      </c>
      <c r="L6316" s="15" t="s">
        <v>10</v>
      </c>
      <c r="M6316" s="15" t="s">
        <v>10</v>
      </c>
      <c r="N6316" s="15" t="s">
        <v>10</v>
      </c>
      <c r="O6316" s="15">
        <v>0.97914880322242992</v>
      </c>
      <c r="P6316" s="15">
        <v>0.97914880322242992</v>
      </c>
      <c r="Q6316" s="8"/>
      <c r="R6316" s="9" t="s">
        <v>5838</v>
      </c>
    </row>
    <row r="6317" spans="1:18" x14ac:dyDescent="0.25">
      <c r="A6317" s="6" t="str">
        <f>HYPERLINK("proteomic_fractions_linear_files/Yang_linear_img/31560255.jpg", "31560255")</f>
        <v>31560255</v>
      </c>
      <c r="B6317" s="7"/>
      <c r="C6317" s="6" t="str">
        <f>HYPERLINK("http://www.ncbi.nlm.nih.gov/protein/31560255","Rmdn1")</f>
        <v>Rmdn1</v>
      </c>
      <c r="D6317" s="8"/>
      <c r="E6317" s="8">
        <v>34869</v>
      </c>
      <c r="F6317" s="8"/>
      <c r="G6317" s="15" t="s">
        <v>10</v>
      </c>
      <c r="H6317" s="15" t="s">
        <v>10</v>
      </c>
      <c r="I6317" s="15">
        <v>0.70156630323648328</v>
      </c>
      <c r="J6317" s="15">
        <v>0.70156630323648328</v>
      </c>
      <c r="K6317" s="15" t="s">
        <v>10</v>
      </c>
      <c r="L6317" s="15" t="s">
        <v>10</v>
      </c>
      <c r="M6317" s="15" t="s">
        <v>10</v>
      </c>
      <c r="N6317" s="15" t="s">
        <v>10</v>
      </c>
      <c r="O6317" s="15" t="s">
        <v>10</v>
      </c>
      <c r="P6317" s="15" t="s">
        <v>10</v>
      </c>
      <c r="Q6317" s="8"/>
      <c r="R6317" s="9" t="s">
        <v>5839</v>
      </c>
    </row>
    <row r="6318" spans="1:18" x14ac:dyDescent="0.25">
      <c r="A6318" s="6" t="str">
        <f>HYPERLINK("proteomic_fractions_linear_files/Yang_linear_img/41235741.jpg", "41235741")</f>
        <v>41235741</v>
      </c>
      <c r="B6318" s="7"/>
      <c r="C6318" s="6" t="str">
        <f>HYPERLINK("http://www.ncbi.nlm.nih.gov/protein/41235741","Rmdn2")</f>
        <v>Rmdn2</v>
      </c>
      <c r="D6318" s="8"/>
      <c r="E6318" s="8">
        <v>46885</v>
      </c>
      <c r="F6318" s="8"/>
      <c r="G6318" s="15" t="s">
        <v>10</v>
      </c>
      <c r="H6318" s="15" t="s">
        <v>10</v>
      </c>
      <c r="I6318" s="15" t="s">
        <v>10</v>
      </c>
      <c r="J6318" s="15" t="s">
        <v>10</v>
      </c>
      <c r="K6318" s="15">
        <v>0.68263984799433164</v>
      </c>
      <c r="L6318" s="15">
        <v>0.68263984799433164</v>
      </c>
      <c r="M6318" s="15" t="s">
        <v>10</v>
      </c>
      <c r="N6318" s="15" t="s">
        <v>10</v>
      </c>
      <c r="O6318" s="15" t="s">
        <v>10</v>
      </c>
      <c r="P6318" s="15" t="s">
        <v>10</v>
      </c>
      <c r="Q6318" s="8"/>
      <c r="R6318" s="9" t="s">
        <v>5840</v>
      </c>
    </row>
    <row r="6319" spans="1:18" x14ac:dyDescent="0.25">
      <c r="A6319" s="6" t="str">
        <f>HYPERLINK("proteomic_fractions_linear_files/Yang_linear_img/85701644.jpg", "85701644")</f>
        <v>85701644</v>
      </c>
      <c r="B6319" s="7"/>
      <c r="C6319" s="6" t="str">
        <f>HYPERLINK("http://www.ncbi.nlm.nih.gov/protein/85701644","Rmdn3")</f>
        <v>Rmdn3</v>
      </c>
      <c r="D6319" s="8"/>
      <c r="E6319" s="8">
        <v>51898</v>
      </c>
      <c r="F6319" s="8"/>
      <c r="G6319" s="15" t="s">
        <v>10</v>
      </c>
      <c r="H6319" s="15" t="s">
        <v>10</v>
      </c>
      <c r="I6319" s="15">
        <v>1.2587166025104679</v>
      </c>
      <c r="J6319" s="15">
        <v>1.2587166025104679</v>
      </c>
      <c r="K6319" s="15" t="s">
        <v>10</v>
      </c>
      <c r="L6319" s="15" t="s">
        <v>10</v>
      </c>
      <c r="M6319" s="15" t="s">
        <v>10</v>
      </c>
      <c r="N6319" s="15" t="s">
        <v>10</v>
      </c>
      <c r="O6319" s="15" t="s">
        <v>10</v>
      </c>
      <c r="P6319" s="15" t="s">
        <v>10</v>
      </c>
      <c r="Q6319" s="8"/>
      <c r="R6319" s="9" t="s">
        <v>5841</v>
      </c>
    </row>
    <row r="6320" spans="1:18" x14ac:dyDescent="0.25">
      <c r="A6320" s="6" t="str">
        <f>HYPERLINK("proteomic_fractions_linear_files/Yang_linear_img/267844815.jpg", "267844815")</f>
        <v>267844815</v>
      </c>
      <c r="B6320" s="7"/>
      <c r="C6320" s="6" t="str">
        <f>HYPERLINK("http://www.ncbi.nlm.nih.gov/protein/267844815","Rmnd5a")</f>
        <v>Rmnd5a</v>
      </c>
      <c r="D6320" s="8"/>
      <c r="E6320" s="8">
        <v>43862</v>
      </c>
      <c r="F6320" s="8"/>
      <c r="G6320" s="15" t="s">
        <v>10</v>
      </c>
      <c r="H6320" s="15" t="s">
        <v>10</v>
      </c>
      <c r="I6320" s="15" t="s">
        <v>10</v>
      </c>
      <c r="J6320" s="15" t="s">
        <v>10</v>
      </c>
      <c r="K6320" s="15" t="s">
        <v>10</v>
      </c>
      <c r="L6320" s="15" t="s">
        <v>10</v>
      </c>
      <c r="M6320" s="15">
        <v>0.9206208682550624</v>
      </c>
      <c r="N6320" s="15">
        <v>0.9206208682550624</v>
      </c>
      <c r="O6320" s="15" t="s">
        <v>10</v>
      </c>
      <c r="P6320" s="15" t="s">
        <v>10</v>
      </c>
      <c r="Q6320" s="8"/>
      <c r="R6320" s="9" t="s">
        <v>5842</v>
      </c>
    </row>
    <row r="6321" spans="1:18" x14ac:dyDescent="0.25">
      <c r="A6321" s="6" t="str">
        <f>HYPERLINK("proteomic_fractions_linear_files/Yang_linear_img/226246542.jpg", "226246542")</f>
        <v>226246542</v>
      </c>
      <c r="B6321" s="7"/>
      <c r="C6321" s="6" t="str">
        <f>HYPERLINK("http://www.ncbi.nlm.nih.gov/protein/226246542","Rnaseh1")</f>
        <v>Rnaseh1</v>
      </c>
      <c r="D6321" s="8"/>
      <c r="E6321" s="8">
        <v>28857</v>
      </c>
      <c r="F6321" s="8"/>
      <c r="G6321" s="15" t="s">
        <v>10</v>
      </c>
      <c r="H6321" s="15" t="s">
        <v>10</v>
      </c>
      <c r="I6321" s="15" t="s">
        <v>10</v>
      </c>
      <c r="J6321" s="15" t="s">
        <v>10</v>
      </c>
      <c r="K6321" s="15" t="s">
        <v>10</v>
      </c>
      <c r="L6321" s="15" t="s">
        <v>10</v>
      </c>
      <c r="M6321" s="15" t="s">
        <v>10</v>
      </c>
      <c r="N6321" s="15" t="s">
        <v>10</v>
      </c>
      <c r="O6321" s="15">
        <v>0.96269694129938133</v>
      </c>
      <c r="P6321" s="15">
        <v>0.96269694129938133</v>
      </c>
      <c r="Q6321" s="8"/>
      <c r="R6321" s="9" t="s">
        <v>5843</v>
      </c>
    </row>
    <row r="6322" spans="1:18" x14ac:dyDescent="0.25">
      <c r="A6322" s="6" t="str">
        <f>HYPERLINK("proteomic_fractions_linear_files/Yang_linear_img/58037175.jpg", "58037175")</f>
        <v>58037175</v>
      </c>
      <c r="B6322" s="7"/>
      <c r="C6322" s="6" t="str">
        <f>HYPERLINK("http://www.ncbi.nlm.nih.gov/protein/58037175","Rnaseh2a")</f>
        <v>Rnaseh2a</v>
      </c>
      <c r="D6322" s="8"/>
      <c r="E6322" s="8">
        <v>33382</v>
      </c>
      <c r="F6322" s="8"/>
      <c r="G6322" s="15" t="s">
        <v>10</v>
      </c>
      <c r="H6322" s="15" t="s">
        <v>10</v>
      </c>
      <c r="I6322" s="15">
        <v>0.9722446319919269</v>
      </c>
      <c r="J6322" s="15">
        <v>0.9722446319919269</v>
      </c>
      <c r="K6322" s="15">
        <v>0.9722446319919269</v>
      </c>
      <c r="L6322" s="15">
        <v>0.9722446319919269</v>
      </c>
      <c r="M6322" s="15">
        <v>0.90561839065797367</v>
      </c>
      <c r="N6322" s="15">
        <v>0.90561839065797367</v>
      </c>
      <c r="O6322" s="15">
        <v>0.84600640296006246</v>
      </c>
      <c r="P6322" s="15">
        <v>0.84600640296006246</v>
      </c>
      <c r="Q6322" s="8"/>
      <c r="R6322" s="9" t="s">
        <v>5844</v>
      </c>
    </row>
    <row r="6323" spans="1:18" x14ac:dyDescent="0.25">
      <c r="A6323" s="6" t="str">
        <f>HYPERLINK("proteomic_fractions_linear_files/Yang_linear_img/58037097.jpg", "58037097")</f>
        <v>58037097</v>
      </c>
      <c r="B6323" s="7"/>
      <c r="C6323" s="6" t="str">
        <f>HYPERLINK("http://www.ncbi.nlm.nih.gov/protein/58037097","Rnaseh2b")</f>
        <v>Rnaseh2b</v>
      </c>
      <c r="D6323" s="8"/>
      <c r="E6323" s="8">
        <v>34598</v>
      </c>
      <c r="F6323" s="8"/>
      <c r="G6323" s="15" t="s">
        <v>10</v>
      </c>
      <c r="H6323" s="15" t="s">
        <v>10</v>
      </c>
      <c r="I6323" s="15">
        <v>0.91668779587810256</v>
      </c>
      <c r="J6323" s="15">
        <v>0.91668779587810256</v>
      </c>
      <c r="K6323" s="15">
        <v>0.98723932944214809</v>
      </c>
      <c r="L6323" s="15">
        <v>0.98723932944214809</v>
      </c>
      <c r="M6323" s="15">
        <v>0.98723932944214809</v>
      </c>
      <c r="N6323" s="15">
        <v>0.98723932944214809</v>
      </c>
      <c r="O6323" s="15">
        <v>0.85386876833466085</v>
      </c>
      <c r="P6323" s="15">
        <v>0.85386876833466085</v>
      </c>
      <c r="Q6323" s="8"/>
      <c r="R6323" s="9" t="s">
        <v>5845</v>
      </c>
    </row>
    <row r="6324" spans="1:18" x14ac:dyDescent="0.25">
      <c r="A6324" s="6" t="str">
        <f>HYPERLINK("proteomic_fractions_linear_files/Yang_linear_img/13386102.jpg", "13386102")</f>
        <v>13386102</v>
      </c>
      <c r="B6324" s="7"/>
      <c r="C6324" s="6" t="str">
        <f>HYPERLINK("http://www.ncbi.nlm.nih.gov/protein/13386102","Rnaseh2c")</f>
        <v>Rnaseh2c</v>
      </c>
      <c r="D6324" s="8"/>
      <c r="E6324" s="8">
        <v>17692</v>
      </c>
      <c r="F6324" s="8"/>
      <c r="G6324" s="15" t="s">
        <v>10</v>
      </c>
      <c r="H6324" s="15" t="s">
        <v>10</v>
      </c>
      <c r="I6324" s="15" t="s">
        <v>10</v>
      </c>
      <c r="J6324" s="15" t="s">
        <v>10</v>
      </c>
      <c r="K6324" s="15">
        <v>0.97610776474216487</v>
      </c>
      <c r="L6324" s="15">
        <v>0.97610776474216487</v>
      </c>
      <c r="M6324" s="15">
        <v>1.0275166202535602</v>
      </c>
      <c r="N6324" s="15">
        <v>1.0275166202535602</v>
      </c>
      <c r="O6324" s="15">
        <v>0.97610776474216487</v>
      </c>
      <c r="P6324" s="15">
        <v>0.97610776474216487</v>
      </c>
      <c r="Q6324" s="8"/>
      <c r="R6324" s="9" t="s">
        <v>5846</v>
      </c>
    </row>
    <row r="6325" spans="1:18" x14ac:dyDescent="0.25">
      <c r="A6325" s="6" t="str">
        <f>HYPERLINK("proteomic_fractions_linear_files/Yang_linear_img/33239393.jpg", "33239393")</f>
        <v>33239393</v>
      </c>
      <c r="B6325" s="7"/>
      <c r="C6325" s="6" t="str">
        <f>HYPERLINK("http://www.ncbi.nlm.nih.gov/protein/33239393","Rnasek")</f>
        <v>Rnasek</v>
      </c>
      <c r="D6325" s="8"/>
      <c r="E6325" s="8">
        <v>10861</v>
      </c>
      <c r="F6325" s="8"/>
      <c r="G6325" s="15">
        <v>1.1120782993028506</v>
      </c>
      <c r="H6325" s="15">
        <v>1.1120782993028506</v>
      </c>
      <c r="I6325" s="15" t="s">
        <v>10</v>
      </c>
      <c r="J6325" s="15" t="s">
        <v>10</v>
      </c>
      <c r="K6325" s="15">
        <v>1.2623500454487864</v>
      </c>
      <c r="L6325" s="15">
        <v>1.2623500454487864</v>
      </c>
      <c r="M6325" s="15" t="s">
        <v>10</v>
      </c>
      <c r="N6325" s="15" t="s">
        <v>10</v>
      </c>
      <c r="O6325" s="15" t="s">
        <v>10</v>
      </c>
      <c r="P6325" s="15" t="s">
        <v>10</v>
      </c>
      <c r="Q6325" s="8"/>
      <c r="R6325" s="9" t="s">
        <v>5847</v>
      </c>
    </row>
    <row r="6326" spans="1:18" x14ac:dyDescent="0.25">
      <c r="A6326" s="6" t="str">
        <f>HYPERLINK("proteomic_fractions_linear_files/Yang_linear_img/21311883.jpg", "21311883")</f>
        <v>21311883</v>
      </c>
      <c r="B6326" s="7"/>
      <c r="C6326" s="6" t="str">
        <f>HYPERLINK("http://www.ncbi.nlm.nih.gov/protein/21311883","Rnaset2b")</f>
        <v>Rnaset2b</v>
      </c>
      <c r="D6326" s="8"/>
      <c r="E6326" s="8">
        <v>26756</v>
      </c>
      <c r="F6326" s="8"/>
      <c r="G6326" s="15">
        <v>0.96852807834907406</v>
      </c>
      <c r="H6326" s="15">
        <v>0.96852807834907406</v>
      </c>
      <c r="I6326" s="15">
        <v>0.68501108016904011</v>
      </c>
      <c r="J6326" s="15">
        <v>0.68501108016904011</v>
      </c>
      <c r="K6326" s="15">
        <v>0.68501108016904011</v>
      </c>
      <c r="L6326" s="15">
        <v>0.68501108016904011</v>
      </c>
      <c r="M6326" s="15" t="s">
        <v>10</v>
      </c>
      <c r="N6326" s="15" t="s">
        <v>10</v>
      </c>
      <c r="O6326" s="15">
        <v>0.65073850982810988</v>
      </c>
      <c r="P6326" s="15">
        <v>0.65073850982810988</v>
      </c>
      <c r="Q6326" s="8"/>
      <c r="R6326" s="9" t="s">
        <v>5848</v>
      </c>
    </row>
    <row r="6327" spans="1:18" x14ac:dyDescent="0.25">
      <c r="A6327" s="6" t="str">
        <f>HYPERLINK("proteomic_fractions_linear_files/Yang_linear_img/7305435.jpg", "7305435")</f>
        <v>7305435</v>
      </c>
      <c r="B6327" s="7"/>
      <c r="C6327" s="6" t="str">
        <f>HYPERLINK("http://www.ncbi.nlm.nih.gov/protein/7305435","Rnf11")</f>
        <v>Rnf11</v>
      </c>
      <c r="D6327" s="8"/>
      <c r="E6327" s="8">
        <v>17327</v>
      </c>
      <c r="F6327" s="8"/>
      <c r="G6327" s="15" t="s">
        <v>10</v>
      </c>
      <c r="H6327" s="15" t="s">
        <v>10</v>
      </c>
      <c r="I6327" s="15">
        <v>1.1471264604726632</v>
      </c>
      <c r="J6327" s="15">
        <v>1.1471264604726632</v>
      </c>
      <c r="K6327" s="15">
        <v>1.211614187450369</v>
      </c>
      <c r="L6327" s="15">
        <v>1.211614187450369</v>
      </c>
      <c r="M6327" s="15" t="s">
        <v>10</v>
      </c>
      <c r="N6327" s="15" t="s">
        <v>10</v>
      </c>
      <c r="O6327" s="15" t="s">
        <v>10</v>
      </c>
      <c r="P6327" s="15" t="s">
        <v>10</v>
      </c>
      <c r="Q6327" s="8"/>
      <c r="R6327" s="9" t="s">
        <v>5849</v>
      </c>
    </row>
    <row r="6328" spans="1:18" x14ac:dyDescent="0.25">
      <c r="A6328" s="6" t="str">
        <f>HYPERLINK("proteomic_fractions_linear_files/Yang_linear_img/20127402.jpg", "20127402")</f>
        <v>20127402</v>
      </c>
      <c r="B6328" s="7"/>
      <c r="C6328" s="6" t="str">
        <f>HYPERLINK("http://www.ncbi.nlm.nih.gov/protein/20127402","Rnf112")</f>
        <v>Rnf112</v>
      </c>
      <c r="D6328" s="8"/>
      <c r="E6328" s="8">
        <v>71144</v>
      </c>
      <c r="F6328" s="8"/>
      <c r="G6328" s="15" t="s">
        <v>10</v>
      </c>
      <c r="H6328" s="15" t="s">
        <v>10</v>
      </c>
      <c r="I6328" s="15" t="s">
        <v>10</v>
      </c>
      <c r="J6328" s="15" t="s">
        <v>10</v>
      </c>
      <c r="K6328" s="15">
        <v>1.8129806781002389</v>
      </c>
      <c r="L6328" s="15">
        <v>1.8129806781002389</v>
      </c>
      <c r="M6328" s="15" t="s">
        <v>10</v>
      </c>
      <c r="N6328" s="15" t="s">
        <v>10</v>
      </c>
      <c r="O6328" s="15" t="s">
        <v>10</v>
      </c>
      <c r="P6328" s="15" t="s">
        <v>10</v>
      </c>
      <c r="Q6328" s="8"/>
      <c r="R6328" s="9" t="s">
        <v>5850</v>
      </c>
    </row>
    <row r="6329" spans="1:18" x14ac:dyDescent="0.25">
      <c r="A6329" s="6" t="str">
        <f>HYPERLINK("proteomic_fractions_linear_files/Yang_linear_img/23943840.jpg", "23943840")</f>
        <v>23943840</v>
      </c>
      <c r="B6329" s="7"/>
      <c r="C6329" s="6" t="str">
        <f>HYPERLINK("http://www.ncbi.nlm.nih.gov/protein/23943840","Rnf113a1")</f>
        <v>Rnf113a1</v>
      </c>
      <c r="D6329" s="8"/>
      <c r="E6329" s="8">
        <v>38313</v>
      </c>
      <c r="F6329" s="8"/>
      <c r="G6329" s="15" t="s">
        <v>10</v>
      </c>
      <c r="H6329" s="15" t="s">
        <v>10</v>
      </c>
      <c r="I6329" s="15" t="s">
        <v>10</v>
      </c>
      <c r="J6329" s="15" t="s">
        <v>10</v>
      </c>
      <c r="K6329" s="15" t="s">
        <v>10</v>
      </c>
      <c r="L6329" s="15" t="s">
        <v>10</v>
      </c>
      <c r="M6329" s="15" t="s">
        <v>10</v>
      </c>
      <c r="N6329" s="15" t="s">
        <v>10</v>
      </c>
      <c r="O6329" s="15">
        <v>0.54203792596463873</v>
      </c>
      <c r="P6329" s="15">
        <v>0.54203792596463873</v>
      </c>
      <c r="Q6329" s="8"/>
      <c r="R6329" s="9" t="s">
        <v>5851</v>
      </c>
    </row>
    <row r="6330" spans="1:18" x14ac:dyDescent="0.25">
      <c r="A6330" s="6" t="str">
        <f>HYPERLINK("proteomic_fractions_linear_files/Yang_linear_img/88759341.jpg", "88759341")</f>
        <v>88759341</v>
      </c>
      <c r="B6330" s="7"/>
      <c r="C6330" s="6" t="str">
        <f>HYPERLINK("http://www.ncbi.nlm.nih.gov/protein/88759341","Rnf113a2")</f>
        <v>Rnf113a2</v>
      </c>
      <c r="D6330" s="8"/>
      <c r="E6330" s="8">
        <v>37928</v>
      </c>
      <c r="F6330" s="8"/>
      <c r="G6330" s="15" t="s">
        <v>10</v>
      </c>
      <c r="H6330" s="15" t="s">
        <v>10</v>
      </c>
      <c r="I6330" s="15" t="s">
        <v>10</v>
      </c>
      <c r="J6330" s="15" t="s">
        <v>10</v>
      </c>
      <c r="K6330" s="15" t="s">
        <v>10</v>
      </c>
      <c r="L6330" s="15" t="s">
        <v>10</v>
      </c>
      <c r="M6330" s="15" t="s">
        <v>10</v>
      </c>
      <c r="N6330" s="15" t="s">
        <v>10</v>
      </c>
      <c r="O6330" s="15">
        <v>1.1611997170254071</v>
      </c>
      <c r="P6330" s="15">
        <v>1.1611997170254071</v>
      </c>
      <c r="Q6330" s="8"/>
      <c r="R6330" s="9" t="s">
        <v>5852</v>
      </c>
    </row>
    <row r="6331" spans="1:18" x14ac:dyDescent="0.25">
      <c r="A6331" s="6" t="str">
        <f>HYPERLINK("proteomic_fractions_linear_files/Yang_linear_img/27229275.jpg", "27229275")</f>
        <v>27229275</v>
      </c>
      <c r="B6331" s="7"/>
      <c r="C6331" s="6" t="str">
        <f>HYPERLINK("http://www.ncbi.nlm.nih.gov/protein/27229275","Rnf114")</f>
        <v>Rnf114</v>
      </c>
      <c r="D6331" s="8"/>
      <c r="E6331" s="8">
        <v>25614</v>
      </c>
      <c r="F6331" s="8"/>
      <c r="G6331" s="15" t="s">
        <v>10</v>
      </c>
      <c r="H6331" s="15" t="s">
        <v>10</v>
      </c>
      <c r="I6331" s="15">
        <v>1.0737773576031562</v>
      </c>
      <c r="J6331" s="15">
        <v>1.0737773576031562</v>
      </c>
      <c r="K6331" s="15" t="s">
        <v>10</v>
      </c>
      <c r="L6331" s="15" t="s">
        <v>10</v>
      </c>
      <c r="M6331" s="15" t="s">
        <v>10</v>
      </c>
      <c r="N6331" s="15" t="s">
        <v>10</v>
      </c>
      <c r="O6331" s="15">
        <v>0.94441617743372752</v>
      </c>
      <c r="P6331" s="15">
        <v>0.94441617743372752</v>
      </c>
      <c r="Q6331" s="8"/>
      <c r="R6331" s="9" t="s">
        <v>5853</v>
      </c>
    </row>
    <row r="6332" spans="1:18" x14ac:dyDescent="0.25">
      <c r="A6332" s="6" t="str">
        <f>HYPERLINK("proteomic_fractions_linear_files/Yang_linear_img/70778932.jpg", "70778932")</f>
        <v>70778932</v>
      </c>
      <c r="B6332" s="7"/>
      <c r="C6332" s="6" t="str">
        <f>HYPERLINK("http://www.ncbi.nlm.nih.gov/protein/70778932","Rnf121")</f>
        <v>Rnf121</v>
      </c>
      <c r="D6332" s="8"/>
      <c r="E6332" s="8">
        <v>37856</v>
      </c>
      <c r="F6332" s="8"/>
      <c r="G6332" s="15" t="s">
        <v>10</v>
      </c>
      <c r="H6332" s="15" t="s">
        <v>10</v>
      </c>
      <c r="I6332" s="15">
        <v>0.78645807609771401</v>
      </c>
      <c r="J6332" s="15">
        <v>0.78645807609771401</v>
      </c>
      <c r="K6332" s="15" t="s">
        <v>10</v>
      </c>
      <c r="L6332" s="15" t="s">
        <v>10</v>
      </c>
      <c r="M6332" s="15" t="s">
        <v>10</v>
      </c>
      <c r="N6332" s="15" t="s">
        <v>10</v>
      </c>
      <c r="O6332" s="15" t="s">
        <v>10</v>
      </c>
      <c r="P6332" s="15" t="s">
        <v>10</v>
      </c>
      <c r="Q6332" s="8"/>
      <c r="R6332" s="9" t="s">
        <v>5854</v>
      </c>
    </row>
    <row r="6333" spans="1:18" x14ac:dyDescent="0.25">
      <c r="A6333" s="6" t="str">
        <f>HYPERLINK("proteomic_fractions_linear_files/Yang_linear_img/21362321.jpg", "21362321")</f>
        <v>21362321</v>
      </c>
      <c r="B6333" s="7"/>
      <c r="C6333" s="6" t="str">
        <f>HYPERLINK("http://www.ncbi.nlm.nih.gov/protein/21362321","Rnf126")</f>
        <v>Rnf126</v>
      </c>
      <c r="D6333" s="8"/>
      <c r="E6333" s="8">
        <v>33950</v>
      </c>
      <c r="F6333" s="8"/>
      <c r="G6333" s="15" t="s">
        <v>10</v>
      </c>
      <c r="H6333" s="15" t="s">
        <v>10</v>
      </c>
      <c r="I6333" s="15" t="s">
        <v>10</v>
      </c>
      <c r="J6333" s="15" t="s">
        <v>10</v>
      </c>
      <c r="K6333" s="15" t="s">
        <v>10</v>
      </c>
      <c r="L6333" s="15" t="s">
        <v>10</v>
      </c>
      <c r="M6333" s="15" t="s">
        <v>10</v>
      </c>
      <c r="N6333" s="15" t="s">
        <v>10</v>
      </c>
      <c r="O6333" s="15">
        <v>1.098274306562488</v>
      </c>
      <c r="P6333" s="15">
        <v>1.098274306562488</v>
      </c>
      <c r="Q6333" s="8"/>
      <c r="R6333" s="9" t="s">
        <v>5855</v>
      </c>
    </row>
    <row r="6334" spans="1:18" x14ac:dyDescent="0.25">
      <c r="A6334" s="6" t="str">
        <f>HYPERLINK("proteomic_fractions_linear_files/Yang_linear_img/31981195.jpg", "31981195")</f>
        <v>31981195</v>
      </c>
      <c r="B6334" s="7"/>
      <c r="C6334" s="6" t="str">
        <f>HYPERLINK("http://www.ncbi.nlm.nih.gov/protein/31981195","Rnf130")</f>
        <v>Rnf130</v>
      </c>
      <c r="D6334" s="8"/>
      <c r="E6334" s="8">
        <v>43668</v>
      </c>
      <c r="F6334" s="8"/>
      <c r="G6334" s="15">
        <v>1.3357547178544058</v>
      </c>
      <c r="H6334" s="15">
        <v>1.3357547178544058</v>
      </c>
      <c r="I6334" s="15">
        <v>1.0974994451003466</v>
      </c>
      <c r="J6334" s="15">
        <v>1.0974994451003466</v>
      </c>
      <c r="K6334" s="15">
        <v>1.0974994451003466</v>
      </c>
      <c r="L6334" s="15">
        <v>1.0974994451003466</v>
      </c>
      <c r="M6334" s="15" t="s">
        <v>10</v>
      </c>
      <c r="N6334" s="15" t="s">
        <v>10</v>
      </c>
      <c r="O6334" s="15" t="s">
        <v>10</v>
      </c>
      <c r="P6334" s="15" t="s">
        <v>10</v>
      </c>
      <c r="Q6334" s="8"/>
      <c r="R6334" s="9" t="s">
        <v>5856</v>
      </c>
    </row>
    <row r="6335" spans="1:18" x14ac:dyDescent="0.25">
      <c r="A6335" s="6" t="str">
        <f>HYPERLINK("proteomic_fractions_linear_files/Yang_linear_img/46488939.jpg", "46488939")</f>
        <v>46488939</v>
      </c>
      <c r="B6335" s="7"/>
      <c r="C6335" s="6" t="str">
        <f>HYPERLINK("http://www.ncbi.nlm.nih.gov/protein/46488939","Rnf138")</f>
        <v>Rnf138</v>
      </c>
      <c r="D6335" s="8"/>
      <c r="E6335" s="8">
        <v>23993</v>
      </c>
      <c r="F6335" s="8"/>
      <c r="G6335" s="15" t="s">
        <v>10</v>
      </c>
      <c r="H6335" s="15" t="s">
        <v>10</v>
      </c>
      <c r="I6335" s="15" t="s">
        <v>10</v>
      </c>
      <c r="J6335" s="15" t="s">
        <v>10</v>
      </c>
      <c r="K6335" s="15" t="s">
        <v>10</v>
      </c>
      <c r="L6335" s="15" t="s">
        <v>10</v>
      </c>
      <c r="M6335" s="15" t="s">
        <v>10</v>
      </c>
      <c r="N6335" s="15" t="s">
        <v>10</v>
      </c>
      <c r="O6335" s="15">
        <v>1.2452252871547138</v>
      </c>
      <c r="P6335" s="15">
        <v>1.2452252871547138</v>
      </c>
      <c r="Q6335" s="8"/>
      <c r="R6335" s="9" t="s">
        <v>5857</v>
      </c>
    </row>
    <row r="6336" spans="1:18" x14ac:dyDescent="0.25">
      <c r="A6336" s="6" t="str">
        <f>HYPERLINK("proteomic_fractions_linear_files/Yang_linear_img/46488941.jpg", "46488941")</f>
        <v>46488941</v>
      </c>
      <c r="B6336" s="7"/>
      <c r="C6336" s="6" t="str">
        <f>HYPERLINK("http://www.ncbi.nlm.nih.gov/protein/46488941","Rnf138")</f>
        <v>Rnf138</v>
      </c>
      <c r="D6336" s="8"/>
      <c r="E6336" s="8">
        <v>28168</v>
      </c>
      <c r="F6336" s="8"/>
      <c r="G6336" s="15" t="s">
        <v>10</v>
      </c>
      <c r="H6336" s="15" t="s">
        <v>10</v>
      </c>
      <c r="I6336" s="15" t="s">
        <v>10</v>
      </c>
      <c r="J6336" s="15" t="s">
        <v>10</v>
      </c>
      <c r="K6336" s="15" t="s">
        <v>10</v>
      </c>
      <c r="L6336" s="15" t="s">
        <v>10</v>
      </c>
      <c r="M6336" s="15" t="s">
        <v>10</v>
      </c>
      <c r="N6336" s="15" t="s">
        <v>10</v>
      </c>
      <c r="O6336" s="15">
        <v>1.0673359604183261</v>
      </c>
      <c r="P6336" s="15">
        <v>1.0673359604183261</v>
      </c>
      <c r="Q6336" s="8"/>
      <c r="R6336" s="9" t="s">
        <v>5858</v>
      </c>
    </row>
    <row r="6337" spans="1:18" x14ac:dyDescent="0.25">
      <c r="A6337" s="6" t="str">
        <f>HYPERLINK("proteomic_fractions_linear_files/Yang_linear_img/257471032.jpg", "257471032")</f>
        <v>257471032</v>
      </c>
      <c r="B6337" s="7"/>
      <c r="C6337" s="6" t="str">
        <f>HYPERLINK("http://www.ncbi.nlm.nih.gov/protein/257471032","Rnf14")</f>
        <v>Rnf14</v>
      </c>
      <c r="D6337" s="8"/>
      <c r="E6337" s="8">
        <v>54795</v>
      </c>
      <c r="F6337" s="8"/>
      <c r="G6337" s="15" t="s">
        <v>10</v>
      </c>
      <c r="H6337" s="15" t="s">
        <v>10</v>
      </c>
      <c r="I6337" s="15" t="s">
        <v>10</v>
      </c>
      <c r="J6337" s="15" t="s">
        <v>10</v>
      </c>
      <c r="K6337" s="15">
        <v>1.0686037742835246</v>
      </c>
      <c r="L6337" s="15">
        <v>1.0686037742835246</v>
      </c>
      <c r="M6337" s="15" t="s">
        <v>10</v>
      </c>
      <c r="N6337" s="15" t="s">
        <v>10</v>
      </c>
      <c r="O6337" s="15">
        <v>0.96582853872729235</v>
      </c>
      <c r="P6337" s="15">
        <v>0.96582853872729235</v>
      </c>
      <c r="Q6337" s="8"/>
      <c r="R6337" s="9" t="s">
        <v>5859</v>
      </c>
    </row>
    <row r="6338" spans="1:18" x14ac:dyDescent="0.25">
      <c r="A6338" s="6" t="str">
        <f>HYPERLINK("proteomic_fractions_linear_files/Yang_linear_img/255003680.jpg", "255003680")</f>
        <v>255003680</v>
      </c>
      <c r="B6338" s="7"/>
      <c r="C6338" s="6" t="str">
        <f>HYPERLINK("http://www.ncbi.nlm.nih.gov/protein/255003680","Rnf157")</f>
        <v>Rnf157</v>
      </c>
      <c r="D6338" s="8"/>
      <c r="E6338" s="8">
        <v>74346</v>
      </c>
      <c r="F6338" s="8"/>
      <c r="G6338" s="15" t="s">
        <v>10</v>
      </c>
      <c r="H6338" s="15" t="s">
        <v>10</v>
      </c>
      <c r="I6338" s="15" t="s">
        <v>10</v>
      </c>
      <c r="J6338" s="15" t="s">
        <v>10</v>
      </c>
      <c r="K6338" s="15" t="s">
        <v>10</v>
      </c>
      <c r="L6338" s="15" t="s">
        <v>10</v>
      </c>
      <c r="M6338" s="15">
        <v>0.26352905173020641</v>
      </c>
      <c r="N6338" s="15">
        <v>0.26352905173020641</v>
      </c>
      <c r="O6338" s="15">
        <v>0.24993647519681195</v>
      </c>
      <c r="P6338" s="15">
        <v>0.24993647519681195</v>
      </c>
      <c r="Q6338" s="8"/>
      <c r="R6338" s="9" t="s">
        <v>5860</v>
      </c>
    </row>
    <row r="6339" spans="1:18" x14ac:dyDescent="0.25">
      <c r="A6339" s="6" t="str">
        <f>HYPERLINK("proteomic_fractions_linear_files/Yang_linear_img/47059206.jpg", "47059206")</f>
        <v>47059206</v>
      </c>
      <c r="B6339" s="7"/>
      <c r="C6339" s="6" t="str">
        <f>HYPERLINK("http://www.ncbi.nlm.nih.gov/protein/47059206","Rnf181")</f>
        <v>Rnf181</v>
      </c>
      <c r="D6339" s="8"/>
      <c r="E6339" s="8">
        <v>18970</v>
      </c>
      <c r="F6339" s="8"/>
      <c r="G6339" s="15" t="s">
        <v>10</v>
      </c>
      <c r="H6339" s="15" t="s">
        <v>10</v>
      </c>
      <c r="I6339" s="15" t="s">
        <v>10</v>
      </c>
      <c r="J6339" s="15" t="s">
        <v>10</v>
      </c>
      <c r="K6339" s="15" t="s">
        <v>10</v>
      </c>
      <c r="L6339" s="15" t="s">
        <v>10</v>
      </c>
      <c r="M6339" s="15">
        <v>0.76407756430896567</v>
      </c>
      <c r="N6339" s="15">
        <v>0.76407756430896567</v>
      </c>
      <c r="O6339" s="15">
        <v>0.97343679813495176</v>
      </c>
      <c r="P6339" s="15">
        <v>0.92473367186099831</v>
      </c>
      <c r="Q6339" s="8"/>
      <c r="R6339" s="9" t="s">
        <v>5861</v>
      </c>
    </row>
    <row r="6340" spans="1:18" x14ac:dyDescent="0.25">
      <c r="A6340" s="6" t="str">
        <f>HYPERLINK("proteomic_fractions_linear_files/Yang_linear_img/33563274.jpg", "33563274")</f>
        <v>33563274</v>
      </c>
      <c r="B6340" s="7"/>
      <c r="C6340" s="6" t="str">
        <f>HYPERLINK("http://www.ncbi.nlm.nih.gov/protein/33563274","Rnf2")</f>
        <v>Rnf2</v>
      </c>
      <c r="D6340" s="8"/>
      <c r="E6340" s="8">
        <v>37492</v>
      </c>
      <c r="F6340" s="8"/>
      <c r="G6340" s="15">
        <v>0.93387504136419419</v>
      </c>
      <c r="H6340" s="15">
        <v>0.93387504136419419</v>
      </c>
      <c r="I6340" s="15" t="s">
        <v>10</v>
      </c>
      <c r="J6340" s="15" t="s">
        <v>10</v>
      </c>
      <c r="K6340" s="15" t="s">
        <v>10</v>
      </c>
      <c r="L6340" s="15" t="s">
        <v>10</v>
      </c>
      <c r="M6340" s="15" t="s">
        <v>10</v>
      </c>
      <c r="N6340" s="15" t="s">
        <v>10</v>
      </c>
      <c r="O6340" s="15" t="s">
        <v>10</v>
      </c>
      <c r="P6340" s="15" t="s">
        <v>10</v>
      </c>
      <c r="Q6340" s="8"/>
      <c r="R6340" s="9" t="s">
        <v>5862</v>
      </c>
    </row>
    <row r="6341" spans="1:18" x14ac:dyDescent="0.25">
      <c r="A6341" s="6" t="str">
        <f>HYPERLINK("proteomic_fractions_linear_files/Yang_linear_img/33859829.jpg", "33859829")</f>
        <v>33859829</v>
      </c>
      <c r="B6341" s="7"/>
      <c r="C6341" s="6" t="str">
        <f>HYPERLINK("http://www.ncbi.nlm.nih.gov/protein/33859829","Rnf20")</f>
        <v>Rnf20</v>
      </c>
      <c r="D6341" s="8"/>
      <c r="E6341" s="8">
        <v>113390</v>
      </c>
      <c r="F6341" s="8"/>
      <c r="G6341" s="15" t="s">
        <v>10</v>
      </c>
      <c r="H6341" s="15" t="s">
        <v>10</v>
      </c>
      <c r="I6341" s="15" t="s">
        <v>10</v>
      </c>
      <c r="J6341" s="15" t="s">
        <v>10</v>
      </c>
      <c r="K6341" s="15">
        <v>1.3579900100552376</v>
      </c>
      <c r="L6341" s="15">
        <v>1.3579900100552376</v>
      </c>
      <c r="M6341" s="15" t="s">
        <v>10</v>
      </c>
      <c r="N6341" s="15" t="s">
        <v>10</v>
      </c>
      <c r="O6341" s="15">
        <v>1.1391294526116547</v>
      </c>
      <c r="P6341" s="15">
        <v>1.1391294526116547</v>
      </c>
      <c r="Q6341" s="8"/>
      <c r="R6341" s="9" t="s">
        <v>5863</v>
      </c>
    </row>
    <row r="6342" spans="1:18" x14ac:dyDescent="0.25">
      <c r="A6342" s="6" t="str">
        <f>HYPERLINK("proteomic_fractions_linear_files/Yang_linear_img/30520119.jpg", "30520119")</f>
        <v>30520119</v>
      </c>
      <c r="B6342" s="7"/>
      <c r="C6342" s="6" t="str">
        <f>HYPERLINK("http://www.ncbi.nlm.nih.gov/protein/30520119","Rnf214")</f>
        <v>Rnf214</v>
      </c>
      <c r="D6342" s="8"/>
      <c r="E6342" s="8">
        <v>73494</v>
      </c>
      <c r="F6342" s="8"/>
      <c r="G6342" s="15" t="s">
        <v>10</v>
      </c>
      <c r="H6342" s="15" t="s">
        <v>10</v>
      </c>
      <c r="I6342" s="15" t="s">
        <v>10</v>
      </c>
      <c r="J6342" s="15" t="s">
        <v>10</v>
      </c>
      <c r="K6342" s="15">
        <v>1.3009312490765002</v>
      </c>
      <c r="L6342" s="15">
        <v>1.3009312490765002</v>
      </c>
      <c r="M6342" s="15" t="s">
        <v>10</v>
      </c>
      <c r="N6342" s="15" t="s">
        <v>10</v>
      </c>
      <c r="O6342" s="15">
        <v>1.1383377873033405</v>
      </c>
      <c r="P6342" s="15">
        <v>1.1383377873033405</v>
      </c>
      <c r="Q6342" s="8"/>
      <c r="R6342" s="9" t="s">
        <v>5864</v>
      </c>
    </row>
    <row r="6343" spans="1:18" x14ac:dyDescent="0.25">
      <c r="A6343" s="6" t="str">
        <f>HYPERLINK("proteomic_fractions_linear_files/Yang_linear_img/40254409.jpg", "40254409")</f>
        <v>40254409</v>
      </c>
      <c r="B6343" s="7"/>
      <c r="C6343" s="6" t="str">
        <f>HYPERLINK("http://www.ncbi.nlm.nih.gov/protein/40254409","Rnf31")</f>
        <v>Rnf31</v>
      </c>
      <c r="D6343" s="8"/>
      <c r="E6343" s="8">
        <v>119184</v>
      </c>
      <c r="F6343" s="8"/>
      <c r="G6343" s="15" t="s">
        <v>10</v>
      </c>
      <c r="H6343" s="15" t="s">
        <v>10</v>
      </c>
      <c r="I6343" s="15" t="s">
        <v>10</v>
      </c>
      <c r="J6343" s="15" t="s">
        <v>10</v>
      </c>
      <c r="K6343" s="15" t="s">
        <v>10</v>
      </c>
      <c r="L6343" s="15" t="s">
        <v>10</v>
      </c>
      <c r="M6343" s="15" t="s">
        <v>10</v>
      </c>
      <c r="N6343" s="15" t="s">
        <v>10</v>
      </c>
      <c r="O6343" s="15">
        <v>1.0816943541606467</v>
      </c>
      <c r="P6343" s="15">
        <v>1.0816943541606467</v>
      </c>
      <c r="Q6343" s="8"/>
      <c r="R6343" s="9" t="s">
        <v>5865</v>
      </c>
    </row>
    <row r="6344" spans="1:18" x14ac:dyDescent="0.25">
      <c r="A6344" s="6" t="str">
        <f>HYPERLINK("proteomic_fractions_linear_files/Yang_linear_img/229093990.jpg", "229093990")</f>
        <v>229093990</v>
      </c>
      <c r="B6344" s="7"/>
      <c r="C6344" s="6" t="str">
        <f>HYPERLINK("http://www.ncbi.nlm.nih.gov/protein/229093990","Rnf40")</f>
        <v>Rnf40</v>
      </c>
      <c r="D6344" s="8"/>
      <c r="E6344" s="8">
        <v>113836</v>
      </c>
      <c r="F6344" s="8"/>
      <c r="G6344" s="15" t="s">
        <v>10</v>
      </c>
      <c r="H6344" s="15" t="s">
        <v>10</v>
      </c>
      <c r="I6344" s="15" t="s">
        <v>10</v>
      </c>
      <c r="J6344" s="15" t="s">
        <v>10</v>
      </c>
      <c r="K6344" s="15" t="s">
        <v>10</v>
      </c>
      <c r="L6344" s="15" t="s">
        <v>10</v>
      </c>
      <c r="M6344" s="15" t="s">
        <v>10</v>
      </c>
      <c r="N6344" s="15" t="s">
        <v>10</v>
      </c>
      <c r="O6344" s="15">
        <v>1.3460778169845775</v>
      </c>
      <c r="P6344" s="15">
        <v>1.3460778169845775</v>
      </c>
      <c r="Q6344" s="8"/>
      <c r="R6344" s="9" t="s">
        <v>5866</v>
      </c>
    </row>
    <row r="6345" spans="1:18" x14ac:dyDescent="0.25">
      <c r="A6345" s="6" t="str">
        <f>HYPERLINK("proteomic_fractions_linear_files/Yang_linear_img/110625597.jpg", "110625597")</f>
        <v>110625597</v>
      </c>
      <c r="B6345" s="7"/>
      <c r="C6345" s="6" t="str">
        <f>HYPERLINK("http://www.ncbi.nlm.nih.gov/protein/110625597","Rnf7")</f>
        <v>Rnf7</v>
      </c>
      <c r="D6345" s="8"/>
      <c r="E6345" s="8">
        <v>12576</v>
      </c>
      <c r="F6345" s="8"/>
      <c r="G6345" s="15" t="s">
        <v>10</v>
      </c>
      <c r="H6345" s="15" t="s">
        <v>10</v>
      </c>
      <c r="I6345" s="15" t="s">
        <v>10</v>
      </c>
      <c r="J6345" s="15" t="s">
        <v>10</v>
      </c>
      <c r="K6345" s="15" t="s">
        <v>10</v>
      </c>
      <c r="L6345" s="15" t="s">
        <v>10</v>
      </c>
      <c r="M6345" s="15">
        <v>1.1689490995241758</v>
      </c>
      <c r="N6345" s="15">
        <v>1.1689490995241758</v>
      </c>
      <c r="O6345" s="15">
        <v>1.1167287478361805</v>
      </c>
      <c r="P6345" s="15">
        <v>1.1167287478361805</v>
      </c>
      <c r="Q6345" s="8"/>
      <c r="R6345" s="9" t="s">
        <v>5867</v>
      </c>
    </row>
    <row r="6346" spans="1:18" x14ac:dyDescent="0.25">
      <c r="A6346" s="6" t="str">
        <f>HYPERLINK("proteomic_fractions_linear_files/Yang_linear_img/158186608.jpg", "158186608")</f>
        <v>158186608</v>
      </c>
      <c r="B6346" s="7"/>
      <c r="C6346" s="6" t="str">
        <f>HYPERLINK("http://www.ncbi.nlm.nih.gov/protein/158186608","Rnft2")</f>
        <v>Rnft2</v>
      </c>
      <c r="D6346" s="8"/>
      <c r="E6346" s="8">
        <v>48725</v>
      </c>
      <c r="F6346" s="8"/>
      <c r="G6346" s="15" t="s">
        <v>10</v>
      </c>
      <c r="H6346" s="15" t="s">
        <v>10</v>
      </c>
      <c r="I6346" s="15" t="s">
        <v>10</v>
      </c>
      <c r="J6346" s="15" t="s">
        <v>10</v>
      </c>
      <c r="K6346" s="15" t="s">
        <v>10</v>
      </c>
      <c r="L6346" s="15" t="s">
        <v>10</v>
      </c>
      <c r="M6346" s="15" t="s">
        <v>10</v>
      </c>
      <c r="N6346" s="15" t="s">
        <v>10</v>
      </c>
      <c r="O6346" s="15">
        <v>3.1316912476784049</v>
      </c>
      <c r="P6346" s="15">
        <v>3.1316912476784049</v>
      </c>
      <c r="Q6346" s="8"/>
      <c r="R6346" s="9" t="s">
        <v>5868</v>
      </c>
    </row>
    <row r="6347" spans="1:18" x14ac:dyDescent="0.25">
      <c r="A6347" s="6" t="str">
        <f>HYPERLINK("proteomic_fractions_linear_files/Yang_linear_img/158186791.jpg", "158186791")</f>
        <v>158186791</v>
      </c>
      <c r="B6347" s="7"/>
      <c r="C6347" s="6" t="str">
        <f>HYPERLINK("http://www.ncbi.nlm.nih.gov/protein/158186791","Rnft2")</f>
        <v>Rnft2</v>
      </c>
      <c r="D6347" s="8"/>
      <c r="E6347" s="8">
        <v>48812</v>
      </c>
      <c r="F6347" s="8"/>
      <c r="G6347" s="15" t="s">
        <v>10</v>
      </c>
      <c r="H6347" s="15" t="s">
        <v>10</v>
      </c>
      <c r="I6347" s="15" t="s">
        <v>10</v>
      </c>
      <c r="J6347" s="15" t="s">
        <v>10</v>
      </c>
      <c r="K6347" s="15" t="s">
        <v>10</v>
      </c>
      <c r="L6347" s="15" t="s">
        <v>10</v>
      </c>
      <c r="M6347" s="15" t="s">
        <v>10</v>
      </c>
      <c r="N6347" s="15" t="s">
        <v>10</v>
      </c>
      <c r="O6347" s="15">
        <v>3.1316912476784049</v>
      </c>
      <c r="P6347" s="15">
        <v>3.1316912476784049</v>
      </c>
      <c r="Q6347" s="8"/>
      <c r="R6347" s="9" t="s">
        <v>5869</v>
      </c>
    </row>
    <row r="6348" spans="1:18" x14ac:dyDescent="0.25">
      <c r="A6348" s="6" t="str">
        <f>HYPERLINK("proteomic_fractions_linear_files/Yang_linear_img/6755342.jpg", "6755342")</f>
        <v>6755342</v>
      </c>
      <c r="B6348" s="7"/>
      <c r="C6348" s="6" t="str">
        <f>HYPERLINK("http://www.ncbi.nlm.nih.gov/protein/6755342","Rngtt")</f>
        <v>Rngtt</v>
      </c>
      <c r="D6348" s="8"/>
      <c r="E6348" s="8">
        <v>68553</v>
      </c>
      <c r="F6348" s="8"/>
      <c r="G6348" s="15" t="s">
        <v>10</v>
      </c>
      <c r="H6348" s="15" t="s">
        <v>10</v>
      </c>
      <c r="I6348" s="15" t="s">
        <v>10</v>
      </c>
      <c r="J6348" s="15" t="s">
        <v>10</v>
      </c>
      <c r="K6348" s="15">
        <v>1.2043283836687515</v>
      </c>
      <c r="L6348" s="15">
        <v>1.2043283836687515</v>
      </c>
      <c r="M6348" s="15" t="s">
        <v>10</v>
      </c>
      <c r="N6348" s="15" t="s">
        <v>10</v>
      </c>
      <c r="O6348" s="15" t="s">
        <v>10</v>
      </c>
      <c r="P6348" s="15" t="s">
        <v>10</v>
      </c>
      <c r="Q6348" s="8"/>
      <c r="R6348" s="9" t="s">
        <v>5870</v>
      </c>
    </row>
    <row r="6349" spans="1:18" x14ac:dyDescent="0.25">
      <c r="A6349" s="6" t="str">
        <f>HYPERLINK("proteomic_fractions_linear_files/Yang_linear_img/285402659.jpg", "285402659")</f>
        <v>285402659</v>
      </c>
      <c r="B6349" s="7"/>
      <c r="C6349" s="6" t="str">
        <f>HYPERLINK("http://www.ncbi.nlm.nih.gov/protein/285402659","Rnh1")</f>
        <v>Rnh1</v>
      </c>
      <c r="D6349" s="8"/>
      <c r="E6349" s="8">
        <v>53795</v>
      </c>
      <c r="F6349" s="8"/>
      <c r="G6349" s="15">
        <v>1.2120974690841544</v>
      </c>
      <c r="H6349" s="15">
        <v>1.2120974690841544</v>
      </c>
      <c r="I6349" s="15">
        <v>0.89425880711880101</v>
      </c>
      <c r="J6349" s="15">
        <v>0.89425880711880101</v>
      </c>
      <c r="K6349" s="15">
        <v>0.98371425240742738</v>
      </c>
      <c r="L6349" s="15">
        <v>0.98371425240742738</v>
      </c>
      <c r="M6349" s="15" t="s">
        <v>10</v>
      </c>
      <c r="N6349" s="15" t="s">
        <v>10</v>
      </c>
      <c r="O6349" s="15">
        <v>0.81714054161047167</v>
      </c>
      <c r="P6349" s="15">
        <v>0.81714054161047167</v>
      </c>
      <c r="Q6349" s="8"/>
      <c r="R6349" s="9" t="s">
        <v>5871</v>
      </c>
    </row>
    <row r="6350" spans="1:18" x14ac:dyDescent="0.25">
      <c r="A6350" s="6" t="str">
        <f>HYPERLINK("proteomic_fractions_linear_files/Yang_linear_img/31981748.jpg", "31981748")</f>
        <v>31981748</v>
      </c>
      <c r="B6350" s="7"/>
      <c r="C6350" s="6" t="str">
        <f>HYPERLINK("http://www.ncbi.nlm.nih.gov/protein/31981748","Rnh1")</f>
        <v>Rnh1</v>
      </c>
      <c r="D6350" s="8"/>
      <c r="E6350" s="8">
        <v>49686</v>
      </c>
      <c r="F6350" s="8"/>
      <c r="G6350" s="15">
        <v>1.3090652666108866</v>
      </c>
      <c r="H6350" s="15">
        <v>1.3090652666108866</v>
      </c>
      <c r="I6350" s="15">
        <v>0.96579951168830502</v>
      </c>
      <c r="J6350" s="15">
        <v>0.96579951168830502</v>
      </c>
      <c r="K6350" s="15">
        <v>1.0624113926000216</v>
      </c>
      <c r="L6350" s="15">
        <v>1.0624113926000216</v>
      </c>
      <c r="M6350" s="15" t="s">
        <v>10</v>
      </c>
      <c r="N6350" s="15" t="s">
        <v>10</v>
      </c>
      <c r="O6350" s="15">
        <v>0.88251178493930937</v>
      </c>
      <c r="P6350" s="15">
        <v>0.88251178493930937</v>
      </c>
      <c r="Q6350" s="8"/>
      <c r="R6350" s="9" t="s">
        <v>5872</v>
      </c>
    </row>
    <row r="6351" spans="1:18" x14ac:dyDescent="0.25">
      <c r="A6351" s="6" t="str">
        <f>HYPERLINK("proteomic_fractions_linear_files/Yang_linear_img/13385938.jpg", "13385938")</f>
        <v>13385938</v>
      </c>
      <c r="B6351" s="7"/>
      <c r="C6351" s="6" t="str">
        <f>HYPERLINK("http://www.ncbi.nlm.nih.gov/protein/13385938","Rnmt")</f>
        <v>Rnmt</v>
      </c>
      <c r="D6351" s="8"/>
      <c r="E6351" s="8">
        <v>53160</v>
      </c>
      <c r="F6351" s="8"/>
      <c r="G6351" s="15" t="s">
        <v>10</v>
      </c>
      <c r="H6351" s="15" t="s">
        <v>10</v>
      </c>
      <c r="I6351" s="15">
        <v>1.1089284450112047</v>
      </c>
      <c r="J6351" s="15">
        <v>1.1089284450112047</v>
      </c>
      <c r="K6351" s="15">
        <v>1.1089284450112047</v>
      </c>
      <c r="L6351" s="15">
        <v>1.1089284450112047</v>
      </c>
      <c r="M6351" s="15">
        <v>1.1089284450112047</v>
      </c>
      <c r="N6351" s="15">
        <v>1.1089284450112047</v>
      </c>
      <c r="O6351" s="15">
        <v>1.0022748986792656</v>
      </c>
      <c r="P6351" s="15">
        <v>1.0022748986792656</v>
      </c>
      <c r="Q6351" s="8"/>
      <c r="R6351" s="9" t="s">
        <v>5873</v>
      </c>
    </row>
    <row r="6352" spans="1:18" x14ac:dyDescent="0.25">
      <c r="A6352" s="6" t="str">
        <f>HYPERLINK("proteomic_fractions_linear_files/Yang_linear_img/283945577.jpg", "283945577")</f>
        <v>283945577</v>
      </c>
      <c r="B6352" s="7"/>
      <c r="C6352" s="6" t="str">
        <f>HYPERLINK("http://www.ncbi.nlm.nih.gov/protein/283945577","Rnmt")</f>
        <v>Rnmt</v>
      </c>
      <c r="D6352" s="8"/>
      <c r="E6352" s="8">
        <v>46736</v>
      </c>
      <c r="F6352" s="8"/>
      <c r="G6352" s="15" t="s">
        <v>10</v>
      </c>
      <c r="H6352" s="15" t="s">
        <v>10</v>
      </c>
      <c r="I6352" s="15">
        <v>1.2504937784168904</v>
      </c>
      <c r="J6352" s="15">
        <v>1.2504937784168904</v>
      </c>
      <c r="K6352" s="15">
        <v>1.2504937784168904</v>
      </c>
      <c r="L6352" s="15">
        <v>1.2504937784168904</v>
      </c>
      <c r="M6352" s="15">
        <v>1.2504937784168904</v>
      </c>
      <c r="N6352" s="15">
        <v>1.2504937784168904</v>
      </c>
      <c r="O6352" s="15">
        <v>1.1302248857447037</v>
      </c>
      <c r="P6352" s="15">
        <v>1.1302248857447037</v>
      </c>
      <c r="Q6352" s="8"/>
      <c r="R6352" s="9" t="s">
        <v>5874</v>
      </c>
    </row>
    <row r="6353" spans="1:18" x14ac:dyDescent="0.25">
      <c r="A6353" s="6" t="str">
        <f>HYPERLINK("proteomic_fractions_linear_files/Yang_linear_img/166197675.jpg", "166197675")</f>
        <v>166197675</v>
      </c>
      <c r="B6353" s="7"/>
      <c r="C6353" s="6" t="str">
        <f>HYPERLINK("http://www.ncbi.nlm.nih.gov/protein/166197675","Rnmtl1")</f>
        <v>Rnmtl1</v>
      </c>
      <c r="D6353" s="8"/>
      <c r="E6353" s="8">
        <v>42236</v>
      </c>
      <c r="F6353" s="8"/>
      <c r="G6353" s="15" t="s">
        <v>10</v>
      </c>
      <c r="H6353" s="15" t="s">
        <v>10</v>
      </c>
      <c r="I6353" s="15">
        <v>0.86185783411112227</v>
      </c>
      <c r="J6353" s="15">
        <v>0.86185783411112227</v>
      </c>
      <c r="K6353" s="15" t="s">
        <v>10</v>
      </c>
      <c r="L6353" s="15" t="s">
        <v>10</v>
      </c>
      <c r="M6353" s="15" t="s">
        <v>10</v>
      </c>
      <c r="N6353" s="15" t="s">
        <v>10</v>
      </c>
      <c r="O6353" s="15" t="s">
        <v>10</v>
      </c>
      <c r="P6353" s="15" t="s">
        <v>10</v>
      </c>
      <c r="Q6353" s="8"/>
      <c r="R6353" s="9" t="s">
        <v>5875</v>
      </c>
    </row>
    <row r="6354" spans="1:18" x14ac:dyDescent="0.25">
      <c r="A6354" s="6" t="str">
        <f>HYPERLINK("proteomic_fractions_linear_files/Yang_linear_img/227499234.jpg", "227499234")</f>
        <v>227499234</v>
      </c>
      <c r="B6354" s="7"/>
      <c r="C6354" s="6" t="str">
        <f>HYPERLINK("http://www.ncbi.nlm.nih.gov/protein/227499234","Rnpep")</f>
        <v>Rnpep</v>
      </c>
      <c r="D6354" s="8"/>
      <c r="E6354" s="8">
        <v>67871</v>
      </c>
      <c r="F6354" s="8"/>
      <c r="G6354" s="15" t="s">
        <v>10</v>
      </c>
      <c r="H6354" s="15" t="s">
        <v>10</v>
      </c>
      <c r="I6354" s="15">
        <v>1.0799435329659153</v>
      </c>
      <c r="J6354" s="15">
        <v>1.0799435329659153</v>
      </c>
      <c r="K6354" s="15">
        <v>1.0799435329659153</v>
      </c>
      <c r="L6354" s="15">
        <v>1.0799435329659153</v>
      </c>
      <c r="M6354" s="15">
        <v>1.0799435329659153</v>
      </c>
      <c r="N6354" s="15">
        <v>1.0799435329659153</v>
      </c>
      <c r="O6354" s="15">
        <v>1.0799435329659153</v>
      </c>
      <c r="P6354" s="15">
        <v>1.0799435329659153</v>
      </c>
      <c r="Q6354" s="8"/>
      <c r="R6354" s="9" t="s">
        <v>5876</v>
      </c>
    </row>
    <row r="6355" spans="1:18" x14ac:dyDescent="0.25">
      <c r="A6355" s="6" t="str">
        <f>HYPERLINK("proteomic_fractions_linear_files/Yang_linear_img/227499103.jpg", "227499103")</f>
        <v>227499103</v>
      </c>
      <c r="B6355" s="7"/>
      <c r="C6355" s="6" t="str">
        <f>HYPERLINK("http://www.ncbi.nlm.nih.gov/protein/227499103","Rnpep")</f>
        <v>Rnpep</v>
      </c>
      <c r="D6355" s="8"/>
      <c r="E6355" s="8">
        <v>72286</v>
      </c>
      <c r="F6355" s="8"/>
      <c r="G6355" s="15">
        <v>1.1541480343492203</v>
      </c>
      <c r="H6355" s="15">
        <v>1.1541480343492203</v>
      </c>
      <c r="I6355" s="15">
        <v>1.0199466700233646</v>
      </c>
      <c r="J6355" s="15">
        <v>1.0199466700233646</v>
      </c>
      <c r="K6355" s="15">
        <v>1.0199466700233646</v>
      </c>
      <c r="L6355" s="15">
        <v>1.0199466700233646</v>
      </c>
      <c r="M6355" s="15">
        <v>1.0199466700233646</v>
      </c>
      <c r="N6355" s="15">
        <v>1.0199466700233646</v>
      </c>
      <c r="O6355" s="15">
        <v>1.0199466700233646</v>
      </c>
      <c r="P6355" s="15">
        <v>1.0199466700233646</v>
      </c>
      <c r="Q6355" s="8"/>
      <c r="R6355" s="9" t="s">
        <v>5877</v>
      </c>
    </row>
    <row r="6356" spans="1:18" x14ac:dyDescent="0.25">
      <c r="A6356" s="6" t="str">
        <f>HYPERLINK("proteomic_fractions_linear_files/Yang_linear_img/318065085.jpg", "318065085")</f>
        <v>318065085</v>
      </c>
      <c r="B6356" s="7"/>
      <c r="C6356" s="6" t="str">
        <f>HYPERLINK("http://www.ncbi.nlm.nih.gov/protein/318065085","Rnpepl1")</f>
        <v>Rnpepl1</v>
      </c>
      <c r="D6356" s="8"/>
      <c r="E6356" s="8">
        <v>79404</v>
      </c>
      <c r="F6356" s="8"/>
      <c r="G6356" s="15" t="s">
        <v>10</v>
      </c>
      <c r="H6356" s="15" t="s">
        <v>10</v>
      </c>
      <c r="I6356" s="15" t="s">
        <v>10</v>
      </c>
      <c r="J6356" s="15" t="s">
        <v>10</v>
      </c>
      <c r="K6356" s="15">
        <v>1.3898932129257147</v>
      </c>
      <c r="L6356" s="15">
        <v>1.3898932129257147</v>
      </c>
      <c r="M6356" s="15" t="s">
        <v>10</v>
      </c>
      <c r="N6356" s="15" t="s">
        <v>10</v>
      </c>
      <c r="O6356" s="15" t="s">
        <v>10</v>
      </c>
      <c r="P6356" s="15" t="s">
        <v>10</v>
      </c>
      <c r="Q6356" s="8"/>
      <c r="R6356" s="9" t="s">
        <v>5878</v>
      </c>
    </row>
    <row r="6357" spans="1:18" x14ac:dyDescent="0.25">
      <c r="A6357" s="6" t="str">
        <f>HYPERLINK("proteomic_fractions_linear_files/Yang_linear_img/121674793.jpg", "121674793")</f>
        <v>121674793</v>
      </c>
      <c r="B6357" s="7"/>
      <c r="C6357" s="6" t="str">
        <f>HYPERLINK("http://www.ncbi.nlm.nih.gov/protein/121674793","Rnps1")</f>
        <v>Rnps1</v>
      </c>
      <c r="D6357" s="8"/>
      <c r="E6357" s="8">
        <v>34077</v>
      </c>
      <c r="F6357" s="8"/>
      <c r="G6357" s="15" t="s">
        <v>10</v>
      </c>
      <c r="H6357" s="15" t="s">
        <v>10</v>
      </c>
      <c r="I6357" s="15">
        <v>176.26764705882354</v>
      </c>
      <c r="J6357" s="15">
        <v>176.26764705882354</v>
      </c>
      <c r="K6357" s="15">
        <v>1.4202933995416251</v>
      </c>
      <c r="L6357" s="15">
        <v>1.4202933995416251</v>
      </c>
      <c r="M6357" s="15">
        <v>176.26764705882354</v>
      </c>
      <c r="N6357" s="15">
        <v>176.26764705882354</v>
      </c>
      <c r="O6357" s="15" t="s">
        <v>10</v>
      </c>
      <c r="P6357" s="15" t="s">
        <v>10</v>
      </c>
      <c r="Q6357" s="8"/>
      <c r="R6357" s="9" t="s">
        <v>5879</v>
      </c>
    </row>
    <row r="6358" spans="1:18" x14ac:dyDescent="0.25">
      <c r="A6358" s="6" t="str">
        <f>HYPERLINK("proteomic_fractions_linear_files/Yang_linear_img/121674799.jpg", "121674799")</f>
        <v>121674799</v>
      </c>
      <c r="B6358" s="7"/>
      <c r="C6358" s="6" t="str">
        <f>HYPERLINK("http://www.ncbi.nlm.nih.gov/protein/121674799","Rnps1")</f>
        <v>Rnps1</v>
      </c>
      <c r="D6358" s="8"/>
      <c r="E6358" s="8">
        <v>31578</v>
      </c>
      <c r="F6358" s="8"/>
      <c r="G6358" s="15" t="s">
        <v>10</v>
      </c>
      <c r="H6358" s="15" t="s">
        <v>10</v>
      </c>
      <c r="I6358" s="15">
        <v>187.28437500000001</v>
      </c>
      <c r="J6358" s="15">
        <v>187.28437500000001</v>
      </c>
      <c r="K6358" s="15">
        <v>1.5090617370129766</v>
      </c>
      <c r="L6358" s="15">
        <v>1.5090617370129766</v>
      </c>
      <c r="M6358" s="15">
        <v>187.28437500000001</v>
      </c>
      <c r="N6358" s="15">
        <v>187.28437500000001</v>
      </c>
      <c r="O6358" s="15" t="s">
        <v>10</v>
      </c>
      <c r="P6358" s="15" t="s">
        <v>10</v>
      </c>
      <c r="Q6358" s="8"/>
      <c r="R6358" s="9" t="s">
        <v>5880</v>
      </c>
    </row>
    <row r="6359" spans="1:18" x14ac:dyDescent="0.25">
      <c r="A6359" s="6" t="str">
        <f>HYPERLINK("proteomic_fractions_linear_files/Yang_linear_img/6677759.jpg", "6677759")</f>
        <v>6677759</v>
      </c>
      <c r="B6359" s="7"/>
      <c r="C6359" s="6" t="str">
        <f>HYPERLINK("http://www.ncbi.nlm.nih.gov/protein/6677759","Rock1")</f>
        <v>Rock1</v>
      </c>
      <c r="D6359" s="8"/>
      <c r="E6359" s="8">
        <v>158040</v>
      </c>
      <c r="F6359" s="8"/>
      <c r="G6359" s="15" t="s">
        <v>10</v>
      </c>
      <c r="H6359" s="15" t="s">
        <v>10</v>
      </c>
      <c r="I6359" s="15">
        <v>2.5888832768318975</v>
      </c>
      <c r="J6359" s="15">
        <v>2.5888832768318975</v>
      </c>
      <c r="K6359" s="15">
        <v>1.1820622255692428</v>
      </c>
      <c r="L6359" s="15">
        <v>1.1820622255692428</v>
      </c>
      <c r="M6359" s="15">
        <v>1.1820622255692428</v>
      </c>
      <c r="N6359" s="15">
        <v>1.1820622255692428</v>
      </c>
      <c r="O6359" s="15">
        <v>1.1820622255692428</v>
      </c>
      <c r="P6359" s="15">
        <v>1.1820622255692428</v>
      </c>
      <c r="Q6359" s="8"/>
      <c r="R6359" s="9" t="s">
        <v>5881</v>
      </c>
    </row>
    <row r="6360" spans="1:18" x14ac:dyDescent="0.25">
      <c r="A6360" s="6" t="str">
        <f>HYPERLINK("proteomic_fractions_linear_files/Yang_linear_img/134949013.jpg", "134949013")</f>
        <v>134949013</v>
      </c>
      <c r="B6360" s="7"/>
      <c r="C6360" s="6" t="str">
        <f>HYPERLINK("http://www.ncbi.nlm.nih.gov/protein/134949013","Rock2")</f>
        <v>Rock2</v>
      </c>
      <c r="D6360" s="8"/>
      <c r="E6360" s="8">
        <v>160485</v>
      </c>
      <c r="F6360" s="8"/>
      <c r="G6360" s="15" t="s">
        <v>10</v>
      </c>
      <c r="H6360" s="15" t="s">
        <v>10</v>
      </c>
      <c r="I6360" s="15">
        <v>0.95908044460151154</v>
      </c>
      <c r="J6360" s="15">
        <v>0.95908044460151154</v>
      </c>
      <c r="K6360" s="15">
        <v>1.4585052976740567</v>
      </c>
      <c r="L6360" s="15">
        <v>1.1672864477496272</v>
      </c>
      <c r="M6360" s="15">
        <v>1.1672864477496272</v>
      </c>
      <c r="N6360" s="15">
        <v>1.1672864477496272</v>
      </c>
      <c r="O6360" s="15">
        <v>1.1672864477496272</v>
      </c>
      <c r="P6360" s="15">
        <v>1.1672864477496272</v>
      </c>
      <c r="Q6360" s="8"/>
      <c r="R6360" s="9" t="s">
        <v>5882</v>
      </c>
    </row>
    <row r="6361" spans="1:18" x14ac:dyDescent="0.25">
      <c r="A6361" s="6" t="str">
        <f>HYPERLINK("proteomic_fractions_linear_files/Yang_linear_img/119508431.jpg", "119508431")</f>
        <v>119508431</v>
      </c>
      <c r="B6361" s="7"/>
      <c r="C6361" s="6" t="str">
        <f>HYPERLINK("http://www.ncbi.nlm.nih.gov/protein/119508431","Rogdi")</f>
        <v>Rogdi</v>
      </c>
      <c r="D6361" s="8"/>
      <c r="E6361" s="8">
        <v>31969</v>
      </c>
      <c r="F6361" s="8"/>
      <c r="G6361" s="15" t="s">
        <v>10</v>
      </c>
      <c r="H6361" s="15" t="s">
        <v>10</v>
      </c>
      <c r="I6361" s="15" t="s">
        <v>10</v>
      </c>
      <c r="J6361" s="15" t="s">
        <v>10</v>
      </c>
      <c r="K6361" s="15" t="s">
        <v>10</v>
      </c>
      <c r="L6361" s="15" t="s">
        <v>10</v>
      </c>
      <c r="M6361" s="15">
        <v>0.87244410305256437</v>
      </c>
      <c r="N6361" s="15">
        <v>0.87244410305256437</v>
      </c>
      <c r="O6361" s="15" t="s">
        <v>10</v>
      </c>
      <c r="P6361" s="15" t="s">
        <v>10</v>
      </c>
      <c r="Q6361" s="8"/>
      <c r="R6361" s="9" t="s">
        <v>5883</v>
      </c>
    </row>
    <row r="6362" spans="1:18" x14ac:dyDescent="0.25">
      <c r="A6362" s="6" t="str">
        <f>HYPERLINK("proteomic_fractions_linear_files/Yang_linear_img/255958213.jpg", "255958213")</f>
        <v>255958213</v>
      </c>
      <c r="B6362" s="7"/>
      <c r="C6362" s="6" t="str">
        <f>HYPERLINK("http://www.ncbi.nlm.nih.gov/protein/255958213","Romo1")</f>
        <v>Romo1</v>
      </c>
      <c r="D6362" s="8"/>
      <c r="E6362" s="8">
        <v>8052</v>
      </c>
      <c r="F6362" s="8"/>
      <c r="G6362" s="15">
        <v>1.5934024177422033</v>
      </c>
      <c r="H6362" s="15">
        <v>1.5934024177422033</v>
      </c>
      <c r="I6362" s="15" t="s">
        <v>10</v>
      </c>
      <c r="J6362" s="15" t="s">
        <v>10</v>
      </c>
      <c r="K6362" s="15" t="s">
        <v>10</v>
      </c>
      <c r="L6362" s="15" t="s">
        <v>10</v>
      </c>
      <c r="M6362" s="15" t="s">
        <v>10</v>
      </c>
      <c r="N6362" s="15" t="s">
        <v>10</v>
      </c>
      <c r="O6362" s="15" t="s">
        <v>10</v>
      </c>
      <c r="P6362" s="15" t="s">
        <v>10</v>
      </c>
      <c r="Q6362" s="8"/>
      <c r="R6362" s="9" t="s">
        <v>5884</v>
      </c>
    </row>
    <row r="6363" spans="1:18" x14ac:dyDescent="0.25">
      <c r="A6363" s="6" t="str">
        <f>HYPERLINK("proteomic_fractions_linear_files/Yang_linear_img/255958215.jpg", "255958215")</f>
        <v>255958215</v>
      </c>
      <c r="B6363" s="7"/>
      <c r="C6363" s="6" t="str">
        <f>HYPERLINK("http://www.ncbi.nlm.nih.gov/protein/255958215","Romo1")</f>
        <v>Romo1</v>
      </c>
      <c r="D6363" s="8"/>
      <c r="E6363" s="8">
        <v>8052</v>
      </c>
      <c r="F6363" s="8"/>
      <c r="G6363" s="15" t="s">
        <v>10</v>
      </c>
      <c r="H6363" s="15" t="s">
        <v>10</v>
      </c>
      <c r="I6363" s="15">
        <v>1.4688644532279544</v>
      </c>
      <c r="J6363" s="15">
        <v>1.4688644532279544</v>
      </c>
      <c r="K6363" s="15" t="s">
        <v>10</v>
      </c>
      <c r="L6363" s="15" t="s">
        <v>10</v>
      </c>
      <c r="M6363" s="15" t="s">
        <v>10</v>
      </c>
      <c r="N6363" s="15" t="s">
        <v>10</v>
      </c>
      <c r="O6363" s="15" t="s">
        <v>10</v>
      </c>
      <c r="P6363" s="15" t="s">
        <v>10</v>
      </c>
      <c r="Q6363" s="8"/>
      <c r="R6363" s="9" t="s">
        <v>5884</v>
      </c>
    </row>
    <row r="6364" spans="1:18" x14ac:dyDescent="0.25">
      <c r="A6364" s="6" t="str">
        <f>HYPERLINK("proteomic_fractions_linear_files/Yang_linear_img/255958213;255958215.jpg", "255958213;255958215")</f>
        <v>255958213;255958215</v>
      </c>
      <c r="B6364" s="8"/>
      <c r="C6364" s="6" t="str">
        <f>HYPERLINK("http://www.ncbi.nlm.nih.gov/protein/255958213;255958215","Romo1")</f>
        <v>Romo1</v>
      </c>
      <c r="D6364" s="8"/>
      <c r="E6364" s="8">
        <v>8052</v>
      </c>
      <c r="F6364" s="8"/>
      <c r="G6364" s="15" t="s">
        <v>10</v>
      </c>
      <c r="H6364" s="15" t="s">
        <v>10</v>
      </c>
      <c r="I6364" s="15" t="s">
        <v>10</v>
      </c>
      <c r="J6364" s="15" t="s">
        <v>10</v>
      </c>
      <c r="K6364" s="15">
        <v>1.5291076615414196</v>
      </c>
      <c r="L6364" s="15">
        <v>1.5291076615414196</v>
      </c>
      <c r="M6364" s="15" t="s">
        <v>10</v>
      </c>
      <c r="N6364" s="15" t="s">
        <v>10</v>
      </c>
      <c r="O6364" s="15" t="s">
        <v>10</v>
      </c>
      <c r="P6364" s="15" t="s">
        <v>10</v>
      </c>
      <c r="Q6364" s="8"/>
      <c r="R6364" s="9" t="s">
        <v>5884</v>
      </c>
    </row>
    <row r="6365" spans="1:18" x14ac:dyDescent="0.25">
      <c r="A6365" s="6" t="str">
        <f>HYPERLINK("proteomic_fractions_linear_files/Yang_linear_img/19526820.jpg", "19526820")</f>
        <v>19526820</v>
      </c>
      <c r="B6365" s="7"/>
      <c r="C6365" s="6" t="str">
        <f>HYPERLINK("http://www.ncbi.nlm.nih.gov/protein/19526820","Rp2h")</f>
        <v>Rp2h</v>
      </c>
      <c r="D6365" s="8"/>
      <c r="E6365" s="8">
        <v>39246</v>
      </c>
      <c r="F6365" s="8"/>
      <c r="G6365" s="15" t="s">
        <v>10</v>
      </c>
      <c r="H6365" s="15" t="s">
        <v>10</v>
      </c>
      <c r="I6365" s="15">
        <v>153.66923076923078</v>
      </c>
      <c r="J6365" s="15">
        <v>153.66923076923078</v>
      </c>
      <c r="K6365" s="15">
        <v>1.038649184698019</v>
      </c>
      <c r="L6365" s="15">
        <v>1.038649184698019</v>
      </c>
      <c r="M6365" s="15" t="s">
        <v>10</v>
      </c>
      <c r="N6365" s="15" t="s">
        <v>10</v>
      </c>
      <c r="O6365" s="15" t="s">
        <v>10</v>
      </c>
      <c r="P6365" s="15" t="s">
        <v>10</v>
      </c>
      <c r="Q6365" s="8"/>
      <c r="R6365" s="9" t="s">
        <v>5885</v>
      </c>
    </row>
    <row r="6366" spans="1:18" x14ac:dyDescent="0.25">
      <c r="A6366" s="6" t="str">
        <f>HYPERLINK("proteomic_fractions_linear_files/Yang_linear_img/9055300.jpg", "9055300")</f>
        <v>9055300</v>
      </c>
      <c r="B6366" s="7"/>
      <c r="C6366" s="6" t="str">
        <f>HYPERLINK("http://www.ncbi.nlm.nih.gov/protein/9055300","Rp9")</f>
        <v>Rp9</v>
      </c>
      <c r="D6366" s="8"/>
      <c r="E6366" s="8">
        <v>25131</v>
      </c>
      <c r="F6366" s="8"/>
      <c r="G6366" s="15" t="s">
        <v>10</v>
      </c>
      <c r="H6366" s="15" t="s">
        <v>10</v>
      </c>
      <c r="I6366" s="15">
        <v>239.72400000000002</v>
      </c>
      <c r="J6366" s="15">
        <v>239.72400000000002</v>
      </c>
      <c r="K6366" s="15" t="s">
        <v>10</v>
      </c>
      <c r="L6366" s="15" t="s">
        <v>10</v>
      </c>
      <c r="M6366" s="15" t="s">
        <v>10</v>
      </c>
      <c r="N6366" s="15" t="s">
        <v>10</v>
      </c>
      <c r="O6366" s="15" t="s">
        <v>10</v>
      </c>
      <c r="P6366" s="15" t="s">
        <v>10</v>
      </c>
      <c r="Q6366" s="8"/>
      <c r="R6366" s="9" t="s">
        <v>5886</v>
      </c>
    </row>
    <row r="6367" spans="1:18" x14ac:dyDescent="0.25">
      <c r="A6367" s="6" t="str">
        <f>HYPERLINK("proteomic_fractions_linear_files/Yang_linear_img/18390321.jpg", "18390321")</f>
        <v>18390321</v>
      </c>
      <c r="B6367" s="7"/>
      <c r="C6367" s="6" t="str">
        <f>HYPERLINK("http://www.ncbi.nlm.nih.gov/protein/18390321","Rpa1")</f>
        <v>Rpa1</v>
      </c>
      <c r="D6367" s="8"/>
      <c r="E6367" s="8">
        <v>68906</v>
      </c>
      <c r="F6367" s="8"/>
      <c r="G6367" s="15" t="s">
        <v>10</v>
      </c>
      <c r="H6367" s="15" t="s">
        <v>10</v>
      </c>
      <c r="I6367" s="15">
        <v>1.0642921774156846</v>
      </c>
      <c r="J6367" s="15">
        <v>1.0642921774156846</v>
      </c>
      <c r="K6367" s="15">
        <v>1.0642921774156846</v>
      </c>
      <c r="L6367" s="15">
        <v>1.0642921774156846</v>
      </c>
      <c r="M6367" s="15">
        <v>1.0642921774156846</v>
      </c>
      <c r="N6367" s="15">
        <v>1.0642921774156846</v>
      </c>
      <c r="O6367" s="15">
        <v>0.69985471861471382</v>
      </c>
      <c r="P6367" s="15">
        <v>0.69985471861471382</v>
      </c>
      <c r="Q6367" s="8"/>
      <c r="R6367" s="9" t="s">
        <v>5887</v>
      </c>
    </row>
    <row r="6368" spans="1:18" x14ac:dyDescent="0.25">
      <c r="A6368" s="6" t="str">
        <f>HYPERLINK("proteomic_fractions_linear_files/Yang_linear_img/255982530.jpg", "255982530")</f>
        <v>255982530</v>
      </c>
      <c r="B6368" s="7"/>
      <c r="C6368" s="6" t="str">
        <f>HYPERLINK("http://www.ncbi.nlm.nih.gov/protein/255982530","Rpa1")</f>
        <v>Rpa1</v>
      </c>
      <c r="D6368" s="8"/>
      <c r="E6368" s="8">
        <v>71283</v>
      </c>
      <c r="F6368" s="8"/>
      <c r="G6368" s="15" t="s">
        <v>10</v>
      </c>
      <c r="H6368" s="15" t="s">
        <v>10</v>
      </c>
      <c r="I6368" s="15">
        <v>1.0343121160800317</v>
      </c>
      <c r="J6368" s="15">
        <v>1.0343121160800317</v>
      </c>
      <c r="K6368" s="15">
        <v>1.0343121160800317</v>
      </c>
      <c r="L6368" s="15">
        <v>1.0343121160800317</v>
      </c>
      <c r="M6368" s="15">
        <v>1.0343121160800317</v>
      </c>
      <c r="N6368" s="15">
        <v>1.0343121160800317</v>
      </c>
      <c r="O6368" s="15">
        <v>0.6801405011889472</v>
      </c>
      <c r="P6368" s="15">
        <v>0.6801405011889472</v>
      </c>
      <c r="Q6368" s="8"/>
      <c r="R6368" s="9" t="s">
        <v>5888</v>
      </c>
    </row>
    <row r="6369" spans="1:18" x14ac:dyDescent="0.25">
      <c r="A6369" s="6" t="str">
        <f>HYPERLINK("proteomic_fractions_linear_files/Yang_linear_img/110625961.jpg", "110625961")</f>
        <v>110625961</v>
      </c>
      <c r="B6369" s="7"/>
      <c r="C6369" s="6" t="str">
        <f>HYPERLINK("http://www.ncbi.nlm.nih.gov/protein/110625961","Rpa2")</f>
        <v>Rpa2</v>
      </c>
      <c r="D6369" s="8"/>
      <c r="E6369" s="8">
        <v>29309</v>
      </c>
      <c r="F6369" s="8"/>
      <c r="G6369" s="15" t="s">
        <v>10</v>
      </c>
      <c r="H6369" s="15" t="s">
        <v>10</v>
      </c>
      <c r="I6369" s="15">
        <v>0.96269694129938133</v>
      </c>
      <c r="J6369" s="15">
        <v>0.96269694129938133</v>
      </c>
      <c r="K6369" s="15">
        <v>0.96269694129938133</v>
      </c>
      <c r="L6369" s="15">
        <v>0.96269694129938133</v>
      </c>
      <c r="M6369" s="15">
        <v>0.96269694129938133</v>
      </c>
      <c r="N6369" s="15">
        <v>0.96269694129938133</v>
      </c>
      <c r="O6369" s="15">
        <v>0.84671795218196266</v>
      </c>
      <c r="P6369" s="15">
        <v>0.84671795218196266</v>
      </c>
      <c r="Q6369" s="8"/>
      <c r="R6369" s="9" t="s">
        <v>5889</v>
      </c>
    </row>
    <row r="6370" spans="1:18" x14ac:dyDescent="0.25">
      <c r="A6370" s="6" t="str">
        <f>HYPERLINK("proteomic_fractions_linear_files/Yang_linear_img/13386122.jpg", "13386122")</f>
        <v>13386122</v>
      </c>
      <c r="B6370" s="7"/>
      <c r="C6370" s="6" t="str">
        <f>HYPERLINK("http://www.ncbi.nlm.nih.gov/protein/13386122","Rpa3")</f>
        <v>Rpa3</v>
      </c>
      <c r="D6370" s="8"/>
      <c r="E6370" s="8">
        <v>13453</v>
      </c>
      <c r="F6370" s="8"/>
      <c r="G6370" s="15" t="s">
        <v>10</v>
      </c>
      <c r="H6370" s="15" t="s">
        <v>10</v>
      </c>
      <c r="I6370" s="15">
        <v>1.0228510786924256</v>
      </c>
      <c r="J6370" s="15">
        <v>1.0228510786924256</v>
      </c>
      <c r="K6370" s="15">
        <v>1.068142346148973</v>
      </c>
      <c r="L6370" s="15">
        <v>1.068142346148973</v>
      </c>
      <c r="M6370" s="15">
        <v>1.1167287478361805</v>
      </c>
      <c r="N6370" s="15">
        <v>1.1167287478361805</v>
      </c>
      <c r="O6370" s="15">
        <v>1.0228510786924256</v>
      </c>
      <c r="P6370" s="15">
        <v>1.0228510786924256</v>
      </c>
      <c r="Q6370" s="8"/>
      <c r="R6370" s="9" t="s">
        <v>5890</v>
      </c>
    </row>
    <row r="6371" spans="1:18" x14ac:dyDescent="0.25">
      <c r="A6371" s="6" t="str">
        <f>HYPERLINK("proteomic_fractions_linear_files/Yang_linear_img/254540043.jpg", "254540043")</f>
        <v>254540043</v>
      </c>
      <c r="B6371" s="7"/>
      <c r="C6371" s="6" t="str">
        <f>HYPERLINK("http://www.ncbi.nlm.nih.gov/protein/254540043","Rpap2")</f>
        <v>Rpap2</v>
      </c>
      <c r="D6371" s="8"/>
      <c r="E6371" s="8">
        <v>68399</v>
      </c>
      <c r="F6371" s="8"/>
      <c r="G6371" s="15" t="s">
        <v>10</v>
      </c>
      <c r="H6371" s="15" t="s">
        <v>10</v>
      </c>
      <c r="I6371" s="15" t="s">
        <v>10</v>
      </c>
      <c r="J6371" s="15" t="s">
        <v>10</v>
      </c>
      <c r="K6371" s="15">
        <v>0.24583050765598563</v>
      </c>
      <c r="L6371" s="15">
        <v>0.24583050765598563</v>
      </c>
      <c r="M6371" s="15">
        <v>0.24583050765598563</v>
      </c>
      <c r="N6371" s="15">
        <v>0.24583050765598563</v>
      </c>
      <c r="O6371" s="15" t="s">
        <v>10</v>
      </c>
      <c r="P6371" s="15" t="s">
        <v>10</v>
      </c>
      <c r="Q6371" s="8"/>
      <c r="R6371" s="9" t="s">
        <v>5891</v>
      </c>
    </row>
    <row r="6372" spans="1:18" x14ac:dyDescent="0.25">
      <c r="A6372" s="6" t="str">
        <f>HYPERLINK("proteomic_fractions_linear_files/Yang_linear_img/254540045.jpg", "254540045")</f>
        <v>254540045</v>
      </c>
      <c r="B6372" s="7"/>
      <c r="C6372" s="6" t="str">
        <f>HYPERLINK("http://www.ncbi.nlm.nih.gov/protein/254540045","Rpap2")</f>
        <v>Rpap2</v>
      </c>
      <c r="D6372" s="8"/>
      <c r="E6372" s="8">
        <v>63101</v>
      </c>
      <c r="F6372" s="8"/>
      <c r="G6372" s="15" t="s">
        <v>10</v>
      </c>
      <c r="H6372" s="15" t="s">
        <v>10</v>
      </c>
      <c r="I6372" s="15" t="s">
        <v>10</v>
      </c>
      <c r="J6372" s="15" t="s">
        <v>10</v>
      </c>
      <c r="K6372" s="15">
        <v>0.26534086540646068</v>
      </c>
      <c r="L6372" s="15">
        <v>0.26534086540646068</v>
      </c>
      <c r="M6372" s="15">
        <v>0.26534086540646068</v>
      </c>
      <c r="N6372" s="15">
        <v>0.26534086540646068</v>
      </c>
      <c r="O6372" s="15" t="s">
        <v>10</v>
      </c>
      <c r="P6372" s="15" t="s">
        <v>10</v>
      </c>
      <c r="Q6372" s="8"/>
      <c r="R6372" s="9" t="s">
        <v>5892</v>
      </c>
    </row>
    <row r="6373" spans="1:18" x14ac:dyDescent="0.25">
      <c r="A6373" s="6" t="str">
        <f>HYPERLINK("proteomic_fractions_linear_files/Yang_linear_img/13386276.jpg", "13386276")</f>
        <v>13386276</v>
      </c>
      <c r="B6373" s="7"/>
      <c r="C6373" s="6" t="str">
        <f>HYPERLINK("http://www.ncbi.nlm.nih.gov/protein/13386276","Rpap3")</f>
        <v>Rpap3</v>
      </c>
      <c r="D6373" s="8"/>
      <c r="E6373" s="8">
        <v>73965</v>
      </c>
      <c r="F6373" s="8"/>
      <c r="G6373" s="15" t="s">
        <v>10</v>
      </c>
      <c r="H6373" s="15" t="s">
        <v>10</v>
      </c>
      <c r="I6373" s="15" t="s">
        <v>10</v>
      </c>
      <c r="J6373" s="15" t="s">
        <v>10</v>
      </c>
      <c r="K6373" s="15">
        <v>1.2833510970619528</v>
      </c>
      <c r="L6373" s="15">
        <v>1.2833510970619528</v>
      </c>
      <c r="M6373" s="15">
        <v>1.1229548442316737</v>
      </c>
      <c r="N6373" s="15">
        <v>1.1229548442316737</v>
      </c>
      <c r="O6373" s="15">
        <v>1.1229548442316737</v>
      </c>
      <c r="P6373" s="15">
        <v>1.1229548442316737</v>
      </c>
      <c r="Q6373" s="8"/>
      <c r="R6373" s="9" t="s">
        <v>5893</v>
      </c>
    </row>
    <row r="6374" spans="1:18" x14ac:dyDescent="0.25">
      <c r="A6374" s="6" t="str">
        <f>HYPERLINK("proteomic_fractions_linear_files/Yang_linear_img/27532955.jpg", "27532955")</f>
        <v>27532955</v>
      </c>
      <c r="B6374" s="7"/>
      <c r="C6374" s="6" t="str">
        <f>HYPERLINK("http://www.ncbi.nlm.nih.gov/protein/27532955","Rpe")</f>
        <v>Rpe</v>
      </c>
      <c r="D6374" s="8"/>
      <c r="E6374" s="8">
        <v>24814</v>
      </c>
      <c r="F6374" s="8"/>
      <c r="G6374" s="15" t="s">
        <v>10</v>
      </c>
      <c r="H6374" s="15" t="s">
        <v>10</v>
      </c>
      <c r="I6374" s="15" t="s">
        <v>10</v>
      </c>
      <c r="J6374" s="15" t="s">
        <v>10</v>
      </c>
      <c r="K6374" s="15">
        <v>12.071332985459952</v>
      </c>
      <c r="L6374" s="15">
        <v>12.071332985459952</v>
      </c>
      <c r="M6374" s="15">
        <v>16.361742309577593</v>
      </c>
      <c r="N6374" s="15">
        <v>16.361742309577593</v>
      </c>
      <c r="O6374" s="15">
        <v>0.87182969082715001</v>
      </c>
      <c r="P6374" s="15">
        <v>0.87182969082715001</v>
      </c>
      <c r="Q6374" s="8"/>
      <c r="R6374" s="9" t="s">
        <v>5894</v>
      </c>
    </row>
    <row r="6375" spans="1:18" x14ac:dyDescent="0.25">
      <c r="A6375" s="6" t="str">
        <f>HYPERLINK("proteomic_fractions_linear_files/Yang_linear_img/94536844.jpg", "94536844")</f>
        <v>94536844</v>
      </c>
      <c r="B6375" s="7"/>
      <c r="C6375" s="6" t="str">
        <f>HYPERLINK("http://www.ncbi.nlm.nih.gov/protein/94536844","Rpia")</f>
        <v>Rpia</v>
      </c>
      <c r="D6375" s="8"/>
      <c r="E6375" s="8">
        <v>32320</v>
      </c>
      <c r="F6375" s="8"/>
      <c r="G6375" s="15" t="s">
        <v>10</v>
      </c>
      <c r="H6375" s="15" t="s">
        <v>10</v>
      </c>
      <c r="I6375" s="15">
        <v>0.76733814416490365</v>
      </c>
      <c r="J6375" s="15">
        <v>0.76733814416490365</v>
      </c>
      <c r="K6375" s="15">
        <v>0.76733814416490365</v>
      </c>
      <c r="L6375" s="15">
        <v>0.76733814416490365</v>
      </c>
      <c r="M6375" s="15" t="s">
        <v>10</v>
      </c>
      <c r="N6375" s="15" t="s">
        <v>10</v>
      </c>
      <c r="O6375" s="15">
        <v>0.68111694595871097</v>
      </c>
      <c r="P6375" s="15">
        <v>0.68111694595871097</v>
      </c>
      <c r="Q6375" s="8"/>
      <c r="R6375" s="9" t="s">
        <v>5895</v>
      </c>
    </row>
    <row r="6376" spans="1:18" x14ac:dyDescent="0.25">
      <c r="A6376" s="6" t="str">
        <f>HYPERLINK("proteomic_fractions_linear_files/Yang_linear_img/16418339.jpg", "16418339")</f>
        <v>16418339</v>
      </c>
      <c r="B6376" s="7"/>
      <c r="C6376" s="6" t="str">
        <f>HYPERLINK("http://www.ncbi.nlm.nih.gov/protein/16418339","Rpl10")</f>
        <v>Rpl10</v>
      </c>
      <c r="D6376" s="8"/>
      <c r="E6376" s="8">
        <v>24473</v>
      </c>
      <c r="F6376" s="8"/>
      <c r="G6376" s="15">
        <v>1.4397240221031327</v>
      </c>
      <c r="H6376" s="15">
        <v>1.4397240221031327</v>
      </c>
      <c r="I6376" s="15">
        <v>0.96289889061322687</v>
      </c>
      <c r="J6376" s="15">
        <v>0.96289889061322687</v>
      </c>
      <c r="K6376" s="15">
        <v>0.96289889061322687</v>
      </c>
      <c r="L6376" s="15">
        <v>0.96289889061322687</v>
      </c>
      <c r="M6376" s="15">
        <v>0.96289889061322687</v>
      </c>
      <c r="N6376" s="15">
        <v>0.96289889061322687</v>
      </c>
      <c r="O6376" s="15" t="s">
        <v>10</v>
      </c>
      <c r="P6376" s="15" t="s">
        <v>10</v>
      </c>
      <c r="Q6376" s="8"/>
      <c r="R6376" s="9" t="s">
        <v>5896</v>
      </c>
    </row>
    <row r="6377" spans="1:18" x14ac:dyDescent="0.25">
      <c r="A6377" s="6" t="str">
        <f>HYPERLINK("proteomic_fractions_linear_files/Yang_linear_img/255003735.jpg", "255003735")</f>
        <v>255003735</v>
      </c>
      <c r="B6377" s="7"/>
      <c r="C6377" s="6" t="str">
        <f>HYPERLINK("http://www.ncbi.nlm.nih.gov/protein/255003735","Rpl10a")</f>
        <v>Rpl10a</v>
      </c>
      <c r="D6377" s="8"/>
      <c r="E6377" s="8">
        <v>24700</v>
      </c>
      <c r="F6377" s="8"/>
      <c r="G6377" s="15">
        <v>1.3821350612190073</v>
      </c>
      <c r="H6377" s="15">
        <v>1.3821350612190073</v>
      </c>
      <c r="I6377" s="15">
        <v>0.9821928245310767</v>
      </c>
      <c r="J6377" s="15">
        <v>0.9821928245310767</v>
      </c>
      <c r="K6377" s="15">
        <v>0.9821928245310767</v>
      </c>
      <c r="L6377" s="15">
        <v>0.9821928245310767</v>
      </c>
      <c r="M6377" s="15">
        <v>0.9821928245310767</v>
      </c>
      <c r="N6377" s="15">
        <v>0.9821928245310767</v>
      </c>
      <c r="O6377" s="15">
        <v>0.87182969082715001</v>
      </c>
      <c r="P6377" s="15">
        <v>0.87182969082715001</v>
      </c>
      <c r="Q6377" s="8"/>
      <c r="R6377" s="9" t="s">
        <v>5897</v>
      </c>
    </row>
    <row r="6378" spans="1:18" x14ac:dyDescent="0.25">
      <c r="A6378" s="6" t="str">
        <f>HYPERLINK("proteomic_fractions_linear_files/Yang_linear_img/242397462.jpg", "242397462")</f>
        <v>242397462</v>
      </c>
      <c r="B6378" s="7"/>
      <c r="C6378" s="6" t="str">
        <f>HYPERLINK("http://www.ncbi.nlm.nih.gov/protein/242397462","Rpl10l")</f>
        <v>Rpl10l</v>
      </c>
      <c r="D6378" s="8"/>
      <c r="E6378" s="8">
        <v>24427</v>
      </c>
      <c r="F6378" s="8"/>
      <c r="G6378" s="15">
        <v>1.4397240221031327</v>
      </c>
      <c r="H6378" s="15">
        <v>1.4397240221031327</v>
      </c>
      <c r="I6378" s="15">
        <v>0.96289889061322687</v>
      </c>
      <c r="J6378" s="15">
        <v>0.96289889061322687</v>
      </c>
      <c r="K6378" s="15">
        <v>0.96289889061322687</v>
      </c>
      <c r="L6378" s="15">
        <v>0.96289889061322687</v>
      </c>
      <c r="M6378" s="15">
        <v>0.96289889061322687</v>
      </c>
      <c r="N6378" s="15">
        <v>0.96289889061322687</v>
      </c>
      <c r="O6378" s="15" t="s">
        <v>10</v>
      </c>
      <c r="P6378" s="15" t="s">
        <v>10</v>
      </c>
      <c r="Q6378" s="8"/>
      <c r="R6378" s="9" t="s">
        <v>5898</v>
      </c>
    </row>
    <row r="6379" spans="1:18" x14ac:dyDescent="0.25">
      <c r="A6379" s="6" t="str">
        <f>HYPERLINK("proteomic_fractions_linear_files/Yang_linear_img/13385408.jpg", "13385408")</f>
        <v>13385408</v>
      </c>
      <c r="B6379" s="7"/>
      <c r="C6379" s="6" t="str">
        <f>HYPERLINK("http://www.ncbi.nlm.nih.gov/protein/13385408","Rpl11")</f>
        <v>Rpl11</v>
      </c>
      <c r="D6379" s="8"/>
      <c r="E6379" s="8">
        <v>20121</v>
      </c>
      <c r="F6379" s="8"/>
      <c r="G6379" s="15">
        <v>0.87849698826794831</v>
      </c>
      <c r="H6379" s="15">
        <v>0.87849698826794831</v>
      </c>
      <c r="I6379" s="15">
        <v>0.97505749140176368</v>
      </c>
      <c r="J6379" s="15">
        <v>0.97505749140176368</v>
      </c>
      <c r="K6379" s="15">
        <v>0.97505749140176368</v>
      </c>
      <c r="L6379" s="15">
        <v>0.97505749140176368</v>
      </c>
      <c r="M6379" s="15">
        <v>0.97505749140176368</v>
      </c>
      <c r="N6379" s="15">
        <v>0.97505749140176368</v>
      </c>
      <c r="O6379" s="15">
        <v>0.97505749140176368</v>
      </c>
      <c r="P6379" s="15">
        <v>0.97505749140176368</v>
      </c>
      <c r="Q6379" s="8"/>
      <c r="R6379" s="9" t="s">
        <v>5899</v>
      </c>
    </row>
    <row r="6380" spans="1:18" x14ac:dyDescent="0.25">
      <c r="A6380" s="6" t="str">
        <f>HYPERLINK("proteomic_fractions_linear_files/Yang_linear_img/160333553.jpg", "160333553")</f>
        <v>160333553</v>
      </c>
      <c r="B6380" s="7"/>
      <c r="C6380" s="6" t="str">
        <f>HYPERLINK("http://www.ncbi.nlm.nih.gov/protein/160333553","Rpl12")</f>
        <v>Rpl12</v>
      </c>
      <c r="D6380" s="8"/>
      <c r="E6380" s="8">
        <v>17673</v>
      </c>
      <c r="F6380" s="8"/>
      <c r="G6380" s="15">
        <v>1.3641567007376065</v>
      </c>
      <c r="H6380" s="15">
        <v>1.3641567007376065</v>
      </c>
      <c r="I6380" s="15">
        <v>0.97610776474216487</v>
      </c>
      <c r="J6380" s="15">
        <v>0.97610776474216487</v>
      </c>
      <c r="K6380" s="15">
        <v>1.0275166202535602</v>
      </c>
      <c r="L6380" s="15">
        <v>1.0275166202535602</v>
      </c>
      <c r="M6380" s="15">
        <v>1.0833972126686264</v>
      </c>
      <c r="N6380" s="15">
        <v>1.0833972126686264</v>
      </c>
      <c r="O6380" s="15">
        <v>0.97610776474216487</v>
      </c>
      <c r="P6380" s="15">
        <v>0.97610776474216487</v>
      </c>
      <c r="Q6380" s="8"/>
      <c r="R6380" s="9" t="s">
        <v>5900</v>
      </c>
    </row>
    <row r="6381" spans="1:18" x14ac:dyDescent="0.25">
      <c r="A6381" s="6" t="str">
        <f>HYPERLINK("proteomic_fractions_linear_files/Yang_linear_img/33186863.jpg", "33186863")</f>
        <v>33186863</v>
      </c>
      <c r="B6381" s="7"/>
      <c r="C6381" s="6" t="str">
        <f>HYPERLINK("http://www.ncbi.nlm.nih.gov/protein/33186863","Rpl13")</f>
        <v>Rpl13</v>
      </c>
      <c r="D6381" s="8"/>
      <c r="E6381" s="8">
        <v>24174</v>
      </c>
      <c r="F6381" s="8"/>
      <c r="G6381" s="15">
        <v>1.5558886009635247</v>
      </c>
      <c r="H6381" s="15">
        <v>1.5558886009635247</v>
      </c>
      <c r="I6381" s="15">
        <v>1.0895940881427084</v>
      </c>
      <c r="J6381" s="15">
        <v>1.0895940881427084</v>
      </c>
      <c r="K6381" s="15">
        <v>1.0895940881427084</v>
      </c>
      <c r="L6381" s="15">
        <v>1.0895940881427084</v>
      </c>
      <c r="M6381" s="15">
        <v>1.0895940881427084</v>
      </c>
      <c r="N6381" s="15">
        <v>1.0895940881427084</v>
      </c>
      <c r="O6381" s="15" t="s">
        <v>10</v>
      </c>
      <c r="P6381" s="15" t="s">
        <v>10</v>
      </c>
      <c r="Q6381" s="8"/>
      <c r="R6381" s="9" t="s">
        <v>5901</v>
      </c>
    </row>
    <row r="6382" spans="1:18" x14ac:dyDescent="0.25">
      <c r="A6382" s="6" t="str">
        <f>HYPERLINK("proteomic_fractions_linear_files/Yang_linear_img/31981945.jpg", "31981945")</f>
        <v>31981945</v>
      </c>
      <c r="B6382" s="7"/>
      <c r="C6382" s="6" t="str">
        <f>HYPERLINK("http://www.ncbi.nlm.nih.gov/protein/31981945","Rpl13a")</f>
        <v>Rpl13a</v>
      </c>
      <c r="D6382" s="8"/>
      <c r="E6382" s="8">
        <v>23333</v>
      </c>
      <c r="F6382" s="8"/>
      <c r="G6382" s="15">
        <v>1.3949596893797211</v>
      </c>
      <c r="H6382" s="15">
        <v>1.3949596893797211</v>
      </c>
      <c r="I6382" s="15">
        <v>1.0047640597703238</v>
      </c>
      <c r="J6382" s="15">
        <v>1.0047640597703238</v>
      </c>
      <c r="K6382" s="15">
        <v>1.0047640597703238</v>
      </c>
      <c r="L6382" s="15">
        <v>1.0047640597703238</v>
      </c>
      <c r="M6382" s="15">
        <v>0.94764096829038047</v>
      </c>
      <c r="N6382" s="15">
        <v>0.94764096829038047</v>
      </c>
      <c r="O6382" s="15" t="s">
        <v>10</v>
      </c>
      <c r="P6382" s="15" t="s">
        <v>10</v>
      </c>
      <c r="Q6382" s="8"/>
      <c r="R6382" s="9" t="s">
        <v>5902</v>
      </c>
    </row>
    <row r="6383" spans="1:18" x14ac:dyDescent="0.25">
      <c r="A6383" s="6" t="str">
        <f>HYPERLINK("proteomic_fractions_linear_files/Yang_linear_img/13385472.jpg", "13385472")</f>
        <v>13385472</v>
      </c>
      <c r="B6383" s="7"/>
      <c r="C6383" s="6" t="str">
        <f>HYPERLINK("http://www.ncbi.nlm.nih.gov/protein/13385472","Rpl14")</f>
        <v>Rpl14</v>
      </c>
      <c r="D6383" s="8"/>
      <c r="E6383" s="8">
        <v>23433</v>
      </c>
      <c r="F6383" s="8"/>
      <c r="G6383" s="15">
        <v>1.5023207187163123</v>
      </c>
      <c r="H6383" s="15">
        <v>1.5023207187163123</v>
      </c>
      <c r="I6383" s="15">
        <v>1.0676008962294312</v>
      </c>
      <c r="J6383" s="15">
        <v>1.0676008962294312</v>
      </c>
      <c r="K6383" s="15">
        <v>1.0676008962294312</v>
      </c>
      <c r="L6383" s="15">
        <v>1.0676008962294312</v>
      </c>
      <c r="M6383" s="15">
        <v>1.0676008962294312</v>
      </c>
      <c r="N6383" s="15">
        <v>1.0676008962294312</v>
      </c>
      <c r="O6383" s="15" t="s">
        <v>10</v>
      </c>
      <c r="P6383" s="15" t="s">
        <v>10</v>
      </c>
      <c r="Q6383" s="8"/>
      <c r="R6383" s="9" t="s">
        <v>5903</v>
      </c>
    </row>
    <row r="6384" spans="1:18" x14ac:dyDescent="0.25">
      <c r="A6384" s="6" t="str">
        <f>HYPERLINK("proteomic_fractions_linear_files/Yang_linear_img/13385036.jpg", "13385036")</f>
        <v>13385036</v>
      </c>
      <c r="B6384" s="7"/>
      <c r="C6384" s="6" t="str">
        <f>HYPERLINK("http://www.ncbi.nlm.nih.gov/protein/13385036","Rpl15")</f>
        <v>Rpl15</v>
      </c>
      <c r="D6384" s="8"/>
      <c r="E6384" s="8">
        <v>24015</v>
      </c>
      <c r="F6384" s="8"/>
      <c r="G6384" s="15">
        <v>1.3368363689888996</v>
      </c>
      <c r="H6384" s="15">
        <v>1.3368363689888996</v>
      </c>
      <c r="I6384" s="15">
        <v>0.90815592794494793</v>
      </c>
      <c r="J6384" s="15">
        <v>0.90815592794494793</v>
      </c>
      <c r="K6384" s="15">
        <v>0.96289889061322687</v>
      </c>
      <c r="L6384" s="15">
        <v>0.96289889061322687</v>
      </c>
      <c r="M6384" s="15">
        <v>0.96289889061322687</v>
      </c>
      <c r="N6384" s="15">
        <v>0.96289889061322687</v>
      </c>
      <c r="O6384" s="15" t="s">
        <v>10</v>
      </c>
      <c r="P6384" s="15" t="s">
        <v>10</v>
      </c>
      <c r="Q6384" s="8"/>
      <c r="R6384" s="9" t="s">
        <v>5904</v>
      </c>
    </row>
    <row r="6385" spans="1:18" x14ac:dyDescent="0.25">
      <c r="A6385" s="6" t="str">
        <f>HYPERLINK("proteomic_fractions_linear_files/Yang_linear_img/161484662.jpg", "161484662")</f>
        <v>161484662</v>
      </c>
      <c r="B6385" s="7"/>
      <c r="C6385" s="6" t="str">
        <f>HYPERLINK("http://www.ncbi.nlm.nih.gov/protein/161484662","Rpl17")</f>
        <v>Rpl17</v>
      </c>
      <c r="D6385" s="8"/>
      <c r="E6385" s="8">
        <v>21266</v>
      </c>
      <c r="F6385" s="8"/>
      <c r="G6385" s="15">
        <v>1.4231146138911015</v>
      </c>
      <c r="H6385" s="15">
        <v>1.4231146138911015</v>
      </c>
      <c r="I6385" s="15">
        <v>0.98083053269791776</v>
      </c>
      <c r="J6385" s="15">
        <v>0.98083053269791776</v>
      </c>
      <c r="K6385" s="15">
        <v>0.98083053269791776</v>
      </c>
      <c r="L6385" s="15">
        <v>0.98083053269791776</v>
      </c>
      <c r="M6385" s="15">
        <v>0.98083053269791776</v>
      </c>
      <c r="N6385" s="15">
        <v>0.98083053269791776</v>
      </c>
      <c r="O6385" s="15" t="s">
        <v>10</v>
      </c>
      <c r="P6385" s="15" t="s">
        <v>10</v>
      </c>
      <c r="Q6385" s="8"/>
      <c r="R6385" s="9" t="s">
        <v>5905</v>
      </c>
    </row>
    <row r="6386" spans="1:18" x14ac:dyDescent="0.25">
      <c r="A6386" s="6" t="str">
        <f>HYPERLINK("proteomic_fractions_linear_files/Yang_linear_img/83699424.jpg", "83699424")</f>
        <v>83699424</v>
      </c>
      <c r="B6386" s="7"/>
      <c r="C6386" s="6" t="str">
        <f>HYPERLINK("http://www.ncbi.nlm.nih.gov/protein/83699424","Rpl18")</f>
        <v>Rpl18</v>
      </c>
      <c r="D6386" s="8"/>
      <c r="E6386" s="8">
        <v>21513</v>
      </c>
      <c r="F6386" s="8"/>
      <c r="G6386" s="15">
        <v>1.4583669479878905</v>
      </c>
      <c r="H6386" s="15">
        <v>1.4583669479878905</v>
      </c>
      <c r="I6386" s="15">
        <v>0.99071555775812503</v>
      </c>
      <c r="J6386" s="15">
        <v>0.99071555775812503</v>
      </c>
      <c r="K6386" s="15">
        <v>1.0504351533962475</v>
      </c>
      <c r="L6386" s="15">
        <v>1.0504351533962475</v>
      </c>
      <c r="M6386" s="15">
        <v>0.93624732666619426</v>
      </c>
      <c r="N6386" s="15">
        <v>0.93624732666619426</v>
      </c>
      <c r="O6386" s="15" t="s">
        <v>10</v>
      </c>
      <c r="P6386" s="15" t="s">
        <v>10</v>
      </c>
      <c r="Q6386" s="8"/>
      <c r="R6386" s="9" t="s">
        <v>5906</v>
      </c>
    </row>
    <row r="6387" spans="1:18" x14ac:dyDescent="0.25">
      <c r="A6387" s="6" t="str">
        <f>HYPERLINK("proteomic_fractions_linear_files/Yang_linear_img/58037465.jpg", "58037465")</f>
        <v>58037465</v>
      </c>
      <c r="B6387" s="7"/>
      <c r="C6387" s="6" t="str">
        <f>HYPERLINK("http://www.ncbi.nlm.nih.gov/protein/58037465","Rpl18a")</f>
        <v>Rpl18a</v>
      </c>
      <c r="D6387" s="8"/>
      <c r="E6387" s="8">
        <v>20601</v>
      </c>
      <c r="F6387" s="8"/>
      <c r="G6387" s="15">
        <v>1.4231146138911015</v>
      </c>
      <c r="H6387" s="15">
        <v>1.4231146138911015</v>
      </c>
      <c r="I6387" s="15">
        <v>0.98083053269791776</v>
      </c>
      <c r="J6387" s="15">
        <v>0.98083053269791776</v>
      </c>
      <c r="K6387" s="15">
        <v>0.98083053269791776</v>
      </c>
      <c r="L6387" s="15">
        <v>0.98083053269791776</v>
      </c>
      <c r="M6387" s="15">
        <v>0.98083053269791776</v>
      </c>
      <c r="N6387" s="15">
        <v>0.98083053269791776</v>
      </c>
      <c r="O6387" s="15" t="s">
        <v>10</v>
      </c>
      <c r="P6387" s="15" t="s">
        <v>10</v>
      </c>
      <c r="Q6387" s="8"/>
      <c r="R6387" s="9" t="s">
        <v>5907</v>
      </c>
    </row>
    <row r="6388" spans="1:18" x14ac:dyDescent="0.25">
      <c r="A6388" s="6" t="str">
        <f>HYPERLINK("proteomic_fractions_linear_files/Yang_linear_img/226958653.jpg", "226958653")</f>
        <v>226958653</v>
      </c>
      <c r="B6388" s="7"/>
      <c r="C6388" s="6" t="str">
        <f>HYPERLINK("http://www.ncbi.nlm.nih.gov/protein/226958653","Rpl19")</f>
        <v>Rpl19</v>
      </c>
      <c r="D6388" s="8"/>
      <c r="E6388" s="8">
        <v>23335</v>
      </c>
      <c r="F6388" s="8"/>
      <c r="G6388" s="15">
        <v>1.0047640597703238</v>
      </c>
      <c r="H6388" s="15">
        <v>1.0047640597703238</v>
      </c>
      <c r="I6388" s="15">
        <v>1.0676008962294312</v>
      </c>
      <c r="J6388" s="15">
        <v>1.0676008962294312</v>
      </c>
      <c r="K6388" s="15">
        <v>1.0676008962294312</v>
      </c>
      <c r="L6388" s="15">
        <v>1.0676008962294312</v>
      </c>
      <c r="M6388" s="15">
        <v>1.0676008962294312</v>
      </c>
      <c r="N6388" s="15">
        <v>1.0676008962294312</v>
      </c>
      <c r="O6388" s="15" t="s">
        <v>10</v>
      </c>
      <c r="P6388" s="15" t="s">
        <v>10</v>
      </c>
      <c r="Q6388" s="8"/>
      <c r="R6388" s="9" t="s">
        <v>5908</v>
      </c>
    </row>
    <row r="6389" spans="1:18" x14ac:dyDescent="0.25">
      <c r="A6389" s="6" t="str">
        <f>HYPERLINK("proteomic_fractions_linear_files/Yang_linear_img/226958657.jpg", "226958657")</f>
        <v>226958657</v>
      </c>
      <c r="B6389" s="7"/>
      <c r="C6389" s="6" t="str">
        <f>HYPERLINK("http://www.ncbi.nlm.nih.gov/protein/226958657","Rpl19")</f>
        <v>Rpl19</v>
      </c>
      <c r="D6389" s="8"/>
      <c r="E6389" s="8">
        <v>23117</v>
      </c>
      <c r="F6389" s="8"/>
      <c r="G6389" s="15">
        <v>1.0047640597703238</v>
      </c>
      <c r="H6389" s="15">
        <v>1.0047640597703238</v>
      </c>
      <c r="I6389" s="15">
        <v>1.0676008962294312</v>
      </c>
      <c r="J6389" s="15">
        <v>1.0676008962294312</v>
      </c>
      <c r="K6389" s="15">
        <v>1.0676008962294312</v>
      </c>
      <c r="L6389" s="15">
        <v>1.0676008962294312</v>
      </c>
      <c r="M6389" s="15">
        <v>1.0676008962294312</v>
      </c>
      <c r="N6389" s="15">
        <v>1.0676008962294312</v>
      </c>
      <c r="O6389" s="15" t="s">
        <v>10</v>
      </c>
      <c r="P6389" s="15" t="s">
        <v>10</v>
      </c>
      <c r="Q6389" s="8"/>
      <c r="R6389" s="9" t="s">
        <v>5909</v>
      </c>
    </row>
    <row r="6390" spans="1:18" x14ac:dyDescent="0.25">
      <c r="A6390" s="6" t="str">
        <f>HYPERLINK("proteomic_fractions_linear_files/Yang_linear_img/31560385.jpg", "31560385")</f>
        <v>31560385</v>
      </c>
      <c r="B6390" s="7"/>
      <c r="C6390" s="6" t="str">
        <f>HYPERLINK("http://www.ncbi.nlm.nih.gov/protein/31560385","Rpl21")</f>
        <v>Rpl21</v>
      </c>
      <c r="D6390" s="8"/>
      <c r="E6390" s="8">
        <v>18448</v>
      </c>
      <c r="F6390" s="8"/>
      <c r="G6390" s="15">
        <v>1.6603003828729517</v>
      </c>
      <c r="H6390" s="15">
        <v>1.6603003828729517</v>
      </c>
      <c r="I6390" s="15">
        <v>1.1443022881475706</v>
      </c>
      <c r="J6390" s="15">
        <v>1.1443022881475706</v>
      </c>
      <c r="K6390" s="15">
        <v>1.1443022881475706</v>
      </c>
      <c r="L6390" s="15">
        <v>1.1443022881475706</v>
      </c>
      <c r="M6390" s="15">
        <v>1.1443022881475706</v>
      </c>
      <c r="N6390" s="15">
        <v>1.1443022881475706</v>
      </c>
      <c r="O6390" s="15" t="s">
        <v>10</v>
      </c>
      <c r="P6390" s="15" t="s">
        <v>10</v>
      </c>
      <c r="Q6390" s="8"/>
      <c r="R6390" s="9" t="s">
        <v>5910</v>
      </c>
    </row>
    <row r="6391" spans="1:18" x14ac:dyDescent="0.25">
      <c r="A6391" s="6" t="str">
        <f>HYPERLINK("proteomic_fractions_linear_files/Yang_linear_img/459683845.jpg", "459683845")</f>
        <v>459683845</v>
      </c>
      <c r="B6391" s="7"/>
      <c r="C6391" s="6" t="str">
        <f>HYPERLINK("http://www.ncbi.nlm.nih.gov/protein/459683845","Rpl22")</f>
        <v>Rpl22</v>
      </c>
      <c r="D6391" s="8"/>
      <c r="E6391" s="8">
        <v>17455</v>
      </c>
      <c r="F6391" s="8"/>
      <c r="G6391" s="15">
        <v>0.85396904246296157</v>
      </c>
      <c r="H6391" s="15">
        <v>0.85396904246296157</v>
      </c>
      <c r="I6391" s="15">
        <v>0.89390225257731093</v>
      </c>
      <c r="J6391" s="15">
        <v>0.89390225257731093</v>
      </c>
      <c r="K6391" s="15">
        <v>0.93690834018716329</v>
      </c>
      <c r="L6391" s="15">
        <v>0.93690834018716329</v>
      </c>
      <c r="M6391" s="15" t="s">
        <v>10</v>
      </c>
      <c r="N6391" s="15" t="s">
        <v>10</v>
      </c>
      <c r="O6391" s="15" t="s">
        <v>10</v>
      </c>
      <c r="P6391" s="15" t="s">
        <v>10</v>
      </c>
      <c r="Q6391" s="8"/>
      <c r="R6391" s="9" t="s">
        <v>5911</v>
      </c>
    </row>
    <row r="6392" spans="1:18" x14ac:dyDescent="0.25">
      <c r="A6392" s="6" t="str">
        <f>HYPERLINK("proteomic_fractions_linear_files/Yang_linear_img/459683847.jpg", "459683847")</f>
        <v>459683847</v>
      </c>
      <c r="B6392" s="7"/>
      <c r="C6392" s="6" t="str">
        <f>HYPERLINK("http://www.ncbi.nlm.nih.gov/protein/459683847","Rpl22")</f>
        <v>Rpl22</v>
      </c>
      <c r="D6392" s="8"/>
      <c r="E6392" s="8">
        <v>9332</v>
      </c>
      <c r="F6392" s="8"/>
      <c r="G6392" s="15">
        <v>1.6130526357633719</v>
      </c>
      <c r="H6392" s="15">
        <v>1.6130526357633719</v>
      </c>
      <c r="I6392" s="15">
        <v>1.6884820326460317</v>
      </c>
      <c r="J6392" s="15">
        <v>1.6884820326460317</v>
      </c>
      <c r="K6392" s="15">
        <v>1.769715753686864</v>
      </c>
      <c r="L6392" s="15">
        <v>1.769715753686864</v>
      </c>
      <c r="M6392" s="15" t="s">
        <v>10</v>
      </c>
      <c r="N6392" s="15" t="s">
        <v>10</v>
      </c>
      <c r="O6392" s="15" t="s">
        <v>10</v>
      </c>
      <c r="P6392" s="15" t="s">
        <v>10</v>
      </c>
      <c r="Q6392" s="8"/>
      <c r="R6392" s="9" t="s">
        <v>5912</v>
      </c>
    </row>
    <row r="6393" spans="1:18" x14ac:dyDescent="0.25">
      <c r="A6393" s="6" t="str">
        <f>HYPERLINK("proteomic_fractions_linear_files/Yang_linear_img/13386010.jpg", "13386010")</f>
        <v>13386010</v>
      </c>
      <c r="B6393" s="7"/>
      <c r="C6393" s="6" t="str">
        <f>HYPERLINK("http://www.ncbi.nlm.nih.gov/protein/13386010","Rpl22l1")</f>
        <v>Rpl22l1</v>
      </c>
      <c r="D6393" s="8"/>
      <c r="E6393" s="8">
        <v>14336</v>
      </c>
      <c r="F6393" s="8"/>
      <c r="G6393" s="15">
        <v>1.5568387336199108</v>
      </c>
      <c r="H6393" s="15">
        <v>1.5568387336199108</v>
      </c>
      <c r="I6393" s="15">
        <v>1.085452735272449</v>
      </c>
      <c r="J6393" s="15">
        <v>1.085452735272449</v>
      </c>
      <c r="K6393" s="15">
        <v>1.1376744130844125</v>
      </c>
      <c r="L6393" s="15">
        <v>1.1376744130844125</v>
      </c>
      <c r="M6393" s="15">
        <v>1.1376744130844125</v>
      </c>
      <c r="N6393" s="15">
        <v>1.1376744130844125</v>
      </c>
      <c r="O6393" s="15" t="s">
        <v>10</v>
      </c>
      <c r="P6393" s="15" t="s">
        <v>10</v>
      </c>
      <c r="Q6393" s="8"/>
      <c r="R6393" s="9" t="s">
        <v>5913</v>
      </c>
    </row>
    <row r="6394" spans="1:18" x14ac:dyDescent="0.25">
      <c r="A6394" s="6" t="str">
        <f>HYPERLINK("proteomic_fractions_linear_files/Yang_linear_img/46430508.jpg", "46430508")</f>
        <v>46430508</v>
      </c>
      <c r="B6394" s="7"/>
      <c r="C6394" s="6" t="str">
        <f>HYPERLINK("http://www.ncbi.nlm.nih.gov/protein/46430508","Rpl23a")</f>
        <v>Rpl23a</v>
      </c>
      <c r="D6394" s="8"/>
      <c r="E6394" s="8">
        <v>17564</v>
      </c>
      <c r="F6394" s="8"/>
      <c r="G6394" s="15">
        <v>1.5510117387601143</v>
      </c>
      <c r="H6394" s="15">
        <v>1.5510117387601143</v>
      </c>
      <c r="I6394" s="15">
        <v>1.0833972126686264</v>
      </c>
      <c r="J6394" s="15">
        <v>1.0833972126686264</v>
      </c>
      <c r="K6394" s="15">
        <v>1.0833972126686264</v>
      </c>
      <c r="L6394" s="15">
        <v>1.0833972126686264</v>
      </c>
      <c r="M6394" s="15">
        <v>1.0833972126686264</v>
      </c>
      <c r="N6394" s="15">
        <v>1.0833972126686264</v>
      </c>
      <c r="O6394" s="15">
        <v>1.0275166202535602</v>
      </c>
      <c r="P6394" s="15">
        <v>1.0275166202535602</v>
      </c>
      <c r="Q6394" s="8"/>
      <c r="R6394" s="9" t="s">
        <v>5914</v>
      </c>
    </row>
    <row r="6395" spans="1:18" x14ac:dyDescent="0.25">
      <c r="A6395" s="6" t="str">
        <f>HYPERLINK("proteomic_fractions_linear_files/Yang_linear_img/18250296.jpg", "18250296")</f>
        <v>18250296</v>
      </c>
      <c r="B6395" s="7"/>
      <c r="C6395" s="6" t="str">
        <f>HYPERLINK("http://www.ncbi.nlm.nih.gov/protein/18250296","Rpl24")</f>
        <v>Rpl24</v>
      </c>
      <c r="D6395" s="8"/>
      <c r="E6395" s="8">
        <v>17648</v>
      </c>
      <c r="F6395" s="8"/>
      <c r="G6395" s="15">
        <v>1.5510117387601143</v>
      </c>
      <c r="H6395" s="15">
        <v>1.5510117387601143</v>
      </c>
      <c r="I6395" s="15">
        <v>1.0833972126686264</v>
      </c>
      <c r="J6395" s="15">
        <v>1.0833972126686264</v>
      </c>
      <c r="K6395" s="15">
        <v>1.1443022881475706</v>
      </c>
      <c r="L6395" s="15">
        <v>1.1443022881475706</v>
      </c>
      <c r="M6395" s="15">
        <v>1.0833972126686264</v>
      </c>
      <c r="N6395" s="15">
        <v>1.0833972126686264</v>
      </c>
      <c r="O6395" s="15">
        <v>1.0833972126686264</v>
      </c>
      <c r="P6395" s="15">
        <v>1.0833972126686264</v>
      </c>
      <c r="Q6395" s="8"/>
      <c r="R6395" s="9" t="s">
        <v>5915</v>
      </c>
    </row>
    <row r="6396" spans="1:18" x14ac:dyDescent="0.25">
      <c r="A6396" s="6" t="str">
        <f>HYPERLINK("proteomic_fractions_linear_files/Yang_linear_img/6677777.jpg", "6677777")</f>
        <v>6677777</v>
      </c>
      <c r="B6396" s="7"/>
      <c r="C6396" s="6" t="str">
        <f>HYPERLINK("http://www.ncbi.nlm.nih.gov/protein/6677777","Rpl26")</f>
        <v>Rpl26</v>
      </c>
      <c r="D6396" s="8"/>
      <c r="E6396" s="8">
        <v>17127</v>
      </c>
      <c r="F6396" s="8"/>
      <c r="G6396" s="15">
        <v>1.6422477233930624</v>
      </c>
      <c r="H6396" s="15">
        <v>1.6422477233930624</v>
      </c>
      <c r="I6396" s="15">
        <v>1.0879587743861225</v>
      </c>
      <c r="J6396" s="15">
        <v>1.0879587743861225</v>
      </c>
      <c r="K6396" s="15">
        <v>1.1471264604726632</v>
      </c>
      <c r="L6396" s="15">
        <v>1.1471264604726632</v>
      </c>
      <c r="M6396" s="15">
        <v>1.1471264604726632</v>
      </c>
      <c r="N6396" s="15">
        <v>1.1471264604726632</v>
      </c>
      <c r="O6396" s="15" t="s">
        <v>10</v>
      </c>
      <c r="P6396" s="15" t="s">
        <v>10</v>
      </c>
      <c r="Q6396" s="8"/>
      <c r="R6396" s="9" t="s">
        <v>5916</v>
      </c>
    </row>
    <row r="6397" spans="1:18" x14ac:dyDescent="0.25">
      <c r="A6397" s="6" t="str">
        <f>HYPERLINK("proteomic_fractions_linear_files/Yang_linear_img/8567400.jpg", "8567400")</f>
        <v>8567400</v>
      </c>
      <c r="B6397" s="7"/>
      <c r="C6397" s="6" t="str">
        <f>HYPERLINK("http://www.ncbi.nlm.nih.gov/protein/8567400","Rpl27")</f>
        <v>Rpl27</v>
      </c>
      <c r="D6397" s="8"/>
      <c r="E6397" s="8">
        <v>15667</v>
      </c>
      <c r="F6397" s="8"/>
      <c r="G6397" s="15">
        <v>1.4443483359198404</v>
      </c>
      <c r="H6397" s="15">
        <v>1.4443483359198404</v>
      </c>
      <c r="I6397" s="15">
        <v>0.99546511144886096</v>
      </c>
      <c r="J6397" s="15">
        <v>0.99546511144886096</v>
      </c>
      <c r="K6397" s="15">
        <v>1.0447796575379389</v>
      </c>
      <c r="L6397" s="15">
        <v>1.0447796575379389</v>
      </c>
      <c r="M6397" s="15">
        <v>1.0447796575379389</v>
      </c>
      <c r="N6397" s="15">
        <v>1.0447796575379389</v>
      </c>
      <c r="O6397" s="15" t="s">
        <v>10</v>
      </c>
      <c r="P6397" s="15" t="s">
        <v>10</v>
      </c>
      <c r="Q6397" s="8"/>
      <c r="R6397" s="9" t="s">
        <v>5917</v>
      </c>
    </row>
    <row r="6398" spans="1:18" x14ac:dyDescent="0.25">
      <c r="A6398" s="6" t="str">
        <f>HYPERLINK("proteomic_fractions_linear_files/Yang_linear_img/31560517.jpg", "31560517")</f>
        <v>31560517</v>
      </c>
      <c r="B6398" s="7"/>
      <c r="C6398" s="6" t="str">
        <f>HYPERLINK("http://www.ncbi.nlm.nih.gov/protein/31560517","Rpl27a")</f>
        <v>Rpl27a</v>
      </c>
      <c r="D6398" s="8"/>
      <c r="E6398" s="8">
        <v>16474</v>
      </c>
      <c r="F6398" s="8"/>
      <c r="G6398" s="15">
        <v>1.6343911322140625</v>
      </c>
      <c r="H6398" s="15">
        <v>1.6343911322140625</v>
      </c>
      <c r="I6398" s="15">
        <v>1.0981212353349354</v>
      </c>
      <c r="J6398" s="15">
        <v>1.0981212353349354</v>
      </c>
      <c r="K6398" s="15">
        <v>1.0981212353349354</v>
      </c>
      <c r="L6398" s="15">
        <v>1.0981212353349354</v>
      </c>
      <c r="M6398" s="15">
        <v>1.0981212353349354</v>
      </c>
      <c r="N6398" s="15">
        <v>1.0981212353349354</v>
      </c>
      <c r="O6398" s="15" t="s">
        <v>10</v>
      </c>
      <c r="P6398" s="15" t="s">
        <v>10</v>
      </c>
      <c r="Q6398" s="8"/>
      <c r="R6398" s="9" t="s">
        <v>5918</v>
      </c>
    </row>
    <row r="6399" spans="1:18" x14ac:dyDescent="0.25">
      <c r="A6399" s="6" t="str">
        <f>HYPERLINK("proteomic_fractions_linear_files/Yang_linear_img/6677779.jpg", "6677779")</f>
        <v>6677779</v>
      </c>
      <c r="B6399" s="7"/>
      <c r="C6399" s="6" t="str">
        <f>HYPERLINK("http://www.ncbi.nlm.nih.gov/protein/6677779","Rpl28")</f>
        <v>Rpl28</v>
      </c>
      <c r="D6399" s="8"/>
      <c r="E6399" s="8">
        <v>15602</v>
      </c>
      <c r="F6399" s="8"/>
      <c r="G6399" s="15">
        <v>1.5346762883298073</v>
      </c>
      <c r="H6399" s="15">
        <v>1.5346762883298073</v>
      </c>
      <c r="I6399" s="15">
        <v>1.0981212353349354</v>
      </c>
      <c r="J6399" s="15">
        <v>1.0981212353349354</v>
      </c>
      <c r="K6399" s="15">
        <v>1.1559561977852553</v>
      </c>
      <c r="L6399" s="15">
        <v>1.1559561977852553</v>
      </c>
      <c r="M6399" s="15">
        <v>1.1559561977852553</v>
      </c>
      <c r="N6399" s="15">
        <v>1.1559561977852553</v>
      </c>
      <c r="O6399" s="15" t="s">
        <v>10</v>
      </c>
      <c r="P6399" s="15" t="s">
        <v>10</v>
      </c>
      <c r="Q6399" s="8"/>
      <c r="R6399" s="9" t="s">
        <v>5919</v>
      </c>
    </row>
    <row r="6400" spans="1:18" x14ac:dyDescent="0.25">
      <c r="A6400" s="6" t="str">
        <f>HYPERLINK("proteomic_fractions_linear_files/Yang_linear_img/255308899.jpg", "255308899")</f>
        <v>255308899</v>
      </c>
      <c r="B6400" s="7"/>
      <c r="C6400" s="6" t="str">
        <f>HYPERLINK("http://www.ncbi.nlm.nih.gov/protein/255308899","Rpl3")</f>
        <v>Rpl3</v>
      </c>
      <c r="D6400" s="8"/>
      <c r="E6400" s="8">
        <v>45979</v>
      </c>
      <c r="F6400" s="8"/>
      <c r="G6400" s="15">
        <v>1.2776784257737794</v>
      </c>
      <c r="H6400" s="15">
        <v>1.2776784257737794</v>
      </c>
      <c r="I6400" s="15">
        <v>0.95925194015142323</v>
      </c>
      <c r="J6400" s="15">
        <v>0.95925194015142323</v>
      </c>
      <c r="K6400" s="15">
        <v>1.0497820779220708</v>
      </c>
      <c r="L6400" s="15">
        <v>1.0497820779220708</v>
      </c>
      <c r="M6400" s="15">
        <v>0.95925194015142323</v>
      </c>
      <c r="N6400" s="15">
        <v>0.95925194015142323</v>
      </c>
      <c r="O6400" s="15" t="s">
        <v>10</v>
      </c>
      <c r="P6400" s="15" t="s">
        <v>10</v>
      </c>
      <c r="Q6400" s="8"/>
      <c r="R6400" s="9" t="s">
        <v>5920</v>
      </c>
    </row>
    <row r="6401" spans="1:18" x14ac:dyDescent="0.25">
      <c r="A6401" s="6" t="str">
        <f>HYPERLINK("proteomic_fractions_linear_files/Yang_linear_img/6677783.jpg", "6677783")</f>
        <v>6677783</v>
      </c>
      <c r="B6401" s="7"/>
      <c r="C6401" s="6" t="str">
        <f>HYPERLINK("http://www.ncbi.nlm.nih.gov/protein/6677783","Rpl30")</f>
        <v>Rpl30</v>
      </c>
      <c r="D6401" s="8"/>
      <c r="E6401" s="8">
        <v>12653</v>
      </c>
      <c r="F6401" s="8"/>
      <c r="G6401" s="15">
        <v>1.6765955592829809</v>
      </c>
      <c r="H6401" s="15">
        <v>1.6765955592829809</v>
      </c>
      <c r="I6401" s="15">
        <v>1.1689490995241758</v>
      </c>
      <c r="J6401" s="15">
        <v>1.1689490995241758</v>
      </c>
      <c r="K6401" s="15">
        <v>1.1689490995241758</v>
      </c>
      <c r="L6401" s="15">
        <v>1.1689490995241758</v>
      </c>
      <c r="M6401" s="15">
        <v>1.1689490995241758</v>
      </c>
      <c r="N6401" s="15">
        <v>1.1689490995241758</v>
      </c>
      <c r="O6401" s="15">
        <v>1.1167287478361805</v>
      </c>
      <c r="P6401" s="15">
        <v>1.1167287478361805</v>
      </c>
      <c r="Q6401" s="8"/>
      <c r="R6401" s="9" t="s">
        <v>5921</v>
      </c>
    </row>
    <row r="6402" spans="1:18" x14ac:dyDescent="0.25">
      <c r="A6402" s="6" t="str">
        <f>HYPERLINK("proteomic_fractions_linear_files/Yang_linear_img/16716589;356582309.jpg", "16716589;356582309")</f>
        <v>16716589;356582309</v>
      </c>
      <c r="B6402" s="8"/>
      <c r="C6402" s="6" t="str">
        <f>HYPERLINK("http://www.ncbi.nlm.nih.gov/protein/16716589;356582309","Rpl31")</f>
        <v>Rpl31</v>
      </c>
      <c r="D6402" s="8"/>
      <c r="E6402" s="8">
        <v>14332</v>
      </c>
      <c r="F6402" s="8"/>
      <c r="G6402" s="15">
        <v>1.6506838124798175</v>
      </c>
      <c r="H6402" s="15">
        <v>1.6506838124798175</v>
      </c>
      <c r="I6402" s="15" t="s">
        <v>10</v>
      </c>
      <c r="J6402" s="15" t="s">
        <v>10</v>
      </c>
      <c r="K6402" s="15">
        <v>1.1376744130844125</v>
      </c>
      <c r="L6402" s="15">
        <v>1.1376744130844125</v>
      </c>
      <c r="M6402" s="15" t="s">
        <v>10</v>
      </c>
      <c r="N6402" s="15" t="s">
        <v>10</v>
      </c>
      <c r="O6402" s="15" t="s">
        <v>10</v>
      </c>
      <c r="P6402" s="15" t="s">
        <v>10</v>
      </c>
      <c r="Q6402" s="8"/>
      <c r="R6402" s="9" t="s">
        <v>5922</v>
      </c>
    </row>
    <row r="6403" spans="1:18" x14ac:dyDescent="0.25">
      <c r="A6403" s="6" t="str">
        <f>HYPERLINK("proteomic_fractions_linear_files/Yang_linear_img/356582309.jpg", "356582309")</f>
        <v>356582309</v>
      </c>
      <c r="B6403" s="7"/>
      <c r="C6403" s="6" t="str">
        <f>HYPERLINK("http://www.ncbi.nlm.nih.gov/protein/356582309","Rpl31")</f>
        <v>Rpl31</v>
      </c>
      <c r="D6403" s="8"/>
      <c r="E6403" s="8">
        <v>14332</v>
      </c>
      <c r="F6403" s="8"/>
      <c r="G6403" s="15" t="s">
        <v>10</v>
      </c>
      <c r="H6403" s="15" t="s">
        <v>10</v>
      </c>
      <c r="I6403" s="15">
        <v>1.085452735272449</v>
      </c>
      <c r="J6403" s="15">
        <v>1.085452735272449</v>
      </c>
      <c r="K6403" s="15" t="s">
        <v>10</v>
      </c>
      <c r="L6403" s="15" t="s">
        <v>10</v>
      </c>
      <c r="M6403" s="15">
        <v>1.1376744130844125</v>
      </c>
      <c r="N6403" s="15">
        <v>1.1376744130844125</v>
      </c>
      <c r="O6403" s="15">
        <v>1.085452735272449</v>
      </c>
      <c r="P6403" s="15">
        <v>1.085452735272449</v>
      </c>
      <c r="Q6403" s="8"/>
      <c r="R6403" s="9" t="s">
        <v>5922</v>
      </c>
    </row>
    <row r="6404" spans="1:18" x14ac:dyDescent="0.25">
      <c r="A6404" s="6" t="str">
        <f>HYPERLINK("proteomic_fractions_linear_files/Yang_linear_img/386365497.jpg", "386365497")</f>
        <v>386365497</v>
      </c>
      <c r="B6404" s="7"/>
      <c r="C6404" s="6" t="str">
        <f>HYPERLINK("http://www.ncbi.nlm.nih.gov/protein/386365497","Rpl31-ps12")</f>
        <v>Rpl31-ps12</v>
      </c>
      <c r="D6404" s="8"/>
      <c r="E6404" s="8">
        <v>16463</v>
      </c>
      <c r="F6404" s="8"/>
      <c r="G6404" s="15">
        <v>1.4443483359198404</v>
      </c>
      <c r="H6404" s="15">
        <v>1.4443483359198404</v>
      </c>
      <c r="I6404" s="15">
        <v>1.0447796575379389</v>
      </c>
      <c r="J6404" s="15">
        <v>1.0447796575379389</v>
      </c>
      <c r="K6404" s="15">
        <v>0.99546511144886096</v>
      </c>
      <c r="L6404" s="15">
        <v>1.0447796575379389</v>
      </c>
      <c r="M6404" s="15">
        <v>0.99546511144886096</v>
      </c>
      <c r="N6404" s="15">
        <v>0.99546511144886096</v>
      </c>
      <c r="O6404" s="15" t="s">
        <v>10</v>
      </c>
      <c r="P6404" s="15" t="s">
        <v>10</v>
      </c>
      <c r="Q6404" s="8"/>
      <c r="R6404" s="9" t="s">
        <v>5923</v>
      </c>
    </row>
    <row r="6405" spans="1:18" x14ac:dyDescent="0.25">
      <c r="A6405" s="6" t="str">
        <f>HYPERLINK("proteomic_fractions_linear_files/Yang_linear_img/25742730.jpg", "25742730")</f>
        <v>25742730</v>
      </c>
      <c r="B6405" s="7"/>
      <c r="C6405" s="6" t="str">
        <f>HYPERLINK("http://www.ncbi.nlm.nih.gov/protein/25742730","Rpl32")</f>
        <v>Rpl32</v>
      </c>
      <c r="D6405" s="8"/>
      <c r="E6405" s="8">
        <v>15729</v>
      </c>
      <c r="F6405" s="8"/>
      <c r="G6405" s="15">
        <v>1.6343911322140625</v>
      </c>
      <c r="H6405" s="15">
        <v>1.6343911322140625</v>
      </c>
      <c r="I6405" s="15">
        <v>1.0981212353349354</v>
      </c>
      <c r="J6405" s="15">
        <v>1.0981212353349354</v>
      </c>
      <c r="K6405" s="15">
        <v>1.1559561977852553</v>
      </c>
      <c r="L6405" s="15">
        <v>1.1559561977852553</v>
      </c>
      <c r="M6405" s="15">
        <v>1.0981212353349354</v>
      </c>
      <c r="N6405" s="15">
        <v>1.0981212353349354</v>
      </c>
      <c r="O6405" s="15" t="s">
        <v>10</v>
      </c>
      <c r="P6405" s="15" t="s">
        <v>10</v>
      </c>
      <c r="Q6405" s="8"/>
      <c r="R6405" s="9" t="s">
        <v>5924</v>
      </c>
    </row>
    <row r="6406" spans="1:18" x14ac:dyDescent="0.25">
      <c r="A6406" s="6" t="str">
        <f>HYPERLINK("proteomic_fractions_linear_files/Yang_linear_img/55741555.jpg", "55741555")</f>
        <v>55741555</v>
      </c>
      <c r="B6406" s="7"/>
      <c r="C6406" s="6" t="str">
        <f>HYPERLINK("http://www.ncbi.nlm.nih.gov/protein/55741555","Rpl34")</f>
        <v>Rpl34</v>
      </c>
      <c r="D6406" s="8"/>
      <c r="E6406" s="8">
        <v>13162</v>
      </c>
      <c r="F6406" s="8"/>
      <c r="G6406" s="15">
        <v>1.7776594903628804</v>
      </c>
      <c r="H6406" s="15">
        <v>1.7776594903628804</v>
      </c>
      <c r="I6406" s="15">
        <v>1.2251878294755212</v>
      </c>
      <c r="J6406" s="15">
        <v>1.2251878294755212</v>
      </c>
      <c r="K6406" s="15">
        <v>1.2251878294755212</v>
      </c>
      <c r="L6406" s="15">
        <v>1.2251878294755212</v>
      </c>
      <c r="M6406" s="15">
        <v>1.2251878294755212</v>
      </c>
      <c r="N6406" s="15">
        <v>1.2251878294755212</v>
      </c>
      <c r="O6406" s="15" t="s">
        <v>10</v>
      </c>
      <c r="P6406" s="15" t="s">
        <v>10</v>
      </c>
      <c r="Q6406" s="8"/>
      <c r="R6406" s="9" t="s">
        <v>5925</v>
      </c>
    </row>
    <row r="6407" spans="1:18" x14ac:dyDescent="0.25">
      <c r="A6407" s="6" t="str">
        <f>HYPERLINK("proteomic_fractions_linear_files/Yang_linear_img/13385044.jpg", "13385044")</f>
        <v>13385044</v>
      </c>
      <c r="B6407" s="7"/>
      <c r="C6407" s="6" t="str">
        <f>HYPERLINK("http://www.ncbi.nlm.nih.gov/protein/13385044","Rpl35")</f>
        <v>Rpl35</v>
      </c>
      <c r="D6407" s="8"/>
      <c r="E6407" s="8">
        <v>14421</v>
      </c>
      <c r="F6407" s="8"/>
      <c r="G6407" s="15">
        <v>1.085452735272449</v>
      </c>
      <c r="H6407" s="15">
        <v>1.7539157580912084</v>
      </c>
      <c r="I6407" s="15">
        <v>1.1376744130844125</v>
      </c>
      <c r="J6407" s="15">
        <v>1.2549956975256404</v>
      </c>
      <c r="K6407" s="15">
        <v>1.1940338943290729</v>
      </c>
      <c r="L6407" s="15">
        <v>1.1940338943290729</v>
      </c>
      <c r="M6407" s="15">
        <v>1.2549956975256404</v>
      </c>
      <c r="N6407" s="15">
        <v>1.1940338943290729</v>
      </c>
      <c r="O6407" s="15" t="s">
        <v>10</v>
      </c>
      <c r="P6407" s="15" t="s">
        <v>10</v>
      </c>
      <c r="Q6407" s="8"/>
      <c r="R6407" s="9" t="s">
        <v>5926</v>
      </c>
    </row>
    <row r="6408" spans="1:18" x14ac:dyDescent="0.25">
      <c r="A6408" s="6" t="str">
        <f>HYPERLINK("proteomic_fractions_linear_files/Yang_linear_img/160333837.jpg", "160333837")</f>
        <v>160333837</v>
      </c>
      <c r="B6408" s="7"/>
      <c r="C6408" s="6" t="str">
        <f>HYPERLINK("http://www.ncbi.nlm.nih.gov/protein/160333837","Rpl36")</f>
        <v>Rpl36</v>
      </c>
      <c r="D6408" s="8"/>
      <c r="E6408" s="8">
        <v>12123</v>
      </c>
      <c r="F6408" s="8"/>
      <c r="G6408" s="15">
        <v>1.209789476822529</v>
      </c>
      <c r="H6408" s="15">
        <v>1.209789476822529</v>
      </c>
      <c r="I6408" s="15">
        <v>1.2663615244845239</v>
      </c>
      <c r="J6408" s="15">
        <v>1.2663615244845239</v>
      </c>
      <c r="K6408" s="15">
        <v>1.2663615244845239</v>
      </c>
      <c r="L6408" s="15">
        <v>1.327286815265148</v>
      </c>
      <c r="M6408" s="15">
        <v>1.2663615244845239</v>
      </c>
      <c r="N6408" s="15">
        <v>1.2663615244845239</v>
      </c>
      <c r="O6408" s="15" t="s">
        <v>10</v>
      </c>
      <c r="P6408" s="15" t="s">
        <v>10</v>
      </c>
      <c r="Q6408" s="8"/>
      <c r="R6408" s="9" t="s">
        <v>5927</v>
      </c>
    </row>
    <row r="6409" spans="1:18" x14ac:dyDescent="0.25">
      <c r="A6409" s="6" t="str">
        <f>HYPERLINK("proteomic_fractions_linear_files/Yang_linear_img/9845295;13385038.jpg", "9845295;13385038")</f>
        <v>9845295;13385038</v>
      </c>
      <c r="B6409" s="8"/>
      <c r="C6409" s="6" t="str">
        <f>HYPERLINK("http://www.ncbi.nlm.nih.gov/protein/9845295;13385038","Rpl36a")</f>
        <v>Rpl36a</v>
      </c>
      <c r="D6409" s="8"/>
      <c r="E6409" s="8">
        <v>12310</v>
      </c>
      <c r="F6409" s="8"/>
      <c r="G6409" s="15">
        <v>2.0462350511064096</v>
      </c>
      <c r="H6409" s="15">
        <v>2.0462350511064096</v>
      </c>
      <c r="I6409" s="15" t="s">
        <v>10</v>
      </c>
      <c r="J6409" s="15" t="s">
        <v>10</v>
      </c>
      <c r="K6409" s="15">
        <v>1.3930395433839184</v>
      </c>
      <c r="L6409" s="15">
        <v>1.3930395433839184</v>
      </c>
      <c r="M6409" s="15" t="s">
        <v>10</v>
      </c>
      <c r="N6409" s="15" t="s">
        <v>10</v>
      </c>
      <c r="O6409" s="15" t="s">
        <v>10</v>
      </c>
      <c r="P6409" s="15" t="s">
        <v>10</v>
      </c>
      <c r="Q6409" s="8"/>
      <c r="R6409" s="9" t="s">
        <v>5928</v>
      </c>
    </row>
    <row r="6410" spans="1:18" x14ac:dyDescent="0.25">
      <c r="A6410" s="6" t="str">
        <f>HYPERLINK("proteomic_fractions_linear_files/Yang_linear_img/13385038.jpg", "13385038")</f>
        <v>13385038</v>
      </c>
      <c r="B6410" s="7"/>
      <c r="C6410" s="6" t="str">
        <f>HYPERLINK("http://www.ncbi.nlm.nih.gov/protein/13385038","Rpl36al")</f>
        <v>Rpl36al</v>
      </c>
      <c r="D6410" s="8"/>
      <c r="E6410" s="8">
        <v>12310</v>
      </c>
      <c r="F6410" s="8"/>
      <c r="G6410" s="15" t="s">
        <v>10</v>
      </c>
      <c r="H6410" s="15" t="s">
        <v>10</v>
      </c>
      <c r="I6410" s="15">
        <v>1.327286815265148</v>
      </c>
      <c r="J6410" s="15">
        <v>1.327286815265148</v>
      </c>
      <c r="K6410" s="15" t="s">
        <v>10</v>
      </c>
      <c r="L6410" s="15" t="s">
        <v>10</v>
      </c>
      <c r="M6410" s="15">
        <v>1.327286815265148</v>
      </c>
      <c r="N6410" s="15">
        <v>1.327286815265148</v>
      </c>
      <c r="O6410" s="15" t="s">
        <v>10</v>
      </c>
      <c r="P6410" s="15" t="s">
        <v>10</v>
      </c>
      <c r="Q6410" s="8"/>
      <c r="R6410" s="9" t="s">
        <v>5929</v>
      </c>
    </row>
    <row r="6411" spans="1:18" x14ac:dyDescent="0.25">
      <c r="A6411" s="6" t="str">
        <f>HYPERLINK("proteomic_fractions_linear_files/Yang_linear_img/6677785.jpg", "6677785")</f>
        <v>6677785</v>
      </c>
      <c r="B6411" s="7"/>
      <c r="C6411" s="6" t="str">
        <f>HYPERLINK("http://www.ncbi.nlm.nih.gov/protein/6677785","Rpl37a")</f>
        <v>Rpl37a</v>
      </c>
      <c r="D6411" s="8"/>
      <c r="E6411" s="8">
        <v>10144</v>
      </c>
      <c r="F6411" s="8"/>
      <c r="G6411" s="15">
        <v>2.0597441186656273</v>
      </c>
      <c r="H6411" s="15">
        <v>2.0597441186656273</v>
      </c>
      <c r="I6411" s="15">
        <v>1.3885850499936649</v>
      </c>
      <c r="J6411" s="15">
        <v>1.3885850499936649</v>
      </c>
      <c r="K6411" s="15">
        <v>1.5196338293814287</v>
      </c>
      <c r="L6411" s="15">
        <v>1.5196338293814287</v>
      </c>
      <c r="M6411" s="15">
        <v>1.4517473721870346</v>
      </c>
      <c r="N6411" s="15">
        <v>1.4517473721870346</v>
      </c>
      <c r="O6411" s="15" t="s">
        <v>10</v>
      </c>
      <c r="P6411" s="15" t="s">
        <v>10</v>
      </c>
      <c r="Q6411" s="8"/>
      <c r="R6411" s="9" t="s">
        <v>5930</v>
      </c>
    </row>
    <row r="6412" spans="1:18" x14ac:dyDescent="0.25">
      <c r="A6412" s="6" t="str">
        <f>HYPERLINK("proteomic_fractions_linear_files/Yang_linear_img/12963655.jpg", "12963655")</f>
        <v>12963655</v>
      </c>
      <c r="B6412" s="7"/>
      <c r="C6412" s="6" t="str">
        <f>HYPERLINK("http://www.ncbi.nlm.nih.gov/protein/12963655","Rpl38")</f>
        <v>Rpl38</v>
      </c>
      <c r="D6412" s="8"/>
      <c r="E6412" s="8">
        <v>8073</v>
      </c>
      <c r="F6412" s="8"/>
      <c r="G6412" s="15">
        <v>1.5291076615414196</v>
      </c>
      <c r="H6412" s="15">
        <v>1.5291076615414196</v>
      </c>
      <c r="I6412" s="15">
        <v>1.5934024177422033</v>
      </c>
      <c r="J6412" s="15">
        <v>1.5934024177422033</v>
      </c>
      <c r="K6412" s="15">
        <v>1.6621330028751917</v>
      </c>
      <c r="L6412" s="15">
        <v>1.6621330028751917</v>
      </c>
      <c r="M6412" s="15">
        <v>1.6621330028751917</v>
      </c>
      <c r="N6412" s="15">
        <v>1.6621330028751917</v>
      </c>
      <c r="O6412" s="15" t="s">
        <v>10</v>
      </c>
      <c r="P6412" s="15" t="s">
        <v>10</v>
      </c>
      <c r="Q6412" s="8"/>
      <c r="R6412" s="9" t="s">
        <v>5931</v>
      </c>
    </row>
    <row r="6413" spans="1:18" x14ac:dyDescent="0.25">
      <c r="A6413" s="6" t="str">
        <f>HYPERLINK("proteomic_fractions_linear_files/Yang_linear_img/13384820.jpg", "13384820")</f>
        <v>13384820</v>
      </c>
      <c r="B6413" s="7"/>
      <c r="C6413" s="6" t="str">
        <f>HYPERLINK("http://www.ncbi.nlm.nih.gov/protein/13384820","Rpl3l")</f>
        <v>Rpl3l</v>
      </c>
      <c r="D6413" s="8"/>
      <c r="E6413" s="8">
        <v>26952</v>
      </c>
      <c r="F6413" s="8"/>
      <c r="G6413" s="15">
        <v>2.1767854661331056</v>
      </c>
      <c r="H6413" s="15">
        <v>2.1767854661331056</v>
      </c>
      <c r="I6413" s="15">
        <v>1.6342810832209433</v>
      </c>
      <c r="J6413" s="15">
        <v>1.6342810832209433</v>
      </c>
      <c r="K6413" s="15">
        <v>1.788517614237602</v>
      </c>
      <c r="L6413" s="15">
        <v>1.788517614237602</v>
      </c>
      <c r="M6413" s="15">
        <v>1.5002710445638054</v>
      </c>
      <c r="N6413" s="15">
        <v>1.5002710445638054</v>
      </c>
      <c r="O6413" s="15" t="s">
        <v>10</v>
      </c>
      <c r="P6413" s="15" t="s">
        <v>10</v>
      </c>
      <c r="Q6413" s="8"/>
      <c r="R6413" s="9" t="s">
        <v>5932</v>
      </c>
    </row>
    <row r="6414" spans="1:18" x14ac:dyDescent="0.25">
      <c r="A6414" s="6" t="str">
        <f>HYPERLINK("proteomic_fractions_linear_files/Yang_linear_img/255653009.jpg", "255653009")</f>
        <v>255653009</v>
      </c>
      <c r="B6414" s="7"/>
      <c r="C6414" s="6" t="str">
        <f>HYPERLINK("http://www.ncbi.nlm.nih.gov/protein/255653009","Rpl3l")</f>
        <v>Rpl3l</v>
      </c>
      <c r="D6414" s="8"/>
      <c r="E6414" s="8">
        <v>46381</v>
      </c>
      <c r="F6414" s="8"/>
      <c r="G6414" s="15">
        <v>1.2776784257737794</v>
      </c>
      <c r="H6414" s="15">
        <v>1.2776784257737794</v>
      </c>
      <c r="I6414" s="15">
        <v>0.95925194015142323</v>
      </c>
      <c r="J6414" s="15">
        <v>0.95925194015142323</v>
      </c>
      <c r="K6414" s="15">
        <v>1.0497820779220708</v>
      </c>
      <c r="L6414" s="15">
        <v>1.0497820779220708</v>
      </c>
      <c r="M6414" s="15">
        <v>0.88059387398310318</v>
      </c>
      <c r="N6414" s="15">
        <v>0.88059387398310318</v>
      </c>
      <c r="O6414" s="15" t="s">
        <v>10</v>
      </c>
      <c r="P6414" s="15" t="s">
        <v>10</v>
      </c>
      <c r="Q6414" s="8"/>
      <c r="R6414" s="9" t="s">
        <v>5933</v>
      </c>
    </row>
    <row r="6415" spans="1:18" x14ac:dyDescent="0.25">
      <c r="A6415" s="6" t="str">
        <f>HYPERLINK("proteomic_fractions_linear_files/Yang_linear_img/30794450.jpg", "30794450")</f>
        <v>30794450</v>
      </c>
      <c r="B6415" s="7"/>
      <c r="C6415" s="6" t="str">
        <f>HYPERLINK("http://www.ncbi.nlm.nih.gov/protein/30794450","Rpl4")</f>
        <v>Rpl4</v>
      </c>
      <c r="D6415" s="8"/>
      <c r="E6415" s="8">
        <v>47023</v>
      </c>
      <c r="F6415" s="8"/>
      <c r="G6415" s="15">
        <v>1.2504937784168904</v>
      </c>
      <c r="H6415" s="15">
        <v>1.2504937784168904</v>
      </c>
      <c r="I6415" s="15">
        <v>0.93884232440352056</v>
      </c>
      <c r="J6415" s="15">
        <v>0.93884232440352056</v>
      </c>
      <c r="K6415" s="15">
        <v>1.0274462890301117</v>
      </c>
      <c r="L6415" s="15">
        <v>1.0274462890301117</v>
      </c>
      <c r="M6415" s="15">
        <v>1.0274462890301117</v>
      </c>
      <c r="N6415" s="15">
        <v>1.0274462890301117</v>
      </c>
      <c r="O6415" s="15" t="s">
        <v>10</v>
      </c>
      <c r="P6415" s="15" t="s">
        <v>10</v>
      </c>
      <c r="Q6415" s="8"/>
      <c r="R6415" s="9" t="s">
        <v>5934</v>
      </c>
    </row>
    <row r="6416" spans="1:18" x14ac:dyDescent="0.25">
      <c r="A6416" s="6" t="str">
        <f>HYPERLINK("proteomic_fractions_linear_files/Yang_linear_img/23956082.jpg", "23956082")</f>
        <v>23956082</v>
      </c>
      <c r="B6416" s="7"/>
      <c r="C6416" s="6" t="str">
        <f>HYPERLINK("http://www.ncbi.nlm.nih.gov/protein/23956082","Rpl5")</f>
        <v>Rpl5</v>
      </c>
      <c r="D6416" s="8"/>
      <c r="E6416" s="8">
        <v>34270</v>
      </c>
      <c r="F6416" s="8"/>
      <c r="G6416" s="15">
        <v>1.2978114484401608</v>
      </c>
      <c r="H6416" s="15">
        <v>1.2978114484401608</v>
      </c>
      <c r="I6416" s="15">
        <v>0.94364920163922317</v>
      </c>
      <c r="J6416" s="15">
        <v>0.94364920163922317</v>
      </c>
      <c r="K6416" s="15">
        <v>0.94364920163922317</v>
      </c>
      <c r="L6416" s="15">
        <v>0.94364920163922317</v>
      </c>
      <c r="M6416" s="15">
        <v>0.94364920163922317</v>
      </c>
      <c r="N6416" s="15">
        <v>0.94364920163922317</v>
      </c>
      <c r="O6416" s="15">
        <v>0.82112386169653118</v>
      </c>
      <c r="P6416" s="15">
        <v>0.82112386169653118</v>
      </c>
      <c r="Q6416" s="8"/>
      <c r="R6416" s="9" t="s">
        <v>5935</v>
      </c>
    </row>
    <row r="6417" spans="1:18" x14ac:dyDescent="0.25">
      <c r="A6417" s="6" t="str">
        <f>HYPERLINK("proteomic_fractions_linear_files/Yang_linear_img/84662736.jpg", "84662736")</f>
        <v>84662736</v>
      </c>
      <c r="B6417" s="7"/>
      <c r="C6417" s="6" t="str">
        <f>HYPERLINK("http://www.ncbi.nlm.nih.gov/protein/84662736","Rpl6")</f>
        <v>Rpl6</v>
      </c>
      <c r="D6417" s="8"/>
      <c r="E6417" s="8">
        <v>33379</v>
      </c>
      <c r="F6417" s="8"/>
      <c r="G6417" s="15">
        <v>1.3371390680898627</v>
      </c>
      <c r="H6417" s="15">
        <v>1.3371390680898627</v>
      </c>
      <c r="I6417" s="15">
        <v>0.9722446319919269</v>
      </c>
      <c r="J6417" s="15">
        <v>0.9722446319919269</v>
      </c>
      <c r="K6417" s="15">
        <v>1.0470720160750056</v>
      </c>
      <c r="L6417" s="15">
        <v>1.0470720160750056</v>
      </c>
      <c r="M6417" s="15">
        <v>0.9722446319919269</v>
      </c>
      <c r="N6417" s="15">
        <v>0.9722446319919269</v>
      </c>
      <c r="O6417" s="15" t="s">
        <v>10</v>
      </c>
      <c r="P6417" s="15" t="s">
        <v>10</v>
      </c>
      <c r="Q6417" s="8"/>
      <c r="R6417" s="9" t="s">
        <v>5936</v>
      </c>
    </row>
    <row r="6418" spans="1:18" x14ac:dyDescent="0.25">
      <c r="A6418" s="6" t="str">
        <f>HYPERLINK("proteomic_fractions_linear_files/Yang_linear_img/31981515.jpg", "31981515")</f>
        <v>31981515</v>
      </c>
      <c r="B6418" s="7"/>
      <c r="C6418" s="6" t="str">
        <f>HYPERLINK("http://www.ncbi.nlm.nih.gov/protein/31981515","Rpl7")</f>
        <v>Rpl7</v>
      </c>
      <c r="D6418" s="8"/>
      <c r="E6418" s="8">
        <v>31289</v>
      </c>
      <c r="F6418" s="8"/>
      <c r="G6418" s="15">
        <v>1.3066876839749273</v>
      </c>
      <c r="H6418" s="15">
        <v>1.3066876839749273</v>
      </c>
      <c r="I6418" s="15">
        <v>0.90058746121555033</v>
      </c>
      <c r="J6418" s="15">
        <v>0.90058746121555033</v>
      </c>
      <c r="K6418" s="15">
        <v>0.96404538360364944</v>
      </c>
      <c r="L6418" s="15">
        <v>0.96404538360364944</v>
      </c>
      <c r="M6418" s="15">
        <v>0.90058746121555033</v>
      </c>
      <c r="N6418" s="15">
        <v>0.90058746121555033</v>
      </c>
      <c r="O6418" s="15" t="s">
        <v>10</v>
      </c>
      <c r="P6418" s="15" t="s">
        <v>10</v>
      </c>
      <c r="Q6418" s="8"/>
      <c r="R6418" s="9" t="s">
        <v>5937</v>
      </c>
    </row>
    <row r="6419" spans="1:18" x14ac:dyDescent="0.25">
      <c r="A6419" s="6" t="str">
        <f>HYPERLINK("proteomic_fractions_linear_files/Yang_linear_img/7305443.jpg", "7305443")</f>
        <v>7305443</v>
      </c>
      <c r="B6419" s="7"/>
      <c r="C6419" s="6" t="str">
        <f>HYPERLINK("http://www.ncbi.nlm.nih.gov/protein/7305443","Rpl7a")</f>
        <v>Rpl7a</v>
      </c>
      <c r="D6419" s="8"/>
      <c r="E6419" s="8">
        <v>29846</v>
      </c>
      <c r="F6419" s="8"/>
      <c r="G6419" s="15">
        <v>1.2447108807708198</v>
      </c>
      <c r="H6419" s="15">
        <v>1.2447108807708198</v>
      </c>
      <c r="I6419" s="15">
        <v>0.93060704325606869</v>
      </c>
      <c r="J6419" s="15">
        <v>0.93060704325606869</v>
      </c>
      <c r="K6419" s="15">
        <v>0.99618022972377107</v>
      </c>
      <c r="L6419" s="15">
        <v>0.99618022972377107</v>
      </c>
      <c r="M6419" s="15">
        <v>0.93060704325606869</v>
      </c>
      <c r="N6419" s="15">
        <v>0.93060704325606869</v>
      </c>
      <c r="O6419" s="15" t="s">
        <v>10</v>
      </c>
      <c r="P6419" s="15" t="s">
        <v>10</v>
      </c>
      <c r="Q6419" s="8"/>
      <c r="R6419" s="9" t="s">
        <v>5938</v>
      </c>
    </row>
    <row r="6420" spans="1:18" x14ac:dyDescent="0.25">
      <c r="A6420" s="6" t="str">
        <f>HYPERLINK("proteomic_fractions_linear_files/Yang_linear_img/27754134.jpg", "27754134")</f>
        <v>27754134</v>
      </c>
      <c r="B6420" s="7"/>
      <c r="C6420" s="6" t="str">
        <f>HYPERLINK("http://www.ncbi.nlm.nih.gov/protein/27754134","Rpl7l1")</f>
        <v>Rpl7l1</v>
      </c>
      <c r="D6420" s="8"/>
      <c r="E6420" s="8">
        <v>28413</v>
      </c>
      <c r="F6420" s="8"/>
      <c r="G6420" s="15" t="s">
        <v>10</v>
      </c>
      <c r="H6420" s="15" t="s">
        <v>10</v>
      </c>
      <c r="I6420" s="15" t="s">
        <v>10</v>
      </c>
      <c r="J6420" s="15" t="s">
        <v>10</v>
      </c>
      <c r="K6420" s="15" t="s">
        <v>10</v>
      </c>
      <c r="L6420" s="15" t="s">
        <v>10</v>
      </c>
      <c r="M6420" s="15">
        <v>0.87695787904560418</v>
      </c>
      <c r="N6420" s="15">
        <v>0.87695787904560418</v>
      </c>
      <c r="O6420" s="15" t="s">
        <v>10</v>
      </c>
      <c r="P6420" s="15" t="s">
        <v>10</v>
      </c>
      <c r="Q6420" s="8"/>
      <c r="R6420" s="9" t="s">
        <v>5939</v>
      </c>
    </row>
    <row r="6421" spans="1:18" x14ac:dyDescent="0.25">
      <c r="A6421" s="6" t="str">
        <f>HYPERLINK("proteomic_fractions_linear_files/Yang_linear_img/6755358.jpg", "6755358")</f>
        <v>6755358</v>
      </c>
      <c r="B6421" s="7"/>
      <c r="C6421" s="6" t="str">
        <f>HYPERLINK("http://www.ncbi.nlm.nih.gov/protein/6755358","Rpl8")</f>
        <v>Rpl8</v>
      </c>
      <c r="D6421" s="8"/>
      <c r="E6421" s="8">
        <v>27894</v>
      </c>
      <c r="F6421" s="8"/>
      <c r="G6421" s="15">
        <v>1.3336188008258782</v>
      </c>
      <c r="H6421" s="15">
        <v>1.3336188008258782</v>
      </c>
      <c r="I6421" s="15">
        <v>0.93393778983660714</v>
      </c>
      <c r="J6421" s="15">
        <v>0.93393778983660714</v>
      </c>
      <c r="K6421" s="15">
        <v>1.0673359604183261</v>
      </c>
      <c r="L6421" s="15">
        <v>1.0673359604183261</v>
      </c>
      <c r="M6421" s="15">
        <v>1.0673359604183261</v>
      </c>
      <c r="N6421" s="15">
        <v>1.0673359604183261</v>
      </c>
      <c r="O6421" s="15" t="s">
        <v>10</v>
      </c>
      <c r="P6421" s="15" t="s">
        <v>10</v>
      </c>
      <c r="Q6421" s="8"/>
      <c r="R6421" s="9" t="s">
        <v>5940</v>
      </c>
    </row>
    <row r="6422" spans="1:18" x14ac:dyDescent="0.25">
      <c r="A6422" s="6" t="str">
        <f>HYPERLINK("proteomic_fractions_linear_files/Yang_linear_img/14149647.jpg", "14149647")</f>
        <v>14149647</v>
      </c>
      <c r="B6422" s="7"/>
      <c r="C6422" s="6" t="str">
        <f>HYPERLINK("http://www.ncbi.nlm.nih.gov/protein/14149647","Rpl9")</f>
        <v>Rpl9</v>
      </c>
      <c r="D6422" s="8"/>
      <c r="E6422" s="8">
        <v>21750</v>
      </c>
      <c r="F6422" s="8"/>
      <c r="G6422" s="15">
        <v>1.4583669479878905</v>
      </c>
      <c r="H6422" s="15">
        <v>1.4583669479878905</v>
      </c>
      <c r="I6422" s="15">
        <v>0.99071555775812503</v>
      </c>
      <c r="J6422" s="15">
        <v>0.99071555775812503</v>
      </c>
      <c r="K6422" s="15">
        <v>0.99071555775812503</v>
      </c>
      <c r="L6422" s="15">
        <v>0.99071555775812503</v>
      </c>
      <c r="M6422" s="15">
        <v>0.99071555775812503</v>
      </c>
      <c r="N6422" s="15">
        <v>0.99071555775812503</v>
      </c>
      <c r="O6422" s="15" t="s">
        <v>10</v>
      </c>
      <c r="P6422" s="15" t="s">
        <v>10</v>
      </c>
      <c r="Q6422" s="8"/>
      <c r="R6422" s="9" t="s">
        <v>5941</v>
      </c>
    </row>
    <row r="6423" spans="1:18" x14ac:dyDescent="0.25">
      <c r="A6423" s="6" t="str">
        <f>HYPERLINK("proteomic_fractions_linear_files/Yang_linear_img/6671569.jpg", "6671569")</f>
        <v>6671569</v>
      </c>
      <c r="B6423" s="7"/>
      <c r="C6423" s="6" t="str">
        <f>HYPERLINK("http://www.ncbi.nlm.nih.gov/protein/6671569","Rplp0")</f>
        <v>Rplp0</v>
      </c>
      <c r="D6423" s="8"/>
      <c r="E6423" s="8">
        <v>34085</v>
      </c>
      <c r="F6423" s="8"/>
      <c r="G6423" s="15">
        <v>1.2978114484401608</v>
      </c>
      <c r="H6423" s="15">
        <v>1.2978114484401608</v>
      </c>
      <c r="I6423" s="15">
        <v>0.94364920163922317</v>
      </c>
      <c r="J6423" s="15">
        <v>0.94364920163922317</v>
      </c>
      <c r="K6423" s="15">
        <v>1.0162757803080937</v>
      </c>
      <c r="L6423" s="15">
        <v>1.0162757803080937</v>
      </c>
      <c r="M6423" s="15">
        <v>0.94364920163922317</v>
      </c>
      <c r="N6423" s="15">
        <v>0.94364920163922317</v>
      </c>
      <c r="O6423" s="15">
        <v>0.87898255563862149</v>
      </c>
      <c r="P6423" s="15">
        <v>0.87898255563862149</v>
      </c>
      <c r="Q6423" s="8"/>
      <c r="R6423" s="9" t="s">
        <v>5942</v>
      </c>
    </row>
    <row r="6424" spans="1:18" x14ac:dyDescent="0.25">
      <c r="A6424" s="6" t="str">
        <f>HYPERLINK("proteomic_fractions_linear_files/Yang_linear_img/9256519.jpg", "9256519")</f>
        <v>9256519</v>
      </c>
      <c r="B6424" s="7"/>
      <c r="C6424" s="6" t="str">
        <f>HYPERLINK("http://www.ncbi.nlm.nih.gov/protein/9256519","Rplp1")</f>
        <v>Rplp1</v>
      </c>
      <c r="D6424" s="8"/>
      <c r="E6424" s="8">
        <v>11344</v>
      </c>
      <c r="F6424" s="8"/>
      <c r="G6424" s="15">
        <v>21.214622511622643</v>
      </c>
      <c r="H6424" s="15">
        <v>21.214622511622643</v>
      </c>
      <c r="I6424" s="15">
        <v>1.447949253016525</v>
      </c>
      <c r="J6424" s="15">
        <v>1.447949253016525</v>
      </c>
      <c r="K6424" s="15">
        <v>1.5196795018733658</v>
      </c>
      <c r="L6424" s="15">
        <v>1.5196795018733658</v>
      </c>
      <c r="M6424" s="15">
        <v>1.5972672513962698</v>
      </c>
      <c r="N6424" s="15">
        <v>1.5972672513962698</v>
      </c>
      <c r="O6424" s="15">
        <v>1.447949253016525</v>
      </c>
      <c r="P6424" s="15">
        <v>1.447949253016525</v>
      </c>
      <c r="Q6424" s="8"/>
      <c r="R6424" s="9" t="s">
        <v>5943</v>
      </c>
    </row>
    <row r="6425" spans="1:18" x14ac:dyDescent="0.25">
      <c r="A6425" s="6" t="str">
        <f>HYPERLINK("proteomic_fractions_linear_files/Yang_linear_img/83745120.jpg", "83745120")</f>
        <v>83745120</v>
      </c>
      <c r="B6425" s="7"/>
      <c r="C6425" s="6" t="str">
        <f>HYPERLINK("http://www.ncbi.nlm.nih.gov/protein/83745120","Rplp2")</f>
        <v>Rplp2</v>
      </c>
      <c r="D6425" s="8"/>
      <c r="E6425" s="8">
        <v>11520</v>
      </c>
      <c r="F6425" s="8"/>
      <c r="G6425" s="15">
        <v>1.9257977812264537</v>
      </c>
      <c r="H6425" s="15">
        <v>1.9257977812264537</v>
      </c>
      <c r="I6425" s="15">
        <v>1.327286815265148</v>
      </c>
      <c r="J6425" s="15">
        <v>1.327286815265148</v>
      </c>
      <c r="K6425" s="15">
        <v>1.327286815265148</v>
      </c>
      <c r="L6425" s="15">
        <v>1.327286815265148</v>
      </c>
      <c r="M6425" s="15">
        <v>1.327286815265148</v>
      </c>
      <c r="N6425" s="15">
        <v>1.327286815265148</v>
      </c>
      <c r="O6425" s="15">
        <v>1.2663615244845239</v>
      </c>
      <c r="P6425" s="15">
        <v>1.2663615244845239</v>
      </c>
      <c r="Q6425" s="8"/>
      <c r="R6425" s="9" t="s">
        <v>5944</v>
      </c>
    </row>
    <row r="6426" spans="1:18" x14ac:dyDescent="0.25">
      <c r="A6426" s="6" t="str">
        <f>HYPERLINK("proteomic_fractions_linear_files/Yang_linear_img/282398108.jpg", "282398108")</f>
        <v>282398108</v>
      </c>
      <c r="B6426" s="7"/>
      <c r="C6426" s="6" t="str">
        <f>HYPERLINK("http://www.ncbi.nlm.nih.gov/protein/282398108","Rpn1")</f>
        <v>Rpn1</v>
      </c>
      <c r="D6426" s="8"/>
      <c r="E6426" s="8">
        <v>66083</v>
      </c>
      <c r="F6426" s="8"/>
      <c r="G6426" s="15">
        <v>1.2590705829264222</v>
      </c>
      <c r="H6426" s="15">
        <v>1.2590705829264222</v>
      </c>
      <c r="I6426" s="15">
        <v>1.1126690945709432</v>
      </c>
      <c r="J6426" s="15">
        <v>1.1126690945709432</v>
      </c>
      <c r="K6426" s="15">
        <v>1.1126690945709432</v>
      </c>
      <c r="L6426" s="15">
        <v>1.1126690945709432</v>
      </c>
      <c r="M6426" s="15">
        <v>1.1126690945709432</v>
      </c>
      <c r="N6426" s="15">
        <v>1.1126690945709432</v>
      </c>
      <c r="O6426" s="15" t="s">
        <v>10</v>
      </c>
      <c r="P6426" s="15" t="s">
        <v>10</v>
      </c>
      <c r="Q6426" s="8"/>
      <c r="R6426" s="9" t="s">
        <v>5945</v>
      </c>
    </row>
    <row r="6427" spans="1:18" x14ac:dyDescent="0.25">
      <c r="A6427" s="6" t="str">
        <f>HYPERLINK("proteomic_fractions_linear_files/Yang_linear_img/34996495.jpg", "34996495")</f>
        <v>34996495</v>
      </c>
      <c r="B6427" s="7"/>
      <c r="C6427" s="6" t="str">
        <f>HYPERLINK("http://www.ncbi.nlm.nih.gov/protein/34996495","Rpn2")</f>
        <v>Rpn2</v>
      </c>
      <c r="D6427" s="8"/>
      <c r="E6427" s="8">
        <v>66936</v>
      </c>
      <c r="F6427" s="8"/>
      <c r="G6427" s="15">
        <v>1.0960620931594365</v>
      </c>
      <c r="H6427" s="15">
        <v>1.0960620931594365</v>
      </c>
      <c r="I6427" s="15">
        <v>0.97691437806782588</v>
      </c>
      <c r="J6427" s="15">
        <v>0.97691437806782588</v>
      </c>
      <c r="K6427" s="15">
        <v>0.97691437806782588</v>
      </c>
      <c r="L6427" s="15">
        <v>0.97691437806782588</v>
      </c>
      <c r="M6427" s="15">
        <v>0.97691437806782588</v>
      </c>
      <c r="N6427" s="15">
        <v>0.97691437806782588</v>
      </c>
      <c r="O6427" s="15" t="s">
        <v>10</v>
      </c>
      <c r="P6427" s="15" t="s">
        <v>10</v>
      </c>
      <c r="Q6427" s="8"/>
      <c r="R6427" s="9" t="s">
        <v>5946</v>
      </c>
    </row>
    <row r="6428" spans="1:18" x14ac:dyDescent="0.25">
      <c r="A6428" s="6" t="str">
        <f>HYPERLINK("proteomic_fractions_linear_files/Yang_linear_img/13385432.jpg", "13385432")</f>
        <v>13385432</v>
      </c>
      <c r="B6428" s="7"/>
      <c r="C6428" s="6" t="str">
        <f>HYPERLINK("http://www.ncbi.nlm.nih.gov/protein/13385432","Rpp14")</f>
        <v>Rpp14</v>
      </c>
      <c r="D6428" s="8"/>
      <c r="E6428" s="8">
        <v>13434</v>
      </c>
      <c r="F6428" s="8"/>
      <c r="G6428" s="15" t="s">
        <v>10</v>
      </c>
      <c r="H6428" s="15" t="s">
        <v>10</v>
      </c>
      <c r="I6428" s="15" t="s">
        <v>10</v>
      </c>
      <c r="J6428" s="15" t="s">
        <v>10</v>
      </c>
      <c r="K6428" s="15" t="s">
        <v>10</v>
      </c>
      <c r="L6428" s="15" t="s">
        <v>10</v>
      </c>
      <c r="M6428" s="15">
        <v>1.1167287478361805</v>
      </c>
      <c r="N6428" s="15">
        <v>1.1167287478361805</v>
      </c>
      <c r="O6428" s="15" t="s">
        <v>10</v>
      </c>
      <c r="P6428" s="15" t="s">
        <v>10</v>
      </c>
      <c r="Q6428" s="8"/>
      <c r="R6428" s="9" t="s">
        <v>5947</v>
      </c>
    </row>
    <row r="6429" spans="1:18" x14ac:dyDescent="0.25">
      <c r="A6429" s="6" t="str">
        <f>HYPERLINK("proteomic_fractions_linear_files/Yang_linear_img/13385804.jpg", "13385804")</f>
        <v>13385804</v>
      </c>
      <c r="B6429" s="7"/>
      <c r="C6429" s="6" t="str">
        <f>HYPERLINK("http://www.ncbi.nlm.nih.gov/protein/13385804","Rpp21")</f>
        <v>Rpp21</v>
      </c>
      <c r="D6429" s="8"/>
      <c r="E6429" s="8">
        <v>17112</v>
      </c>
      <c r="F6429" s="8"/>
      <c r="G6429" s="15" t="s">
        <v>10</v>
      </c>
      <c r="H6429" s="15" t="s">
        <v>10</v>
      </c>
      <c r="I6429" s="15" t="s">
        <v>10</v>
      </c>
      <c r="J6429" s="15" t="s">
        <v>10</v>
      </c>
      <c r="K6429" s="15" t="s">
        <v>10</v>
      </c>
      <c r="L6429" s="15" t="s">
        <v>10</v>
      </c>
      <c r="M6429" s="15">
        <v>1.211614187450369</v>
      </c>
      <c r="N6429" s="15">
        <v>1.211614187450369</v>
      </c>
      <c r="O6429" s="15" t="s">
        <v>10</v>
      </c>
      <c r="P6429" s="15" t="s">
        <v>10</v>
      </c>
      <c r="Q6429" s="8"/>
      <c r="R6429" s="9" t="s">
        <v>5948</v>
      </c>
    </row>
    <row r="6430" spans="1:18" x14ac:dyDescent="0.25">
      <c r="A6430" s="6" t="str">
        <f>HYPERLINK("proteomic_fractions_linear_files/Yang_linear_img/227430284.jpg", "227430284")</f>
        <v>227430284</v>
      </c>
      <c r="B6430" s="7"/>
      <c r="C6430" s="6" t="str">
        <f>HYPERLINK("http://www.ncbi.nlm.nih.gov/protein/227430284","Rpp25l")</f>
        <v>Rpp25l</v>
      </c>
      <c r="D6430" s="8"/>
      <c r="E6430" s="8">
        <v>17544</v>
      </c>
      <c r="F6430" s="8"/>
      <c r="G6430" s="15" t="s">
        <v>10</v>
      </c>
      <c r="H6430" s="15" t="s">
        <v>10</v>
      </c>
      <c r="I6430" s="15">
        <v>0.97610776474216487</v>
      </c>
      <c r="J6430" s="15">
        <v>0.97610776474216487</v>
      </c>
      <c r="K6430" s="15">
        <v>0.97610776474216487</v>
      </c>
      <c r="L6430" s="15">
        <v>0.97610776474216487</v>
      </c>
      <c r="M6430" s="15">
        <v>0.97610776474216487</v>
      </c>
      <c r="N6430" s="15">
        <v>0.97610776474216487</v>
      </c>
      <c r="O6430" s="15" t="s">
        <v>10</v>
      </c>
      <c r="P6430" s="15" t="s">
        <v>10</v>
      </c>
      <c r="Q6430" s="8"/>
      <c r="R6430" s="9" t="s">
        <v>5949</v>
      </c>
    </row>
    <row r="6431" spans="1:18" x14ac:dyDescent="0.25">
      <c r="A6431" s="6" t="str">
        <f>HYPERLINK("proteomic_fractions_linear_files/Yang_linear_img/257196209.jpg", "257196209")</f>
        <v>257196209</v>
      </c>
      <c r="B6431" s="7"/>
      <c r="C6431" s="6" t="str">
        <f>HYPERLINK("http://www.ncbi.nlm.nih.gov/protein/257196209","Rpp30")</f>
        <v>Rpp30</v>
      </c>
      <c r="D6431" s="8"/>
      <c r="E6431" s="8">
        <v>29342</v>
      </c>
      <c r="F6431" s="8"/>
      <c r="G6431" s="15" t="s">
        <v>10</v>
      </c>
      <c r="H6431" s="15" t="s">
        <v>10</v>
      </c>
      <c r="I6431" s="15">
        <v>0.90173303846293107</v>
      </c>
      <c r="J6431" s="15">
        <v>0.90173303846293107</v>
      </c>
      <c r="K6431" s="15">
        <v>0.90173303846293107</v>
      </c>
      <c r="L6431" s="15">
        <v>0.90173303846293107</v>
      </c>
      <c r="M6431" s="15">
        <v>0.90173303846293107</v>
      </c>
      <c r="N6431" s="15">
        <v>0.90173303846293107</v>
      </c>
      <c r="O6431" s="15">
        <v>0.79688184050749811</v>
      </c>
      <c r="P6431" s="15">
        <v>0.79688184050749811</v>
      </c>
      <c r="Q6431" s="8"/>
      <c r="R6431" s="9" t="s">
        <v>5950</v>
      </c>
    </row>
    <row r="6432" spans="1:18" x14ac:dyDescent="0.25">
      <c r="A6432" s="6" t="str">
        <f>HYPERLINK("proteomic_fractions_linear_files/Yang_linear_img/247300905.jpg", "247300905")</f>
        <v>247300905</v>
      </c>
      <c r="B6432" s="7"/>
      <c r="C6432" s="6" t="str">
        <f>HYPERLINK("http://www.ncbi.nlm.nih.gov/protein/247300905","Rpp38")</f>
        <v>Rpp38</v>
      </c>
      <c r="D6432" s="8"/>
      <c r="E6432" s="8">
        <v>31058</v>
      </c>
      <c r="F6432" s="8"/>
      <c r="G6432" s="15" t="s">
        <v>10</v>
      </c>
      <c r="H6432" s="15" t="s">
        <v>10</v>
      </c>
      <c r="I6432" s="15" t="s">
        <v>10</v>
      </c>
      <c r="J6432" s="15" t="s">
        <v>10</v>
      </c>
      <c r="K6432" s="15">
        <v>1.3066876839749273</v>
      </c>
      <c r="L6432" s="15">
        <v>1.3066876839749273</v>
      </c>
      <c r="M6432" s="15">
        <v>1.2045589168749868</v>
      </c>
      <c r="N6432" s="15">
        <v>1.2045589168749868</v>
      </c>
      <c r="O6432" s="15" t="s">
        <v>10</v>
      </c>
      <c r="P6432" s="15" t="s">
        <v>10</v>
      </c>
      <c r="Q6432" s="8"/>
      <c r="R6432" s="9" t="s">
        <v>5951</v>
      </c>
    </row>
    <row r="6433" spans="1:18" x14ac:dyDescent="0.25">
      <c r="A6433" s="6" t="str">
        <f>HYPERLINK("proteomic_fractions_linear_files/Yang_linear_img/172072663.jpg", "172072663")</f>
        <v>172072663</v>
      </c>
      <c r="B6433" s="7"/>
      <c r="C6433" s="6" t="str">
        <f>HYPERLINK("http://www.ncbi.nlm.nih.gov/protein/172072663","Rpp40")</f>
        <v>Rpp40</v>
      </c>
      <c r="D6433" s="8"/>
      <c r="E6433" s="8">
        <v>41416</v>
      </c>
      <c r="F6433" s="8"/>
      <c r="G6433" s="15" t="s">
        <v>10</v>
      </c>
      <c r="H6433" s="15" t="s">
        <v>10</v>
      </c>
      <c r="I6433" s="15" t="s">
        <v>10</v>
      </c>
      <c r="J6433" s="15" t="s">
        <v>10</v>
      </c>
      <c r="K6433" s="15">
        <v>0.98798337081031085</v>
      </c>
      <c r="L6433" s="15">
        <v>0.98798337081031085</v>
      </c>
      <c r="M6433" s="15">
        <v>0.91076405910059977</v>
      </c>
      <c r="N6433" s="15">
        <v>0.91076405910059977</v>
      </c>
      <c r="O6433" s="15">
        <v>0.84276528123110206</v>
      </c>
      <c r="P6433" s="15">
        <v>0.84276528123110206</v>
      </c>
      <c r="Q6433" s="8"/>
      <c r="R6433" s="9" t="s">
        <v>5952</v>
      </c>
    </row>
    <row r="6434" spans="1:18" x14ac:dyDescent="0.25">
      <c r="A6434" s="6" t="str">
        <f>HYPERLINK("proteomic_fractions_linear_files/Yang_linear_img/21450083.jpg", "21450083")</f>
        <v>21450083</v>
      </c>
      <c r="B6434" s="7"/>
      <c r="C6434" s="6" t="str">
        <f>HYPERLINK("http://www.ncbi.nlm.nih.gov/protein/21450083","Rprd1a")</f>
        <v>Rprd1a</v>
      </c>
      <c r="D6434" s="8"/>
      <c r="E6434" s="8">
        <v>35570</v>
      </c>
      <c r="F6434" s="8"/>
      <c r="G6434" s="15">
        <v>1.2257108124157075</v>
      </c>
      <c r="H6434" s="15">
        <v>1.2257108124157075</v>
      </c>
      <c r="I6434" s="15">
        <v>0.89122424599259964</v>
      </c>
      <c r="J6434" s="15">
        <v>0.89122424599259964</v>
      </c>
      <c r="K6434" s="15" t="s">
        <v>10</v>
      </c>
      <c r="L6434" s="15" t="s">
        <v>10</v>
      </c>
      <c r="M6434" s="15">
        <v>0.89122424599259964</v>
      </c>
      <c r="N6434" s="15">
        <v>0.89122424599259964</v>
      </c>
      <c r="O6434" s="15">
        <v>0.77550586938005717</v>
      </c>
      <c r="P6434" s="15">
        <v>0.77550586938005717</v>
      </c>
      <c r="Q6434" s="8"/>
      <c r="R6434" s="9" t="s">
        <v>5953</v>
      </c>
    </row>
    <row r="6435" spans="1:18" x14ac:dyDescent="0.25">
      <c r="A6435" s="6" t="str">
        <f>HYPERLINK("proteomic_fractions_linear_files/Yang_linear_img/34328077.jpg", "34328077")</f>
        <v>34328077</v>
      </c>
      <c r="B6435" s="7"/>
      <c r="C6435" s="6" t="str">
        <f>HYPERLINK("http://www.ncbi.nlm.nih.gov/protein/34328077","Rprd1b")</f>
        <v>Rprd1b</v>
      </c>
      <c r="D6435" s="8"/>
      <c r="E6435" s="8">
        <v>36682</v>
      </c>
      <c r="F6435" s="8"/>
      <c r="G6435" s="15">
        <v>1.1925834931612289</v>
      </c>
      <c r="H6435" s="15">
        <v>1.1925834931612289</v>
      </c>
      <c r="I6435" s="15">
        <v>0.86713710420901591</v>
      </c>
      <c r="J6435" s="15">
        <v>0.86713710420901591</v>
      </c>
      <c r="K6435" s="15">
        <v>0.86713710420901591</v>
      </c>
      <c r="L6435" s="15">
        <v>0.86713710420901591</v>
      </c>
      <c r="M6435" s="15">
        <v>0.86713710420901591</v>
      </c>
      <c r="N6435" s="15">
        <v>0.86713710420901591</v>
      </c>
      <c r="O6435" s="15">
        <v>0.80771369977603058</v>
      </c>
      <c r="P6435" s="15">
        <v>0.80771369977603058</v>
      </c>
      <c r="Q6435" s="8"/>
      <c r="R6435" s="9" t="s">
        <v>5954</v>
      </c>
    </row>
    <row r="6436" spans="1:18" x14ac:dyDescent="0.25">
      <c r="A6436" s="6" t="str">
        <f>HYPERLINK("proteomic_fractions_linear_files/Yang_linear_img/124486841.jpg", "124486841")</f>
        <v>124486841</v>
      </c>
      <c r="B6436" s="7"/>
      <c r="C6436" s="6" t="str">
        <f>HYPERLINK("http://www.ncbi.nlm.nih.gov/protein/124486841","Rprd2")</f>
        <v>Rprd2</v>
      </c>
      <c r="D6436" s="8"/>
      <c r="E6436" s="8">
        <v>156455</v>
      </c>
      <c r="F6436" s="8"/>
      <c r="G6436" s="15">
        <v>1.1972168694867971</v>
      </c>
      <c r="H6436" s="15">
        <v>1.1972168694867971</v>
      </c>
      <c r="I6436" s="15" t="s">
        <v>10</v>
      </c>
      <c r="J6436" s="15" t="s">
        <v>10</v>
      </c>
      <c r="K6436" s="15" t="s">
        <v>10</v>
      </c>
      <c r="L6436" s="15" t="s">
        <v>10</v>
      </c>
      <c r="M6436" s="15" t="s">
        <v>10</v>
      </c>
      <c r="N6436" s="15" t="s">
        <v>10</v>
      </c>
      <c r="O6436" s="15" t="s">
        <v>10</v>
      </c>
      <c r="P6436" s="15" t="s">
        <v>10</v>
      </c>
      <c r="Q6436" s="8"/>
      <c r="R6436" s="9" t="s">
        <v>5955</v>
      </c>
    </row>
    <row r="6437" spans="1:18" x14ac:dyDescent="0.25">
      <c r="A6437" s="6" t="str">
        <f>HYPERLINK("proteomic_fractions_linear_files/Yang_linear_img/13399310.jpg", "13399310")</f>
        <v>13399310</v>
      </c>
      <c r="B6437" s="7"/>
      <c r="C6437" s="6" t="str">
        <f>HYPERLINK("http://www.ncbi.nlm.nih.gov/protein/13399310","Rps10")</f>
        <v>Rps10</v>
      </c>
      <c r="D6437" s="8"/>
      <c r="E6437" s="8">
        <v>18785</v>
      </c>
      <c r="F6437" s="8"/>
      <c r="G6437" s="15">
        <v>1.3763293744960527</v>
      </c>
      <c r="H6437" s="15">
        <v>1.3763293744960527</v>
      </c>
      <c r="I6437" s="15">
        <v>0.92473367186099831</v>
      </c>
      <c r="J6437" s="15">
        <v>0.92473367186099831</v>
      </c>
      <c r="K6437" s="15">
        <v>0.92473367186099831</v>
      </c>
      <c r="L6437" s="15">
        <v>0.92473367186099831</v>
      </c>
      <c r="M6437" s="15">
        <v>0.92473367186099831</v>
      </c>
      <c r="N6437" s="15">
        <v>0.92473367186099831</v>
      </c>
      <c r="O6437" s="15" t="s">
        <v>10</v>
      </c>
      <c r="P6437" s="15" t="s">
        <v>10</v>
      </c>
      <c r="Q6437" s="8"/>
      <c r="R6437" s="9" t="s">
        <v>5956</v>
      </c>
    </row>
    <row r="6438" spans="1:18" x14ac:dyDescent="0.25">
      <c r="A6438" s="6" t="str">
        <f>HYPERLINK("proteomic_fractions_linear_files/Yang_linear_img/21426889.jpg", "21426889")</f>
        <v>21426889</v>
      </c>
      <c r="B6438" s="7"/>
      <c r="C6438" s="6" t="str">
        <f>HYPERLINK("http://www.ncbi.nlm.nih.gov/protein/21426889","Rps11")</f>
        <v>Rps11</v>
      </c>
      <c r="D6438" s="8"/>
      <c r="E6438" s="8">
        <v>18300</v>
      </c>
      <c r="F6438" s="8"/>
      <c r="G6438" s="15">
        <v>0.97610776474216487</v>
      </c>
      <c r="H6438" s="15">
        <v>0.97610776474216487</v>
      </c>
      <c r="I6438" s="15">
        <v>1.0275166202535602</v>
      </c>
      <c r="J6438" s="15">
        <v>1.0275166202535602</v>
      </c>
      <c r="K6438" s="15">
        <v>1.0275166202535602</v>
      </c>
      <c r="L6438" s="15">
        <v>1.0275166202535602</v>
      </c>
      <c r="M6438" s="15">
        <v>1.0275166202535602</v>
      </c>
      <c r="N6438" s="15">
        <v>1.0275166202535602</v>
      </c>
      <c r="O6438" s="15" t="s">
        <v>10</v>
      </c>
      <c r="P6438" s="15" t="s">
        <v>10</v>
      </c>
      <c r="Q6438" s="8"/>
      <c r="R6438" s="9" t="s">
        <v>5957</v>
      </c>
    </row>
    <row r="6439" spans="1:18" x14ac:dyDescent="0.25">
      <c r="A6439" s="6" t="str">
        <f>HYPERLINK("proteomic_fractions_linear_files/Yang_linear_img/40254577.jpg", "40254577")</f>
        <v>40254577</v>
      </c>
      <c r="B6439" s="7"/>
      <c r="C6439" s="6" t="str">
        <f>HYPERLINK("http://www.ncbi.nlm.nih.gov/protein/40254577","Rps12")</f>
        <v>Rps12</v>
      </c>
      <c r="D6439" s="8"/>
      <c r="E6439" s="8">
        <v>14384</v>
      </c>
      <c r="F6439" s="8"/>
      <c r="G6439" s="15">
        <v>1.5568387336199108</v>
      </c>
      <c r="H6439" s="15">
        <v>1.5568387336199108</v>
      </c>
      <c r="I6439" s="15">
        <v>1.0369624087050249</v>
      </c>
      <c r="J6439" s="15">
        <v>1.0369624087050249</v>
      </c>
      <c r="K6439" s="15">
        <v>1.085452735272449</v>
      </c>
      <c r="L6439" s="15">
        <v>1.085452735272449</v>
      </c>
      <c r="M6439" s="15">
        <v>1.085452735272449</v>
      </c>
      <c r="N6439" s="15">
        <v>1.085452735272449</v>
      </c>
      <c r="O6439" s="15">
        <v>0.99184646428118928</v>
      </c>
      <c r="P6439" s="15">
        <v>0.99184646428118928</v>
      </c>
      <c r="Q6439" s="8"/>
      <c r="R6439" s="9" t="s">
        <v>5958</v>
      </c>
    </row>
    <row r="6440" spans="1:18" x14ac:dyDescent="0.25">
      <c r="A6440" s="6" t="str">
        <f>HYPERLINK("proteomic_fractions_linear_files/Yang_linear_img/149258592.jpg", "149258592")</f>
        <v>149258592</v>
      </c>
      <c r="B6440" s="7"/>
      <c r="C6440" s="6" t="str">
        <f>HYPERLINK("http://www.ncbi.nlm.nih.gov/protein/149258592","Rps12l2")</f>
        <v>Rps12l2</v>
      </c>
      <c r="D6440" s="8"/>
      <c r="E6440" s="8">
        <v>13970</v>
      </c>
      <c r="F6440" s="8"/>
      <c r="G6440" s="15">
        <v>1.5568387336199108</v>
      </c>
      <c r="H6440" s="15">
        <v>1.5568387336199108</v>
      </c>
      <c r="I6440" s="15">
        <v>0.99184646428118928</v>
      </c>
      <c r="J6440" s="15">
        <v>0.99184646428118928</v>
      </c>
      <c r="K6440" s="15">
        <v>1.085452735272449</v>
      </c>
      <c r="L6440" s="15">
        <v>1.085452735272449</v>
      </c>
      <c r="M6440" s="15">
        <v>1.085452735272449</v>
      </c>
      <c r="N6440" s="15">
        <v>1.085452735272449</v>
      </c>
      <c r="O6440" s="15">
        <v>0.99184646428118928</v>
      </c>
      <c r="P6440" s="15">
        <v>0.99184646428118928</v>
      </c>
      <c r="Q6440" s="8"/>
      <c r="R6440" s="9" t="s">
        <v>8055</v>
      </c>
    </row>
    <row r="6441" spans="1:18" x14ac:dyDescent="0.25">
      <c r="A6441" s="6" t="str">
        <f>HYPERLINK("proteomic_fractions_linear_files/Yang_linear_img/149250091.jpg", "149250091")</f>
        <v>149250091</v>
      </c>
      <c r="B6441" s="7"/>
      <c r="C6441" s="6" t="str">
        <f>HYPERLINK("http://www.ncbi.nlm.nih.gov/protein/149250091","Rps12-ps10")</f>
        <v>Rps12-ps10</v>
      </c>
      <c r="D6441" s="8"/>
      <c r="E6441" s="8">
        <v>14383</v>
      </c>
      <c r="F6441" s="8"/>
      <c r="G6441" s="15">
        <v>1.5568387336199108</v>
      </c>
      <c r="H6441" s="15">
        <v>1.5568387336199108</v>
      </c>
      <c r="I6441" s="15">
        <v>1.0369624087050249</v>
      </c>
      <c r="J6441" s="15">
        <v>1.0369624087050249</v>
      </c>
      <c r="K6441" s="15">
        <v>1.085452735272449</v>
      </c>
      <c r="L6441" s="15">
        <v>1.085452735272449</v>
      </c>
      <c r="M6441" s="15">
        <v>1.085452735272449</v>
      </c>
      <c r="N6441" s="15">
        <v>1.085452735272449</v>
      </c>
      <c r="O6441" s="15">
        <v>0.99184646428118928</v>
      </c>
      <c r="P6441" s="15">
        <v>0.99184646428118928</v>
      </c>
      <c r="Q6441" s="8"/>
      <c r="R6441" s="9" t="s">
        <v>8055</v>
      </c>
    </row>
    <row r="6442" spans="1:18" x14ac:dyDescent="0.25">
      <c r="A6442" s="6" t="str">
        <f>HYPERLINK("proteomic_fractions_linear_files/Yang_linear_img/51772387.jpg", "51772387")</f>
        <v>51772387</v>
      </c>
      <c r="B6442" s="7"/>
      <c r="C6442" s="6" t="str">
        <f>HYPERLINK("http://www.ncbi.nlm.nih.gov/protein/51772387","Rps12-ps11")</f>
        <v>Rps12-ps11</v>
      </c>
      <c r="D6442" s="8"/>
      <c r="E6442" s="8">
        <v>14359</v>
      </c>
      <c r="F6442" s="8"/>
      <c r="G6442" s="15">
        <v>1.5568387336199108</v>
      </c>
      <c r="H6442" s="15">
        <v>1.5568387336199108</v>
      </c>
      <c r="I6442" s="15">
        <v>1.0369624087050249</v>
      </c>
      <c r="J6442" s="15">
        <v>1.0369624087050249</v>
      </c>
      <c r="K6442" s="15">
        <v>1.085452735272449</v>
      </c>
      <c r="L6442" s="15">
        <v>1.085452735272449</v>
      </c>
      <c r="M6442" s="15">
        <v>1.085452735272449</v>
      </c>
      <c r="N6442" s="15">
        <v>1.085452735272449</v>
      </c>
      <c r="O6442" s="15">
        <v>0.99184646428118928</v>
      </c>
      <c r="P6442" s="15">
        <v>0.99184646428118928</v>
      </c>
      <c r="Q6442" s="8"/>
      <c r="R6442" s="9" t="s">
        <v>8055</v>
      </c>
    </row>
    <row r="6443" spans="1:18" x14ac:dyDescent="0.25">
      <c r="A6443" s="6" t="str">
        <f>HYPERLINK("proteomic_fractions_linear_files/Yang_linear_img/149272239.jpg", "149272239")</f>
        <v>149272239</v>
      </c>
      <c r="B6443" s="7"/>
      <c r="C6443" s="6" t="str">
        <f>HYPERLINK("http://www.ncbi.nlm.nih.gov/protein/149272239","Rps12-ps16")</f>
        <v>Rps12-ps16</v>
      </c>
      <c r="D6443" s="8"/>
      <c r="E6443" s="8">
        <v>14373</v>
      </c>
      <c r="F6443" s="8"/>
      <c r="G6443" s="15">
        <v>1.5568387336199108</v>
      </c>
      <c r="H6443" s="15">
        <v>1.5568387336199108</v>
      </c>
      <c r="I6443" s="15">
        <v>1.0369624087050249</v>
      </c>
      <c r="J6443" s="15">
        <v>1.0369624087050249</v>
      </c>
      <c r="K6443" s="15">
        <v>1.085452735272449</v>
      </c>
      <c r="L6443" s="15">
        <v>1.085452735272449</v>
      </c>
      <c r="M6443" s="15">
        <v>1.085452735272449</v>
      </c>
      <c r="N6443" s="15">
        <v>1.085452735272449</v>
      </c>
      <c r="O6443" s="15">
        <v>0.99184646428118928</v>
      </c>
      <c r="P6443" s="15">
        <v>0.99184646428118928</v>
      </c>
      <c r="Q6443" s="8"/>
      <c r="R6443" s="9" t="s">
        <v>8324</v>
      </c>
    </row>
    <row r="6444" spans="1:18" x14ac:dyDescent="0.25">
      <c r="A6444" s="6" t="str">
        <f>HYPERLINK("proteomic_fractions_linear_files/Yang_linear_img/13386034.jpg", "13386034")</f>
        <v>13386034</v>
      </c>
      <c r="B6444" s="7"/>
      <c r="C6444" s="6" t="str">
        <f>HYPERLINK("http://www.ncbi.nlm.nih.gov/protein/13386034","Rps13")</f>
        <v>Rps13</v>
      </c>
      <c r="D6444" s="8"/>
      <c r="E6444" s="8">
        <v>17091</v>
      </c>
      <c r="F6444" s="8"/>
      <c r="G6444" s="15">
        <v>1.4444012125457011</v>
      </c>
      <c r="H6444" s="15">
        <v>1.4444012125457011</v>
      </c>
      <c r="I6444" s="15">
        <v>0.98332203062394252</v>
      </c>
      <c r="J6444" s="15">
        <v>0.98332203062394252</v>
      </c>
      <c r="K6444" s="15">
        <v>1.0335258685505275</v>
      </c>
      <c r="L6444" s="15">
        <v>1.0335258685505275</v>
      </c>
      <c r="M6444" s="15">
        <v>1.0335258685505275</v>
      </c>
      <c r="N6444" s="15">
        <v>1.0335258685505275</v>
      </c>
      <c r="O6444" s="15" t="s">
        <v>10</v>
      </c>
      <c r="P6444" s="15" t="s">
        <v>10</v>
      </c>
      <c r="Q6444" s="8"/>
      <c r="R6444" s="9" t="s">
        <v>5959</v>
      </c>
    </row>
    <row r="6445" spans="1:18" x14ac:dyDescent="0.25">
      <c r="A6445" s="6" t="str">
        <f>HYPERLINK("proteomic_fractions_linear_files/Yang_linear_img/31981100.jpg", "31981100")</f>
        <v>31981100</v>
      </c>
      <c r="B6445" s="7"/>
      <c r="C6445" s="6" t="str">
        <f>HYPERLINK("http://www.ncbi.nlm.nih.gov/protein/31981100","Rps14")</f>
        <v>Rps14</v>
      </c>
      <c r="D6445" s="8"/>
      <c r="E6445" s="8">
        <v>16142</v>
      </c>
      <c r="F6445" s="8"/>
      <c r="G6445" s="15">
        <v>1.5346762883298073</v>
      </c>
      <c r="H6445" s="15">
        <v>1.5346762883298073</v>
      </c>
      <c r="I6445" s="15">
        <v>0.99546511144886096</v>
      </c>
      <c r="J6445" s="15">
        <v>0.99546511144886096</v>
      </c>
      <c r="K6445" s="15">
        <v>1.0447796575379389</v>
      </c>
      <c r="L6445" s="15">
        <v>1.0447796575379389</v>
      </c>
      <c r="M6445" s="15">
        <v>0.99546511144886096</v>
      </c>
      <c r="N6445" s="15">
        <v>0.99546511144886096</v>
      </c>
      <c r="O6445" s="15">
        <v>0.94977114336339286</v>
      </c>
      <c r="P6445" s="15">
        <v>0.94977114336339286</v>
      </c>
      <c r="Q6445" s="8"/>
      <c r="R6445" s="9" t="s">
        <v>5960</v>
      </c>
    </row>
    <row r="6446" spans="1:18" x14ac:dyDescent="0.25">
      <c r="A6446" s="6" t="str">
        <f>HYPERLINK("proteomic_fractions_linear_files/Yang_linear_img/6677799.jpg", "6677799")</f>
        <v>6677799</v>
      </c>
      <c r="B6446" s="7"/>
      <c r="C6446" s="6" t="str">
        <f>HYPERLINK("http://www.ncbi.nlm.nih.gov/protein/6677799","Rps15")</f>
        <v>Rps15</v>
      </c>
      <c r="D6446" s="8"/>
      <c r="E6446" s="8">
        <v>16909</v>
      </c>
      <c r="F6446" s="8"/>
      <c r="G6446" s="15">
        <v>1.5382504773779413</v>
      </c>
      <c r="H6446" s="15">
        <v>1.5382504773779413</v>
      </c>
      <c r="I6446" s="15">
        <v>0.98332203062394252</v>
      </c>
      <c r="J6446" s="15">
        <v>0.98332203062394252</v>
      </c>
      <c r="K6446" s="15">
        <v>1.0335258685505275</v>
      </c>
      <c r="L6446" s="15">
        <v>1.0335258685505275</v>
      </c>
      <c r="M6446" s="15">
        <v>1.0335258685505275</v>
      </c>
      <c r="N6446" s="15">
        <v>1.0335258685505275</v>
      </c>
      <c r="O6446" s="15" t="s">
        <v>10</v>
      </c>
      <c r="P6446" s="15" t="s">
        <v>10</v>
      </c>
      <c r="Q6446" s="8"/>
      <c r="R6446" s="9" t="s">
        <v>5961</v>
      </c>
    </row>
    <row r="6447" spans="1:18" x14ac:dyDescent="0.25">
      <c r="A6447" s="6" t="str">
        <f>HYPERLINK("proteomic_fractions_linear_files/Yang_linear_img/24762230.jpg", "24762230")</f>
        <v>24762230</v>
      </c>
      <c r="B6447" s="7"/>
      <c r="C6447" s="6" t="str">
        <f>HYPERLINK("http://www.ncbi.nlm.nih.gov/protein/24762230","Rps15a")</f>
        <v>Rps15a</v>
      </c>
      <c r="D6447" s="8"/>
      <c r="E6447" s="8">
        <v>14708</v>
      </c>
      <c r="F6447" s="8"/>
      <c r="G6447" s="15">
        <v>1.4530494847119166</v>
      </c>
      <c r="H6447" s="15">
        <v>1.4530494847119166</v>
      </c>
      <c r="I6447" s="15">
        <v>0.96783158145802317</v>
      </c>
      <c r="J6447" s="15">
        <v>0.96783158145802317</v>
      </c>
      <c r="K6447" s="15">
        <v>1.0130892195876191</v>
      </c>
      <c r="L6447" s="15">
        <v>1.0130892195876191</v>
      </c>
      <c r="M6447" s="15">
        <v>1.0130892195876191</v>
      </c>
      <c r="N6447" s="15">
        <v>1.0130892195876191</v>
      </c>
      <c r="O6447" s="15">
        <v>0.92572336666244337</v>
      </c>
      <c r="P6447" s="15">
        <v>0.92572336666244337</v>
      </c>
      <c r="Q6447" s="8"/>
      <c r="R6447" s="9" t="s">
        <v>5962</v>
      </c>
    </row>
    <row r="6448" spans="1:18" x14ac:dyDescent="0.25">
      <c r="A6448" s="6" t="str">
        <f>HYPERLINK("proteomic_fractions_linear_files/Yang_linear_img/309265366.jpg", "309265366")</f>
        <v>309265366</v>
      </c>
      <c r="B6448" s="7"/>
      <c r="C6448" s="6" t="str">
        <f>HYPERLINK("http://www.ncbi.nlm.nih.gov/protein/309265366","Rps15a-ps5")</f>
        <v>Rps15a-ps5</v>
      </c>
      <c r="D6448" s="8"/>
      <c r="E6448" s="8">
        <v>14715</v>
      </c>
      <c r="F6448" s="8"/>
      <c r="G6448" s="15">
        <v>1.4530494847119166</v>
      </c>
      <c r="H6448" s="15">
        <v>1.4530494847119166</v>
      </c>
      <c r="I6448" s="15">
        <v>0.96783158145802317</v>
      </c>
      <c r="J6448" s="15">
        <v>0.96783158145802317</v>
      </c>
      <c r="K6448" s="15">
        <v>1.0130892195876191</v>
      </c>
      <c r="L6448" s="15">
        <v>1.0130892195876191</v>
      </c>
      <c r="M6448" s="15">
        <v>1.0130892195876191</v>
      </c>
      <c r="N6448" s="15">
        <v>1.0130892195876191</v>
      </c>
      <c r="O6448" s="15">
        <v>0.92572336666244337</v>
      </c>
      <c r="P6448" s="15">
        <v>0.92572336666244337</v>
      </c>
      <c r="Q6448" s="8"/>
      <c r="R6448" s="9" t="s">
        <v>8325</v>
      </c>
    </row>
    <row r="6449" spans="1:18" x14ac:dyDescent="0.25">
      <c r="A6449" s="6" t="str">
        <f>HYPERLINK("proteomic_fractions_linear_files/Yang_linear_img/158966704.jpg", "158966704")</f>
        <v>158966704</v>
      </c>
      <c r="B6449" s="7"/>
      <c r="C6449" s="6" t="str">
        <f>HYPERLINK("http://www.ncbi.nlm.nih.gov/protein/158966704","Rps16")</f>
        <v>Rps16</v>
      </c>
      <c r="D6449" s="8"/>
      <c r="E6449" s="8">
        <v>16314</v>
      </c>
      <c r="F6449" s="8"/>
      <c r="G6449" s="15">
        <v>1.4443483359198404</v>
      </c>
      <c r="H6449" s="15">
        <v>1.4443483359198404</v>
      </c>
      <c r="I6449" s="15">
        <v>0.99546511144886096</v>
      </c>
      <c r="J6449" s="15">
        <v>0.99546511144886096</v>
      </c>
      <c r="K6449" s="15">
        <v>0.99546511144886096</v>
      </c>
      <c r="L6449" s="15">
        <v>0.99546511144886096</v>
      </c>
      <c r="M6449" s="15">
        <v>0.99546511144886096</v>
      </c>
      <c r="N6449" s="15">
        <v>0.99546511144886096</v>
      </c>
      <c r="O6449" s="15" t="s">
        <v>10</v>
      </c>
      <c r="P6449" s="15" t="s">
        <v>10</v>
      </c>
      <c r="Q6449" s="8"/>
      <c r="R6449" s="9" t="s">
        <v>5963</v>
      </c>
    </row>
    <row r="6450" spans="1:18" x14ac:dyDescent="0.25">
      <c r="A6450" s="6" t="str">
        <f>HYPERLINK("proteomic_fractions_linear_files/Yang_linear_img/6677801.jpg", "6677801")</f>
        <v>6677801</v>
      </c>
      <c r="B6450" s="7"/>
      <c r="C6450" s="6" t="str">
        <f>HYPERLINK("http://www.ncbi.nlm.nih.gov/protein/6677801","Rps17")</f>
        <v>Rps17</v>
      </c>
      <c r="D6450" s="8"/>
      <c r="E6450" s="8">
        <v>15393</v>
      </c>
      <c r="F6450" s="8"/>
      <c r="G6450" s="15">
        <v>1.6369880408851278</v>
      </c>
      <c r="H6450" s="15">
        <v>1.6369880408851278</v>
      </c>
      <c r="I6450" s="15">
        <v>1.1144316347071348</v>
      </c>
      <c r="J6450" s="15">
        <v>1.1144316347071348</v>
      </c>
      <c r="K6450" s="15">
        <v>1.1713293176905979</v>
      </c>
      <c r="L6450" s="15">
        <v>1.1713293176905979</v>
      </c>
      <c r="M6450" s="15">
        <v>1.1713293176905979</v>
      </c>
      <c r="N6450" s="15">
        <v>1.1713293176905979</v>
      </c>
      <c r="O6450" s="15">
        <v>1.1144316347071348</v>
      </c>
      <c r="P6450" s="15">
        <v>1.1144316347071348</v>
      </c>
      <c r="Q6450" s="8"/>
      <c r="R6450" s="9" t="s">
        <v>5964</v>
      </c>
    </row>
    <row r="6451" spans="1:18" x14ac:dyDescent="0.25">
      <c r="A6451" s="6" t="str">
        <f>HYPERLINK("proteomic_fractions_linear_files/Yang_linear_img/6755368.jpg", "6755368")</f>
        <v>6755368</v>
      </c>
      <c r="B6451" s="7"/>
      <c r="C6451" s="6" t="str">
        <f>HYPERLINK("http://www.ncbi.nlm.nih.gov/protein/6755368","Rps18")</f>
        <v>Rps18</v>
      </c>
      <c r="D6451" s="8"/>
      <c r="E6451" s="8">
        <v>17588</v>
      </c>
      <c r="F6451" s="8"/>
      <c r="G6451" s="15">
        <v>1.3641567007376065</v>
      </c>
      <c r="H6451" s="15">
        <v>1.3641567007376065</v>
      </c>
      <c r="I6451" s="15">
        <v>0.9286930289226123</v>
      </c>
      <c r="J6451" s="15">
        <v>0.9286930289226123</v>
      </c>
      <c r="K6451" s="15">
        <v>0.97610776474216487</v>
      </c>
      <c r="L6451" s="15">
        <v>0.97610776474216487</v>
      </c>
      <c r="M6451" s="15">
        <v>0.9286930289226123</v>
      </c>
      <c r="N6451" s="15">
        <v>0.9286930289226123</v>
      </c>
      <c r="O6451" s="15">
        <v>0.9286930289226123</v>
      </c>
      <c r="P6451" s="15">
        <v>0.9286930289226123</v>
      </c>
      <c r="Q6451" s="8"/>
      <c r="R6451" s="9" t="s">
        <v>5965</v>
      </c>
    </row>
    <row r="6452" spans="1:18" x14ac:dyDescent="0.25">
      <c r="A6452" s="6" t="str">
        <f>HYPERLINK("proteomic_fractions_linear_files/Yang_linear_img/12963511.jpg", "12963511")</f>
        <v>12963511</v>
      </c>
      <c r="B6452" s="7"/>
      <c r="C6452" s="6" t="str">
        <f>HYPERLINK("http://www.ncbi.nlm.nih.gov/protein/12963511","Rps19")</f>
        <v>Rps19</v>
      </c>
      <c r="D6452" s="8"/>
      <c r="E6452" s="8">
        <v>15954</v>
      </c>
      <c r="F6452" s="8"/>
      <c r="G6452" s="15">
        <v>1.4443483359198404</v>
      </c>
      <c r="H6452" s="15">
        <v>1.4443483359198404</v>
      </c>
      <c r="I6452" s="15">
        <v>0.99546511144886096</v>
      </c>
      <c r="J6452" s="15">
        <v>0.99546511144886096</v>
      </c>
      <c r="K6452" s="15">
        <v>0.99546511144886096</v>
      </c>
      <c r="L6452" s="15">
        <v>0.99546511144886096</v>
      </c>
      <c r="M6452" s="15">
        <v>0.99546511144886096</v>
      </c>
      <c r="N6452" s="15">
        <v>0.99546511144886096</v>
      </c>
      <c r="O6452" s="15">
        <v>0.94977114336339286</v>
      </c>
      <c r="P6452" s="15">
        <v>0.94977114336339286</v>
      </c>
      <c r="Q6452" s="8"/>
      <c r="R6452" s="9" t="s">
        <v>5966</v>
      </c>
    </row>
    <row r="6453" spans="1:18" x14ac:dyDescent="0.25">
      <c r="A6453" s="6" t="str">
        <f>HYPERLINK("proteomic_fractions_linear_files/Yang_linear_img/30424711.jpg", "30424711")</f>
        <v>30424711</v>
      </c>
      <c r="B6453" s="7"/>
      <c r="C6453" s="6" t="str">
        <f>HYPERLINK("http://www.ncbi.nlm.nih.gov/protein/30424711","Rps19bp1")</f>
        <v>Rps19bp1</v>
      </c>
      <c r="D6453" s="8"/>
      <c r="E6453" s="8">
        <v>15846</v>
      </c>
      <c r="F6453" s="8"/>
      <c r="G6453" s="15" t="s">
        <v>10</v>
      </c>
      <c r="H6453" s="15" t="s">
        <v>10</v>
      </c>
      <c r="I6453" s="15">
        <v>0.99546511144886096</v>
      </c>
      <c r="J6453" s="15">
        <v>0.99546511144886096</v>
      </c>
      <c r="K6453" s="15">
        <v>1.0447796575379389</v>
      </c>
      <c r="L6453" s="15">
        <v>1.0447796575379389</v>
      </c>
      <c r="M6453" s="15">
        <v>1.0447796575379389</v>
      </c>
      <c r="N6453" s="15">
        <v>1.0447796575379389</v>
      </c>
      <c r="O6453" s="15">
        <v>0.99546511144886096</v>
      </c>
      <c r="P6453" s="15">
        <v>0.99546511144886096</v>
      </c>
      <c r="Q6453" s="8"/>
      <c r="R6453" s="9" t="s">
        <v>5967</v>
      </c>
    </row>
    <row r="6454" spans="1:18" x14ac:dyDescent="0.25">
      <c r="A6454" s="6" t="str">
        <f>HYPERLINK("proteomic_fractions_linear_files/Yang_linear_img/18087805.jpg", "18087805")</f>
        <v>18087805</v>
      </c>
      <c r="B6454" s="7"/>
      <c r="C6454" s="6" t="str">
        <f>HYPERLINK("http://www.ncbi.nlm.nih.gov/protein/18087805","Rps2")</f>
        <v>Rps2</v>
      </c>
      <c r="D6454" s="8"/>
      <c r="E6454" s="8">
        <v>31100</v>
      </c>
      <c r="F6454" s="8"/>
      <c r="G6454" s="15">
        <v>0.84355671340080651</v>
      </c>
      <c r="H6454" s="15">
        <v>0.84355671340080651</v>
      </c>
      <c r="I6454" s="15">
        <v>0.90058746121555033</v>
      </c>
      <c r="J6454" s="15">
        <v>0.90058746121555033</v>
      </c>
      <c r="K6454" s="15">
        <v>0.96404538360364944</v>
      </c>
      <c r="L6454" s="15">
        <v>0.96404538360364944</v>
      </c>
      <c r="M6454" s="15">
        <v>0.90058746121555033</v>
      </c>
      <c r="N6454" s="15">
        <v>0.90058746121555033</v>
      </c>
      <c r="O6454" s="15" t="s">
        <v>10</v>
      </c>
      <c r="P6454" s="15" t="s">
        <v>10</v>
      </c>
      <c r="Q6454" s="8"/>
      <c r="R6454" s="9" t="s">
        <v>5968</v>
      </c>
    </row>
    <row r="6455" spans="1:18" x14ac:dyDescent="0.25">
      <c r="A6455" s="6" t="str">
        <f>HYPERLINK("proteomic_fractions_linear_files/Yang_linear_img/13385652.jpg", "13385652")</f>
        <v>13385652</v>
      </c>
      <c r="B6455" s="7"/>
      <c r="C6455" s="6" t="str">
        <f>HYPERLINK("http://www.ncbi.nlm.nih.gov/protein/13385652","Rps20")</f>
        <v>Rps20</v>
      </c>
      <c r="D6455" s="8"/>
      <c r="E6455" s="8">
        <v>13242</v>
      </c>
      <c r="F6455" s="8"/>
      <c r="G6455" s="15">
        <v>1.6765955592829809</v>
      </c>
      <c r="H6455" s="15">
        <v>1.6765955592829809</v>
      </c>
      <c r="I6455" s="15">
        <v>1.1689490995241758</v>
      </c>
      <c r="J6455" s="15">
        <v>1.1689490995241758</v>
      </c>
      <c r="K6455" s="15">
        <v>1.2251878294755212</v>
      </c>
      <c r="L6455" s="15">
        <v>1.2251878294755212</v>
      </c>
      <c r="M6455" s="15">
        <v>1.1689490995241758</v>
      </c>
      <c r="N6455" s="15">
        <v>1.1689490995241758</v>
      </c>
      <c r="O6455" s="15">
        <v>1.1689490995241758</v>
      </c>
      <c r="P6455" s="15">
        <v>1.1689490995241758</v>
      </c>
      <c r="Q6455" s="8"/>
      <c r="R6455" s="9" t="s">
        <v>5969</v>
      </c>
    </row>
    <row r="6456" spans="1:18" x14ac:dyDescent="0.25">
      <c r="A6456" s="6" t="str">
        <f>HYPERLINK("proteomic_fractions_linear_files/Yang_linear_img/21536222.jpg", "21536222")</f>
        <v>21536222</v>
      </c>
      <c r="B6456" s="7"/>
      <c r="C6456" s="6" t="str">
        <f>HYPERLINK("http://www.ncbi.nlm.nih.gov/protein/21536222","Rps21")</f>
        <v>Rps21</v>
      </c>
      <c r="D6456" s="8"/>
      <c r="E6456" s="8">
        <v>9010</v>
      </c>
      <c r="F6456" s="8"/>
      <c r="G6456" s="15">
        <v>2.0550332405071203</v>
      </c>
      <c r="H6456" s="15">
        <v>2.0550332405071203</v>
      </c>
      <c r="I6456" s="15">
        <v>1.4163577046597362</v>
      </c>
      <c r="J6456" s="15">
        <v>1.4163577046597362</v>
      </c>
      <c r="K6456" s="15">
        <v>1.4163577046597362</v>
      </c>
      <c r="L6456" s="15">
        <v>1.4163577046597362</v>
      </c>
      <c r="M6456" s="15">
        <v>1.4774515581112815</v>
      </c>
      <c r="N6456" s="15">
        <v>1.4774515581112815</v>
      </c>
      <c r="O6456" s="15">
        <v>1.3592068102590398</v>
      </c>
      <c r="P6456" s="15">
        <v>1.3592068102590398</v>
      </c>
      <c r="Q6456" s="8"/>
      <c r="R6456" s="9" t="s">
        <v>5970</v>
      </c>
    </row>
    <row r="6457" spans="1:18" x14ac:dyDescent="0.25">
      <c r="A6457" s="6" t="str">
        <f>HYPERLINK("proteomic_fractions_linear_files/Yang_linear_img/13195604.jpg", "13195604")</f>
        <v>13195604</v>
      </c>
      <c r="B6457" s="7"/>
      <c r="C6457" s="6" t="str">
        <f>HYPERLINK("http://www.ncbi.nlm.nih.gov/protein/13195604","Rps23")</f>
        <v>Rps23</v>
      </c>
      <c r="D6457" s="8"/>
      <c r="E6457" s="8">
        <v>15676</v>
      </c>
      <c r="F6457" s="8"/>
      <c r="G6457" s="15">
        <v>1.4443483359198404</v>
      </c>
      <c r="H6457" s="15">
        <v>1.4443483359198404</v>
      </c>
      <c r="I6457" s="15">
        <v>1.0447796575379389</v>
      </c>
      <c r="J6457" s="15">
        <v>1.0447796575379389</v>
      </c>
      <c r="K6457" s="15">
        <v>1.0447796575379389</v>
      </c>
      <c r="L6457" s="15">
        <v>1.0447796575379389</v>
      </c>
      <c r="M6457" s="15">
        <v>1.0447796575379389</v>
      </c>
      <c r="N6457" s="15">
        <v>1.0447796575379389</v>
      </c>
      <c r="O6457" s="15" t="s">
        <v>10</v>
      </c>
      <c r="P6457" s="15" t="s">
        <v>10</v>
      </c>
      <c r="Q6457" s="8"/>
      <c r="R6457" s="9" t="s">
        <v>5971</v>
      </c>
    </row>
    <row r="6458" spans="1:18" x14ac:dyDescent="0.25">
      <c r="A6458" s="6" t="str">
        <f>HYPERLINK("proteomic_fractions_linear_files/Yang_linear_img/46519156.jpg", "46519156")</f>
        <v>46519156</v>
      </c>
      <c r="B6458" s="7"/>
      <c r="C6458" s="6" t="str">
        <f>HYPERLINK("http://www.ncbi.nlm.nih.gov/protein/46519156","Rps24")</f>
        <v>Rps24</v>
      </c>
      <c r="D6458" s="8"/>
      <c r="E6458" s="8">
        <v>14938</v>
      </c>
      <c r="F6458" s="8"/>
      <c r="G6458" s="15">
        <v>1.6369880408851278</v>
      </c>
      <c r="H6458" s="15">
        <v>1.6369880408851278</v>
      </c>
      <c r="I6458" s="15">
        <v>1.1144316347071348</v>
      </c>
      <c r="J6458" s="15">
        <v>1.1144316347071348</v>
      </c>
      <c r="K6458" s="15">
        <v>1.1144316347071348</v>
      </c>
      <c r="L6458" s="15">
        <v>1.1144316347071348</v>
      </c>
      <c r="M6458" s="15">
        <v>1.1713293176905979</v>
      </c>
      <c r="N6458" s="15">
        <v>1.1713293176905979</v>
      </c>
      <c r="O6458" s="15" t="s">
        <v>10</v>
      </c>
      <c r="P6458" s="15" t="s">
        <v>10</v>
      </c>
      <c r="Q6458" s="8"/>
      <c r="R6458" s="9" t="s">
        <v>5972</v>
      </c>
    </row>
    <row r="6459" spans="1:18" x14ac:dyDescent="0.25">
      <c r="A6459" s="6" t="str">
        <f>HYPERLINK("proteomic_fractions_linear_files/Yang_linear_img/46519160.jpg", "46519160")</f>
        <v>46519160</v>
      </c>
      <c r="B6459" s="7"/>
      <c r="C6459" s="6" t="str">
        <f>HYPERLINK("http://www.ncbi.nlm.nih.gov/protein/46519160","Rps24")</f>
        <v>Rps24</v>
      </c>
      <c r="D6459" s="8"/>
      <c r="E6459" s="8">
        <v>15066</v>
      </c>
      <c r="F6459" s="8"/>
      <c r="G6459" s="15">
        <v>1.6369880408851278</v>
      </c>
      <c r="H6459" s="15">
        <v>1.6369880408851278</v>
      </c>
      <c r="I6459" s="15">
        <v>1.1144316347071348</v>
      </c>
      <c r="J6459" s="15">
        <v>1.1144316347071348</v>
      </c>
      <c r="K6459" s="15">
        <v>1.1144316347071348</v>
      </c>
      <c r="L6459" s="15">
        <v>1.1144316347071348</v>
      </c>
      <c r="M6459" s="15">
        <v>1.1713293176905979</v>
      </c>
      <c r="N6459" s="15">
        <v>1.1713293176905979</v>
      </c>
      <c r="O6459" s="15" t="s">
        <v>10</v>
      </c>
      <c r="P6459" s="15" t="s">
        <v>10</v>
      </c>
      <c r="Q6459" s="8"/>
      <c r="R6459" s="9" t="s">
        <v>5973</v>
      </c>
    </row>
    <row r="6460" spans="1:18" x14ac:dyDescent="0.25">
      <c r="A6460" s="6" t="str">
        <f>HYPERLINK("proteomic_fractions_linear_files/Yang_linear_img/28372479.jpg", "28372479")</f>
        <v>28372479</v>
      </c>
      <c r="B6460" s="7"/>
      <c r="C6460" s="6" t="str">
        <f>HYPERLINK("http://www.ncbi.nlm.nih.gov/protein/28372479","Rps25")</f>
        <v>Rps25</v>
      </c>
      <c r="D6460" s="8"/>
      <c r="E6460" s="8">
        <v>13611</v>
      </c>
      <c r="F6460" s="8"/>
      <c r="G6460" s="15">
        <v>1.7539157580912084</v>
      </c>
      <c r="H6460" s="15">
        <v>1.7539157580912084</v>
      </c>
      <c r="I6460" s="15">
        <v>1.1940338943290729</v>
      </c>
      <c r="J6460" s="15">
        <v>1.1940338943290729</v>
      </c>
      <c r="K6460" s="15">
        <v>1.2549956975256404</v>
      </c>
      <c r="L6460" s="15">
        <v>1.2549956975256404</v>
      </c>
      <c r="M6460" s="15">
        <v>1.2549956975256404</v>
      </c>
      <c r="N6460" s="15">
        <v>1.2549956975256404</v>
      </c>
      <c r="O6460" s="15">
        <v>1.1940338943290729</v>
      </c>
      <c r="P6460" s="15">
        <v>1.1940338943290729</v>
      </c>
      <c r="Q6460" s="8"/>
      <c r="R6460" s="9" t="s">
        <v>5974</v>
      </c>
    </row>
    <row r="6461" spans="1:18" x14ac:dyDescent="0.25">
      <c r="A6461" s="6" t="str">
        <f>HYPERLINK("proteomic_fractions_linear_files/Yang_linear_img/255003793.jpg", "255003793")</f>
        <v>255003793</v>
      </c>
      <c r="B6461" s="7"/>
      <c r="C6461" s="6" t="str">
        <f>HYPERLINK("http://www.ncbi.nlm.nih.gov/protein/255003793","Rps26")</f>
        <v>Rps26</v>
      </c>
      <c r="D6461" s="8"/>
      <c r="E6461" s="8">
        <v>12884</v>
      </c>
      <c r="F6461" s="8"/>
      <c r="G6461" s="15">
        <v>1.1167287478361805</v>
      </c>
      <c r="H6461" s="15">
        <v>1.1167287478361805</v>
      </c>
      <c r="I6461" s="15">
        <v>1.2251878294755212</v>
      </c>
      <c r="J6461" s="15">
        <v>1.2251878294755212</v>
      </c>
      <c r="K6461" s="15">
        <v>1.2251878294755212</v>
      </c>
      <c r="L6461" s="15">
        <v>1.2251878294755212</v>
      </c>
      <c r="M6461" s="15">
        <v>1.2251878294755212</v>
      </c>
      <c r="N6461" s="15">
        <v>1.2251878294755212</v>
      </c>
      <c r="O6461" s="15">
        <v>1.1689490995241758</v>
      </c>
      <c r="P6461" s="15">
        <v>1.1689490995241758</v>
      </c>
      <c r="Q6461" s="8"/>
      <c r="R6461" s="9" t="s">
        <v>5975</v>
      </c>
    </row>
    <row r="6462" spans="1:18" x14ac:dyDescent="0.25">
      <c r="A6462" s="6" t="str">
        <f>HYPERLINK("proteomic_fractions_linear_files/Yang_linear_img/26024336;298231238.jpg", "26024336;298231238")</f>
        <v>26024336;298231238</v>
      </c>
      <c r="B6462" s="8"/>
      <c r="C6462" s="6" t="str">
        <f>HYPERLINK("http://www.ncbi.nlm.nih.gov/protein/26024336;298231238","Rps27")</f>
        <v>Rps27</v>
      </c>
      <c r="D6462" s="8"/>
      <c r="E6462" s="8">
        <v>9330</v>
      </c>
      <c r="F6462" s="8"/>
      <c r="G6462" s="15" t="s">
        <v>10</v>
      </c>
      <c r="H6462" s="15" t="s">
        <v>10</v>
      </c>
      <c r="I6462" s="15" t="s">
        <v>10</v>
      </c>
      <c r="J6462" s="15" t="s">
        <v>10</v>
      </c>
      <c r="K6462" s="15">
        <v>1.5428722777707389</v>
      </c>
      <c r="L6462" s="15">
        <v>1.5428722777707389</v>
      </c>
      <c r="M6462" s="15" t="s">
        <v>10</v>
      </c>
      <c r="N6462" s="15" t="s">
        <v>10</v>
      </c>
      <c r="O6462" s="15" t="s">
        <v>10</v>
      </c>
      <c r="P6462" s="15" t="s">
        <v>10</v>
      </c>
      <c r="Q6462" s="8"/>
      <c r="R6462" s="9" t="s">
        <v>5976</v>
      </c>
    </row>
    <row r="6463" spans="1:18" x14ac:dyDescent="0.25">
      <c r="A6463" s="6" t="str">
        <f>HYPERLINK("proteomic_fractions_linear_files/Yang_linear_img/13195690.jpg", "13195690")</f>
        <v>13195690</v>
      </c>
      <c r="B6463" s="7"/>
      <c r="C6463" s="6" t="str">
        <f>HYPERLINK("http://www.ncbi.nlm.nih.gov/protein/13195690","Rps27a")</f>
        <v>Rps27a</v>
      </c>
      <c r="D6463" s="8"/>
      <c r="E6463" s="8">
        <v>17820</v>
      </c>
      <c r="F6463" s="8"/>
      <c r="G6463" s="15">
        <v>1.6603003828729517</v>
      </c>
      <c r="H6463" s="15">
        <v>1.6603003828729517</v>
      </c>
      <c r="I6463" s="15">
        <v>0.80652631788168594</v>
      </c>
      <c r="J6463" s="15">
        <v>0.80652631788168594</v>
      </c>
      <c r="K6463" s="15">
        <v>0.84424101632301585</v>
      </c>
      <c r="L6463" s="15">
        <v>0.84424101632301585</v>
      </c>
      <c r="M6463" s="15">
        <v>0.84424101632301585</v>
      </c>
      <c r="N6463" s="15">
        <v>0.84424101632301585</v>
      </c>
      <c r="O6463" s="15">
        <v>7.1512015636176089</v>
      </c>
      <c r="P6463" s="15">
        <v>7.1512015636176089</v>
      </c>
      <c r="Q6463" s="8"/>
      <c r="R6463" s="9" t="s">
        <v>5977</v>
      </c>
    </row>
    <row r="6464" spans="1:18" x14ac:dyDescent="0.25">
      <c r="A6464" s="6" t="str">
        <f>HYPERLINK("proteomic_fractions_linear_files/Yang_linear_img/13385958.jpg", "13385958")</f>
        <v>13385958</v>
      </c>
      <c r="B6464" s="7"/>
      <c r="C6464" s="6" t="str">
        <f>HYPERLINK("http://www.ncbi.nlm.nih.gov/protein/13385958","Rps27l")</f>
        <v>Rps27l</v>
      </c>
      <c r="D6464" s="8"/>
      <c r="E6464" s="8">
        <v>9346</v>
      </c>
      <c r="F6464" s="8"/>
      <c r="G6464" s="15">
        <v>2.1667944253372529</v>
      </c>
      <c r="H6464" s="15">
        <v>2.1667944253372529</v>
      </c>
      <c r="I6464" s="15">
        <v>1.4163577046597362</v>
      </c>
      <c r="J6464" s="15">
        <v>1.4163577046597362</v>
      </c>
      <c r="K6464" s="15">
        <v>1.4774515581112815</v>
      </c>
      <c r="L6464" s="15">
        <v>1.4774515581112815</v>
      </c>
      <c r="M6464" s="15">
        <v>1.4774515581112815</v>
      </c>
      <c r="N6464" s="15">
        <v>1.4774515581112815</v>
      </c>
      <c r="O6464" s="15">
        <v>1.3592068102590398</v>
      </c>
      <c r="P6464" s="15">
        <v>1.3592068102590398</v>
      </c>
      <c r="Q6464" s="8"/>
      <c r="R6464" s="9" t="s">
        <v>5978</v>
      </c>
    </row>
    <row r="6465" spans="1:18" x14ac:dyDescent="0.25">
      <c r="A6465" s="6" t="str">
        <f>HYPERLINK("proteomic_fractions_linear_files/Yang_linear_img/298231238.jpg", "298231238")</f>
        <v>298231238</v>
      </c>
      <c r="B6465" s="7"/>
      <c r="C6465" s="6" t="str">
        <f>HYPERLINK("http://www.ncbi.nlm.nih.gov/protein/298231238","Rps27rt")</f>
        <v>Rps27rt</v>
      </c>
      <c r="D6465" s="8"/>
      <c r="E6465" s="8">
        <v>9330</v>
      </c>
      <c r="F6465" s="8"/>
      <c r="G6465" s="15">
        <v>2.1667944253372529</v>
      </c>
      <c r="H6465" s="15">
        <v>2.1667944253372529</v>
      </c>
      <c r="I6465" s="15">
        <v>1.4163577046597362</v>
      </c>
      <c r="J6465" s="15">
        <v>1.4163577046597362</v>
      </c>
      <c r="K6465" s="15" t="s">
        <v>10</v>
      </c>
      <c r="L6465" s="15" t="s">
        <v>10</v>
      </c>
      <c r="M6465" s="15">
        <v>1.5428722777707389</v>
      </c>
      <c r="N6465" s="15">
        <v>1.5428722777707389</v>
      </c>
      <c r="O6465" s="15">
        <v>1.3592068102590398</v>
      </c>
      <c r="P6465" s="15">
        <v>1.3592068102590398</v>
      </c>
      <c r="Q6465" s="8"/>
      <c r="R6465" s="9" t="s">
        <v>5979</v>
      </c>
    </row>
    <row r="6466" spans="1:18" x14ac:dyDescent="0.25">
      <c r="A6466" s="6" t="str">
        <f>HYPERLINK("proteomic_fractions_linear_files/Yang_linear_img/21426821.jpg", "21426821")</f>
        <v>21426821</v>
      </c>
      <c r="B6466" s="7"/>
      <c r="C6466" s="6" t="str">
        <f>HYPERLINK("http://www.ncbi.nlm.nih.gov/protein/21426821","Rps28")</f>
        <v>Rps28</v>
      </c>
      <c r="D6466" s="8"/>
      <c r="E6466" s="8">
        <v>7710</v>
      </c>
      <c r="F6466" s="8"/>
      <c r="G6466" s="15">
        <v>2.3119123955705105</v>
      </c>
      <c r="H6466" s="15">
        <v>1.5291076615414196</v>
      </c>
      <c r="I6466" s="15">
        <v>1.5291076615414196</v>
      </c>
      <c r="J6466" s="15">
        <v>1.5291076615414196</v>
      </c>
      <c r="K6466" s="15">
        <v>1.5291076615414196</v>
      </c>
      <c r="L6466" s="15">
        <v>1.5291076615414196</v>
      </c>
      <c r="M6466" s="15">
        <v>1.6621330028751917</v>
      </c>
      <c r="N6466" s="15">
        <v>1.6621330028751917</v>
      </c>
      <c r="O6466" s="15" t="s">
        <v>10</v>
      </c>
      <c r="P6466" s="15" t="s">
        <v>10</v>
      </c>
      <c r="Q6466" s="8"/>
      <c r="R6466" s="9" t="s">
        <v>5980</v>
      </c>
    </row>
    <row r="6467" spans="1:18" x14ac:dyDescent="0.25">
      <c r="A6467" s="6" t="str">
        <f>HYPERLINK("proteomic_fractions_linear_files/Yang_linear_img/6677803.jpg", "6677803")</f>
        <v>6677803</v>
      </c>
      <c r="B6467" s="7"/>
      <c r="C6467" s="6" t="str">
        <f>HYPERLINK("http://www.ncbi.nlm.nih.gov/protein/6677803","Rps29")</f>
        <v>Rps29</v>
      </c>
      <c r="D6467" s="8"/>
      <c r="E6467" s="8">
        <v>6546</v>
      </c>
      <c r="F6467" s="8"/>
      <c r="G6467" s="15">
        <v>2.6421855949377262</v>
      </c>
      <c r="H6467" s="15">
        <v>2.6421855949377262</v>
      </c>
      <c r="I6467" s="15">
        <v>1.821031334562518</v>
      </c>
      <c r="J6467" s="15">
        <v>1.821031334562518</v>
      </c>
      <c r="K6467" s="15">
        <v>1.8995805747145049</v>
      </c>
      <c r="L6467" s="15">
        <v>1.8995805747145049</v>
      </c>
      <c r="M6467" s="15">
        <v>1.821031334562518</v>
      </c>
      <c r="N6467" s="15">
        <v>1.821031334562518</v>
      </c>
      <c r="O6467" s="15" t="s">
        <v>10</v>
      </c>
      <c r="P6467" s="15" t="s">
        <v>10</v>
      </c>
      <c r="Q6467" s="8"/>
      <c r="R6467" s="9" t="s">
        <v>5981</v>
      </c>
    </row>
    <row r="6468" spans="1:18" x14ac:dyDescent="0.25">
      <c r="A6468" s="6" t="str">
        <f>HYPERLINK("proteomic_fractions_linear_files/Yang_linear_img/6755372.jpg", "6755372")</f>
        <v>6755372</v>
      </c>
      <c r="B6468" s="7"/>
      <c r="C6468" s="6" t="str">
        <f>HYPERLINK("http://www.ncbi.nlm.nih.gov/protein/6755372","Rps3")</f>
        <v>Rps3</v>
      </c>
      <c r="D6468" s="8"/>
      <c r="E6468" s="8">
        <v>26543</v>
      </c>
      <c r="F6468" s="8"/>
      <c r="G6468" s="15">
        <v>1.3830120897453553</v>
      </c>
      <c r="H6468" s="15">
        <v>1.3830120897453553</v>
      </c>
      <c r="I6468" s="15">
        <v>0.96852807834907406</v>
      </c>
      <c r="J6468" s="15">
        <v>0.96852807834907406</v>
      </c>
      <c r="K6468" s="15">
        <v>1.0340078258400762</v>
      </c>
      <c r="L6468" s="15">
        <v>1.0340078258400762</v>
      </c>
      <c r="M6468" s="15">
        <v>1.0340078258400762</v>
      </c>
      <c r="N6468" s="15">
        <v>1.0340078258400762</v>
      </c>
      <c r="O6468" s="15" t="s">
        <v>10</v>
      </c>
      <c r="P6468" s="15" t="s">
        <v>10</v>
      </c>
      <c r="Q6468" s="8"/>
      <c r="R6468" s="9" t="s">
        <v>5982</v>
      </c>
    </row>
    <row r="6469" spans="1:18" x14ac:dyDescent="0.25">
      <c r="A6469" s="6" t="str">
        <f>HYPERLINK("proteomic_fractions_linear_files/Yang_linear_img/254553321.jpg", "254553321")</f>
        <v>254553321</v>
      </c>
      <c r="B6469" s="7"/>
      <c r="C6469" s="6" t="str">
        <f>HYPERLINK("http://www.ncbi.nlm.nih.gov/protein/254553321","Rps3a1")</f>
        <v>Rps3a1</v>
      </c>
      <c r="D6469" s="8"/>
      <c r="E6469" s="8">
        <v>29754</v>
      </c>
      <c r="F6469" s="8"/>
      <c r="G6469" s="15">
        <v>1.3502439401074249</v>
      </c>
      <c r="H6469" s="15">
        <v>1.3502439401074249</v>
      </c>
      <c r="I6469" s="15">
        <v>0.99618022972377107</v>
      </c>
      <c r="J6469" s="15">
        <v>0.99618022972377107</v>
      </c>
      <c r="K6469" s="15">
        <v>0.99618022972377107</v>
      </c>
      <c r="L6469" s="15">
        <v>0.99618022972377107</v>
      </c>
      <c r="M6469" s="15">
        <v>0.99618022972377107</v>
      </c>
      <c r="N6469" s="15">
        <v>0.99618022972377107</v>
      </c>
      <c r="O6469" s="15">
        <v>0.87167527051416671</v>
      </c>
      <c r="P6469" s="15">
        <v>0.87167527051416671</v>
      </c>
      <c r="Q6469" s="8"/>
      <c r="R6469" s="9" t="s">
        <v>5983</v>
      </c>
    </row>
    <row r="6470" spans="1:18" x14ac:dyDescent="0.25">
      <c r="A6470" s="6" t="str">
        <f>HYPERLINK("proteomic_fractions_linear_files/Yang_linear_img/6677805.jpg", "6677805")</f>
        <v>6677805</v>
      </c>
      <c r="B6470" s="7"/>
      <c r="C6470" s="6" t="str">
        <f>HYPERLINK("http://www.ncbi.nlm.nih.gov/protein/6677805","Rps4x")</f>
        <v>Rps4x</v>
      </c>
      <c r="D6470" s="8"/>
      <c r="E6470" s="8">
        <v>29467</v>
      </c>
      <c r="F6470" s="8"/>
      <c r="G6470" s="15">
        <v>1.2876319456249858</v>
      </c>
      <c r="H6470" s="15">
        <v>1.2876319456249858</v>
      </c>
      <c r="I6470" s="15">
        <v>0.90173303846293107</v>
      </c>
      <c r="J6470" s="15">
        <v>0.90173303846293107</v>
      </c>
      <c r="K6470" s="15">
        <v>0.96269694129938133</v>
      </c>
      <c r="L6470" s="15">
        <v>0.96269694129938133</v>
      </c>
      <c r="M6470" s="15">
        <v>0.90173303846293107</v>
      </c>
      <c r="N6470" s="15">
        <v>0.90173303846293107</v>
      </c>
      <c r="O6470" s="15">
        <v>0.79688184050749811</v>
      </c>
      <c r="P6470" s="15">
        <v>0.79688184050749811</v>
      </c>
      <c r="Q6470" s="8"/>
      <c r="R6470" s="9" t="s">
        <v>5984</v>
      </c>
    </row>
    <row r="6471" spans="1:18" x14ac:dyDescent="0.25">
      <c r="A6471" s="6" t="str">
        <f>HYPERLINK("proteomic_fractions_linear_files/Yang_linear_img/254675270.jpg", "254675270")</f>
        <v>254675270</v>
      </c>
      <c r="B6471" s="7"/>
      <c r="C6471" s="6" t="str">
        <f>HYPERLINK("http://www.ncbi.nlm.nih.gov/protein/254675270","Rps5")</f>
        <v>Rps5</v>
      </c>
      <c r="D6471" s="8"/>
      <c r="E6471" s="8">
        <v>22745</v>
      </c>
      <c r="F6471" s="8"/>
      <c r="G6471" s="15">
        <v>1.0676008962294312</v>
      </c>
      <c r="H6471" s="15">
        <v>1.0676008962294312</v>
      </c>
      <c r="I6471" s="15">
        <v>0.89554092115896833</v>
      </c>
      <c r="J6471" s="15">
        <v>0.89554092115896833</v>
      </c>
      <c r="K6471" s="15">
        <v>0.94764096829038047</v>
      </c>
      <c r="L6471" s="15">
        <v>0.94764096829038047</v>
      </c>
      <c r="M6471" s="15">
        <v>0.89554092115896833</v>
      </c>
      <c r="N6471" s="15">
        <v>0.89554092115896833</v>
      </c>
      <c r="O6471" s="15">
        <v>0.89554092115896833</v>
      </c>
      <c r="P6471" s="15">
        <v>0.89554092115896833</v>
      </c>
      <c r="Q6471" s="8"/>
      <c r="R6471" s="9" t="s">
        <v>5985</v>
      </c>
    </row>
    <row r="6472" spans="1:18" x14ac:dyDescent="0.25">
      <c r="A6472" s="6" t="str">
        <f>HYPERLINK("proteomic_fractions_linear_files/Yang_linear_img/158636007.jpg", "158636007")</f>
        <v>158636007</v>
      </c>
      <c r="B6472" s="7"/>
      <c r="C6472" s="6" t="str">
        <f>HYPERLINK("http://www.ncbi.nlm.nih.gov/protein/158636007","Rps6ka1")</f>
        <v>Rps6ka1</v>
      </c>
      <c r="D6472" s="8"/>
      <c r="E6472" s="8">
        <v>82715</v>
      </c>
      <c r="F6472" s="8"/>
      <c r="G6472" s="15" t="s">
        <v>10</v>
      </c>
      <c r="H6472" s="15" t="s">
        <v>10</v>
      </c>
      <c r="I6472" s="15">
        <v>1.001188656302938</v>
      </c>
      <c r="J6472" s="15">
        <v>1.001188656302938</v>
      </c>
      <c r="K6472" s="15">
        <v>1.1441925443684882</v>
      </c>
      <c r="L6472" s="15">
        <v>1.1441925443684882</v>
      </c>
      <c r="M6472" s="15">
        <v>1.001188656302938</v>
      </c>
      <c r="N6472" s="15">
        <v>1.001188656302938</v>
      </c>
      <c r="O6472" s="15">
        <v>1.001188656302938</v>
      </c>
      <c r="P6472" s="15">
        <v>1.001188656302938</v>
      </c>
      <c r="Q6472" s="8"/>
      <c r="R6472" s="9" t="s">
        <v>5986</v>
      </c>
    </row>
    <row r="6473" spans="1:18" x14ac:dyDescent="0.25">
      <c r="A6473" s="6" t="str">
        <f>HYPERLINK("proteomic_fractions_linear_files/Yang_linear_img/6755374.jpg", "6755374")</f>
        <v>6755374</v>
      </c>
      <c r="B6473" s="7"/>
      <c r="C6473" s="6" t="str">
        <f>HYPERLINK("http://www.ncbi.nlm.nih.gov/protein/6755374","Rps6ka2")</f>
        <v>Rps6ka2</v>
      </c>
      <c r="D6473" s="8"/>
      <c r="E6473" s="8">
        <v>83026</v>
      </c>
      <c r="F6473" s="8"/>
      <c r="G6473" s="15" t="s">
        <v>10</v>
      </c>
      <c r="H6473" s="15" t="s">
        <v>10</v>
      </c>
      <c r="I6473" s="15">
        <v>1.001188656302938</v>
      </c>
      <c r="J6473" s="15">
        <v>1.001188656302938</v>
      </c>
      <c r="K6473" s="15">
        <v>1.1441925443684882</v>
      </c>
      <c r="L6473" s="15">
        <v>1.1441925443684882</v>
      </c>
      <c r="M6473" s="15">
        <v>1.001188656302938</v>
      </c>
      <c r="N6473" s="15">
        <v>1.001188656302938</v>
      </c>
      <c r="O6473" s="15">
        <v>1.001188656302938</v>
      </c>
      <c r="P6473" s="15">
        <v>1.001188656302938</v>
      </c>
      <c r="Q6473" s="8"/>
      <c r="R6473" s="9" t="s">
        <v>5987</v>
      </c>
    </row>
    <row r="6474" spans="1:18" x14ac:dyDescent="0.25">
      <c r="A6474" s="6" t="str">
        <f>HYPERLINK("proteomic_fractions_linear_files/Yang_linear_img/22507357.jpg", "22507357")</f>
        <v>22507357</v>
      </c>
      <c r="B6474" s="7"/>
      <c r="C6474" s="6" t="str">
        <f>HYPERLINK("http://www.ncbi.nlm.nih.gov/protein/22507357","Rps6ka3")</f>
        <v>Rps6ka3</v>
      </c>
      <c r="D6474" s="8"/>
      <c r="E6474" s="8">
        <v>83563</v>
      </c>
      <c r="F6474" s="8"/>
      <c r="G6474" s="15" t="s">
        <v>10</v>
      </c>
      <c r="H6474" s="15" t="s">
        <v>10</v>
      </c>
      <c r="I6474" s="15">
        <v>0.98926974372790311</v>
      </c>
      <c r="J6474" s="15">
        <v>0.98926974372790311</v>
      </c>
      <c r="K6474" s="15">
        <v>1.1305712045545775</v>
      </c>
      <c r="L6474" s="15">
        <v>1.1305712045545775</v>
      </c>
      <c r="M6474" s="15">
        <v>0.98926974372790311</v>
      </c>
      <c r="N6474" s="15">
        <v>1.1305712045545775</v>
      </c>
      <c r="O6474" s="15">
        <v>0.98926974372790311</v>
      </c>
      <c r="P6474" s="15">
        <v>0.98926974372790311</v>
      </c>
      <c r="Q6474" s="8"/>
      <c r="R6474" s="9" t="s">
        <v>5988</v>
      </c>
    </row>
    <row r="6475" spans="1:18" x14ac:dyDescent="0.25">
      <c r="A6475" s="6" t="str">
        <f>HYPERLINK("proteomic_fractions_linear_files/Yang_linear_img/9910454.jpg", "9910454")</f>
        <v>9910454</v>
      </c>
      <c r="B6475" s="7"/>
      <c r="C6475" s="6" t="str">
        <f>HYPERLINK("http://www.ncbi.nlm.nih.gov/protein/9910454","Rps6ka4")</f>
        <v>Rps6ka4</v>
      </c>
      <c r="D6475" s="8"/>
      <c r="E6475" s="8">
        <v>85608</v>
      </c>
      <c r="F6475" s="8"/>
      <c r="G6475" s="15" t="s">
        <v>10</v>
      </c>
      <c r="H6475" s="15" t="s">
        <v>10</v>
      </c>
      <c r="I6475" s="15" t="s">
        <v>10</v>
      </c>
      <c r="J6475" s="15" t="s">
        <v>10</v>
      </c>
      <c r="K6475" s="15">
        <v>1.104278850960285</v>
      </c>
      <c r="L6475" s="15">
        <v>1.104278850960285</v>
      </c>
      <c r="M6475" s="15">
        <v>1.104278850960285</v>
      </c>
      <c r="N6475" s="15">
        <v>1.104278850960285</v>
      </c>
      <c r="O6475" s="15">
        <v>0.96626347061795181</v>
      </c>
      <c r="P6475" s="15">
        <v>0.96626347061795181</v>
      </c>
      <c r="Q6475" s="8"/>
      <c r="R6475" s="9" t="s">
        <v>5989</v>
      </c>
    </row>
    <row r="6476" spans="1:18" x14ac:dyDescent="0.25">
      <c r="A6476" s="6" t="str">
        <f>HYPERLINK("proteomic_fractions_linear_files/Yang_linear_img/23956386.jpg", "23956386")</f>
        <v>23956386</v>
      </c>
      <c r="B6476" s="7"/>
      <c r="C6476" s="6" t="str">
        <f>HYPERLINK("http://www.ncbi.nlm.nih.gov/protein/23956386","Rps6ka5")</f>
        <v>Rps6ka5</v>
      </c>
      <c r="D6476" s="8"/>
      <c r="E6476" s="8">
        <v>96453</v>
      </c>
      <c r="F6476" s="8"/>
      <c r="G6476" s="15" t="s">
        <v>10</v>
      </c>
      <c r="H6476" s="15" t="s">
        <v>10</v>
      </c>
      <c r="I6476" s="15">
        <v>0.9892498039852553</v>
      </c>
      <c r="J6476" s="15">
        <v>0.9892498039852553</v>
      </c>
      <c r="K6476" s="15">
        <v>1.1437662898034529</v>
      </c>
      <c r="L6476" s="15">
        <v>1.1437662898034529</v>
      </c>
      <c r="M6476" s="15">
        <v>0.9892498039852553</v>
      </c>
      <c r="N6476" s="15">
        <v>0.9892498039852553</v>
      </c>
      <c r="O6476" s="15">
        <v>0.9892498039852553</v>
      </c>
      <c r="P6476" s="15">
        <v>0.9892498039852553</v>
      </c>
      <c r="Q6476" s="8"/>
      <c r="R6476" s="9" t="s">
        <v>5990</v>
      </c>
    </row>
    <row r="6477" spans="1:18" x14ac:dyDescent="0.25">
      <c r="A6477" s="6" t="str">
        <f>HYPERLINK("proteomic_fractions_linear_files/Yang_linear_img/67625733.jpg", "67625733")</f>
        <v>67625733</v>
      </c>
      <c r="B6477" s="7"/>
      <c r="C6477" s="6" t="str">
        <f>HYPERLINK("http://www.ncbi.nlm.nih.gov/protein/67625733","Rps6ka6")</f>
        <v>Rps6ka6</v>
      </c>
      <c r="D6477" s="8"/>
      <c r="E6477" s="8">
        <v>97350</v>
      </c>
      <c r="F6477" s="8"/>
      <c r="G6477" s="15" t="s">
        <v>10</v>
      </c>
      <c r="H6477" s="15" t="s">
        <v>10</v>
      </c>
      <c r="I6477" s="15" t="s">
        <v>10</v>
      </c>
      <c r="J6477" s="15" t="s">
        <v>10</v>
      </c>
      <c r="K6477" s="15" t="s">
        <v>10</v>
      </c>
      <c r="L6477" s="15" t="s">
        <v>10</v>
      </c>
      <c r="M6477" s="15" t="s">
        <v>10</v>
      </c>
      <c r="N6477" s="15" t="s">
        <v>10</v>
      </c>
      <c r="O6477" s="15">
        <v>0.85668720075406035</v>
      </c>
      <c r="P6477" s="15">
        <v>0.85668720075406035</v>
      </c>
      <c r="Q6477" s="8"/>
      <c r="R6477" s="9" t="s">
        <v>5991</v>
      </c>
    </row>
    <row r="6478" spans="1:18" x14ac:dyDescent="0.25">
      <c r="A6478" s="6" t="str">
        <f>HYPERLINK("proteomic_fractions_linear_files/Yang_linear_img/166999987.jpg", "166999987")</f>
        <v>166999987</v>
      </c>
      <c r="B6478" s="7"/>
      <c r="C6478" s="6" t="str">
        <f>HYPERLINK("http://www.ncbi.nlm.nih.gov/protein/166999987","Rps6kb1")</f>
        <v>Rps6kb1</v>
      </c>
      <c r="D6478" s="8"/>
      <c r="E6478" s="8">
        <v>59015</v>
      </c>
      <c r="F6478" s="8"/>
      <c r="G6478" s="15" t="s">
        <v>10</v>
      </c>
      <c r="H6478" s="15" t="s">
        <v>10</v>
      </c>
      <c r="I6478" s="15" t="s">
        <v>10</v>
      </c>
      <c r="J6478" s="15" t="s">
        <v>10</v>
      </c>
      <c r="K6478" s="15" t="s">
        <v>10</v>
      </c>
      <c r="L6478" s="15" t="s">
        <v>10</v>
      </c>
      <c r="M6478" s="15" t="s">
        <v>10</v>
      </c>
      <c r="N6478" s="15" t="s">
        <v>10</v>
      </c>
      <c r="O6478" s="15">
        <v>0.99615606077277719</v>
      </c>
      <c r="P6478" s="15">
        <v>0.99615606077277719</v>
      </c>
      <c r="Q6478" s="8"/>
      <c r="R6478" s="9" t="s">
        <v>5992</v>
      </c>
    </row>
    <row r="6479" spans="1:18" x14ac:dyDescent="0.25">
      <c r="A6479" s="6" t="str">
        <f>HYPERLINK("proteomic_fractions_linear_files/Yang_linear_img/29789225.jpg", "29789225")</f>
        <v>29789225</v>
      </c>
      <c r="B6479" s="7"/>
      <c r="C6479" s="6" t="str">
        <f>HYPERLINK("http://www.ncbi.nlm.nih.gov/protein/29789225","Rps6kb1")</f>
        <v>Rps6kb1</v>
      </c>
      <c r="D6479" s="8"/>
      <c r="E6479" s="8">
        <v>35711</v>
      </c>
      <c r="F6479" s="8"/>
      <c r="G6479" s="15" t="s">
        <v>10</v>
      </c>
      <c r="H6479" s="15" t="s">
        <v>10</v>
      </c>
      <c r="I6479" s="15" t="s">
        <v>10</v>
      </c>
      <c r="J6479" s="15" t="s">
        <v>10</v>
      </c>
      <c r="K6479" s="15" t="s">
        <v>10</v>
      </c>
      <c r="L6479" s="15" t="s">
        <v>10</v>
      </c>
      <c r="M6479" s="15" t="s">
        <v>10</v>
      </c>
      <c r="N6479" s="15" t="s">
        <v>10</v>
      </c>
      <c r="O6479" s="15">
        <v>1.6325890995998291</v>
      </c>
      <c r="P6479" s="15">
        <v>1.6325890995998291</v>
      </c>
      <c r="Q6479" s="8"/>
      <c r="R6479" s="9" t="s">
        <v>5993</v>
      </c>
    </row>
    <row r="6480" spans="1:18" x14ac:dyDescent="0.25">
      <c r="A6480" s="6" t="str">
        <f>HYPERLINK("proteomic_fractions_linear_files/Yang_linear_img/10946894.jpg", "10946894")</f>
        <v>10946894</v>
      </c>
      <c r="B6480" s="7"/>
      <c r="C6480" s="6" t="str">
        <f>HYPERLINK("http://www.ncbi.nlm.nih.gov/protein/10946894","Rps6kb2")</f>
        <v>Rps6kb2</v>
      </c>
      <c r="D6480" s="8"/>
      <c r="E6480" s="8">
        <v>53407</v>
      </c>
      <c r="F6480" s="8"/>
      <c r="G6480" s="15" t="s">
        <v>10</v>
      </c>
      <c r="H6480" s="15" t="s">
        <v>10</v>
      </c>
      <c r="I6480" s="15" t="s">
        <v>10</v>
      </c>
      <c r="J6480" s="15" t="s">
        <v>10</v>
      </c>
      <c r="K6480" s="15">
        <v>1.2349672326517798</v>
      </c>
      <c r="L6480" s="15">
        <v>1.2349672326517798</v>
      </c>
      <c r="M6480" s="15">
        <v>1.1089284450112047</v>
      </c>
      <c r="N6480" s="15">
        <v>1.1089284450112047</v>
      </c>
      <c r="O6480" s="15">
        <v>1.0022748986792656</v>
      </c>
      <c r="P6480" s="15">
        <v>1.0022748986792656</v>
      </c>
      <c r="Q6480" s="8"/>
      <c r="R6480" s="9" t="s">
        <v>5994</v>
      </c>
    </row>
    <row r="6481" spans="1:18" x14ac:dyDescent="0.25">
      <c r="A6481" s="6" t="str">
        <f>HYPERLINK("proteomic_fractions_linear_files/Yang_linear_img/94367038.jpg", "94367038")</f>
        <v>94367038</v>
      </c>
      <c r="B6481" s="7"/>
      <c r="C6481" s="6" t="str">
        <f>HYPERLINK("http://www.ncbi.nlm.nih.gov/protein/94367038","Rps6-ps4")</f>
        <v>Rps6-ps4</v>
      </c>
      <c r="D6481" s="8"/>
      <c r="E6481" s="8">
        <v>28550</v>
      </c>
      <c r="F6481" s="8"/>
      <c r="G6481" s="15">
        <v>1.3968040759731981</v>
      </c>
      <c r="H6481" s="15">
        <v>1.3968040759731981</v>
      </c>
      <c r="I6481" s="15">
        <v>0.96269694129938133</v>
      </c>
      <c r="J6481" s="15">
        <v>0.96269694129938133</v>
      </c>
      <c r="K6481" s="15">
        <v>1.0305312721280391</v>
      </c>
      <c r="L6481" s="15">
        <v>1.0305312721280391</v>
      </c>
      <c r="M6481" s="15">
        <v>0.96269694129938133</v>
      </c>
      <c r="N6481" s="15">
        <v>0.96269694129938133</v>
      </c>
      <c r="O6481" s="15" t="s">
        <v>10</v>
      </c>
      <c r="P6481" s="15" t="s">
        <v>10</v>
      </c>
      <c r="Q6481" s="8"/>
      <c r="R6481" s="9" t="s">
        <v>8326</v>
      </c>
    </row>
    <row r="6482" spans="1:18" x14ac:dyDescent="0.25">
      <c r="A6482" s="6" t="str">
        <f>HYPERLINK("proteomic_fractions_linear_files/Yang_linear_img/6755376.jpg", "6755376")</f>
        <v>6755376</v>
      </c>
      <c r="B6482" s="7"/>
      <c r="C6482" s="6" t="str">
        <f>HYPERLINK("http://www.ncbi.nlm.nih.gov/protein/6755376","Rps7")</f>
        <v>Rps7</v>
      </c>
      <c r="D6482" s="8"/>
      <c r="E6482" s="8">
        <v>21996</v>
      </c>
      <c r="F6482" s="8"/>
      <c r="G6482" s="15">
        <v>10.607311255811322</v>
      </c>
      <c r="H6482" s="15">
        <v>10.607311255811322</v>
      </c>
      <c r="I6482" s="15">
        <v>0.93624732666619426</v>
      </c>
      <c r="J6482" s="15">
        <v>0.93624732666619426</v>
      </c>
      <c r="K6482" s="15">
        <v>0.99071555775812503</v>
      </c>
      <c r="L6482" s="15">
        <v>0.99071555775812503</v>
      </c>
      <c r="M6482" s="15">
        <v>0.93624732666619426</v>
      </c>
      <c r="N6482" s="15">
        <v>0.93624732666619426</v>
      </c>
      <c r="O6482" s="15" t="s">
        <v>10</v>
      </c>
      <c r="P6482" s="15" t="s">
        <v>10</v>
      </c>
      <c r="Q6482" s="8"/>
      <c r="R6482" s="9" t="s">
        <v>5995</v>
      </c>
    </row>
    <row r="6483" spans="1:18" x14ac:dyDescent="0.25">
      <c r="A6483" s="6" t="str">
        <f>HYPERLINK("proteomic_fractions_linear_files/Yang_linear_img/33504483.jpg", "33504483")</f>
        <v>33504483</v>
      </c>
      <c r="B6483" s="7"/>
      <c r="C6483" s="6" t="str">
        <f>HYPERLINK("http://www.ncbi.nlm.nih.gov/protein/33504483","Rps9")</f>
        <v>Rps9</v>
      </c>
      <c r="D6483" s="8"/>
      <c r="E6483" s="8">
        <v>22460</v>
      </c>
      <c r="F6483" s="8"/>
      <c r="G6483" s="15">
        <v>1.3584275859869606</v>
      </c>
      <c r="H6483" s="15">
        <v>1.3584275859869606</v>
      </c>
      <c r="I6483" s="15">
        <v>0.93624732666619426</v>
      </c>
      <c r="J6483" s="15">
        <v>0.93624732666619426</v>
      </c>
      <c r="K6483" s="15">
        <v>0.93624732666619426</v>
      </c>
      <c r="L6483" s="15">
        <v>0.99071555775812503</v>
      </c>
      <c r="M6483" s="15">
        <v>0.99071555775812503</v>
      </c>
      <c r="N6483" s="15">
        <v>0.99071555775812503</v>
      </c>
      <c r="O6483" s="15" t="s">
        <v>10</v>
      </c>
      <c r="P6483" s="15" t="s">
        <v>10</v>
      </c>
      <c r="Q6483" s="8"/>
      <c r="R6483" s="9" t="s">
        <v>5996</v>
      </c>
    </row>
    <row r="6484" spans="1:18" x14ac:dyDescent="0.25">
      <c r="A6484" s="6" t="str">
        <f>HYPERLINK("proteomic_fractions_linear_files/Yang_linear_img/154146249.jpg", "154146249")</f>
        <v>154146249</v>
      </c>
      <c r="B6484" s="7"/>
      <c r="C6484" s="6" t="str">
        <f>HYPERLINK("http://www.ncbi.nlm.nih.gov/protein/154146249","Rptor")</f>
        <v>Rptor</v>
      </c>
      <c r="D6484" s="8"/>
      <c r="E6484" s="8">
        <v>149367</v>
      </c>
      <c r="F6484" s="8"/>
      <c r="G6484" s="15" t="s">
        <v>10</v>
      </c>
      <c r="H6484" s="15" t="s">
        <v>10</v>
      </c>
      <c r="I6484" s="15">
        <v>1.0298850411828311</v>
      </c>
      <c r="J6484" s="15">
        <v>1.0298850411828311</v>
      </c>
      <c r="K6484" s="15">
        <v>1.2534619573150361</v>
      </c>
      <c r="L6484" s="15">
        <v>1.2534619573150361</v>
      </c>
      <c r="M6484" s="15">
        <v>0.55770911726942185</v>
      </c>
      <c r="N6484" s="15">
        <v>0.55770911726942185</v>
      </c>
      <c r="O6484" s="15">
        <v>1.2534619573150361</v>
      </c>
      <c r="P6484" s="15">
        <v>1.2534619573150361</v>
      </c>
      <c r="Q6484" s="8"/>
      <c r="R6484" s="9" t="s">
        <v>5997</v>
      </c>
    </row>
    <row r="6485" spans="1:18" x14ac:dyDescent="0.25">
      <c r="A6485" s="6" t="str">
        <f>HYPERLINK("proteomic_fractions_linear_files/Yang_linear_img/27734094.jpg", "27734094")</f>
        <v>27734094</v>
      </c>
      <c r="B6485" s="7"/>
      <c r="C6485" s="6" t="str">
        <f>HYPERLINK("http://www.ncbi.nlm.nih.gov/protein/27734094","Rpusd2")</f>
        <v>Rpusd2</v>
      </c>
      <c r="D6485" s="8"/>
      <c r="E6485" s="8">
        <v>61404</v>
      </c>
      <c r="F6485" s="8"/>
      <c r="G6485" s="15" t="s">
        <v>10</v>
      </c>
      <c r="H6485" s="15" t="s">
        <v>10</v>
      </c>
      <c r="I6485" s="15" t="s">
        <v>10</v>
      </c>
      <c r="J6485" s="15" t="s">
        <v>10</v>
      </c>
      <c r="K6485" s="15" t="s">
        <v>10</v>
      </c>
      <c r="L6485" s="15" t="s">
        <v>10</v>
      </c>
      <c r="M6485" s="15" t="s">
        <v>10</v>
      </c>
      <c r="N6485" s="15" t="s">
        <v>10</v>
      </c>
      <c r="O6485" s="15">
        <v>1.2038714793718401</v>
      </c>
      <c r="P6485" s="15">
        <v>1.2038714793718401</v>
      </c>
      <c r="Q6485" s="8"/>
      <c r="R6485" s="9" t="s">
        <v>5998</v>
      </c>
    </row>
    <row r="6486" spans="1:18" x14ac:dyDescent="0.25">
      <c r="A6486" s="6" t="str">
        <f>HYPERLINK("proteomic_fractions_linear_files/Yang_linear_img/10946722.jpg", "10946722")</f>
        <v>10946722</v>
      </c>
      <c r="B6486" s="7"/>
      <c r="C6486" s="6" t="str">
        <f>HYPERLINK("http://www.ncbi.nlm.nih.gov/protein/10946722","Rqcd1")</f>
        <v>Rqcd1</v>
      </c>
      <c r="D6486" s="8"/>
      <c r="E6486" s="8">
        <v>33470</v>
      </c>
      <c r="F6486" s="8"/>
      <c r="G6486" s="15">
        <v>0.74408547312960349</v>
      </c>
      <c r="H6486" s="15">
        <v>0.74408547312960349</v>
      </c>
      <c r="I6486" s="15">
        <v>0.79243206410378786</v>
      </c>
      <c r="J6486" s="15">
        <v>0.79243206410378786</v>
      </c>
      <c r="K6486" s="15">
        <v>0.84600640296006246</v>
      </c>
      <c r="L6486" s="15">
        <v>0.84600640296006246</v>
      </c>
      <c r="M6486" s="15">
        <v>0.84600640296006246</v>
      </c>
      <c r="N6486" s="15">
        <v>0.84600640296006246</v>
      </c>
      <c r="O6486" s="15" t="s">
        <v>10</v>
      </c>
      <c r="P6486" s="15" t="s">
        <v>10</v>
      </c>
      <c r="Q6486" s="8"/>
      <c r="R6486" s="9" t="s">
        <v>5999</v>
      </c>
    </row>
    <row r="6487" spans="1:18" x14ac:dyDescent="0.25">
      <c r="A6487" s="6" t="str">
        <f>HYPERLINK("proteomic_fractions_linear_files/Yang_linear_img/31541819.jpg", "31541819")</f>
        <v>31541819</v>
      </c>
      <c r="B6487" s="7"/>
      <c r="C6487" s="6" t="str">
        <f>HYPERLINK("http://www.ncbi.nlm.nih.gov/protein/31541819","Rraga")</f>
        <v>Rraga</v>
      </c>
      <c r="D6487" s="8"/>
      <c r="E6487" s="8">
        <v>36435</v>
      </c>
      <c r="F6487" s="8"/>
      <c r="G6487" s="15" t="s">
        <v>10</v>
      </c>
      <c r="H6487" s="15" t="s">
        <v>10</v>
      </c>
      <c r="I6487" s="15">
        <v>0.83015019143647584</v>
      </c>
      <c r="J6487" s="15">
        <v>0.83015019143647584</v>
      </c>
      <c r="K6487" s="15">
        <v>0.83015019143647584</v>
      </c>
      <c r="L6487" s="15">
        <v>0.83015019143647584</v>
      </c>
      <c r="M6487" s="15">
        <v>0.83015019143647584</v>
      </c>
      <c r="N6487" s="15">
        <v>0.83015019143647584</v>
      </c>
      <c r="O6487" s="15">
        <v>0.77550586938005717</v>
      </c>
      <c r="P6487" s="15">
        <v>0.77550586938005717</v>
      </c>
      <c r="Q6487" s="8"/>
      <c r="R6487" s="9" t="s">
        <v>6000</v>
      </c>
    </row>
    <row r="6488" spans="1:18" x14ac:dyDescent="0.25">
      <c r="A6488" s="6" t="str">
        <f>HYPERLINK("proteomic_fractions_linear_files/Yang_linear_img/51921311.jpg", "51921311")</f>
        <v>51921311</v>
      </c>
      <c r="B6488" s="7"/>
      <c r="C6488" s="6" t="str">
        <f>HYPERLINK("http://www.ncbi.nlm.nih.gov/protein/51921311","Rragb")</f>
        <v>Rragb</v>
      </c>
      <c r="D6488" s="8"/>
      <c r="E6488" s="8">
        <v>43061</v>
      </c>
      <c r="F6488" s="8"/>
      <c r="G6488" s="15" t="s">
        <v>10</v>
      </c>
      <c r="H6488" s="15" t="s">
        <v>10</v>
      </c>
      <c r="I6488" s="15">
        <v>0.6950094625979798</v>
      </c>
      <c r="J6488" s="15">
        <v>0.6950094625979798</v>
      </c>
      <c r="K6488" s="15">
        <v>0.6950094625979798</v>
      </c>
      <c r="L6488" s="15">
        <v>0.6950094625979798</v>
      </c>
      <c r="M6488" s="15">
        <v>0.6950094625979798</v>
      </c>
      <c r="N6488" s="15">
        <v>0.6950094625979798</v>
      </c>
      <c r="O6488" s="15">
        <v>0.64926072785307121</v>
      </c>
      <c r="P6488" s="15">
        <v>0.64926072785307121</v>
      </c>
      <c r="Q6488" s="8"/>
      <c r="R6488" s="9" t="s">
        <v>6001</v>
      </c>
    </row>
    <row r="6489" spans="1:18" x14ac:dyDescent="0.25">
      <c r="A6489" s="6" t="str">
        <f>HYPERLINK("proteomic_fractions_linear_files/Yang_linear_img/114145487.jpg", "114145487")</f>
        <v>114145487</v>
      </c>
      <c r="B6489" s="7"/>
      <c r="C6489" s="6" t="str">
        <f>HYPERLINK("http://www.ncbi.nlm.nih.gov/protein/114145487","Rragc")</f>
        <v>Rragc</v>
      </c>
      <c r="D6489" s="8"/>
      <c r="E6489" s="8">
        <v>43990</v>
      </c>
      <c r="F6489" s="8"/>
      <c r="G6489" s="15" t="s">
        <v>10</v>
      </c>
      <c r="H6489" s="15" t="s">
        <v>10</v>
      </c>
      <c r="I6489" s="15">
        <v>1.0974994451003466</v>
      </c>
      <c r="J6489" s="15">
        <v>1.0974994451003466</v>
      </c>
      <c r="K6489" s="15">
        <v>1.2072856734091155</v>
      </c>
      <c r="L6489" s="15">
        <v>1.2072856734091155</v>
      </c>
      <c r="M6489" s="15">
        <v>1.0974994451003466</v>
      </c>
      <c r="N6489" s="15">
        <v>1.0974994451003466</v>
      </c>
      <c r="O6489" s="15">
        <v>1.0028543010673969</v>
      </c>
      <c r="P6489" s="15">
        <v>1.0028543010673969</v>
      </c>
      <c r="Q6489" s="8"/>
      <c r="R6489" s="9" t="s">
        <v>6002</v>
      </c>
    </row>
    <row r="6490" spans="1:18" x14ac:dyDescent="0.25">
      <c r="A6490" s="6" t="str">
        <f>HYPERLINK("proteomic_fractions_linear_files/Yang_linear_img/120444910.jpg", "120444910")</f>
        <v>120444910</v>
      </c>
      <c r="B6490" s="7"/>
      <c r="C6490" s="6" t="str">
        <f>HYPERLINK("http://www.ncbi.nlm.nih.gov/protein/120444910","Rragd")</f>
        <v>Rragd</v>
      </c>
      <c r="D6490" s="8"/>
      <c r="E6490" s="8">
        <v>45014</v>
      </c>
      <c r="F6490" s="8"/>
      <c r="G6490" s="15" t="s">
        <v>10</v>
      </c>
      <c r="H6490" s="15" t="s">
        <v>10</v>
      </c>
      <c r="I6490" s="15">
        <v>1.0731105685425613</v>
      </c>
      <c r="J6490" s="15">
        <v>1.0731105685425613</v>
      </c>
      <c r="K6490" s="15">
        <v>1.1804571028889128</v>
      </c>
      <c r="L6490" s="15">
        <v>1.1804571028889128</v>
      </c>
      <c r="M6490" s="15">
        <v>1.0731105685425613</v>
      </c>
      <c r="N6490" s="15">
        <v>1.0731105685425613</v>
      </c>
      <c r="O6490" s="15">
        <v>0.98056864993256598</v>
      </c>
      <c r="P6490" s="15">
        <v>0.98056864993256598</v>
      </c>
      <c r="Q6490" s="8"/>
      <c r="R6490" s="9" t="s">
        <v>6003</v>
      </c>
    </row>
    <row r="6491" spans="1:18" x14ac:dyDescent="0.25">
      <c r="A6491" s="6" t="str">
        <f>HYPERLINK("proteomic_fractions_linear_files/Yang_linear_img/6677819.jpg", "6677819")</f>
        <v>6677819</v>
      </c>
      <c r="B6491" s="7"/>
      <c r="C6491" s="6" t="str">
        <f>HYPERLINK("http://www.ncbi.nlm.nih.gov/protein/6677819","Rras")</f>
        <v>Rras</v>
      </c>
      <c r="D6491" s="8"/>
      <c r="E6491" s="8">
        <v>23633</v>
      </c>
      <c r="F6491" s="8"/>
      <c r="G6491" s="15">
        <v>1.3368363689888996</v>
      </c>
      <c r="H6491" s="15">
        <v>1.3368363689888996</v>
      </c>
      <c r="I6491" s="15">
        <v>0.96289889061322687</v>
      </c>
      <c r="J6491" s="15">
        <v>0.96289889061322687</v>
      </c>
      <c r="K6491" s="15">
        <v>0.96289889061322687</v>
      </c>
      <c r="L6491" s="15">
        <v>0.96289889061322687</v>
      </c>
      <c r="M6491" s="15" t="s">
        <v>10</v>
      </c>
      <c r="N6491" s="15" t="s">
        <v>10</v>
      </c>
      <c r="O6491" s="15">
        <v>0.85822671611067802</v>
      </c>
      <c r="P6491" s="15">
        <v>0.85822671611067802</v>
      </c>
      <c r="Q6491" s="8"/>
      <c r="R6491" s="9" t="s">
        <v>6004</v>
      </c>
    </row>
    <row r="6492" spans="1:18" x14ac:dyDescent="0.25">
      <c r="A6492" s="6" t="str">
        <f>HYPERLINK("proteomic_fractions_linear_files/Yang_linear_img/165972315.jpg", "165972315")</f>
        <v>165972315</v>
      </c>
      <c r="B6492" s="7"/>
      <c r="C6492" s="6" t="str">
        <f>HYPERLINK("http://www.ncbi.nlm.nih.gov/protein/165972315","Rras2")</f>
        <v>Rras2</v>
      </c>
      <c r="D6492" s="8"/>
      <c r="E6492" s="8">
        <v>23269</v>
      </c>
      <c r="F6492" s="8"/>
      <c r="G6492" s="15">
        <v>1.3949596893797211</v>
      </c>
      <c r="H6492" s="15">
        <v>1.3949596893797211</v>
      </c>
      <c r="I6492" s="15">
        <v>1.0047640597703238</v>
      </c>
      <c r="J6492" s="15">
        <v>1.0047640597703238</v>
      </c>
      <c r="K6492" s="15">
        <v>1.0047640597703238</v>
      </c>
      <c r="L6492" s="15">
        <v>1.0047640597703238</v>
      </c>
      <c r="M6492" s="15">
        <v>1.0047640597703238</v>
      </c>
      <c r="N6492" s="15">
        <v>1.0047640597703238</v>
      </c>
      <c r="O6492" s="15">
        <v>0.89554092115896833</v>
      </c>
      <c r="P6492" s="15">
        <v>0.89554092115896833</v>
      </c>
      <c r="Q6492" s="8"/>
      <c r="R6492" s="9" t="s">
        <v>6005</v>
      </c>
    </row>
    <row r="6493" spans="1:18" x14ac:dyDescent="0.25">
      <c r="A6493" s="6" t="str">
        <f>HYPERLINK("proteomic_fractions_linear_files/Yang_linear_img/19482168.jpg", "19482168")</f>
        <v>19482168</v>
      </c>
      <c r="B6493" s="7"/>
      <c r="C6493" s="6" t="str">
        <f>HYPERLINK("http://www.ncbi.nlm.nih.gov/protein/19482168","Rrbp1")</f>
        <v>Rrbp1</v>
      </c>
      <c r="D6493" s="8"/>
      <c r="E6493" s="8">
        <v>72337</v>
      </c>
      <c r="F6493" s="8"/>
      <c r="G6493" s="15">
        <v>0.56260164171142701</v>
      </c>
      <c r="H6493" s="15">
        <v>0.56260164171142701</v>
      </c>
      <c r="I6493" s="15">
        <v>0.25687915506339004</v>
      </c>
      <c r="J6493" s="15">
        <v>0.25687915506339004</v>
      </c>
      <c r="K6493" s="15">
        <v>1.525021719737937</v>
      </c>
      <c r="L6493" s="15">
        <v>1.7878003909044022</v>
      </c>
      <c r="M6493" s="15" t="s">
        <v>10</v>
      </c>
      <c r="N6493" s="15" t="s">
        <v>10</v>
      </c>
      <c r="O6493" s="15" t="s">
        <v>10</v>
      </c>
      <c r="P6493" s="15" t="s">
        <v>10</v>
      </c>
      <c r="Q6493" s="8"/>
      <c r="R6493" s="9" t="s">
        <v>6006</v>
      </c>
    </row>
    <row r="6494" spans="1:18" x14ac:dyDescent="0.25">
      <c r="A6494" s="6" t="str">
        <f>HYPERLINK("proteomic_fractions_linear_files/Yang_linear_img/124486712.jpg", "124486712")</f>
        <v>124486712</v>
      </c>
      <c r="B6494" s="7"/>
      <c r="C6494" s="6" t="str">
        <f>HYPERLINK("http://www.ncbi.nlm.nih.gov/protein/124486712","Rrbp1")</f>
        <v>Rrbp1</v>
      </c>
      <c r="D6494" s="8"/>
      <c r="E6494" s="8">
        <v>158265</v>
      </c>
      <c r="F6494" s="8"/>
      <c r="G6494" s="15">
        <v>0.25637543166596671</v>
      </c>
      <c r="H6494" s="15">
        <v>0.25637543166596671</v>
      </c>
      <c r="I6494" s="15">
        <v>0.69494660646285733</v>
      </c>
      <c r="J6494" s="15">
        <v>0.69494660646285733</v>
      </c>
      <c r="K6494" s="15">
        <v>0.69494660646285733</v>
      </c>
      <c r="L6494" s="15">
        <v>0.69494660646285733</v>
      </c>
      <c r="M6494" s="15">
        <v>0.69494660646285733</v>
      </c>
      <c r="N6494" s="15">
        <v>0.69494660646285733</v>
      </c>
      <c r="O6494" s="15" t="s">
        <v>10</v>
      </c>
      <c r="P6494" s="15" t="s">
        <v>10</v>
      </c>
      <c r="Q6494" s="8"/>
      <c r="R6494" s="9" t="s">
        <v>6007</v>
      </c>
    </row>
    <row r="6495" spans="1:18" x14ac:dyDescent="0.25">
      <c r="A6495" s="6" t="str">
        <f>HYPERLINK("proteomic_fractions_linear_files/Yang_linear_img/295424113.jpg", "295424113")</f>
        <v>295424113</v>
      </c>
      <c r="B6495" s="7"/>
      <c r="C6495" s="6" t="str">
        <f>HYPERLINK("http://www.ncbi.nlm.nih.gov/protein/295424113","Rreb1")</f>
        <v>Rreb1</v>
      </c>
      <c r="D6495" s="8"/>
      <c r="E6495" s="8">
        <v>140054</v>
      </c>
      <c r="F6495" s="8"/>
      <c r="G6495" s="15" t="s">
        <v>10</v>
      </c>
      <c r="H6495" s="15" t="s">
        <v>10</v>
      </c>
      <c r="I6495" s="15" t="s">
        <v>10</v>
      </c>
      <c r="J6495" s="15" t="s">
        <v>10</v>
      </c>
      <c r="K6495" s="15">
        <v>0.4675233095038881</v>
      </c>
      <c r="L6495" s="15">
        <v>0.4675233095038881</v>
      </c>
      <c r="M6495" s="15" t="s">
        <v>10</v>
      </c>
      <c r="N6495" s="15" t="s">
        <v>10</v>
      </c>
      <c r="O6495" s="15" t="s">
        <v>10</v>
      </c>
      <c r="P6495" s="15" t="s">
        <v>10</v>
      </c>
      <c r="Q6495" s="8"/>
      <c r="R6495" s="9" t="s">
        <v>6008</v>
      </c>
    </row>
    <row r="6496" spans="1:18" x14ac:dyDescent="0.25">
      <c r="A6496" s="6" t="str">
        <f>HYPERLINK("proteomic_fractions_linear_files/Yang_linear_img/295424118.jpg", "295424118")</f>
        <v>295424118</v>
      </c>
      <c r="B6496" s="7"/>
      <c r="C6496" s="6" t="str">
        <f>HYPERLINK("http://www.ncbi.nlm.nih.gov/protein/295424118","Rreb1")</f>
        <v>Rreb1</v>
      </c>
      <c r="D6496" s="8"/>
      <c r="E6496" s="8">
        <v>190036</v>
      </c>
      <c r="F6496" s="8"/>
      <c r="G6496" s="15" t="s">
        <v>10</v>
      </c>
      <c r="H6496" s="15" t="s">
        <v>10</v>
      </c>
      <c r="I6496" s="15" t="s">
        <v>10</v>
      </c>
      <c r="J6496" s="15" t="s">
        <v>10</v>
      </c>
      <c r="K6496" s="15">
        <v>0.34449085963444387</v>
      </c>
      <c r="L6496" s="15">
        <v>0.34449085963444387</v>
      </c>
      <c r="M6496" s="15" t="s">
        <v>10</v>
      </c>
      <c r="N6496" s="15" t="s">
        <v>10</v>
      </c>
      <c r="O6496" s="15" t="s">
        <v>10</v>
      </c>
      <c r="P6496" s="15" t="s">
        <v>10</v>
      </c>
      <c r="Q6496" s="8"/>
      <c r="R6496" s="9" t="s">
        <v>6009</v>
      </c>
    </row>
    <row r="6497" spans="1:18" x14ac:dyDescent="0.25">
      <c r="A6497" s="6" t="str">
        <f>HYPERLINK("proteomic_fractions_linear_files/Yang_linear_img/31982026.jpg", "31982026")</f>
        <v>31982026</v>
      </c>
      <c r="B6497" s="7"/>
      <c r="C6497" s="6" t="str">
        <f>HYPERLINK("http://www.ncbi.nlm.nih.gov/protein/31982026","Rrm1")</f>
        <v>Rrm1</v>
      </c>
      <c r="D6497" s="8"/>
      <c r="E6497" s="8">
        <v>90080</v>
      </c>
      <c r="F6497" s="8"/>
      <c r="G6497" s="15" t="s">
        <v>10</v>
      </c>
      <c r="H6497" s="15" t="s">
        <v>10</v>
      </c>
      <c r="I6497" s="15">
        <v>1.0551997909176056</v>
      </c>
      <c r="J6497" s="15">
        <v>1.0551997909176056</v>
      </c>
      <c r="K6497" s="15">
        <v>1.0551997909176056</v>
      </c>
      <c r="L6497" s="15">
        <v>1.0551997909176056</v>
      </c>
      <c r="M6497" s="15">
        <v>1.0551997909176056</v>
      </c>
      <c r="N6497" s="15">
        <v>1.0551997909176056</v>
      </c>
      <c r="O6497" s="15">
        <v>1.0551997909176056</v>
      </c>
      <c r="P6497" s="15">
        <v>1.0551997909176056</v>
      </c>
      <c r="Q6497" s="8"/>
      <c r="R6497" s="9" t="s">
        <v>6010</v>
      </c>
    </row>
    <row r="6498" spans="1:18" x14ac:dyDescent="0.25">
      <c r="A6498" s="6" t="str">
        <f>HYPERLINK("proteomic_fractions_linear_files/Yang_linear_img/7106399.jpg", "7106399")</f>
        <v>7106399</v>
      </c>
      <c r="B6498" s="7"/>
      <c r="C6498" s="6" t="str">
        <f>HYPERLINK("http://www.ncbi.nlm.nih.gov/protein/7106399","Rrm2")</f>
        <v>Rrm2</v>
      </c>
      <c r="D6498" s="8"/>
      <c r="E6498" s="8">
        <v>44965</v>
      </c>
      <c r="F6498" s="8"/>
      <c r="G6498" s="15" t="s">
        <v>10</v>
      </c>
      <c r="H6498" s="15" t="s">
        <v>10</v>
      </c>
      <c r="I6498" s="15">
        <v>0.98056864993256598</v>
      </c>
      <c r="J6498" s="15">
        <v>0.98056864993256598</v>
      </c>
      <c r="K6498" s="15">
        <v>0.98056864993256598</v>
      </c>
      <c r="L6498" s="15">
        <v>0.98056864993256598</v>
      </c>
      <c r="M6498" s="15">
        <v>0.90016262673828318</v>
      </c>
      <c r="N6498" s="15">
        <v>0.90016262673828318</v>
      </c>
      <c r="O6498" s="15">
        <v>0.90016262673828318</v>
      </c>
      <c r="P6498" s="15">
        <v>0.90016262673828318</v>
      </c>
      <c r="Q6498" s="8"/>
      <c r="R6498" s="9" t="s">
        <v>6011</v>
      </c>
    </row>
    <row r="6499" spans="1:18" x14ac:dyDescent="0.25">
      <c r="A6499" s="6" t="str">
        <f>HYPERLINK("proteomic_fractions_linear_files/Yang_linear_img/41054952.jpg", "41054952")</f>
        <v>41054952</v>
      </c>
      <c r="B6499" s="7"/>
      <c r="C6499" s="6" t="str">
        <f>HYPERLINK("http://www.ncbi.nlm.nih.gov/protein/41054952","Rrm2b")</f>
        <v>Rrm2b</v>
      </c>
      <c r="D6499" s="8"/>
      <c r="E6499" s="8">
        <v>40673</v>
      </c>
      <c r="F6499" s="8"/>
      <c r="G6499" s="15" t="s">
        <v>10</v>
      </c>
      <c r="H6499" s="15" t="s">
        <v>10</v>
      </c>
      <c r="I6499" s="15" t="s">
        <v>10</v>
      </c>
      <c r="J6499" s="15" t="s">
        <v>10</v>
      </c>
      <c r="K6499" s="15" t="s">
        <v>10</v>
      </c>
      <c r="L6499" s="15" t="s">
        <v>10</v>
      </c>
      <c r="M6499" s="15" t="s">
        <v>10</v>
      </c>
      <c r="N6499" s="15" t="s">
        <v>10</v>
      </c>
      <c r="O6499" s="15">
        <v>0.84276528123110206</v>
      </c>
      <c r="P6499" s="15">
        <v>0.98798337081031085</v>
      </c>
      <c r="Q6499" s="8"/>
      <c r="R6499" s="9" t="s">
        <v>6012</v>
      </c>
    </row>
    <row r="6500" spans="1:18" x14ac:dyDescent="0.25">
      <c r="A6500" s="6" t="str">
        <f>HYPERLINK("proteomic_fractions_linear_files/Yang_linear_img/117676367.jpg", "117676367")</f>
        <v>117676367</v>
      </c>
      <c r="B6500" s="7"/>
      <c r="C6500" s="6" t="str">
        <f>HYPERLINK("http://www.ncbi.nlm.nih.gov/protein/117676367","Rrp1")</f>
        <v>Rrp1</v>
      </c>
      <c r="D6500" s="8"/>
      <c r="E6500" s="8">
        <v>54646</v>
      </c>
      <c r="F6500" s="8"/>
      <c r="G6500" s="15" t="s">
        <v>10</v>
      </c>
      <c r="H6500" s="15" t="s">
        <v>10</v>
      </c>
      <c r="I6500" s="15" t="s">
        <v>10</v>
      </c>
      <c r="J6500" s="15" t="s">
        <v>10</v>
      </c>
      <c r="K6500" s="15">
        <v>1.1900593332826241</v>
      </c>
      <c r="L6500" s="15">
        <v>1.1900593332826241</v>
      </c>
      <c r="M6500" s="15">
        <v>1.0686037742835246</v>
      </c>
      <c r="N6500" s="15">
        <v>1.0686037742835246</v>
      </c>
      <c r="O6500" s="15">
        <v>1.0686037742835246</v>
      </c>
      <c r="P6500" s="15">
        <v>1.0686037742835246</v>
      </c>
      <c r="Q6500" s="8"/>
      <c r="R6500" s="9" t="s">
        <v>6013</v>
      </c>
    </row>
    <row r="6501" spans="1:18" x14ac:dyDescent="0.25">
      <c r="A6501" s="6" t="str">
        <f>HYPERLINK("proteomic_fractions_linear_files/Yang_linear_img/40789092.jpg", "40789092")</f>
        <v>40789092</v>
      </c>
      <c r="B6501" s="7"/>
      <c r="C6501" s="6" t="str">
        <f>HYPERLINK("http://www.ncbi.nlm.nih.gov/protein/40789092","Rrp12")</f>
        <v>Rrp12</v>
      </c>
      <c r="D6501" s="8"/>
      <c r="E6501" s="8">
        <v>143001</v>
      </c>
      <c r="F6501" s="8"/>
      <c r="G6501" s="15" t="s">
        <v>10</v>
      </c>
      <c r="H6501" s="15" t="s">
        <v>10</v>
      </c>
      <c r="I6501" s="15" t="s">
        <v>10</v>
      </c>
      <c r="J6501" s="15" t="s">
        <v>10</v>
      </c>
      <c r="K6501" s="15" t="s">
        <v>10</v>
      </c>
      <c r="L6501" s="15" t="s">
        <v>10</v>
      </c>
      <c r="M6501" s="15">
        <v>1.3060547667128697</v>
      </c>
      <c r="N6501" s="15">
        <v>1.3060547667128697</v>
      </c>
      <c r="O6501" s="15" t="s">
        <v>10</v>
      </c>
      <c r="P6501" s="15" t="s">
        <v>10</v>
      </c>
      <c r="Q6501" s="8"/>
      <c r="R6501" s="9" t="s">
        <v>6014</v>
      </c>
    </row>
    <row r="6502" spans="1:18" x14ac:dyDescent="0.25">
      <c r="A6502" s="6" t="str">
        <f>HYPERLINK("proteomic_fractions_linear_files/Yang_linear_img/21704248.jpg", "21704248")</f>
        <v>21704248</v>
      </c>
      <c r="B6502" s="7"/>
      <c r="C6502" s="6" t="str">
        <f>HYPERLINK("http://www.ncbi.nlm.nih.gov/protein/21704248","Rrp9")</f>
        <v>Rrp9</v>
      </c>
      <c r="D6502" s="8"/>
      <c r="E6502" s="8">
        <v>51976</v>
      </c>
      <c r="F6502" s="8"/>
      <c r="G6502" s="15">
        <v>1.4122338508015817</v>
      </c>
      <c r="H6502" s="15">
        <v>1.4122338508015817</v>
      </c>
      <c r="I6502" s="15" t="s">
        <v>10</v>
      </c>
      <c r="J6502" s="15" t="s">
        <v>10</v>
      </c>
      <c r="K6502" s="15" t="s">
        <v>10</v>
      </c>
      <c r="L6502" s="15" t="s">
        <v>10</v>
      </c>
      <c r="M6502" s="15">
        <v>1.1302539920306509</v>
      </c>
      <c r="N6502" s="15">
        <v>1.1302539920306509</v>
      </c>
      <c r="O6502" s="15" t="s">
        <v>10</v>
      </c>
      <c r="P6502" s="15" t="s">
        <v>10</v>
      </c>
      <c r="Q6502" s="8"/>
      <c r="R6502" s="9" t="s">
        <v>6015</v>
      </c>
    </row>
    <row r="6503" spans="1:18" x14ac:dyDescent="0.25">
      <c r="A6503" s="6" t="str">
        <f>HYPERLINK("proteomic_fractions_linear_files/Yang_linear_img/227908779.jpg", "227908779")</f>
        <v>227908779</v>
      </c>
      <c r="B6503" s="7"/>
      <c r="C6503" s="6" t="str">
        <f>HYPERLINK("http://www.ncbi.nlm.nih.gov/protein/227908779","Rrs1")</f>
        <v>Rrs1</v>
      </c>
      <c r="D6503" s="8"/>
      <c r="E6503" s="8">
        <v>41421</v>
      </c>
      <c r="F6503" s="8"/>
      <c r="G6503" s="15">
        <v>0.98798337081031085</v>
      </c>
      <c r="H6503" s="15">
        <v>0.98798337081031085</v>
      </c>
      <c r="I6503" s="15" t="s">
        <v>10</v>
      </c>
      <c r="J6503" s="15" t="s">
        <v>10</v>
      </c>
      <c r="K6503" s="15" t="s">
        <v>10</v>
      </c>
      <c r="L6503" s="15" t="s">
        <v>10</v>
      </c>
      <c r="M6503" s="15" t="s">
        <v>10</v>
      </c>
      <c r="N6503" s="15" t="s">
        <v>10</v>
      </c>
      <c r="O6503" s="15" t="s">
        <v>10</v>
      </c>
      <c r="P6503" s="15" t="s">
        <v>10</v>
      </c>
      <c r="Q6503" s="8"/>
      <c r="R6503" s="9" t="s">
        <v>6016</v>
      </c>
    </row>
    <row r="6504" spans="1:18" x14ac:dyDescent="0.25">
      <c r="A6504" s="6" t="str">
        <f>HYPERLINK("proteomic_fractions_linear_files/Yang_linear_img/67906201.jpg", "67906201")</f>
        <v>67906201</v>
      </c>
      <c r="B6504" s="7"/>
      <c r="C6504" s="6" t="str">
        <f>HYPERLINK("http://www.ncbi.nlm.nih.gov/protein/67906201","Rsbn1")</f>
        <v>Rsbn1</v>
      </c>
      <c r="D6504" s="8"/>
      <c r="E6504" s="8">
        <v>89121</v>
      </c>
      <c r="F6504" s="8"/>
      <c r="G6504" s="15" t="s">
        <v>10</v>
      </c>
      <c r="H6504" s="15" t="s">
        <v>10</v>
      </c>
      <c r="I6504" s="15" t="s">
        <v>10</v>
      </c>
      <c r="J6504" s="15" t="s">
        <v>10</v>
      </c>
      <c r="K6504" s="15">
        <v>1.2337254361924883</v>
      </c>
      <c r="L6504" s="15">
        <v>1.2337254361924883</v>
      </c>
      <c r="M6504" s="15" t="s">
        <v>10</v>
      </c>
      <c r="N6504" s="15" t="s">
        <v>10</v>
      </c>
      <c r="O6504" s="15" t="s">
        <v>10</v>
      </c>
      <c r="P6504" s="15" t="s">
        <v>10</v>
      </c>
      <c r="Q6504" s="8"/>
      <c r="R6504" s="9" t="s">
        <v>6017</v>
      </c>
    </row>
    <row r="6505" spans="1:18" x14ac:dyDescent="0.25">
      <c r="A6505" s="6" t="str">
        <f>HYPERLINK("proteomic_fractions_linear_files/Yang_linear_img/124430547.jpg", "124430547")</f>
        <v>124430547</v>
      </c>
      <c r="B6505" s="7"/>
      <c r="C6505" s="6" t="str">
        <f>HYPERLINK("http://www.ncbi.nlm.nih.gov/protein/124430547","Rsbn1l")</f>
        <v>Rsbn1l</v>
      </c>
      <c r="D6505" s="8"/>
      <c r="E6505" s="8">
        <v>91615</v>
      </c>
      <c r="F6505" s="8"/>
      <c r="G6505" s="15" t="s">
        <v>10</v>
      </c>
      <c r="H6505" s="15" t="s">
        <v>10</v>
      </c>
      <c r="I6505" s="15" t="s">
        <v>10</v>
      </c>
      <c r="J6505" s="15" t="s">
        <v>10</v>
      </c>
      <c r="K6505" s="15">
        <v>1.193495258925342</v>
      </c>
      <c r="L6505" s="15">
        <v>1.193495258925342</v>
      </c>
      <c r="M6505" s="15">
        <v>1.0322606650280925</v>
      </c>
      <c r="N6505" s="15">
        <v>1.0322606650280925</v>
      </c>
      <c r="O6505" s="15" t="s">
        <v>10</v>
      </c>
      <c r="P6505" s="15" t="s">
        <v>10</v>
      </c>
      <c r="Q6505" s="8"/>
      <c r="R6505" s="9" t="s">
        <v>6018</v>
      </c>
    </row>
    <row r="6506" spans="1:18" x14ac:dyDescent="0.25">
      <c r="A6506" s="6" t="str">
        <f>HYPERLINK("proteomic_fractions_linear_files/Yang_linear_img/30794470.jpg", "30794470")</f>
        <v>30794470</v>
      </c>
      <c r="B6506" s="7"/>
      <c r="C6506" s="6" t="str">
        <f>HYPERLINK("http://www.ncbi.nlm.nih.gov/protein/30794470","Rsl1d1")</f>
        <v>Rsl1d1</v>
      </c>
      <c r="D6506" s="8"/>
      <c r="E6506" s="8">
        <v>50290</v>
      </c>
      <c r="F6506" s="8"/>
      <c r="G6506" s="15">
        <v>1.6619731694628772</v>
      </c>
      <c r="H6506" s="15">
        <v>1.6619731694628772</v>
      </c>
      <c r="I6506" s="15">
        <v>1.3090652666108866</v>
      </c>
      <c r="J6506" s="15">
        <v>1.3090652666108866</v>
      </c>
      <c r="K6506" s="15">
        <v>1.3090652666108866</v>
      </c>
      <c r="L6506" s="15">
        <v>1.3090652666108866</v>
      </c>
      <c r="M6506" s="15">
        <v>1.3090652666108866</v>
      </c>
      <c r="N6506" s="15">
        <v>1.3090652666108866</v>
      </c>
      <c r="O6506" s="15" t="s">
        <v>10</v>
      </c>
      <c r="P6506" s="15" t="s">
        <v>10</v>
      </c>
      <c r="Q6506" s="8"/>
      <c r="R6506" s="9" t="s">
        <v>6019</v>
      </c>
    </row>
    <row r="6507" spans="1:18" x14ac:dyDescent="0.25">
      <c r="A6507" s="6" t="str">
        <f>HYPERLINK("proteomic_fractions_linear_files/Yang_linear_img/13385292.jpg", "13385292")</f>
        <v>13385292</v>
      </c>
      <c r="B6507" s="7"/>
      <c r="C6507" s="6" t="str">
        <f>HYPERLINK("http://www.ncbi.nlm.nih.gov/protein/13385292","Rsrc1")</f>
        <v>Rsrc1</v>
      </c>
      <c r="D6507" s="8"/>
      <c r="E6507" s="8">
        <v>38506</v>
      </c>
      <c r="F6507" s="8"/>
      <c r="G6507" s="15" t="s">
        <v>10</v>
      </c>
      <c r="H6507" s="15" t="s">
        <v>10</v>
      </c>
      <c r="I6507" s="15">
        <v>153.66923076923078</v>
      </c>
      <c r="J6507" s="15">
        <v>153.66923076923078</v>
      </c>
      <c r="K6507" s="15">
        <v>153.66923076923078</v>
      </c>
      <c r="L6507" s="15">
        <v>153.66923076923078</v>
      </c>
      <c r="M6507" s="15" t="s">
        <v>10</v>
      </c>
      <c r="N6507" s="15" t="s">
        <v>10</v>
      </c>
      <c r="O6507" s="15" t="s">
        <v>10</v>
      </c>
      <c r="P6507" s="15" t="s">
        <v>10</v>
      </c>
      <c r="Q6507" s="8"/>
      <c r="R6507" s="9" t="s">
        <v>6020</v>
      </c>
    </row>
    <row r="6508" spans="1:18" x14ac:dyDescent="0.25">
      <c r="A6508" s="6" t="str">
        <f>HYPERLINK("proteomic_fractions_linear_files/Yang_linear_img/53988374.jpg", "53988374")</f>
        <v>53988374</v>
      </c>
      <c r="B6508" s="7"/>
      <c r="C6508" s="6" t="str">
        <f>HYPERLINK("http://www.ncbi.nlm.nih.gov/protein/53988374","Rsrc2")</f>
        <v>Rsrc2</v>
      </c>
      <c r="D6508" s="8"/>
      <c r="E6508" s="8">
        <v>23116</v>
      </c>
      <c r="F6508" s="8"/>
      <c r="G6508" s="15" t="s">
        <v>10</v>
      </c>
      <c r="H6508" s="15" t="s">
        <v>10</v>
      </c>
      <c r="I6508" s="15">
        <v>260.5695652173913</v>
      </c>
      <c r="J6508" s="15">
        <v>260.5695652173913</v>
      </c>
      <c r="K6508" s="15">
        <v>260.5695652173913</v>
      </c>
      <c r="L6508" s="15">
        <v>260.5695652173913</v>
      </c>
      <c r="M6508" s="15" t="s">
        <v>10</v>
      </c>
      <c r="N6508" s="15" t="s">
        <v>10</v>
      </c>
      <c r="O6508" s="15" t="s">
        <v>10</v>
      </c>
      <c r="P6508" s="15" t="s">
        <v>10</v>
      </c>
      <c r="Q6508" s="8"/>
      <c r="R6508" s="9" t="s">
        <v>6021</v>
      </c>
    </row>
    <row r="6509" spans="1:18" x14ac:dyDescent="0.25">
      <c r="A6509" s="6" t="str">
        <f>HYPERLINK("proteomic_fractions_linear_files/Yang_linear_img/53988372.jpg", "53988372")</f>
        <v>53988372</v>
      </c>
      <c r="B6509" s="7"/>
      <c r="C6509" s="6" t="str">
        <f>HYPERLINK("http://www.ncbi.nlm.nih.gov/protein/53988372","Rsrc2")</f>
        <v>Rsrc2</v>
      </c>
      <c r="D6509" s="8"/>
      <c r="E6509" s="8">
        <v>43746</v>
      </c>
      <c r="F6509" s="8"/>
      <c r="G6509" s="15" t="s">
        <v>10</v>
      </c>
      <c r="H6509" s="15" t="s">
        <v>10</v>
      </c>
      <c r="I6509" s="15">
        <v>136.20681818181819</v>
      </c>
      <c r="J6509" s="15">
        <v>136.20681818181819</v>
      </c>
      <c r="K6509" s="15">
        <v>136.20681818181819</v>
      </c>
      <c r="L6509" s="15">
        <v>136.20681818181819</v>
      </c>
      <c r="M6509" s="15" t="s">
        <v>10</v>
      </c>
      <c r="N6509" s="15" t="s">
        <v>10</v>
      </c>
      <c r="O6509" s="15">
        <v>0.46812366333309713</v>
      </c>
      <c r="P6509" s="15">
        <v>0.46812366333309713</v>
      </c>
      <c r="Q6509" s="8"/>
      <c r="R6509" s="9" t="s">
        <v>6022</v>
      </c>
    </row>
    <row r="6510" spans="1:18" x14ac:dyDescent="0.25">
      <c r="A6510" s="6" t="str">
        <f>HYPERLINK("proteomic_fractions_linear_files/Yang_linear_img/53988376.jpg", "53988376")</f>
        <v>53988376</v>
      </c>
      <c r="B6510" s="7"/>
      <c r="C6510" s="6" t="str">
        <f>HYPERLINK("http://www.ncbi.nlm.nih.gov/protein/53988376","Rsrc2")</f>
        <v>Rsrc2</v>
      </c>
      <c r="D6510" s="8"/>
      <c r="E6510" s="8">
        <v>50476</v>
      </c>
      <c r="F6510" s="8"/>
      <c r="G6510" s="15" t="s">
        <v>10</v>
      </c>
      <c r="H6510" s="15" t="s">
        <v>10</v>
      </c>
      <c r="I6510" s="15">
        <v>119.86200000000001</v>
      </c>
      <c r="J6510" s="15">
        <v>119.86200000000001</v>
      </c>
      <c r="K6510" s="15">
        <v>119.86200000000001</v>
      </c>
      <c r="L6510" s="15">
        <v>119.86200000000001</v>
      </c>
      <c r="M6510" s="15" t="s">
        <v>10</v>
      </c>
      <c r="N6510" s="15" t="s">
        <v>10</v>
      </c>
      <c r="O6510" s="15">
        <v>0.41194882373312547</v>
      </c>
      <c r="P6510" s="15">
        <v>0.41194882373312547</v>
      </c>
      <c r="Q6510" s="8"/>
      <c r="R6510" s="9" t="s">
        <v>6023</v>
      </c>
    </row>
    <row r="6511" spans="1:18" x14ac:dyDescent="0.25">
      <c r="A6511" s="6" t="str">
        <f>HYPERLINK("proteomic_fractions_linear_files/Yang_linear_img/31982028.jpg", "31982028")</f>
        <v>31982028</v>
      </c>
      <c r="B6511" s="7"/>
      <c r="C6511" s="6" t="str">
        <f>HYPERLINK("http://www.ncbi.nlm.nih.gov/protein/31982028","Rsu1")</f>
        <v>Rsu1</v>
      </c>
      <c r="D6511" s="8"/>
      <c r="E6511" s="8">
        <v>31330</v>
      </c>
      <c r="F6511" s="8"/>
      <c r="G6511" s="15" t="s">
        <v>10</v>
      </c>
      <c r="H6511" s="15" t="s">
        <v>10</v>
      </c>
      <c r="I6511" s="15">
        <v>0.84355671340080651</v>
      </c>
      <c r="J6511" s="15">
        <v>0.84355671340080651</v>
      </c>
      <c r="K6511" s="15">
        <v>0.84355671340080651</v>
      </c>
      <c r="L6511" s="15">
        <v>0.84355671340080651</v>
      </c>
      <c r="M6511" s="15">
        <v>0.84355671340080651</v>
      </c>
      <c r="N6511" s="15">
        <v>0.84355671340080651</v>
      </c>
      <c r="O6511" s="15">
        <v>0.74547010886185305</v>
      </c>
      <c r="P6511" s="15">
        <v>0.74547010886185305</v>
      </c>
      <c r="Q6511" s="8"/>
      <c r="R6511" s="9" t="s">
        <v>6024</v>
      </c>
    </row>
    <row r="6512" spans="1:18" x14ac:dyDescent="0.25">
      <c r="A6512" s="6" t="str">
        <f>HYPERLINK("proteomic_fractions_linear_files/Yang_linear_img/254587958.jpg", "254587958")</f>
        <v>254587958</v>
      </c>
      <c r="B6512" s="7"/>
      <c r="C6512" s="6" t="str">
        <f>HYPERLINK("http://www.ncbi.nlm.nih.gov/protein/254587958","Rtca")</f>
        <v>Rtca</v>
      </c>
      <c r="D6512" s="8"/>
      <c r="E6512" s="8">
        <v>39123</v>
      </c>
      <c r="F6512" s="8"/>
      <c r="G6512" s="15" t="s">
        <v>10</v>
      </c>
      <c r="H6512" s="15" t="s">
        <v>10</v>
      </c>
      <c r="I6512" s="15">
        <v>1.038649184698019</v>
      </c>
      <c r="J6512" s="15">
        <v>1.038649184698019</v>
      </c>
      <c r="K6512" s="15">
        <v>1.1314253653068069</v>
      </c>
      <c r="L6512" s="15">
        <v>1.1314253653068069</v>
      </c>
      <c r="M6512" s="15">
        <v>1.038649184698019</v>
      </c>
      <c r="N6512" s="15">
        <v>1.038649184698019</v>
      </c>
      <c r="O6512" s="15">
        <v>0.95746990828524592</v>
      </c>
      <c r="P6512" s="15">
        <v>0.95746990828524592</v>
      </c>
      <c r="Q6512" s="8"/>
      <c r="R6512" s="9" t="s">
        <v>6025</v>
      </c>
    </row>
    <row r="6513" spans="1:18" x14ac:dyDescent="0.25">
      <c r="A6513" s="6" t="str">
        <f>HYPERLINK("proteomic_fractions_linear_files/Yang_linear_img/21703842.jpg", "21703842")</f>
        <v>21703842</v>
      </c>
      <c r="B6513" s="7"/>
      <c r="C6513" s="6" t="str">
        <f>HYPERLINK("http://www.ncbi.nlm.nih.gov/protein/21703842","Rtcb")</f>
        <v>Rtcb</v>
      </c>
      <c r="D6513" s="8"/>
      <c r="E6513" s="8">
        <v>55118</v>
      </c>
      <c r="F6513" s="8"/>
      <c r="G6513" s="15">
        <v>1.3352029134851318</v>
      </c>
      <c r="H6513" s="15">
        <v>1.3352029134851318</v>
      </c>
      <c r="I6513" s="15">
        <v>1.0686037742835246</v>
      </c>
      <c r="J6513" s="15">
        <v>1.0686037742835246</v>
      </c>
      <c r="K6513" s="15">
        <v>1.0686037742835246</v>
      </c>
      <c r="L6513" s="15">
        <v>1.0686037742835246</v>
      </c>
      <c r="M6513" s="15">
        <v>1.0686037742835246</v>
      </c>
      <c r="N6513" s="15">
        <v>1.0686037742835246</v>
      </c>
      <c r="O6513" s="15">
        <v>0.96582853872729235</v>
      </c>
      <c r="P6513" s="15">
        <v>0.96582853872729235</v>
      </c>
      <c r="Q6513" s="8"/>
      <c r="R6513" s="9" t="s">
        <v>6026</v>
      </c>
    </row>
    <row r="6514" spans="1:18" x14ac:dyDescent="0.25">
      <c r="A6514" s="6" t="str">
        <f>HYPERLINK("proteomic_fractions_linear_files/Yang_linear_img/195976788.jpg", "195976788")</f>
        <v>195976788</v>
      </c>
      <c r="B6514" s="7"/>
      <c r="C6514" s="6" t="str">
        <f>HYPERLINK("http://www.ncbi.nlm.nih.gov/protein/195976788","Rtf1")</f>
        <v>Rtf1</v>
      </c>
      <c r="D6514" s="8"/>
      <c r="E6514" s="8">
        <v>78194</v>
      </c>
      <c r="F6514" s="8"/>
      <c r="G6514" s="15" t="s">
        <v>10</v>
      </c>
      <c r="H6514" s="15" t="s">
        <v>10</v>
      </c>
      <c r="I6514" s="15">
        <v>76.83461538461539</v>
      </c>
      <c r="J6514" s="15">
        <v>76.83461538461539</v>
      </c>
      <c r="K6514" s="15">
        <v>76.83461538461539</v>
      </c>
      <c r="L6514" s="15">
        <v>76.83461538461539</v>
      </c>
      <c r="M6514" s="15">
        <v>76.83461538461539</v>
      </c>
      <c r="N6514" s="15">
        <v>76.83461538461539</v>
      </c>
      <c r="O6514" s="15">
        <v>0.16342588899920032</v>
      </c>
      <c r="P6514" s="15">
        <v>0.16342588899920032</v>
      </c>
      <c r="Q6514" s="8"/>
      <c r="R6514" s="9" t="s">
        <v>6027</v>
      </c>
    </row>
    <row r="6515" spans="1:18" x14ac:dyDescent="0.25">
      <c r="A6515" s="6" t="str">
        <f>HYPERLINK("proteomic_fractions_linear_files/Yang_linear_img/30794468.jpg", "30794468")</f>
        <v>30794468</v>
      </c>
      <c r="B6515" s="7"/>
      <c r="C6515" s="6" t="str">
        <f>HYPERLINK("http://www.ncbi.nlm.nih.gov/protein/30794468","Rtfdc1")</f>
        <v>Rtfdc1</v>
      </c>
      <c r="D6515" s="8"/>
      <c r="E6515" s="8">
        <v>33804</v>
      </c>
      <c r="F6515" s="8"/>
      <c r="G6515" s="15">
        <v>1.4202933995416251</v>
      </c>
      <c r="H6515" s="15">
        <v>1.4202933995416251</v>
      </c>
      <c r="I6515" s="15" t="s">
        <v>10</v>
      </c>
      <c r="J6515" s="15" t="s">
        <v>10</v>
      </c>
      <c r="K6515" s="15">
        <v>1.098274306562488</v>
      </c>
      <c r="L6515" s="15">
        <v>1.098274306562488</v>
      </c>
      <c r="M6515" s="15" t="s">
        <v>10</v>
      </c>
      <c r="N6515" s="15" t="s">
        <v>10</v>
      </c>
      <c r="O6515" s="15">
        <v>1.0162757803080937</v>
      </c>
      <c r="P6515" s="15">
        <v>1.0162757803080937</v>
      </c>
      <c r="Q6515" s="8"/>
      <c r="R6515" s="9" t="s">
        <v>6028</v>
      </c>
    </row>
    <row r="6516" spans="1:18" x14ac:dyDescent="0.25">
      <c r="A6516" s="6" t="str">
        <f>HYPERLINK("proteomic_fractions_linear_files/Yang_linear_img/557129040.jpg", "557129040")</f>
        <v>557129040</v>
      </c>
      <c r="B6516" s="7"/>
      <c r="C6516" s="6" t="str">
        <f>HYPERLINK("http://www.ncbi.nlm.nih.gov/protein/557129040","Rtn1")</f>
        <v>Rtn1</v>
      </c>
      <c r="D6516" s="8"/>
      <c r="E6516" s="8">
        <v>29038</v>
      </c>
      <c r="F6516" s="8"/>
      <c r="G6516" s="15">
        <v>0.71025659264331975</v>
      </c>
      <c r="H6516" s="15">
        <v>0.71025659264331975</v>
      </c>
      <c r="I6516" s="15" t="s">
        <v>10</v>
      </c>
      <c r="J6516" s="15" t="s">
        <v>10</v>
      </c>
      <c r="K6516" s="15" t="s">
        <v>10</v>
      </c>
      <c r="L6516" s="15" t="s">
        <v>10</v>
      </c>
      <c r="M6516" s="15" t="s">
        <v>10</v>
      </c>
      <c r="N6516" s="15" t="s">
        <v>10</v>
      </c>
      <c r="O6516" s="15" t="s">
        <v>10</v>
      </c>
      <c r="P6516" s="15" t="s">
        <v>10</v>
      </c>
      <c r="Q6516" s="8"/>
      <c r="R6516" s="9" t="s">
        <v>6029</v>
      </c>
    </row>
    <row r="6517" spans="1:18" x14ac:dyDescent="0.25">
      <c r="A6517" s="6" t="str">
        <f>HYPERLINK("proteomic_fractions_linear_files/Yang_linear_img/31982561.jpg", "31982561")</f>
        <v>31982561</v>
      </c>
      <c r="B6517" s="7"/>
      <c r="C6517" s="6" t="str">
        <f>HYPERLINK("http://www.ncbi.nlm.nih.gov/protein/31982561","Rtn1")</f>
        <v>Rtn1</v>
      </c>
      <c r="D6517" s="8"/>
      <c r="E6517" s="8">
        <v>83442</v>
      </c>
      <c r="F6517" s="8"/>
      <c r="G6517" s="15">
        <v>0.24816194200790689</v>
      </c>
      <c r="H6517" s="15">
        <v>0.24816194200790689</v>
      </c>
      <c r="I6517" s="15">
        <v>0.27842859487611382</v>
      </c>
      <c r="J6517" s="15">
        <v>0.27842859487611382</v>
      </c>
      <c r="K6517" s="15">
        <v>0.27842859487611382</v>
      </c>
      <c r="L6517" s="15">
        <v>0.27842859487611382</v>
      </c>
      <c r="M6517" s="15">
        <v>0.27842859487611382</v>
      </c>
      <c r="N6517" s="15">
        <v>0.27842859487611382</v>
      </c>
      <c r="O6517" s="15" t="s">
        <v>10</v>
      </c>
      <c r="P6517" s="15" t="s">
        <v>10</v>
      </c>
      <c r="Q6517" s="8"/>
      <c r="R6517" s="9" t="s">
        <v>6030</v>
      </c>
    </row>
    <row r="6518" spans="1:18" x14ac:dyDescent="0.25">
      <c r="A6518" s="6" t="str">
        <f>HYPERLINK("proteomic_fractions_linear_files/Yang_linear_img/56090141.jpg", "56090141")</f>
        <v>56090141</v>
      </c>
      <c r="B6518" s="7"/>
      <c r="C6518" s="6" t="str">
        <f>HYPERLINK("http://www.ncbi.nlm.nih.gov/protein/56090141","Rtn1")</f>
        <v>Rtn1</v>
      </c>
      <c r="D6518" s="8"/>
      <c r="E6518" s="8">
        <v>23427</v>
      </c>
      <c r="F6518" s="8"/>
      <c r="G6518" s="15">
        <v>0.89554092115896833</v>
      </c>
      <c r="H6518" s="15">
        <v>0.89554092115896833</v>
      </c>
      <c r="I6518" s="15">
        <v>1.0047640597703238</v>
      </c>
      <c r="J6518" s="15">
        <v>1.0047640597703238</v>
      </c>
      <c r="K6518" s="15">
        <v>1.0047640597703238</v>
      </c>
      <c r="L6518" s="15">
        <v>1.0047640597703238</v>
      </c>
      <c r="M6518" s="15">
        <v>1.0047640597703238</v>
      </c>
      <c r="N6518" s="15">
        <v>1.0047640597703238</v>
      </c>
      <c r="O6518" s="15" t="s">
        <v>10</v>
      </c>
      <c r="P6518" s="15" t="s">
        <v>10</v>
      </c>
      <c r="Q6518" s="8"/>
      <c r="R6518" s="9" t="s">
        <v>6031</v>
      </c>
    </row>
    <row r="6519" spans="1:18" x14ac:dyDescent="0.25">
      <c r="A6519" s="6" t="str">
        <f>HYPERLINK("proteomic_fractions_linear_files/Yang_linear_img/16716353.jpg", "16716353")</f>
        <v>16716353</v>
      </c>
      <c r="B6519" s="7"/>
      <c r="C6519" s="6" t="str">
        <f>HYPERLINK("http://www.ncbi.nlm.nih.gov/protein/16716353","Rtn3")</f>
        <v>Rtn3</v>
      </c>
      <c r="D6519" s="8"/>
      <c r="E6519" s="8">
        <v>25297</v>
      </c>
      <c r="F6519" s="8"/>
      <c r="G6519" s="15">
        <v>1.2833629142293435</v>
      </c>
      <c r="H6519" s="15">
        <v>1.2833629142293435</v>
      </c>
      <c r="I6519" s="15">
        <v>0.87182969082715001</v>
      </c>
      <c r="J6519" s="15">
        <v>0.87182969082715001</v>
      </c>
      <c r="K6519" s="15">
        <v>0.92438293498869784</v>
      </c>
      <c r="L6519" s="15">
        <v>0.92438293498869784</v>
      </c>
      <c r="M6519" s="15">
        <v>0.92438293498869784</v>
      </c>
      <c r="N6519" s="15">
        <v>0.92438293498869784</v>
      </c>
      <c r="O6519" s="15" t="s">
        <v>10</v>
      </c>
      <c r="P6519" s="15" t="s">
        <v>10</v>
      </c>
      <c r="Q6519" s="8"/>
      <c r="R6519" s="9" t="s">
        <v>6032</v>
      </c>
    </row>
    <row r="6520" spans="1:18" x14ac:dyDescent="0.25">
      <c r="A6520" s="6" t="str">
        <f>HYPERLINK("proteomic_fractions_linear_files/Yang_linear_img/407339783.jpg", "407339783")</f>
        <v>407339783</v>
      </c>
      <c r="B6520" s="7"/>
      <c r="C6520" s="6" t="str">
        <f>HYPERLINK("http://www.ncbi.nlm.nih.gov/protein/407339783","Rtn3")</f>
        <v>Rtn3</v>
      </c>
      <c r="D6520" s="8"/>
      <c r="E6520" s="8">
        <v>68639</v>
      </c>
      <c r="F6520" s="8"/>
      <c r="G6520" s="15">
        <v>0.46498656312657372</v>
      </c>
      <c r="H6520" s="15">
        <v>0.46498656312657372</v>
      </c>
      <c r="I6520" s="15">
        <v>0.31588032276346018</v>
      </c>
      <c r="J6520" s="15">
        <v>0.31588032276346018</v>
      </c>
      <c r="K6520" s="15">
        <v>0.33492135325677458</v>
      </c>
      <c r="L6520" s="15">
        <v>0.33492135325677458</v>
      </c>
      <c r="M6520" s="15">
        <v>0.33492135325677458</v>
      </c>
      <c r="N6520" s="15">
        <v>0.33492135325677458</v>
      </c>
      <c r="O6520" s="15" t="s">
        <v>10</v>
      </c>
      <c r="P6520" s="15" t="s">
        <v>10</v>
      </c>
      <c r="Q6520" s="8"/>
      <c r="R6520" s="9" t="s">
        <v>6033</v>
      </c>
    </row>
    <row r="6521" spans="1:18" x14ac:dyDescent="0.25">
      <c r="A6521" s="6" t="str">
        <f>HYPERLINK("proteomic_fractions_linear_files/Yang_linear_img/407339785.jpg", "407339785")</f>
        <v>407339785</v>
      </c>
      <c r="B6521" s="7"/>
      <c r="C6521" s="6" t="str">
        <f>HYPERLINK("http://www.ncbi.nlm.nih.gov/protein/407339785","Rtn3")</f>
        <v>Rtn3</v>
      </c>
      <c r="D6521" s="8"/>
      <c r="E6521" s="8">
        <v>27256</v>
      </c>
      <c r="F6521" s="8"/>
      <c r="G6521" s="15">
        <v>1.1882989946567994</v>
      </c>
      <c r="H6521" s="15">
        <v>1.1882989946567994</v>
      </c>
      <c r="I6521" s="15">
        <v>0.80724971372884269</v>
      </c>
      <c r="J6521" s="15">
        <v>0.80724971372884269</v>
      </c>
      <c r="K6521" s="15">
        <v>0.855910124989535</v>
      </c>
      <c r="L6521" s="15">
        <v>0.855910124989535</v>
      </c>
      <c r="M6521" s="15">
        <v>0.855910124989535</v>
      </c>
      <c r="N6521" s="15">
        <v>0.855910124989535</v>
      </c>
      <c r="O6521" s="15" t="s">
        <v>10</v>
      </c>
      <c r="P6521" s="15" t="s">
        <v>10</v>
      </c>
      <c r="Q6521" s="8"/>
      <c r="R6521" s="9" t="s">
        <v>6034</v>
      </c>
    </row>
    <row r="6522" spans="1:18" x14ac:dyDescent="0.25">
      <c r="A6522" s="6" t="str">
        <f>HYPERLINK("proteomic_fractions_linear_files/Yang_linear_img/51511741.jpg", "51511741")</f>
        <v>51511741</v>
      </c>
      <c r="B6522" s="7"/>
      <c r="C6522" s="6" t="str">
        <f>HYPERLINK("http://www.ncbi.nlm.nih.gov/protein/51511741","Rtn3")</f>
        <v>Rtn3</v>
      </c>
      <c r="D6522" s="8"/>
      <c r="E6522" s="8">
        <v>101789</v>
      </c>
      <c r="F6522" s="8"/>
      <c r="G6522" s="15">
        <v>0.31454973387974106</v>
      </c>
      <c r="H6522" s="15">
        <v>0.31454973387974106</v>
      </c>
      <c r="I6522" s="15">
        <v>0.21368374775175247</v>
      </c>
      <c r="J6522" s="15">
        <v>0.21368374775175247</v>
      </c>
      <c r="K6522" s="15">
        <v>0.22656444485017105</v>
      </c>
      <c r="L6522" s="15">
        <v>0.22656444485017105</v>
      </c>
      <c r="M6522" s="15">
        <v>0.22656444485017105</v>
      </c>
      <c r="N6522" s="15">
        <v>0.22656444485017105</v>
      </c>
      <c r="O6522" s="15" t="s">
        <v>10</v>
      </c>
      <c r="P6522" s="15" t="s">
        <v>10</v>
      </c>
      <c r="Q6522" s="8"/>
      <c r="R6522" s="9" t="s">
        <v>6035</v>
      </c>
    </row>
    <row r="6523" spans="1:18" x14ac:dyDescent="0.25">
      <c r="A6523" s="6" t="str">
        <f>HYPERLINK("proteomic_fractions_linear_files/Yang_linear_img/54607016.jpg", "54607016")</f>
        <v>54607016</v>
      </c>
      <c r="B6523" s="7"/>
      <c r="C6523" s="6" t="str">
        <f>HYPERLINK("http://www.ncbi.nlm.nih.gov/protein/54607016","Rtn3")</f>
        <v>Rtn3</v>
      </c>
      <c r="D6523" s="8"/>
      <c r="E6523" s="8">
        <v>103748</v>
      </c>
      <c r="F6523" s="8"/>
      <c r="G6523" s="15">
        <v>0.3085007005358999</v>
      </c>
      <c r="H6523" s="15">
        <v>0.3085007005358999</v>
      </c>
      <c r="I6523" s="15">
        <v>0.20957444491037261</v>
      </c>
      <c r="J6523" s="15">
        <v>0.20957444491037261</v>
      </c>
      <c r="K6523" s="15">
        <v>0.22220743629536005</v>
      </c>
      <c r="L6523" s="15">
        <v>0.22220743629536005</v>
      </c>
      <c r="M6523" s="15">
        <v>0.22220743629536005</v>
      </c>
      <c r="N6523" s="15">
        <v>0.22220743629536005</v>
      </c>
      <c r="O6523" s="15" t="s">
        <v>10</v>
      </c>
      <c r="P6523" s="15" t="s">
        <v>10</v>
      </c>
      <c r="Q6523" s="8"/>
      <c r="R6523" s="9" t="s">
        <v>6036</v>
      </c>
    </row>
    <row r="6524" spans="1:18" x14ac:dyDescent="0.25">
      <c r="A6524" s="6" t="str">
        <f>HYPERLINK("proteomic_fractions_linear_files/Yang_linear_img/13195648.jpg", "13195648")</f>
        <v>13195648</v>
      </c>
      <c r="B6524" s="7"/>
      <c r="C6524" s="6" t="str">
        <f>HYPERLINK("http://www.ncbi.nlm.nih.gov/protein/13195648","Rtn4")</f>
        <v>Rtn4</v>
      </c>
      <c r="D6524" s="8"/>
      <c r="E6524" s="8">
        <v>22335</v>
      </c>
      <c r="F6524" s="8"/>
      <c r="G6524" s="15">
        <v>2.6715094357088116</v>
      </c>
      <c r="H6524" s="15">
        <v>2.6715094357088116</v>
      </c>
      <c r="I6524" s="15">
        <v>1.8412417365101248</v>
      </c>
      <c r="J6524" s="15">
        <v>1.8412417365101248</v>
      </c>
      <c r="K6524" s="15">
        <v>2.0057086021347938</v>
      </c>
      <c r="L6524" s="15">
        <v>2.0057086021347938</v>
      </c>
      <c r="M6524" s="15">
        <v>1.8412417365101248</v>
      </c>
      <c r="N6524" s="15">
        <v>1.8412417365101248</v>
      </c>
      <c r="O6524" s="15" t="s">
        <v>10</v>
      </c>
      <c r="P6524" s="15" t="s">
        <v>10</v>
      </c>
      <c r="Q6524" s="8"/>
      <c r="R6524" s="9" t="s">
        <v>6037</v>
      </c>
    </row>
    <row r="6525" spans="1:18" x14ac:dyDescent="0.25">
      <c r="A6525" s="6" t="str">
        <f>HYPERLINK("proteomic_fractions_linear_files/Yang_linear_img/34610233.jpg", "34610233")</f>
        <v>34610233</v>
      </c>
      <c r="B6525" s="7"/>
      <c r="C6525" s="6" t="str">
        <f>HYPERLINK("http://www.ncbi.nlm.nih.gov/protein/34610233","Rtn4")</f>
        <v>Rtn4</v>
      </c>
      <c r="D6525" s="8"/>
      <c r="E6525" s="8">
        <v>38273</v>
      </c>
      <c r="F6525" s="8"/>
      <c r="G6525" s="15">
        <v>1.3979097271052916</v>
      </c>
      <c r="H6525" s="15">
        <v>1.0659820579795458</v>
      </c>
      <c r="I6525" s="15">
        <v>1.0659820579795458</v>
      </c>
      <c r="J6525" s="15">
        <v>1.0659820579795458</v>
      </c>
      <c r="K6525" s="15">
        <v>1.1611997170254071</v>
      </c>
      <c r="L6525" s="15">
        <v>1.1611997170254071</v>
      </c>
      <c r="M6525" s="15">
        <v>1.0659820579795458</v>
      </c>
      <c r="N6525" s="15">
        <v>1.0659820579795458</v>
      </c>
      <c r="O6525" s="15" t="s">
        <v>10</v>
      </c>
      <c r="P6525" s="15" t="s">
        <v>10</v>
      </c>
      <c r="Q6525" s="8"/>
      <c r="R6525" s="9" t="s">
        <v>6038</v>
      </c>
    </row>
    <row r="6526" spans="1:18" x14ac:dyDescent="0.25">
      <c r="A6526" s="6" t="str">
        <f>HYPERLINK("proteomic_fractions_linear_files/Yang_linear_img/34610235.jpg", "34610235")</f>
        <v>34610235</v>
      </c>
      <c r="B6526" s="7"/>
      <c r="C6526" s="6" t="str">
        <f>HYPERLINK("http://www.ncbi.nlm.nih.gov/protein/34610235","Rtn4")</f>
        <v>Rtn4</v>
      </c>
      <c r="D6526" s="8"/>
      <c r="E6526" s="8">
        <v>126483</v>
      </c>
      <c r="F6526" s="8"/>
      <c r="G6526" s="15">
        <v>0.421591822460326</v>
      </c>
      <c r="H6526" s="15">
        <v>0.32148665240652974</v>
      </c>
      <c r="I6526" s="15">
        <v>0.32148665240652974</v>
      </c>
      <c r="J6526" s="15">
        <v>0.32148665240652974</v>
      </c>
      <c r="K6526" s="15">
        <v>0.35020308926163068</v>
      </c>
      <c r="L6526" s="15">
        <v>0.35020308926163068</v>
      </c>
      <c r="M6526" s="15">
        <v>0.32148665240652974</v>
      </c>
      <c r="N6526" s="15">
        <v>0.32148665240652974</v>
      </c>
      <c r="O6526" s="15" t="s">
        <v>10</v>
      </c>
      <c r="P6526" s="15" t="s">
        <v>10</v>
      </c>
      <c r="Q6526" s="8"/>
      <c r="R6526" s="9" t="s">
        <v>6039</v>
      </c>
    </row>
    <row r="6527" spans="1:18" x14ac:dyDescent="0.25">
      <c r="A6527" s="6" t="str">
        <f>HYPERLINK("proteomic_fractions_linear_files/Yang_linear_img/34610237.jpg", "34610237")</f>
        <v>34610237</v>
      </c>
      <c r="B6527" s="7"/>
      <c r="C6527" s="6" t="str">
        <f>HYPERLINK("http://www.ncbi.nlm.nih.gov/protein/34610237","Rtn4")</f>
        <v>Rtn4</v>
      </c>
      <c r="D6527" s="8"/>
      <c r="E6527" s="8">
        <v>114092</v>
      </c>
      <c r="F6527" s="8"/>
      <c r="G6527" s="15">
        <v>0.51555445250520926</v>
      </c>
      <c r="H6527" s="15">
        <v>0.51555445250520926</v>
      </c>
      <c r="I6527" s="15">
        <v>0.35532735265984866</v>
      </c>
      <c r="J6527" s="15">
        <v>0.35532735265984866</v>
      </c>
      <c r="K6527" s="15">
        <v>0.38706657234180236</v>
      </c>
      <c r="L6527" s="15">
        <v>0.38706657234180236</v>
      </c>
      <c r="M6527" s="15">
        <v>0.35532735265984866</v>
      </c>
      <c r="N6527" s="15">
        <v>0.35532735265984866</v>
      </c>
      <c r="O6527" s="15" t="s">
        <v>10</v>
      </c>
      <c r="P6527" s="15" t="s">
        <v>10</v>
      </c>
      <c r="Q6527" s="8"/>
      <c r="R6527" s="9" t="s">
        <v>6040</v>
      </c>
    </row>
    <row r="6528" spans="1:18" x14ac:dyDescent="0.25">
      <c r="A6528" s="6" t="str">
        <f>HYPERLINK("proteomic_fractions_linear_files/Yang_linear_img/34610241.jpg", "34610241")</f>
        <v>34610241</v>
      </c>
      <c r="B6528" s="7"/>
      <c r="C6528" s="6" t="str">
        <f>HYPERLINK("http://www.ncbi.nlm.nih.gov/protein/34610241","Rtn4")</f>
        <v>Rtn4</v>
      </c>
      <c r="D6528" s="8"/>
      <c r="E6528" s="8">
        <v>40170</v>
      </c>
      <c r="F6528" s="8"/>
      <c r="G6528" s="15">
        <v>1.3280142407500271</v>
      </c>
      <c r="H6528" s="15">
        <v>1.0126829550805687</v>
      </c>
      <c r="I6528" s="15">
        <v>1.0126829550805687</v>
      </c>
      <c r="J6528" s="15">
        <v>1.0126829550805687</v>
      </c>
      <c r="K6528" s="15">
        <v>1.1031397311741367</v>
      </c>
      <c r="L6528" s="15">
        <v>1.1031397311741367</v>
      </c>
      <c r="M6528" s="15">
        <v>1.0126829550805687</v>
      </c>
      <c r="N6528" s="15">
        <v>1.0126829550805687</v>
      </c>
      <c r="O6528" s="15" t="s">
        <v>10</v>
      </c>
      <c r="P6528" s="15" t="s">
        <v>10</v>
      </c>
      <c r="Q6528" s="8"/>
      <c r="R6528" s="9" t="s">
        <v>6041</v>
      </c>
    </row>
    <row r="6529" spans="1:18" x14ac:dyDescent="0.25">
      <c r="A6529" s="6" t="str">
        <f>HYPERLINK("proteomic_fractions_linear_files/Yang_linear_img/31543608.jpg", "31543608")</f>
        <v>31543608</v>
      </c>
      <c r="B6529" s="7"/>
      <c r="C6529" s="6" t="str">
        <f>HYPERLINK("http://www.ncbi.nlm.nih.gov/protein/31543608","Rtn4ip1")</f>
        <v>Rtn4ip1</v>
      </c>
      <c r="D6529" s="8"/>
      <c r="E6529" s="8">
        <v>39021</v>
      </c>
      <c r="F6529" s="8"/>
      <c r="G6529" s="15">
        <v>1.2382045021644936</v>
      </c>
      <c r="H6529" s="15">
        <v>1.2382045021644936</v>
      </c>
      <c r="I6529" s="15">
        <v>0.8859840136019278</v>
      </c>
      <c r="J6529" s="15">
        <v>0.8859840136019278</v>
      </c>
      <c r="K6529" s="15" t="s">
        <v>10</v>
      </c>
      <c r="L6529" s="15" t="s">
        <v>10</v>
      </c>
      <c r="M6529" s="15" t="s">
        <v>10</v>
      </c>
      <c r="N6529" s="15" t="s">
        <v>10</v>
      </c>
      <c r="O6529" s="15" t="s">
        <v>10</v>
      </c>
      <c r="P6529" s="15" t="s">
        <v>10</v>
      </c>
      <c r="Q6529" s="8"/>
      <c r="R6529" s="9" t="s">
        <v>6042</v>
      </c>
    </row>
    <row r="6530" spans="1:18" x14ac:dyDescent="0.25">
      <c r="A6530" s="6" t="str">
        <f>HYPERLINK("proteomic_fractions_linear_files/Yang_linear_img/37704389.jpg", "37704389")</f>
        <v>37704389</v>
      </c>
      <c r="B6530" s="7"/>
      <c r="C6530" s="6" t="str">
        <f>HYPERLINK("http://www.ncbi.nlm.nih.gov/protein/37704389","Rttn")</f>
        <v>Rttn</v>
      </c>
      <c r="D6530" s="8"/>
      <c r="E6530" s="8">
        <v>248359</v>
      </c>
      <c r="F6530" s="8"/>
      <c r="G6530" s="15">
        <v>0.13932813117127091</v>
      </c>
      <c r="H6530" s="15">
        <v>0.13932813117127091</v>
      </c>
      <c r="I6530" s="15">
        <v>0.10544458917510081</v>
      </c>
      <c r="J6530" s="15">
        <v>0.10544458917510081</v>
      </c>
      <c r="K6530" s="15">
        <v>0.12050567295045618</v>
      </c>
      <c r="L6530" s="15">
        <v>0.12050567295045618</v>
      </c>
      <c r="M6530" s="15">
        <v>0.12050567295045618</v>
      </c>
      <c r="N6530" s="15">
        <v>0.12050567295045618</v>
      </c>
      <c r="O6530" s="15" t="s">
        <v>10</v>
      </c>
      <c r="P6530" s="15" t="s">
        <v>10</v>
      </c>
      <c r="Q6530" s="8"/>
      <c r="R6530" s="9" t="s">
        <v>6043</v>
      </c>
    </row>
    <row r="6531" spans="1:18" x14ac:dyDescent="0.25">
      <c r="A6531" s="6" t="str">
        <f>HYPERLINK("proteomic_fractions_linear_files/Yang_linear_img/27369788.jpg", "27369788")</f>
        <v>27369788</v>
      </c>
      <c r="B6531" s="7"/>
      <c r="C6531" s="6" t="str">
        <f>HYPERLINK("http://www.ncbi.nlm.nih.gov/protein/27369788","Rufy1")</f>
        <v>Rufy1</v>
      </c>
      <c r="D6531" s="8"/>
      <c r="E6531" s="8">
        <v>80246</v>
      </c>
      <c r="F6531" s="8"/>
      <c r="G6531" s="15">
        <v>0.20895593150758779</v>
      </c>
      <c r="H6531" s="15">
        <v>0.20895593150758779</v>
      </c>
      <c r="I6531" s="15">
        <v>1.1870997647823063</v>
      </c>
      <c r="J6531" s="15">
        <v>1.1870997647823063</v>
      </c>
      <c r="K6531" s="15">
        <v>1.1870997647823063</v>
      </c>
      <c r="L6531" s="15">
        <v>1.1870997647823063</v>
      </c>
      <c r="M6531" s="15" t="s">
        <v>10</v>
      </c>
      <c r="N6531" s="15" t="s">
        <v>10</v>
      </c>
      <c r="O6531" s="15" t="s">
        <v>10</v>
      </c>
      <c r="P6531" s="15" t="s">
        <v>10</v>
      </c>
      <c r="Q6531" s="8"/>
      <c r="R6531" s="9" t="s">
        <v>6044</v>
      </c>
    </row>
    <row r="6532" spans="1:18" x14ac:dyDescent="0.25">
      <c r="A6532" s="6" t="str">
        <f>HYPERLINK("proteomic_fractions_linear_files/Yang_linear_img/119637825.jpg", "119637825")</f>
        <v>119637825</v>
      </c>
      <c r="B6532" s="7"/>
      <c r="C6532" s="6" t="str">
        <f>HYPERLINK("http://www.ncbi.nlm.nih.gov/protein/119637825","Rufy2")</f>
        <v>Rufy2</v>
      </c>
      <c r="D6532" s="8"/>
      <c r="E6532" s="8">
        <v>69962</v>
      </c>
      <c r="F6532" s="8"/>
      <c r="G6532" s="15" t="s">
        <v>10</v>
      </c>
      <c r="H6532" s="15" t="s">
        <v>10</v>
      </c>
      <c r="I6532" s="15">
        <v>1.0490880034526036</v>
      </c>
      <c r="J6532" s="15">
        <v>1.0490880034526036</v>
      </c>
      <c r="K6532" s="15">
        <v>1.0490880034526036</v>
      </c>
      <c r="L6532" s="15">
        <v>1.0490880034526036</v>
      </c>
      <c r="M6532" s="15" t="s">
        <v>10</v>
      </c>
      <c r="N6532" s="15" t="s">
        <v>10</v>
      </c>
      <c r="O6532" s="15" t="s">
        <v>10</v>
      </c>
      <c r="P6532" s="15" t="s">
        <v>10</v>
      </c>
      <c r="Q6532" s="8"/>
      <c r="R6532" s="9" t="s">
        <v>6045</v>
      </c>
    </row>
    <row r="6533" spans="1:18" x14ac:dyDescent="0.25">
      <c r="A6533" s="6" t="str">
        <f>HYPERLINK("proteomic_fractions_linear_files/Yang_linear_img/21312036.jpg", "21312036")</f>
        <v>21312036</v>
      </c>
      <c r="B6533" s="7"/>
      <c r="C6533" s="6" t="str">
        <f>HYPERLINK("http://www.ncbi.nlm.nih.gov/protein/21312036","Rufy3")</f>
        <v>Rufy3</v>
      </c>
      <c r="D6533" s="8"/>
      <c r="E6533" s="8">
        <v>52876</v>
      </c>
      <c r="F6533" s="8"/>
      <c r="G6533" s="15" t="s">
        <v>10</v>
      </c>
      <c r="H6533" s="15" t="s">
        <v>10</v>
      </c>
      <c r="I6533" s="15" t="s">
        <v>10</v>
      </c>
      <c r="J6533" s="15" t="s">
        <v>10</v>
      </c>
      <c r="K6533" s="15">
        <v>1.7918487015581983</v>
      </c>
      <c r="L6533" s="15">
        <v>1.7918487015581983</v>
      </c>
      <c r="M6533" s="15" t="s">
        <v>10</v>
      </c>
      <c r="N6533" s="15" t="s">
        <v>10</v>
      </c>
      <c r="O6533" s="15">
        <v>1.5678992164744123</v>
      </c>
      <c r="P6533" s="15">
        <v>1.5678992164744123</v>
      </c>
      <c r="Q6533" s="8"/>
      <c r="R6533" s="9" t="s">
        <v>6046</v>
      </c>
    </row>
    <row r="6534" spans="1:18" x14ac:dyDescent="0.25">
      <c r="A6534" s="6" t="str">
        <f>HYPERLINK("proteomic_fractions_linear_files/Yang_linear_img/139947575.jpg", "139947575")</f>
        <v>139947575</v>
      </c>
      <c r="B6534" s="7"/>
      <c r="C6534" s="6" t="str">
        <f>HYPERLINK("http://www.ncbi.nlm.nih.gov/protein/139947575","Rusc1")</f>
        <v>Rusc1</v>
      </c>
      <c r="D6534" s="8"/>
      <c r="E6534" s="8">
        <v>95064</v>
      </c>
      <c r="F6534" s="8"/>
      <c r="G6534" s="15" t="s">
        <v>10</v>
      </c>
      <c r="H6534" s="15" t="s">
        <v>10</v>
      </c>
      <c r="I6534" s="15" t="s">
        <v>10</v>
      </c>
      <c r="J6534" s="15" t="s">
        <v>10</v>
      </c>
      <c r="K6534" s="15">
        <v>0.50831553246752892</v>
      </c>
      <c r="L6534" s="15">
        <v>0.50831553246752892</v>
      </c>
      <c r="M6534" s="15" t="s">
        <v>10</v>
      </c>
      <c r="N6534" s="15" t="s">
        <v>10</v>
      </c>
      <c r="O6534" s="15" t="s">
        <v>10</v>
      </c>
      <c r="P6534" s="15" t="s">
        <v>10</v>
      </c>
      <c r="Q6534" s="8"/>
      <c r="R6534" s="9" t="s">
        <v>6047</v>
      </c>
    </row>
    <row r="6535" spans="1:18" x14ac:dyDescent="0.25">
      <c r="A6535" s="6" t="str">
        <f>HYPERLINK("proteomic_fractions_linear_files/Yang_linear_img/139948764.jpg", "139948764")</f>
        <v>139948764</v>
      </c>
      <c r="B6535" s="7"/>
      <c r="C6535" s="6" t="str">
        <f>HYPERLINK("http://www.ncbi.nlm.nih.gov/protein/139948764","Rusc1")</f>
        <v>Rusc1</v>
      </c>
      <c r="D6535" s="8"/>
      <c r="E6535" s="8">
        <v>109385</v>
      </c>
      <c r="F6535" s="8"/>
      <c r="G6535" s="15" t="s">
        <v>10</v>
      </c>
      <c r="H6535" s="15" t="s">
        <v>10</v>
      </c>
      <c r="I6535" s="15" t="s">
        <v>10</v>
      </c>
      <c r="J6535" s="15" t="s">
        <v>10</v>
      </c>
      <c r="K6535" s="15">
        <v>0.44302729893958948</v>
      </c>
      <c r="L6535" s="15">
        <v>0.44302729893958948</v>
      </c>
      <c r="M6535" s="15" t="s">
        <v>10</v>
      </c>
      <c r="N6535" s="15" t="s">
        <v>10</v>
      </c>
      <c r="O6535" s="15" t="s">
        <v>10</v>
      </c>
      <c r="P6535" s="15" t="s">
        <v>10</v>
      </c>
      <c r="Q6535" s="8"/>
      <c r="R6535" s="9" t="s">
        <v>6048</v>
      </c>
    </row>
    <row r="6536" spans="1:18" x14ac:dyDescent="0.25">
      <c r="A6536" s="6" t="str">
        <f>HYPERLINK("proteomic_fractions_linear_files/Yang_linear_img/139949087.jpg", "139949087")</f>
        <v>139949087</v>
      </c>
      <c r="B6536" s="7"/>
      <c r="C6536" s="6" t="str">
        <f>HYPERLINK("http://www.ncbi.nlm.nih.gov/protein/139949087","Rusc1")</f>
        <v>Rusc1</v>
      </c>
      <c r="D6536" s="8"/>
      <c r="E6536" s="8">
        <v>46027</v>
      </c>
      <c r="F6536" s="8"/>
      <c r="G6536" s="15" t="s">
        <v>10</v>
      </c>
      <c r="H6536" s="15" t="s">
        <v>10</v>
      </c>
      <c r="I6536" s="15" t="s">
        <v>10</v>
      </c>
      <c r="J6536" s="15" t="s">
        <v>10</v>
      </c>
      <c r="K6536" s="15">
        <v>1.0497820779220708</v>
      </c>
      <c r="L6536" s="15">
        <v>1.0497820779220708</v>
      </c>
      <c r="M6536" s="15" t="s">
        <v>10</v>
      </c>
      <c r="N6536" s="15" t="s">
        <v>10</v>
      </c>
      <c r="O6536" s="15" t="s">
        <v>10</v>
      </c>
      <c r="P6536" s="15" t="s">
        <v>10</v>
      </c>
      <c r="Q6536" s="8"/>
      <c r="R6536" s="9" t="s">
        <v>6049</v>
      </c>
    </row>
    <row r="6537" spans="1:18" x14ac:dyDescent="0.25">
      <c r="A6537" s="6" t="str">
        <f>HYPERLINK("proteomic_fractions_linear_files/Yang_linear_img/9790083.jpg", "9790083")</f>
        <v>9790083</v>
      </c>
      <c r="B6537" s="7"/>
      <c r="C6537" s="6" t="str">
        <f>HYPERLINK("http://www.ncbi.nlm.nih.gov/protein/9790083","Ruvbl1")</f>
        <v>Ruvbl1</v>
      </c>
      <c r="D6537" s="8"/>
      <c r="E6537" s="8">
        <v>50083</v>
      </c>
      <c r="F6537" s="8"/>
      <c r="G6537" s="15">
        <v>1.3090652666108866</v>
      </c>
      <c r="H6537" s="15">
        <v>1.3090652666108866</v>
      </c>
      <c r="I6537" s="15">
        <v>1.0624113926000216</v>
      </c>
      <c r="J6537" s="15">
        <v>1.0624113926000216</v>
      </c>
      <c r="K6537" s="15">
        <v>1.0624113926000216</v>
      </c>
      <c r="L6537" s="15">
        <v>1.0624113926000216</v>
      </c>
      <c r="M6537" s="15">
        <v>1.0624113926000216</v>
      </c>
      <c r="N6537" s="15">
        <v>1.0624113926000216</v>
      </c>
      <c r="O6537" s="15">
        <v>0.96579951168830502</v>
      </c>
      <c r="P6537" s="15">
        <v>0.96579951168830502</v>
      </c>
      <c r="Q6537" s="8"/>
      <c r="R6537" s="9" t="s">
        <v>6050</v>
      </c>
    </row>
    <row r="6538" spans="1:18" x14ac:dyDescent="0.25">
      <c r="A6538" s="6" t="str">
        <f>HYPERLINK("proteomic_fractions_linear_files/Yang_linear_img/6755382.jpg", "6755382")</f>
        <v>6755382</v>
      </c>
      <c r="B6538" s="7"/>
      <c r="C6538" s="6" t="str">
        <f>HYPERLINK("http://www.ncbi.nlm.nih.gov/protein/6755382","Ruvbl2")</f>
        <v>Ruvbl2</v>
      </c>
      <c r="D6538" s="8"/>
      <c r="E6538" s="8">
        <v>50982</v>
      </c>
      <c r="F6538" s="8"/>
      <c r="G6538" s="15">
        <v>1.2833973202067517</v>
      </c>
      <c r="H6538" s="15">
        <v>1.2833973202067517</v>
      </c>
      <c r="I6538" s="15">
        <v>0.94686226636108339</v>
      </c>
      <c r="J6538" s="15">
        <v>0.94686226636108339</v>
      </c>
      <c r="K6538" s="15">
        <v>1.0415797966666878</v>
      </c>
      <c r="L6538" s="15">
        <v>1.0415797966666878</v>
      </c>
      <c r="M6538" s="15">
        <v>1.0415797966666878</v>
      </c>
      <c r="N6538" s="15">
        <v>1.0415797966666878</v>
      </c>
      <c r="O6538" s="15">
        <v>0.94686226636108339</v>
      </c>
      <c r="P6538" s="15">
        <v>0.94686226636108339</v>
      </c>
      <c r="Q6538" s="8"/>
      <c r="R6538" s="9" t="s">
        <v>6051</v>
      </c>
    </row>
    <row r="6539" spans="1:18" x14ac:dyDescent="0.25">
      <c r="A6539" s="6" t="str">
        <f>HYPERLINK("proteomic_fractions_linear_files/Yang_linear_img/21735427.jpg", "21735427")</f>
        <v>21735427</v>
      </c>
      <c r="B6539" s="7"/>
      <c r="C6539" s="6" t="str">
        <f>HYPERLINK("http://www.ncbi.nlm.nih.gov/protein/21735427","Rwdd1")</f>
        <v>Rwdd1</v>
      </c>
      <c r="D6539" s="8"/>
      <c r="E6539" s="8">
        <v>27654</v>
      </c>
      <c r="F6539" s="8"/>
      <c r="G6539" s="15" t="s">
        <v>10</v>
      </c>
      <c r="H6539" s="15" t="s">
        <v>10</v>
      </c>
      <c r="I6539" s="15">
        <v>1.1458597448476282</v>
      </c>
      <c r="J6539" s="15">
        <v>1.1458597448476282</v>
      </c>
      <c r="K6539" s="15">
        <v>1.2340491618026852</v>
      </c>
      <c r="L6539" s="15">
        <v>1.1458597448476282</v>
      </c>
      <c r="M6539" s="15">
        <v>1.1458597448476282</v>
      </c>
      <c r="N6539" s="15">
        <v>1.1458597448476282</v>
      </c>
      <c r="O6539" s="15">
        <v>1.0673359604183261</v>
      </c>
      <c r="P6539" s="15">
        <v>1.0673359604183261</v>
      </c>
      <c r="Q6539" s="8"/>
      <c r="R6539" s="9" t="s">
        <v>6052</v>
      </c>
    </row>
    <row r="6540" spans="1:18" x14ac:dyDescent="0.25">
      <c r="A6540" s="6" t="str">
        <f>HYPERLINK("proteomic_fractions_linear_files/Yang_linear_img/45356139.jpg", "45356139")</f>
        <v>45356139</v>
      </c>
      <c r="B6540" s="7"/>
      <c r="C6540" s="6" t="str">
        <f>HYPERLINK("http://www.ncbi.nlm.nih.gov/protein/45356139","Rwdd4a")</f>
        <v>Rwdd4a</v>
      </c>
      <c r="D6540" s="8"/>
      <c r="E6540" s="8">
        <v>21007</v>
      </c>
      <c r="F6540" s="8"/>
      <c r="G6540" s="15" t="s">
        <v>10</v>
      </c>
      <c r="H6540" s="15" t="s">
        <v>10</v>
      </c>
      <c r="I6540" s="15" t="s">
        <v>10</v>
      </c>
      <c r="J6540" s="15" t="s">
        <v>10</v>
      </c>
      <c r="K6540" s="15" t="s">
        <v>10</v>
      </c>
      <c r="L6540" s="15" t="s">
        <v>10</v>
      </c>
      <c r="M6540" s="15" t="s">
        <v>10</v>
      </c>
      <c r="N6540" s="15" t="s">
        <v>10</v>
      </c>
      <c r="O6540" s="15">
        <v>1.0378924890799406</v>
      </c>
      <c r="P6540" s="15">
        <v>1.0378924890799406</v>
      </c>
      <c r="Q6540" s="8"/>
      <c r="R6540" s="9" t="s">
        <v>6053</v>
      </c>
    </row>
    <row r="6541" spans="1:18" x14ac:dyDescent="0.25">
      <c r="A6541" s="6" t="str">
        <f>HYPERLINK("proteomic_fractions_linear_files/Yang_linear_img/38348308.jpg", "38348308")</f>
        <v>38348308</v>
      </c>
      <c r="B6541" s="7"/>
      <c r="C6541" s="6" t="str">
        <f>HYPERLINK("http://www.ncbi.nlm.nih.gov/protein/38348308","Rybp")</f>
        <v>Rybp</v>
      </c>
      <c r="D6541" s="8"/>
      <c r="E6541" s="8">
        <v>24645</v>
      </c>
      <c r="F6541" s="8"/>
      <c r="G6541" s="15" t="s">
        <v>10</v>
      </c>
      <c r="H6541" s="15" t="s">
        <v>10</v>
      </c>
      <c r="I6541" s="15">
        <v>1.2833629142293435</v>
      </c>
      <c r="J6541" s="15">
        <v>1.2833629142293435</v>
      </c>
      <c r="K6541" s="15" t="s">
        <v>10</v>
      </c>
      <c r="L6541" s="15" t="s">
        <v>10</v>
      </c>
      <c r="M6541" s="15">
        <v>1.2833629142293435</v>
      </c>
      <c r="N6541" s="15">
        <v>1.2833629142293435</v>
      </c>
      <c r="O6541" s="15" t="s">
        <v>10</v>
      </c>
      <c r="P6541" s="15" t="s">
        <v>10</v>
      </c>
      <c r="Q6541" s="8"/>
      <c r="R6541" s="9" t="s">
        <v>6054</v>
      </c>
    </row>
    <row r="6542" spans="1:18" x14ac:dyDescent="0.25">
      <c r="A6542" s="6" t="str">
        <f>HYPERLINK("proteomic_fractions_linear_files/Yang_linear_img/6755386.jpg", "6755386")</f>
        <v>6755386</v>
      </c>
      <c r="B6542" s="7"/>
      <c r="C6542" s="6" t="str">
        <f>HYPERLINK("http://www.ncbi.nlm.nih.gov/protein/6755386","S100a1")</f>
        <v>S100a1</v>
      </c>
      <c r="D6542" s="8"/>
      <c r="E6542" s="8">
        <v>10374</v>
      </c>
      <c r="F6542" s="8"/>
      <c r="G6542" s="15">
        <v>1.1750915625823635</v>
      </c>
      <c r="H6542" s="15">
        <v>1.1750915625823635</v>
      </c>
      <c r="I6542" s="15">
        <v>1.1750915625823635</v>
      </c>
      <c r="J6542" s="15">
        <v>1.1750915625823635</v>
      </c>
      <c r="K6542" s="15">
        <v>1.2232861292331356</v>
      </c>
      <c r="L6542" s="15">
        <v>1.2232861292331356</v>
      </c>
      <c r="M6542" s="15" t="s">
        <v>10</v>
      </c>
      <c r="N6542" s="15" t="s">
        <v>10</v>
      </c>
      <c r="O6542" s="15" t="s">
        <v>10</v>
      </c>
      <c r="P6542" s="15" t="s">
        <v>10</v>
      </c>
      <c r="Q6542" s="8"/>
      <c r="R6542" s="9" t="s">
        <v>6055</v>
      </c>
    </row>
    <row r="6543" spans="1:18" x14ac:dyDescent="0.25">
      <c r="A6543" s="6" t="str">
        <f>HYPERLINK("proteomic_fractions_linear_files/Yang_linear_img/6677833.jpg", "6677833")</f>
        <v>6677833</v>
      </c>
      <c r="B6543" s="7"/>
      <c r="C6543" s="6" t="str">
        <f>HYPERLINK("http://www.ncbi.nlm.nih.gov/protein/6677833","S100a10")</f>
        <v>S100a10</v>
      </c>
      <c r="D6543" s="8"/>
      <c r="E6543" s="8">
        <v>11055</v>
      </c>
      <c r="F6543" s="8"/>
      <c r="G6543" s="15">
        <v>1.6813908331421894</v>
      </c>
      <c r="H6543" s="15">
        <v>1.6813908331421894</v>
      </c>
      <c r="I6543" s="15">
        <v>1.1588381219943296</v>
      </c>
      <c r="J6543" s="15">
        <v>1.1588381219943296</v>
      </c>
      <c r="K6543" s="15">
        <v>1.1588381219943296</v>
      </c>
      <c r="L6543" s="15">
        <v>1.1588381219943296</v>
      </c>
      <c r="M6543" s="15" t="s">
        <v>10</v>
      </c>
      <c r="N6543" s="15" t="s">
        <v>10</v>
      </c>
      <c r="O6543" s="15" t="s">
        <v>10</v>
      </c>
      <c r="P6543" s="15" t="s">
        <v>10</v>
      </c>
      <c r="Q6543" s="8"/>
      <c r="R6543" s="9" t="s">
        <v>6056</v>
      </c>
    </row>
    <row r="6544" spans="1:18" x14ac:dyDescent="0.25">
      <c r="A6544" s="6" t="str">
        <f>HYPERLINK("proteomic_fractions_linear_files/Yang_linear_img/21886811.jpg", "21886811")</f>
        <v>21886811</v>
      </c>
      <c r="B6544" s="7"/>
      <c r="C6544" s="6" t="str">
        <f>HYPERLINK("http://www.ncbi.nlm.nih.gov/protein/21886811","S100a11")</f>
        <v>S100a11</v>
      </c>
      <c r="D6544" s="8"/>
      <c r="E6544" s="8">
        <v>10952</v>
      </c>
      <c r="F6544" s="8"/>
      <c r="G6544" s="15">
        <v>1.1588381219943296</v>
      </c>
      <c r="H6544" s="15">
        <v>1.1588381219943296</v>
      </c>
      <c r="I6544" s="15">
        <v>1.1588381219943296</v>
      </c>
      <c r="J6544" s="15">
        <v>27.434847694227162</v>
      </c>
      <c r="K6544" s="15">
        <v>1.1120782993028506</v>
      </c>
      <c r="L6544" s="15">
        <v>1.1120782993028506</v>
      </c>
      <c r="M6544" s="15">
        <v>1.1588381219943296</v>
      </c>
      <c r="N6544" s="15">
        <v>1.1588381219943296</v>
      </c>
      <c r="O6544" s="15">
        <v>1.1120782993028506</v>
      </c>
      <c r="P6544" s="15">
        <v>1.1120782993028506</v>
      </c>
      <c r="Q6544" s="8"/>
      <c r="R6544" s="9" t="s">
        <v>6057</v>
      </c>
    </row>
    <row r="6545" spans="1:18" x14ac:dyDescent="0.25">
      <c r="A6545" s="6" t="str">
        <f>HYPERLINK("proteomic_fractions_linear_files/Yang_linear_img/347582617.jpg", "347582617")</f>
        <v>347582617</v>
      </c>
      <c r="B6545" s="7"/>
      <c r="C6545" s="6" t="str">
        <f>HYPERLINK("http://www.ncbi.nlm.nih.gov/protein/347582617","S100a13")</f>
        <v>S100a13</v>
      </c>
      <c r="D6545" s="8"/>
      <c r="E6545" s="8">
        <v>17613</v>
      </c>
      <c r="F6545" s="8"/>
      <c r="G6545" s="15">
        <v>0.7081788523298681</v>
      </c>
      <c r="H6545" s="15">
        <v>0.7081788523298681</v>
      </c>
      <c r="I6545" s="15">
        <v>0.67960340512951989</v>
      </c>
      <c r="J6545" s="15">
        <v>0.67960340512951989</v>
      </c>
      <c r="K6545" s="15">
        <v>0.67960340512951989</v>
      </c>
      <c r="L6545" s="15">
        <v>0.67960340512951989</v>
      </c>
      <c r="M6545" s="15">
        <v>0.7081788523298681</v>
      </c>
      <c r="N6545" s="15">
        <v>0.7081788523298681</v>
      </c>
      <c r="O6545" s="15">
        <v>0.67960340512951989</v>
      </c>
      <c r="P6545" s="15">
        <v>0.67960340512951989</v>
      </c>
      <c r="Q6545" s="8"/>
      <c r="R6545" s="9" t="s">
        <v>6058</v>
      </c>
    </row>
    <row r="6546" spans="1:18" x14ac:dyDescent="0.25">
      <c r="A6546" s="6" t="str">
        <f>HYPERLINK("proteomic_fractions_linear_files/Yang_linear_img/254587910.jpg", "254587910")</f>
        <v>254587910</v>
      </c>
      <c r="B6546" s="7"/>
      <c r="C6546" s="6" t="str">
        <f>HYPERLINK("http://www.ncbi.nlm.nih.gov/protein/254587910","S100a14")</f>
        <v>S100a14</v>
      </c>
      <c r="D6546" s="8"/>
      <c r="E6546" s="8">
        <v>5877</v>
      </c>
      <c r="F6546" s="8"/>
      <c r="G6546" s="15">
        <v>3.0825498607606807</v>
      </c>
      <c r="H6546" s="15">
        <v>3.0825498607606807</v>
      </c>
      <c r="I6546" s="15">
        <v>2.1245365569896042</v>
      </c>
      <c r="J6546" s="15">
        <v>2.1245365569896042</v>
      </c>
      <c r="K6546" s="15">
        <v>2.2161773371669224</v>
      </c>
      <c r="L6546" s="15">
        <v>2.2161773371669224</v>
      </c>
      <c r="M6546" s="15" t="s">
        <v>10</v>
      </c>
      <c r="N6546" s="15" t="s">
        <v>10</v>
      </c>
      <c r="O6546" s="15" t="s">
        <v>10</v>
      </c>
      <c r="P6546" s="15" t="s">
        <v>10</v>
      </c>
      <c r="Q6546" s="8"/>
      <c r="R6546" s="9" t="s">
        <v>6059</v>
      </c>
    </row>
    <row r="6547" spans="1:18" x14ac:dyDescent="0.25">
      <c r="A6547" s="6" t="str">
        <f>HYPERLINK("proteomic_fractions_linear_files/Yang_linear_img/254587908;254587904.jpg", "254587908;254587904")</f>
        <v>254587908;254587904</v>
      </c>
      <c r="B6547" s="8"/>
      <c r="C6547" s="6" t="str">
        <f>HYPERLINK("http://www.ncbi.nlm.nih.gov/protein/254587908;254587904","S100a14")</f>
        <v>S100a14</v>
      </c>
      <c r="D6547" s="8"/>
      <c r="E6547" s="8">
        <v>11468</v>
      </c>
      <c r="F6547" s="8"/>
      <c r="G6547" s="15">
        <v>1.6813908331421894</v>
      </c>
      <c r="H6547" s="15">
        <v>1.6813908331421894</v>
      </c>
      <c r="I6547" s="15">
        <v>1.1588381219943296</v>
      </c>
      <c r="J6547" s="15">
        <v>1.1588381219943296</v>
      </c>
      <c r="K6547" s="15">
        <v>1.1588381219943296</v>
      </c>
      <c r="L6547" s="15">
        <v>1.1588381219943296</v>
      </c>
      <c r="M6547" s="15">
        <v>1.2088240020910486</v>
      </c>
      <c r="N6547" s="15">
        <v>1.2088240020910486</v>
      </c>
      <c r="O6547" s="15">
        <v>1.1120782993028506</v>
      </c>
      <c r="P6547" s="15">
        <v>1.1120782993028506</v>
      </c>
      <c r="Q6547" s="8"/>
      <c r="R6547" s="9" t="s">
        <v>6060</v>
      </c>
    </row>
    <row r="6548" spans="1:18" x14ac:dyDescent="0.25">
      <c r="A6548" s="6" t="str">
        <f>HYPERLINK("proteomic_fractions_linear_files/Yang_linear_img/21312760.jpg", "21312760")</f>
        <v>21312760</v>
      </c>
      <c r="B6548" s="7"/>
      <c r="C6548" s="6" t="str">
        <f>HYPERLINK("http://www.ncbi.nlm.nih.gov/protein/21312760","S100a16")</f>
        <v>S100a16</v>
      </c>
      <c r="D6548" s="8"/>
      <c r="E6548" s="8">
        <v>14193</v>
      </c>
      <c r="F6548" s="8"/>
      <c r="G6548" s="15">
        <v>1.7539157580912084</v>
      </c>
      <c r="H6548" s="15">
        <v>1.7539157580912084</v>
      </c>
      <c r="I6548" s="15">
        <v>1.1940338943290729</v>
      </c>
      <c r="J6548" s="15">
        <v>1.1940338943290729</v>
      </c>
      <c r="K6548" s="15">
        <v>1.1940338943290729</v>
      </c>
      <c r="L6548" s="15">
        <v>1.1940338943290729</v>
      </c>
      <c r="M6548" s="15">
        <v>1.2549956975256404</v>
      </c>
      <c r="N6548" s="15">
        <v>1.2549956975256404</v>
      </c>
      <c r="O6548" s="15">
        <v>1.1940338943290729</v>
      </c>
      <c r="P6548" s="15">
        <v>1.1940338943290729</v>
      </c>
      <c r="Q6548" s="8"/>
      <c r="R6548" s="9" t="s">
        <v>6061</v>
      </c>
    </row>
    <row r="6549" spans="1:18" x14ac:dyDescent="0.25">
      <c r="A6549" s="6" t="str">
        <f>HYPERLINK("proteomic_fractions_linear_files/Yang_linear_img/33859624.jpg", "33859624")</f>
        <v>33859624</v>
      </c>
      <c r="B6549" s="7"/>
      <c r="C6549" s="6" t="str">
        <f>HYPERLINK("http://www.ncbi.nlm.nih.gov/protein/33859624","S100a4")</f>
        <v>S100a4</v>
      </c>
      <c r="D6549" s="8"/>
      <c r="E6549" s="8">
        <v>11590</v>
      </c>
      <c r="F6549" s="8"/>
      <c r="G6549" s="15" t="s">
        <v>10</v>
      </c>
      <c r="H6549" s="15" t="s">
        <v>10</v>
      </c>
      <c r="I6549" s="15" t="s">
        <v>10</v>
      </c>
      <c r="J6549" s="15" t="s">
        <v>10</v>
      </c>
      <c r="K6549" s="15">
        <v>1.0622682784948021</v>
      </c>
      <c r="L6549" s="15">
        <v>1.0622682784948021</v>
      </c>
      <c r="M6549" s="15" t="s">
        <v>10</v>
      </c>
      <c r="N6549" s="15" t="s">
        <v>10</v>
      </c>
      <c r="O6549" s="15" t="s">
        <v>10</v>
      </c>
      <c r="P6549" s="15" t="s">
        <v>10</v>
      </c>
      <c r="Q6549" s="8"/>
      <c r="R6549" s="9" t="s">
        <v>6062</v>
      </c>
    </row>
    <row r="6550" spans="1:18" x14ac:dyDescent="0.25">
      <c r="A6550" s="6" t="str">
        <f>HYPERLINK("proteomic_fractions_linear_files/Yang_linear_img/6755392.jpg", "6755392")</f>
        <v>6755392</v>
      </c>
      <c r="B6550" s="7"/>
      <c r="C6550" s="6" t="str">
        <f>HYPERLINK("http://www.ncbi.nlm.nih.gov/protein/6755392","S100a6")</f>
        <v>S100a6</v>
      </c>
      <c r="D6550" s="8"/>
      <c r="E6550" s="8">
        <v>9919</v>
      </c>
      <c r="F6550" s="8"/>
      <c r="G6550" s="15">
        <v>1.1298639197605214</v>
      </c>
      <c r="H6550" s="15">
        <v>1.1298639197605214</v>
      </c>
      <c r="I6550" s="15">
        <v>1.1298639197605214</v>
      </c>
      <c r="J6550" s="15">
        <v>1.1298639197605214</v>
      </c>
      <c r="K6550" s="15">
        <v>1.2232861292331356</v>
      </c>
      <c r="L6550" s="15">
        <v>1.2232861292331356</v>
      </c>
      <c r="M6550" s="15">
        <v>1.2747219341937626</v>
      </c>
      <c r="N6550" s="15">
        <v>1.2747219341937626</v>
      </c>
      <c r="O6550" s="15">
        <v>1.2232861292331356</v>
      </c>
      <c r="P6550" s="15">
        <v>1.2232861292331356</v>
      </c>
      <c r="Q6550" s="8"/>
      <c r="R6550" s="9" t="s">
        <v>6063</v>
      </c>
    </row>
    <row r="6551" spans="1:18" x14ac:dyDescent="0.25">
      <c r="A6551" s="6" t="str">
        <f>HYPERLINK("proteomic_fractions_linear_files/Yang_linear_img/198278397.jpg", "198278397")</f>
        <v>198278397</v>
      </c>
      <c r="B6551" s="7"/>
      <c r="C6551" s="6" t="str">
        <f>HYPERLINK("http://www.ncbi.nlm.nih.gov/protein/198278397","Saal1")</f>
        <v>Saal1</v>
      </c>
      <c r="D6551" s="8"/>
      <c r="E6551" s="8">
        <v>52638</v>
      </c>
      <c r="F6551" s="8"/>
      <c r="G6551" s="15" t="s">
        <v>10</v>
      </c>
      <c r="H6551" s="15" t="s">
        <v>10</v>
      </c>
      <c r="I6551" s="15">
        <v>1.2349672326517798</v>
      </c>
      <c r="J6551" s="15">
        <v>1.2349672326517798</v>
      </c>
      <c r="K6551" s="15">
        <v>1.2349672326517798</v>
      </c>
      <c r="L6551" s="15">
        <v>1.2349672326517798</v>
      </c>
      <c r="M6551" s="15">
        <v>1.2349672326517798</v>
      </c>
      <c r="N6551" s="15">
        <v>1.2349672326517798</v>
      </c>
      <c r="O6551" s="15" t="s">
        <v>10</v>
      </c>
      <c r="P6551" s="15" t="s">
        <v>10</v>
      </c>
      <c r="Q6551" s="8"/>
      <c r="R6551" s="9" t="s">
        <v>6064</v>
      </c>
    </row>
    <row r="6552" spans="1:18" x14ac:dyDescent="0.25">
      <c r="A6552" s="6" t="str">
        <f>HYPERLINK("proteomic_fractions_linear_files/Yang_linear_img/13507622.jpg", "13507622")</f>
        <v>13507622</v>
      </c>
      <c r="B6552" s="7"/>
      <c r="C6552" s="6" t="str">
        <f>HYPERLINK("http://www.ncbi.nlm.nih.gov/protein/13507622","Sacm1l")</f>
        <v>Sacm1l</v>
      </c>
      <c r="D6552" s="8"/>
      <c r="E6552" s="8">
        <v>66813</v>
      </c>
      <c r="F6552" s="8"/>
      <c r="G6552" s="15">
        <v>1.0960620931594365</v>
      </c>
      <c r="H6552" s="15">
        <v>1.0960620931594365</v>
      </c>
      <c r="I6552" s="15">
        <v>0.87721205351632614</v>
      </c>
      <c r="J6552" s="15">
        <v>0.87721205351632614</v>
      </c>
      <c r="K6552" s="15">
        <v>0.97691437806782588</v>
      </c>
      <c r="L6552" s="15">
        <v>0.97691437806782588</v>
      </c>
      <c r="M6552" s="15" t="s">
        <v>10</v>
      </c>
      <c r="N6552" s="15" t="s">
        <v>10</v>
      </c>
      <c r="O6552" s="15" t="s">
        <v>10</v>
      </c>
      <c r="P6552" s="15" t="s">
        <v>10</v>
      </c>
      <c r="Q6552" s="8"/>
      <c r="R6552" s="9" t="s">
        <v>6065</v>
      </c>
    </row>
    <row r="6553" spans="1:18" x14ac:dyDescent="0.25">
      <c r="A6553" s="6" t="str">
        <f>HYPERLINK("proteomic_fractions_linear_files/Yang_linear_img/9790247.jpg", "9790247")</f>
        <v>9790247</v>
      </c>
      <c r="B6553" s="7"/>
      <c r="C6553" s="6" t="str">
        <f>HYPERLINK("http://www.ncbi.nlm.nih.gov/protein/9790247","Sae1")</f>
        <v>Sae1</v>
      </c>
      <c r="D6553" s="8"/>
      <c r="E6553" s="8">
        <v>38489</v>
      </c>
      <c r="F6553" s="8"/>
      <c r="G6553" s="15" t="s">
        <v>10</v>
      </c>
      <c r="H6553" s="15" t="s">
        <v>10</v>
      </c>
      <c r="I6553" s="15">
        <v>0.98266648481906815</v>
      </c>
      <c r="J6553" s="15">
        <v>0.98266648481906815</v>
      </c>
      <c r="K6553" s="15">
        <v>1.0659820579795458</v>
      </c>
      <c r="L6553" s="15">
        <v>1.0659820579795458</v>
      </c>
      <c r="M6553" s="15" t="s">
        <v>10</v>
      </c>
      <c r="N6553" s="15" t="s">
        <v>10</v>
      </c>
      <c r="O6553" s="15">
        <v>0.90929938238092589</v>
      </c>
      <c r="P6553" s="15">
        <v>0.90929938238092589</v>
      </c>
      <c r="Q6553" s="8"/>
      <c r="R6553" s="9" t="s">
        <v>6066</v>
      </c>
    </row>
    <row r="6554" spans="1:18" x14ac:dyDescent="0.25">
      <c r="A6554" s="6" t="str">
        <f>HYPERLINK("proteomic_fractions_linear_files/Yang_linear_img/254028159.jpg", "254028159")</f>
        <v>254028159</v>
      </c>
      <c r="B6554" s="7"/>
      <c r="C6554" s="6" t="str">
        <f>HYPERLINK("http://www.ncbi.nlm.nih.gov/protein/254028159","Safb")</f>
        <v>Safb</v>
      </c>
      <c r="D6554" s="8"/>
      <c r="E6554" s="8">
        <v>104973</v>
      </c>
      <c r="F6554" s="8"/>
      <c r="G6554" s="15">
        <v>1.7787222060946701</v>
      </c>
      <c r="H6554" s="15">
        <v>1.7787222060946701</v>
      </c>
      <c r="I6554" s="15" t="s">
        <v>10</v>
      </c>
      <c r="J6554" s="15" t="s">
        <v>10</v>
      </c>
      <c r="K6554" s="15">
        <v>1.7787222060946701</v>
      </c>
      <c r="L6554" s="15">
        <v>1.7787222060946701</v>
      </c>
      <c r="M6554" s="15" t="s">
        <v>10</v>
      </c>
      <c r="N6554" s="15" t="s">
        <v>10</v>
      </c>
      <c r="O6554" s="15" t="s">
        <v>10</v>
      </c>
      <c r="P6554" s="15" t="s">
        <v>10</v>
      </c>
      <c r="Q6554" s="8"/>
      <c r="R6554" s="9" t="s">
        <v>6067</v>
      </c>
    </row>
    <row r="6555" spans="1:18" x14ac:dyDescent="0.25">
      <c r="A6555" s="6" t="str">
        <f>HYPERLINK("proteomic_fractions_linear_files/Yang_linear_img/153945866.jpg", "153945866")</f>
        <v>153945866</v>
      </c>
      <c r="B6555" s="7"/>
      <c r="C6555" s="6" t="str">
        <f>HYPERLINK("http://www.ncbi.nlm.nih.gov/protein/153945866","Safb2")</f>
        <v>Safb2</v>
      </c>
      <c r="D6555" s="8"/>
      <c r="E6555" s="8">
        <v>111708</v>
      </c>
      <c r="F6555" s="8"/>
      <c r="G6555" s="15">
        <v>1.6675520682137532</v>
      </c>
      <c r="H6555" s="15">
        <v>1.6675520682137532</v>
      </c>
      <c r="I6555" s="15" t="s">
        <v>10</v>
      </c>
      <c r="J6555" s="15" t="s">
        <v>10</v>
      </c>
      <c r="K6555" s="15">
        <v>1.6675520682137532</v>
      </c>
      <c r="L6555" s="15">
        <v>1.6675520682137532</v>
      </c>
      <c r="M6555" s="15" t="s">
        <v>10</v>
      </c>
      <c r="N6555" s="15" t="s">
        <v>10</v>
      </c>
      <c r="O6555" s="15" t="s">
        <v>10</v>
      </c>
      <c r="P6555" s="15" t="s">
        <v>10</v>
      </c>
      <c r="Q6555" s="8"/>
      <c r="R6555" s="9" t="s">
        <v>6068</v>
      </c>
    </row>
    <row r="6556" spans="1:18" x14ac:dyDescent="0.25">
      <c r="A6556" s="6" t="str">
        <f>HYPERLINK("proteomic_fractions_linear_files/Yang_linear_img/159032064.jpg", "159032064")</f>
        <v>159032064</v>
      </c>
      <c r="B6556" s="7"/>
      <c r="C6556" s="6" t="str">
        <f>HYPERLINK("http://www.ncbi.nlm.nih.gov/protein/159032064","Sall1")</f>
        <v>Sall1</v>
      </c>
      <c r="D6556" s="8"/>
      <c r="E6556" s="8">
        <v>140106</v>
      </c>
      <c r="F6556" s="8"/>
      <c r="G6556" s="15" t="s">
        <v>10</v>
      </c>
      <c r="H6556" s="15" t="s">
        <v>10</v>
      </c>
      <c r="I6556" s="15" t="s">
        <v>10</v>
      </c>
      <c r="J6556" s="15" t="s">
        <v>10</v>
      </c>
      <c r="K6556" s="15" t="s">
        <v>10</v>
      </c>
      <c r="L6556" s="15" t="s">
        <v>10</v>
      </c>
      <c r="M6556" s="15">
        <v>0.67834272273274654</v>
      </c>
      <c r="N6556" s="15">
        <v>0.67834272273274654</v>
      </c>
      <c r="O6556" s="15" t="s">
        <v>10</v>
      </c>
      <c r="P6556" s="15" t="s">
        <v>10</v>
      </c>
      <c r="Q6556" s="8"/>
      <c r="R6556" s="9" t="s">
        <v>6069</v>
      </c>
    </row>
    <row r="6557" spans="1:18" x14ac:dyDescent="0.25">
      <c r="A6557" s="6" t="str">
        <f>HYPERLINK("proteomic_fractions_linear_files/Yang_linear_img/28893263.jpg", "28893263")</f>
        <v>28893263</v>
      </c>
      <c r="B6557" s="7"/>
      <c r="C6557" s="6" t="str">
        <f>HYPERLINK("http://www.ncbi.nlm.nih.gov/protein/28893263","Samd12")</f>
        <v>Samd12</v>
      </c>
      <c r="D6557" s="8"/>
      <c r="E6557" s="8">
        <v>18114</v>
      </c>
      <c r="F6557" s="8"/>
      <c r="G6557" s="15" t="s">
        <v>10</v>
      </c>
      <c r="H6557" s="15" t="s">
        <v>10</v>
      </c>
      <c r="I6557" s="15" t="s">
        <v>10</v>
      </c>
      <c r="J6557" s="15" t="s">
        <v>10</v>
      </c>
      <c r="K6557" s="15" t="s">
        <v>10</v>
      </c>
      <c r="L6557" s="15" t="s">
        <v>10</v>
      </c>
      <c r="M6557" s="15" t="s">
        <v>10</v>
      </c>
      <c r="N6557" s="15" t="s">
        <v>10</v>
      </c>
      <c r="O6557" s="15">
        <v>0.97610776474216487</v>
      </c>
      <c r="P6557" s="15">
        <v>0.97610776474216487</v>
      </c>
      <c r="Q6557" s="8"/>
      <c r="R6557" s="9" t="s">
        <v>6070</v>
      </c>
    </row>
    <row r="6558" spans="1:18" x14ac:dyDescent="0.25">
      <c r="A6558" s="6" t="str">
        <f>HYPERLINK("proteomic_fractions_linear_files/Yang_linear_img/226958514.jpg", "226958514")</f>
        <v>226958514</v>
      </c>
      <c r="B6558" s="7"/>
      <c r="C6558" s="6" t="str">
        <f>HYPERLINK("http://www.ncbi.nlm.nih.gov/protein/226958514","Samd9l")</f>
        <v>Samd9l</v>
      </c>
      <c r="D6558" s="8"/>
      <c r="E6558" s="8">
        <v>182124</v>
      </c>
      <c r="F6558" s="8"/>
      <c r="G6558" s="15">
        <v>1.0261858881315404</v>
      </c>
      <c r="H6558" s="15">
        <v>1.0261858881315404</v>
      </c>
      <c r="I6558" s="15">
        <v>2.2474920754914276</v>
      </c>
      <c r="J6558" s="15">
        <v>2.2474920754914276</v>
      </c>
      <c r="K6558" s="15">
        <v>1.2822024594936763</v>
      </c>
      <c r="L6558" s="15">
        <v>1.2822024594936763</v>
      </c>
      <c r="M6558" s="15">
        <v>1.2822024594936763</v>
      </c>
      <c r="N6558" s="15">
        <v>1.2822024594936763</v>
      </c>
      <c r="O6558" s="15">
        <v>1.0261858881315404</v>
      </c>
      <c r="P6558" s="15">
        <v>1.0261858881315404</v>
      </c>
      <c r="Q6558" s="8"/>
      <c r="R6558" s="9" t="s">
        <v>6071</v>
      </c>
    </row>
    <row r="6559" spans="1:18" x14ac:dyDescent="0.25">
      <c r="A6559" s="6" t="str">
        <f>HYPERLINK("proteomic_fractions_linear_files/Yang_linear_img/213418055.jpg", "213418055")</f>
        <v>213418055</v>
      </c>
      <c r="B6559" s="7"/>
      <c r="C6559" s="6" t="str">
        <f>HYPERLINK("http://www.ncbi.nlm.nih.gov/protein/213418055","Samhd1")</f>
        <v>Samhd1</v>
      </c>
      <c r="D6559" s="8"/>
      <c r="E6559" s="8">
        <v>75762</v>
      </c>
      <c r="F6559" s="8"/>
      <c r="G6559" s="15" t="s">
        <v>10</v>
      </c>
      <c r="H6559" s="15" t="s">
        <v>10</v>
      </c>
      <c r="I6559" s="15">
        <v>1.0934034009624192</v>
      </c>
      <c r="J6559" s="15">
        <v>1.0934034009624192</v>
      </c>
      <c r="K6559" s="15">
        <v>1.0934034009624192</v>
      </c>
      <c r="L6559" s="15">
        <v>1.0934034009624192</v>
      </c>
      <c r="M6559" s="15">
        <v>1.0934034009624192</v>
      </c>
      <c r="N6559" s="15">
        <v>1.0934034009624192</v>
      </c>
      <c r="O6559" s="15">
        <v>1.0934034009624192</v>
      </c>
      <c r="P6559" s="15">
        <v>0.96626526633792431</v>
      </c>
      <c r="Q6559" s="8"/>
      <c r="R6559" s="9" t="s">
        <v>6072</v>
      </c>
    </row>
    <row r="6560" spans="1:18" x14ac:dyDescent="0.25">
      <c r="A6560" s="6" t="str">
        <f>HYPERLINK("proteomic_fractions_linear_files/Yang_linear_img/213418079.jpg", "213418079")</f>
        <v>213418079</v>
      </c>
      <c r="B6560" s="7"/>
      <c r="C6560" s="6" t="str">
        <f>HYPERLINK("http://www.ncbi.nlm.nih.gov/protein/213418079","Samhd1")</f>
        <v>Samhd1</v>
      </c>
      <c r="D6560" s="8"/>
      <c r="E6560" s="8">
        <v>74804</v>
      </c>
      <c r="F6560" s="8"/>
      <c r="G6560" s="15" t="s">
        <v>10</v>
      </c>
      <c r="H6560" s="15" t="s">
        <v>10</v>
      </c>
      <c r="I6560" s="15">
        <v>1.1079821129752514</v>
      </c>
      <c r="J6560" s="15">
        <v>1.1079821129752514</v>
      </c>
      <c r="K6560" s="15">
        <v>1.1079821129752514</v>
      </c>
      <c r="L6560" s="15">
        <v>1.1079821129752514</v>
      </c>
      <c r="M6560" s="15">
        <v>1.1079821129752514</v>
      </c>
      <c r="N6560" s="15">
        <v>1.1079821129752514</v>
      </c>
      <c r="O6560" s="15">
        <v>1.1079821129752514</v>
      </c>
      <c r="P6560" s="15">
        <v>0.97914880322242992</v>
      </c>
      <c r="Q6560" s="8"/>
      <c r="R6560" s="9" t="s">
        <v>6073</v>
      </c>
    </row>
    <row r="6561" spans="1:18" x14ac:dyDescent="0.25">
      <c r="A6561" s="6" t="str">
        <f>HYPERLINK("proteomic_fractions_linear_files/Yang_linear_img/30519943.jpg", "30519943")</f>
        <v>30519943</v>
      </c>
      <c r="B6561" s="7"/>
      <c r="C6561" s="6" t="str">
        <f>HYPERLINK("http://www.ncbi.nlm.nih.gov/protein/30519943","Samm50")</f>
        <v>Samm50</v>
      </c>
      <c r="D6561" s="8"/>
      <c r="E6561" s="8">
        <v>51733</v>
      </c>
      <c r="F6561" s="8"/>
      <c r="G6561" s="15">
        <v>1.2587166025104679</v>
      </c>
      <c r="H6561" s="15">
        <v>1.2587166025104679</v>
      </c>
      <c r="I6561" s="15">
        <v>1.0215494159615592</v>
      </c>
      <c r="J6561" s="15">
        <v>1.0215494159615592</v>
      </c>
      <c r="K6561" s="15">
        <v>1.0215494159615592</v>
      </c>
      <c r="L6561" s="15">
        <v>1.0215494159615592</v>
      </c>
      <c r="M6561" s="15" t="s">
        <v>10</v>
      </c>
      <c r="N6561" s="15" t="s">
        <v>10</v>
      </c>
      <c r="O6561" s="15" t="s">
        <v>10</v>
      </c>
      <c r="P6561" s="15" t="s">
        <v>10</v>
      </c>
      <c r="Q6561" s="8"/>
      <c r="R6561" s="9" t="s">
        <v>6074</v>
      </c>
    </row>
    <row r="6562" spans="1:18" x14ac:dyDescent="0.25">
      <c r="A6562" s="6" t="str">
        <f>HYPERLINK("proteomic_fractions_linear_files/Yang_linear_img/31560336.jpg", "31560336")</f>
        <v>31560336</v>
      </c>
      <c r="B6562" s="7"/>
      <c r="C6562" s="6" t="str">
        <f>HYPERLINK("http://www.ncbi.nlm.nih.gov/protein/31560336","Sap30bp")</f>
        <v>Sap30bp</v>
      </c>
      <c r="D6562" s="8"/>
      <c r="E6562" s="8">
        <v>33701</v>
      </c>
      <c r="F6562" s="8"/>
      <c r="G6562" s="15" t="s">
        <v>10</v>
      </c>
      <c r="H6562" s="15" t="s">
        <v>10</v>
      </c>
      <c r="I6562" s="15">
        <v>1.4202933995416251</v>
      </c>
      <c r="J6562" s="15">
        <v>1.4202933995416251</v>
      </c>
      <c r="K6562" s="15">
        <v>1.5623696950000316</v>
      </c>
      <c r="L6562" s="15">
        <v>1.5623696950000316</v>
      </c>
      <c r="M6562" s="15" t="s">
        <v>10</v>
      </c>
      <c r="N6562" s="15" t="s">
        <v>10</v>
      </c>
      <c r="O6562" s="15">
        <v>1.2978114484401608</v>
      </c>
      <c r="P6562" s="15">
        <v>1.2978114484401608</v>
      </c>
      <c r="Q6562" s="8"/>
      <c r="R6562" s="9" t="s">
        <v>6075</v>
      </c>
    </row>
    <row r="6563" spans="1:18" x14ac:dyDescent="0.25">
      <c r="A6563" s="6" t="str">
        <f>HYPERLINK("proteomic_fractions_linear_files/Yang_linear_img/21703344.jpg", "21703344")</f>
        <v>21703344</v>
      </c>
      <c r="B6563" s="7"/>
      <c r="C6563" s="6" t="str">
        <f>HYPERLINK("http://www.ncbi.nlm.nih.gov/protein/21703344","Sar1a")</f>
        <v>Sar1a</v>
      </c>
      <c r="D6563" s="8"/>
      <c r="E6563" s="8">
        <v>22268</v>
      </c>
      <c r="F6563" s="8"/>
      <c r="G6563" s="15">
        <v>1.3584275859869606</v>
      </c>
      <c r="H6563" s="15">
        <v>1.3584275859869606</v>
      </c>
      <c r="I6563" s="15">
        <v>0.93624732666619426</v>
      </c>
      <c r="J6563" s="15">
        <v>0.93624732666619426</v>
      </c>
      <c r="K6563" s="15">
        <v>0.99071555775812503</v>
      </c>
      <c r="L6563" s="15">
        <v>0.99071555775812503</v>
      </c>
      <c r="M6563" s="15">
        <v>0.99071555775812503</v>
      </c>
      <c r="N6563" s="15">
        <v>0.99071555775812503</v>
      </c>
      <c r="O6563" s="15">
        <v>0.93624732666619426</v>
      </c>
      <c r="P6563" s="15">
        <v>0.93624732666619426</v>
      </c>
      <c r="Q6563" s="8"/>
      <c r="R6563" s="9" t="s">
        <v>6076</v>
      </c>
    </row>
    <row r="6564" spans="1:18" x14ac:dyDescent="0.25">
      <c r="A6564" s="6" t="str">
        <f>HYPERLINK("proteomic_fractions_linear_files/Yang_linear_img/21313476.jpg", "21313476")</f>
        <v>21313476</v>
      </c>
      <c r="B6564" s="7"/>
      <c r="C6564" s="6" t="str">
        <f>HYPERLINK("http://www.ncbi.nlm.nih.gov/protein/21313476","Sar1b")</f>
        <v>Sar1b</v>
      </c>
      <c r="D6564" s="8"/>
      <c r="E6564" s="8">
        <v>22251</v>
      </c>
      <c r="F6564" s="8"/>
      <c r="G6564" s="15">
        <v>1.3584275859869606</v>
      </c>
      <c r="H6564" s="15">
        <v>1.3584275859869606</v>
      </c>
      <c r="I6564" s="15">
        <v>0.93624732666619426</v>
      </c>
      <c r="J6564" s="15">
        <v>0.93624732666619426</v>
      </c>
      <c r="K6564" s="15">
        <v>1.0504351533962475</v>
      </c>
      <c r="L6564" s="15">
        <v>1.0504351533962475</v>
      </c>
      <c r="M6564" s="15">
        <v>0.99071555775812503</v>
      </c>
      <c r="N6564" s="15">
        <v>0.99071555775812503</v>
      </c>
      <c r="O6564" s="15">
        <v>0.93624732666619426</v>
      </c>
      <c r="P6564" s="15">
        <v>0.93624732666619426</v>
      </c>
      <c r="Q6564" s="8"/>
      <c r="R6564" s="9" t="s">
        <v>6077</v>
      </c>
    </row>
    <row r="6565" spans="1:18" x14ac:dyDescent="0.25">
      <c r="A6565" s="6" t="str">
        <f>HYPERLINK("proteomic_fractions_linear_files/Yang_linear_img/20149748.jpg", "20149748")</f>
        <v>20149748</v>
      </c>
      <c r="B6565" s="7"/>
      <c r="C6565" s="6" t="str">
        <f>HYPERLINK("http://www.ncbi.nlm.nih.gov/protein/20149748","Sardh")</f>
        <v>Sardh</v>
      </c>
      <c r="D6565" s="8"/>
      <c r="E6565" s="8">
        <v>99314</v>
      </c>
      <c r="F6565" s="8"/>
      <c r="G6565" s="15" t="s">
        <v>10</v>
      </c>
      <c r="H6565" s="15" t="s">
        <v>10</v>
      </c>
      <c r="I6565" s="15">
        <v>0.95927253719782335</v>
      </c>
      <c r="J6565" s="15">
        <v>0.95927253719782335</v>
      </c>
      <c r="K6565" s="15" t="s">
        <v>10</v>
      </c>
      <c r="L6565" s="15" t="s">
        <v>10</v>
      </c>
      <c r="M6565" s="15" t="s">
        <v>10</v>
      </c>
      <c r="N6565" s="15" t="s">
        <v>10</v>
      </c>
      <c r="O6565" s="15" t="s">
        <v>10</v>
      </c>
      <c r="P6565" s="15" t="s">
        <v>10</v>
      </c>
      <c r="Q6565" s="8"/>
      <c r="R6565" s="9" t="s">
        <v>6078</v>
      </c>
    </row>
    <row r="6566" spans="1:18" x14ac:dyDescent="0.25">
      <c r="A6566" s="6" t="str">
        <f>HYPERLINK("proteomic_fractions_linear_files/Yang_linear_img/13384730.jpg", "13384730")</f>
        <v>13384730</v>
      </c>
      <c r="B6566" s="7"/>
      <c r="C6566" s="6" t="str">
        <f>HYPERLINK("http://www.ncbi.nlm.nih.gov/protein/13384730","Sarnp")</f>
        <v>Sarnp</v>
      </c>
      <c r="D6566" s="8"/>
      <c r="E6566" s="8">
        <v>23402</v>
      </c>
      <c r="F6566" s="8"/>
      <c r="G6566" s="15">
        <v>1.2138352738122635</v>
      </c>
      <c r="H6566" s="15">
        <v>1.2138352738122635</v>
      </c>
      <c r="I6566" s="15">
        <v>1.2138352738122635</v>
      </c>
      <c r="J6566" s="15">
        <v>1.2138352738122635</v>
      </c>
      <c r="K6566" s="15">
        <v>1.2993655170310057</v>
      </c>
      <c r="L6566" s="15">
        <v>1.2993655170310057</v>
      </c>
      <c r="M6566" s="15">
        <v>1.2993655170310057</v>
      </c>
      <c r="N6566" s="15">
        <v>1.2993655170310057</v>
      </c>
      <c r="O6566" s="15">
        <v>1.136967744148913</v>
      </c>
      <c r="P6566" s="15">
        <v>1.136967744148913</v>
      </c>
      <c r="Q6566" s="8"/>
      <c r="R6566" s="9" t="s">
        <v>6079</v>
      </c>
    </row>
    <row r="6567" spans="1:18" x14ac:dyDescent="0.25">
      <c r="A6567" s="6" t="str">
        <f>HYPERLINK("proteomic_fractions_linear_files/Yang_linear_img/326381098.jpg", "326381098")</f>
        <v>326381098</v>
      </c>
      <c r="B6567" s="7"/>
      <c r="C6567" s="6" t="str">
        <f>HYPERLINK("http://www.ncbi.nlm.nih.gov/protein/326381098","Sars")</f>
        <v>Sars</v>
      </c>
      <c r="D6567" s="8"/>
      <c r="E6567" s="8">
        <v>58258</v>
      </c>
      <c r="F6567" s="8"/>
      <c r="G6567" s="15">
        <v>1.2661406938221076</v>
      </c>
      <c r="H6567" s="15">
        <v>1.2661406938221076</v>
      </c>
      <c r="I6567" s="15">
        <v>1.0133311652688595</v>
      </c>
      <c r="J6567" s="15">
        <v>1.0133311652688595</v>
      </c>
      <c r="K6567" s="15">
        <v>1.1285045401817988</v>
      </c>
      <c r="L6567" s="15">
        <v>1.1285045401817988</v>
      </c>
      <c r="M6567" s="15">
        <v>1.0133311652688595</v>
      </c>
      <c r="N6567" s="15">
        <v>1.0133311652688595</v>
      </c>
      <c r="O6567" s="15">
        <v>0.91587189017243242</v>
      </c>
      <c r="P6567" s="15">
        <v>0.91587189017243242</v>
      </c>
      <c r="Q6567" s="8"/>
      <c r="R6567" s="9" t="s">
        <v>6080</v>
      </c>
    </row>
    <row r="6568" spans="1:18" x14ac:dyDescent="0.25">
      <c r="A6568" s="6" t="str">
        <f>HYPERLINK("proteomic_fractions_linear_files/Yang_linear_img/33468931.jpg", "33468931")</f>
        <v>33468931</v>
      </c>
      <c r="B6568" s="7"/>
      <c r="C6568" s="6" t="str">
        <f>HYPERLINK("http://www.ncbi.nlm.nih.gov/protein/33468931","Sars")</f>
        <v>Sars</v>
      </c>
      <c r="D6568" s="8"/>
      <c r="E6568" s="8">
        <v>61036</v>
      </c>
      <c r="F6568" s="8"/>
      <c r="G6568" s="15">
        <v>1.2038714793718401</v>
      </c>
      <c r="H6568" s="15">
        <v>1.2038714793718401</v>
      </c>
      <c r="I6568" s="15">
        <v>0.96349520632121066</v>
      </c>
      <c r="J6568" s="15">
        <v>0.96349520632121066</v>
      </c>
      <c r="K6568" s="15">
        <v>1.0730043168941694</v>
      </c>
      <c r="L6568" s="15">
        <v>1.0730043168941694</v>
      </c>
      <c r="M6568" s="15">
        <v>0.96349520632121066</v>
      </c>
      <c r="N6568" s="15">
        <v>0.96349520632121066</v>
      </c>
      <c r="O6568" s="15">
        <v>0.87082901032788651</v>
      </c>
      <c r="P6568" s="15">
        <v>0.87082901032788651</v>
      </c>
      <c r="Q6568" s="8"/>
      <c r="R6568" s="9" t="s">
        <v>6081</v>
      </c>
    </row>
    <row r="6569" spans="1:18" x14ac:dyDescent="0.25">
      <c r="A6569" s="6" t="str">
        <f>HYPERLINK("proteomic_fractions_linear_files/Yang_linear_img/228008415.jpg", "228008415")</f>
        <v>228008415</v>
      </c>
      <c r="B6569" s="7"/>
      <c r="C6569" s="6" t="str">
        <f>HYPERLINK("http://www.ncbi.nlm.nih.gov/protein/228008415","Sars2")</f>
        <v>Sars2</v>
      </c>
      <c r="D6569" s="8"/>
      <c r="E6569" s="8">
        <v>54338</v>
      </c>
      <c r="F6569" s="8"/>
      <c r="G6569" s="15" t="s">
        <v>10</v>
      </c>
      <c r="H6569" s="15" t="s">
        <v>10</v>
      </c>
      <c r="I6569" s="15">
        <v>0.98371425240742738</v>
      </c>
      <c r="J6569" s="15">
        <v>0.98371425240742738</v>
      </c>
      <c r="K6569" s="15" t="s">
        <v>10</v>
      </c>
      <c r="L6569" s="15" t="s">
        <v>10</v>
      </c>
      <c r="M6569" s="15" t="s">
        <v>10</v>
      </c>
      <c r="N6569" s="15" t="s">
        <v>10</v>
      </c>
      <c r="O6569" s="15">
        <v>0.89425880711880101</v>
      </c>
      <c r="P6569" s="15">
        <v>0.89425880711880101</v>
      </c>
      <c r="Q6569" s="8"/>
      <c r="R6569" s="9" t="s">
        <v>6082</v>
      </c>
    </row>
    <row r="6570" spans="1:18" x14ac:dyDescent="0.25">
      <c r="A6570" s="6" t="str">
        <f>HYPERLINK("proteomic_fractions_linear_files/Yang_linear_img/124244096.jpg", "124244096")</f>
        <v>124244096</v>
      </c>
      <c r="B6570" s="7"/>
      <c r="C6570" s="6" t="str">
        <f>HYPERLINK("http://www.ncbi.nlm.nih.gov/protein/124244096","Sart1")</f>
        <v>Sart1</v>
      </c>
      <c r="D6570" s="8"/>
      <c r="E6570" s="8">
        <v>90755</v>
      </c>
      <c r="F6570" s="8"/>
      <c r="G6570" s="15">
        <v>1.206610591441005</v>
      </c>
      <c r="H6570" s="15">
        <v>1.206610591441005</v>
      </c>
      <c r="I6570" s="15">
        <v>0.2032450457644405</v>
      </c>
      <c r="J6570" s="15">
        <v>0.2032450457644405</v>
      </c>
      <c r="K6570" s="15">
        <v>1.4145233862100766</v>
      </c>
      <c r="L6570" s="15">
        <v>1.4145233862100766</v>
      </c>
      <c r="M6570" s="15">
        <v>1.4145233862100766</v>
      </c>
      <c r="N6570" s="15">
        <v>1.4145233862100766</v>
      </c>
      <c r="O6570" s="15" t="s">
        <v>10</v>
      </c>
      <c r="P6570" s="15" t="s">
        <v>10</v>
      </c>
      <c r="Q6570" s="8"/>
      <c r="R6570" s="9" t="s">
        <v>6083</v>
      </c>
    </row>
    <row r="6571" spans="1:18" x14ac:dyDescent="0.25">
      <c r="A6571" s="6" t="str">
        <f>HYPERLINK("proteomic_fractions_linear_files/Yang_linear_img/8394239.jpg", "8394239")</f>
        <v>8394239</v>
      </c>
      <c r="B6571" s="7"/>
      <c r="C6571" s="6" t="str">
        <f>HYPERLINK("http://www.ncbi.nlm.nih.gov/protein/8394239","Sart3")</f>
        <v>Sart3</v>
      </c>
      <c r="D6571" s="8"/>
      <c r="E6571" s="8">
        <v>109488</v>
      </c>
      <c r="F6571" s="8"/>
      <c r="G6571" s="15" t="s">
        <v>10</v>
      </c>
      <c r="H6571" s="15" t="s">
        <v>10</v>
      </c>
      <c r="I6571" s="15">
        <v>1.4078245058370811</v>
      </c>
      <c r="J6571" s="15">
        <v>1.4078245058370811</v>
      </c>
      <c r="K6571" s="15">
        <v>1.4078245058370811</v>
      </c>
      <c r="L6571" s="15">
        <v>1.4078245058370811</v>
      </c>
      <c r="M6571" s="15">
        <v>1.4078245058370811</v>
      </c>
      <c r="N6571" s="15">
        <v>1.4078245058370811</v>
      </c>
      <c r="O6571" s="15">
        <v>1.4078245058370811</v>
      </c>
      <c r="P6571" s="15">
        <v>1.4078245058370811</v>
      </c>
      <c r="Q6571" s="8"/>
      <c r="R6571" s="9" t="s">
        <v>6084</v>
      </c>
    </row>
    <row r="6572" spans="1:18" x14ac:dyDescent="0.25">
      <c r="A6572" s="6" t="str">
        <f>HYPERLINK("proteomic_fractions_linear_files/Yang_linear_img/124249210.jpg", "124249210")</f>
        <v>124249210</v>
      </c>
      <c r="B6572" s="7"/>
      <c r="C6572" s="6" t="str">
        <f>HYPERLINK("http://www.ncbi.nlm.nih.gov/protein/124249210","Sat2")</f>
        <v>Sat2</v>
      </c>
      <c r="D6572" s="8"/>
      <c r="E6572" s="8">
        <v>19174</v>
      </c>
      <c r="F6572" s="8"/>
      <c r="G6572" s="15" t="s">
        <v>10</v>
      </c>
      <c r="H6572" s="15" t="s">
        <v>10</v>
      </c>
      <c r="I6572" s="15" t="s">
        <v>10</v>
      </c>
      <c r="J6572" s="15" t="s">
        <v>10</v>
      </c>
      <c r="K6572" s="15" t="s">
        <v>10</v>
      </c>
      <c r="L6572" s="15" t="s">
        <v>10</v>
      </c>
      <c r="M6572" s="15" t="s">
        <v>10</v>
      </c>
      <c r="N6572" s="15" t="s">
        <v>10</v>
      </c>
      <c r="O6572" s="15">
        <v>0.83828640964114609</v>
      </c>
      <c r="P6572" s="15">
        <v>0.83828640964114609</v>
      </c>
      <c r="Q6572" s="8"/>
      <c r="R6572" s="9" t="s">
        <v>6085</v>
      </c>
    </row>
    <row r="6573" spans="1:18" x14ac:dyDescent="0.25">
      <c r="A6573" s="6" t="str">
        <f>HYPERLINK("proteomic_fractions_linear_files/Yang_linear_img/218751888.jpg", "218751888")</f>
        <v>218751888</v>
      </c>
      <c r="B6573" s="7"/>
      <c r="C6573" s="6" t="str">
        <f>HYPERLINK("http://www.ncbi.nlm.nih.gov/protein/218751888","Saysd1")</f>
        <v>Saysd1</v>
      </c>
      <c r="D6573" s="8"/>
      <c r="E6573" s="8">
        <v>20573</v>
      </c>
      <c r="F6573" s="8"/>
      <c r="G6573" s="15" t="s">
        <v>10</v>
      </c>
      <c r="H6573" s="15" t="s">
        <v>10</v>
      </c>
      <c r="I6573" s="15">
        <v>1.0378924890799406</v>
      </c>
      <c r="J6573" s="15">
        <v>1.0378924890799406</v>
      </c>
      <c r="K6573" s="15" t="s">
        <v>10</v>
      </c>
      <c r="L6573" s="15" t="s">
        <v>10</v>
      </c>
      <c r="M6573" s="15" t="s">
        <v>10</v>
      </c>
      <c r="N6573" s="15" t="s">
        <v>10</v>
      </c>
      <c r="O6573" s="15" t="s">
        <v>10</v>
      </c>
      <c r="P6573" s="15" t="s">
        <v>10</v>
      </c>
      <c r="Q6573" s="8"/>
      <c r="R6573" s="9" t="s">
        <v>6086</v>
      </c>
    </row>
    <row r="6574" spans="1:18" x14ac:dyDescent="0.25">
      <c r="A6574" s="6" t="str">
        <f>HYPERLINK("proteomic_fractions_linear_files/Yang_linear_img/23956138.jpg", "23956138")</f>
        <v>23956138</v>
      </c>
      <c r="B6574" s="7"/>
      <c r="C6574" s="6" t="str">
        <f>HYPERLINK("http://www.ncbi.nlm.nih.gov/protein/23956138","Sbds")</f>
        <v>Sbds</v>
      </c>
      <c r="D6574" s="8"/>
      <c r="E6574" s="8">
        <v>28649</v>
      </c>
      <c r="F6574" s="8"/>
      <c r="G6574" s="15" t="s">
        <v>10</v>
      </c>
      <c r="H6574" s="15" t="s">
        <v>10</v>
      </c>
      <c r="I6574" s="15">
        <v>0.90173303846293107</v>
      </c>
      <c r="J6574" s="15">
        <v>0.90173303846293107</v>
      </c>
      <c r="K6574" s="15">
        <v>0.96269694129938133</v>
      </c>
      <c r="L6574" s="15">
        <v>0.96269694129938133</v>
      </c>
      <c r="M6574" s="15">
        <v>0.96269694129938133</v>
      </c>
      <c r="N6574" s="15">
        <v>0.96269694129938133</v>
      </c>
      <c r="O6574" s="15">
        <v>0.84671795218196266</v>
      </c>
      <c r="P6574" s="15">
        <v>0.84671795218196266</v>
      </c>
      <c r="Q6574" s="8"/>
      <c r="R6574" s="9" t="s">
        <v>6087</v>
      </c>
    </row>
    <row r="6575" spans="1:18" x14ac:dyDescent="0.25">
      <c r="A6575" s="6" t="str">
        <f>HYPERLINK("proteomic_fractions_linear_files/Yang_linear_img/124487087.jpg", "124487087")</f>
        <v>124487087</v>
      </c>
      <c r="B6575" s="7"/>
      <c r="C6575" s="6" t="str">
        <f>HYPERLINK("http://www.ncbi.nlm.nih.gov/protein/124487087","Sbno1")</f>
        <v>Sbno1</v>
      </c>
      <c r="D6575" s="8"/>
      <c r="E6575" s="8">
        <v>153792</v>
      </c>
      <c r="F6575" s="8"/>
      <c r="G6575" s="15" t="s">
        <v>10</v>
      </c>
      <c r="H6575" s="15" t="s">
        <v>10</v>
      </c>
      <c r="I6575" s="15">
        <v>38.916233766233766</v>
      </c>
      <c r="J6575" s="15">
        <v>38.916233766233766</v>
      </c>
      <c r="K6575" s="15" t="s">
        <v>10</v>
      </c>
      <c r="L6575" s="15" t="s">
        <v>10</v>
      </c>
      <c r="M6575" s="15">
        <v>1.2127651405190933</v>
      </c>
      <c r="N6575" s="15">
        <v>1.2127651405190933</v>
      </c>
      <c r="O6575" s="15">
        <v>1.2127651405190933</v>
      </c>
      <c r="P6575" s="15">
        <v>1.2127651405190933</v>
      </c>
      <c r="Q6575" s="8"/>
      <c r="R6575" s="9" t="s">
        <v>6088</v>
      </c>
    </row>
    <row r="6576" spans="1:18" x14ac:dyDescent="0.25">
      <c r="A6576" s="6" t="str">
        <f>HYPERLINK("proteomic_fractions_linear_files/Yang_linear_img/34556193.jpg", "34556193")</f>
        <v>34556193</v>
      </c>
      <c r="B6576" s="7"/>
      <c r="C6576" s="6" t="str">
        <f>HYPERLINK("http://www.ncbi.nlm.nih.gov/protein/34556193","Sbno2")</f>
        <v>Sbno2</v>
      </c>
      <c r="D6576" s="8"/>
      <c r="E6576" s="8">
        <v>149163</v>
      </c>
      <c r="F6576" s="8"/>
      <c r="G6576" s="15" t="s">
        <v>10</v>
      </c>
      <c r="H6576" s="15" t="s">
        <v>10</v>
      </c>
      <c r="I6576" s="15">
        <v>40.222147651006715</v>
      </c>
      <c r="J6576" s="15">
        <v>40.222147651006715</v>
      </c>
      <c r="K6576" s="15" t="s">
        <v>10</v>
      </c>
      <c r="L6576" s="15" t="s">
        <v>10</v>
      </c>
      <c r="M6576" s="15">
        <v>1.2534619573150361</v>
      </c>
      <c r="N6576" s="15">
        <v>1.2534619573150361</v>
      </c>
      <c r="O6576" s="15">
        <v>1.2534619573150361</v>
      </c>
      <c r="P6576" s="15">
        <v>1.2534619573150361</v>
      </c>
      <c r="Q6576" s="8"/>
      <c r="R6576" s="9" t="s">
        <v>6089</v>
      </c>
    </row>
    <row r="6577" spans="1:18" x14ac:dyDescent="0.25">
      <c r="A6577" s="6" t="str">
        <f>HYPERLINK("proteomic_fractions_linear_files/Yang_linear_img/13384836.jpg", "13384836")</f>
        <v>13384836</v>
      </c>
      <c r="B6577" s="7"/>
      <c r="C6577" s="6" t="str">
        <f>HYPERLINK("http://www.ncbi.nlm.nih.gov/protein/13384836","Sc4mol")</f>
        <v>Sc4mol</v>
      </c>
      <c r="D6577" s="8"/>
      <c r="E6577" s="8">
        <v>34641</v>
      </c>
      <c r="F6577" s="8"/>
      <c r="G6577" s="15" t="s">
        <v>10</v>
      </c>
      <c r="H6577" s="15" t="s">
        <v>10</v>
      </c>
      <c r="I6577" s="15">
        <v>0.79766317993377311</v>
      </c>
      <c r="J6577" s="15">
        <v>0.79766317993377311</v>
      </c>
      <c r="K6577" s="15" t="s">
        <v>10</v>
      </c>
      <c r="L6577" s="15" t="s">
        <v>10</v>
      </c>
      <c r="M6577" s="15" t="s">
        <v>10</v>
      </c>
      <c r="N6577" s="15" t="s">
        <v>10</v>
      </c>
      <c r="O6577" s="15" t="s">
        <v>10</v>
      </c>
      <c r="P6577" s="15" t="s">
        <v>10</v>
      </c>
      <c r="Q6577" s="8"/>
      <c r="R6577" s="9" t="s">
        <v>6090</v>
      </c>
    </row>
    <row r="6578" spans="1:18" x14ac:dyDescent="0.25">
      <c r="A6578" s="6" t="str">
        <f>HYPERLINK("proteomic_fractions_linear_files/Yang_linear_img/56605682.jpg", "56605682")</f>
        <v>56605682</v>
      </c>
      <c r="B6578" s="7"/>
      <c r="C6578" s="6" t="str">
        <f>HYPERLINK("http://www.ncbi.nlm.nih.gov/protein/56605682","Scaf1")</f>
        <v>Scaf1</v>
      </c>
      <c r="D6578" s="8"/>
      <c r="E6578" s="8">
        <v>133711</v>
      </c>
      <c r="F6578" s="8"/>
      <c r="G6578" s="15" t="s">
        <v>10</v>
      </c>
      <c r="H6578" s="15" t="s">
        <v>10</v>
      </c>
      <c r="I6578" s="15" t="s">
        <v>10</v>
      </c>
      <c r="J6578" s="15" t="s">
        <v>10</v>
      </c>
      <c r="K6578" s="15">
        <v>44.724626865671645</v>
      </c>
      <c r="L6578" s="15">
        <v>44.724626865671645</v>
      </c>
      <c r="M6578" s="15" t="s">
        <v>10</v>
      </c>
      <c r="N6578" s="15" t="s">
        <v>10</v>
      </c>
      <c r="O6578" s="15" t="s">
        <v>10</v>
      </c>
      <c r="P6578" s="15" t="s">
        <v>10</v>
      </c>
      <c r="Q6578" s="8"/>
      <c r="R6578" s="9" t="s">
        <v>6091</v>
      </c>
    </row>
    <row r="6579" spans="1:18" x14ac:dyDescent="0.25">
      <c r="A6579" s="6" t="str">
        <f>HYPERLINK("proteomic_fractions_linear_files/Yang_linear_img/109150409.jpg", "109150409")</f>
        <v>109150409</v>
      </c>
      <c r="B6579" s="7"/>
      <c r="C6579" s="6" t="str">
        <f>HYPERLINK("http://www.ncbi.nlm.nih.gov/protein/109150409","Scaf4")</f>
        <v>Scaf4</v>
      </c>
      <c r="D6579" s="8"/>
      <c r="E6579" s="8">
        <v>131552</v>
      </c>
      <c r="F6579" s="8"/>
      <c r="G6579" s="15">
        <v>1.1625217510321351</v>
      </c>
      <c r="H6579" s="15">
        <v>1.1625217510321351</v>
      </c>
      <c r="I6579" s="15" t="s">
        <v>10</v>
      </c>
      <c r="J6579" s="15" t="s">
        <v>10</v>
      </c>
      <c r="K6579" s="15">
        <v>0.97516384958421942</v>
      </c>
      <c r="L6579" s="15">
        <v>1.7678852093018869</v>
      </c>
      <c r="M6579" s="15" t="s">
        <v>10</v>
      </c>
      <c r="N6579" s="15" t="s">
        <v>10</v>
      </c>
      <c r="O6579" s="15" t="s">
        <v>10</v>
      </c>
      <c r="P6579" s="15" t="s">
        <v>10</v>
      </c>
      <c r="Q6579" s="8"/>
      <c r="R6579" s="9" t="s">
        <v>6092</v>
      </c>
    </row>
    <row r="6580" spans="1:18" x14ac:dyDescent="0.25">
      <c r="A6580" s="6" t="str">
        <f>HYPERLINK("proteomic_fractions_linear_files/Yang_linear_img/30527367.jpg", "30527367")</f>
        <v>30527367</v>
      </c>
      <c r="B6580" s="7"/>
      <c r="C6580" s="6" t="str">
        <f>HYPERLINK("http://www.ncbi.nlm.nih.gov/protein/30527367","Scaf8")</f>
        <v>Scaf8</v>
      </c>
      <c r="D6580" s="8"/>
      <c r="E6580" s="8">
        <v>139441</v>
      </c>
      <c r="F6580" s="8"/>
      <c r="G6580" s="15">
        <v>1.1039774901887902</v>
      </c>
      <c r="H6580" s="15">
        <v>1.1039774901887902</v>
      </c>
      <c r="I6580" s="15" t="s">
        <v>10</v>
      </c>
      <c r="J6580" s="15" t="s">
        <v>10</v>
      </c>
      <c r="K6580" s="15">
        <v>0.92605487874184866</v>
      </c>
      <c r="L6580" s="15">
        <v>1.678855018905389</v>
      </c>
      <c r="M6580" s="15" t="s">
        <v>10</v>
      </c>
      <c r="N6580" s="15" t="s">
        <v>10</v>
      </c>
      <c r="O6580" s="15" t="s">
        <v>10</v>
      </c>
      <c r="P6580" s="15" t="s">
        <v>10</v>
      </c>
      <c r="Q6580" s="8"/>
      <c r="R6580" s="9" t="s">
        <v>6093</v>
      </c>
    </row>
    <row r="6581" spans="1:18" x14ac:dyDescent="0.25">
      <c r="A6581" s="6" t="str">
        <f>HYPERLINK("proteomic_fractions_linear_files/Yang_linear_img/58037395.jpg", "58037395")</f>
        <v>58037395</v>
      </c>
      <c r="B6581" s="7"/>
      <c r="C6581" s="6" t="str">
        <f>HYPERLINK("http://www.ncbi.nlm.nih.gov/protein/58037395","Scamp1")</f>
        <v>Scamp1</v>
      </c>
      <c r="D6581" s="8"/>
      <c r="E6581" s="8">
        <v>37898</v>
      </c>
      <c r="F6581" s="8"/>
      <c r="G6581" s="15" t="s">
        <v>10</v>
      </c>
      <c r="H6581" s="15" t="s">
        <v>10</v>
      </c>
      <c r="I6581" s="15">
        <v>0.78645807609771401</v>
      </c>
      <c r="J6581" s="15">
        <v>0.78645807609771401</v>
      </c>
      <c r="K6581" s="15">
        <v>0.84431770672983131</v>
      </c>
      <c r="L6581" s="15">
        <v>0.84431770672983131</v>
      </c>
      <c r="M6581" s="15">
        <v>0.78645807609771401</v>
      </c>
      <c r="N6581" s="15">
        <v>0.78645807609771401</v>
      </c>
      <c r="O6581" s="15" t="s">
        <v>10</v>
      </c>
      <c r="P6581" s="15" t="s">
        <v>10</v>
      </c>
      <c r="Q6581" s="8"/>
      <c r="R6581" s="9" t="s">
        <v>6094</v>
      </c>
    </row>
    <row r="6582" spans="1:18" x14ac:dyDescent="0.25">
      <c r="A6582" s="6" t="str">
        <f>HYPERLINK("proteomic_fractions_linear_files/Yang_linear_img/12331398.jpg", "12331398")</f>
        <v>12331398</v>
      </c>
      <c r="B6582" s="7"/>
      <c r="C6582" s="6" t="str">
        <f>HYPERLINK("http://www.ncbi.nlm.nih.gov/protein/12331398","Scamp2")</f>
        <v>Scamp2</v>
      </c>
      <c r="D6582" s="8"/>
      <c r="E6582" s="8">
        <v>36334</v>
      </c>
      <c r="F6582" s="8"/>
      <c r="G6582" s="15" t="s">
        <v>10</v>
      </c>
      <c r="H6582" s="15" t="s">
        <v>10</v>
      </c>
      <c r="I6582" s="15">
        <v>0.95981601473542177</v>
      </c>
      <c r="J6582" s="15">
        <v>0.95981601473542177</v>
      </c>
      <c r="K6582" s="15">
        <v>0.95981601473542177</v>
      </c>
      <c r="L6582" s="15">
        <v>0.95981601473542177</v>
      </c>
      <c r="M6582" s="15">
        <v>0.95981601473542177</v>
      </c>
      <c r="N6582" s="15">
        <v>0.95981601473542177</v>
      </c>
      <c r="O6582" s="15" t="s">
        <v>10</v>
      </c>
      <c r="P6582" s="15" t="s">
        <v>10</v>
      </c>
      <c r="Q6582" s="8"/>
      <c r="R6582" s="9" t="s">
        <v>6095</v>
      </c>
    </row>
    <row r="6583" spans="1:18" x14ac:dyDescent="0.25">
      <c r="A6583" s="6" t="str">
        <f>HYPERLINK("proteomic_fractions_linear_files/Yang_linear_img/118601011.jpg", "118601011")</f>
        <v>118601011</v>
      </c>
      <c r="B6583" s="7"/>
      <c r="C6583" s="6" t="str">
        <f>HYPERLINK("http://www.ncbi.nlm.nih.gov/protein/118601011","Scamp3")</f>
        <v>Scamp3</v>
      </c>
      <c r="D6583" s="8"/>
      <c r="E6583" s="8">
        <v>38327</v>
      </c>
      <c r="F6583" s="8"/>
      <c r="G6583" s="15">
        <v>1.2707888311688225</v>
      </c>
      <c r="H6583" s="15">
        <v>1.2707888311688225</v>
      </c>
      <c r="I6583" s="15">
        <v>0.90929938238092589</v>
      </c>
      <c r="J6583" s="15">
        <v>0.90929938238092589</v>
      </c>
      <c r="K6583" s="15">
        <v>0.98266648481906815</v>
      </c>
      <c r="L6583" s="15">
        <v>0.98266648481906815</v>
      </c>
      <c r="M6583" s="15">
        <v>0.90929938238092589</v>
      </c>
      <c r="N6583" s="15">
        <v>0.90929938238092589</v>
      </c>
      <c r="O6583" s="15" t="s">
        <v>10</v>
      </c>
      <c r="P6583" s="15" t="s">
        <v>10</v>
      </c>
      <c r="Q6583" s="8"/>
      <c r="R6583" s="9" t="s">
        <v>6096</v>
      </c>
    </row>
    <row r="6584" spans="1:18" x14ac:dyDescent="0.25">
      <c r="A6584" s="6" t="str">
        <f>HYPERLINK("proteomic_fractions_linear_files/Yang_linear_img/9625033.jpg", "9625033")</f>
        <v>9625033</v>
      </c>
      <c r="B6584" s="7"/>
      <c r="C6584" s="6" t="str">
        <f>HYPERLINK("http://www.ncbi.nlm.nih.gov/protein/9625033","Scamp4")</f>
        <v>Scamp4</v>
      </c>
      <c r="D6584" s="8"/>
      <c r="E6584" s="8">
        <v>25211</v>
      </c>
      <c r="F6584" s="8"/>
      <c r="G6584" s="15" t="s">
        <v>10</v>
      </c>
      <c r="H6584" s="15" t="s">
        <v>10</v>
      </c>
      <c r="I6584" s="15">
        <v>0.78004599312141099</v>
      </c>
      <c r="J6584" s="15">
        <v>0.78004599312141099</v>
      </c>
      <c r="K6584" s="15">
        <v>0.78004599312141099</v>
      </c>
      <c r="L6584" s="15">
        <v>0.78004599312141099</v>
      </c>
      <c r="M6584" s="15">
        <v>0.78004599312141099</v>
      </c>
      <c r="N6584" s="15">
        <v>0.78004599312141099</v>
      </c>
      <c r="O6584" s="15" t="s">
        <v>10</v>
      </c>
      <c r="P6584" s="15" t="s">
        <v>10</v>
      </c>
      <c r="Q6584" s="8"/>
      <c r="R6584" s="9" t="s">
        <v>6097</v>
      </c>
    </row>
    <row r="6585" spans="1:18" x14ac:dyDescent="0.25">
      <c r="A6585" s="6" t="str">
        <f>HYPERLINK("proteomic_fractions_linear_files/Yang_linear_img/9937988.jpg", "9937988")</f>
        <v>9937988</v>
      </c>
      <c r="B6585" s="7"/>
      <c r="C6585" s="6" t="str">
        <f>HYPERLINK("http://www.ncbi.nlm.nih.gov/protein/9937988","Scamp5")</f>
        <v>Scamp5</v>
      </c>
      <c r="D6585" s="8"/>
      <c r="E6585" s="8">
        <v>25937</v>
      </c>
      <c r="F6585" s="8"/>
      <c r="G6585" s="15" t="s">
        <v>10</v>
      </c>
      <c r="H6585" s="15" t="s">
        <v>10</v>
      </c>
      <c r="I6585" s="15">
        <v>0.79220927640985661</v>
      </c>
      <c r="J6585" s="15">
        <v>0.79220927640985661</v>
      </c>
      <c r="K6585" s="15">
        <v>0.83829777964149044</v>
      </c>
      <c r="L6585" s="15">
        <v>0.83829777964149044</v>
      </c>
      <c r="M6585" s="15" t="s">
        <v>10</v>
      </c>
      <c r="N6585" s="15" t="s">
        <v>10</v>
      </c>
      <c r="O6585" s="15" t="s">
        <v>10</v>
      </c>
      <c r="P6585" s="15" t="s">
        <v>10</v>
      </c>
      <c r="Q6585" s="8"/>
      <c r="R6585" s="9" t="s">
        <v>6098</v>
      </c>
    </row>
    <row r="6586" spans="1:18" x14ac:dyDescent="0.25">
      <c r="A6586" s="6" t="str">
        <f>HYPERLINK("proteomic_fractions_linear_files/Yang_linear_img/124486797.jpg", "124486797")</f>
        <v>124486797</v>
      </c>
      <c r="B6586" s="7"/>
      <c r="C6586" s="6" t="str">
        <f>HYPERLINK("http://www.ncbi.nlm.nih.gov/protein/124486797","Scaper")</f>
        <v>Scaper</v>
      </c>
      <c r="D6586" s="8"/>
      <c r="E6586" s="8">
        <v>157643</v>
      </c>
      <c r="F6586" s="8"/>
      <c r="G6586" s="15" t="s">
        <v>10</v>
      </c>
      <c r="H6586" s="15" t="s">
        <v>10</v>
      </c>
      <c r="I6586" s="15" t="s">
        <v>10</v>
      </c>
      <c r="J6586" s="15" t="s">
        <v>10</v>
      </c>
      <c r="K6586" s="15">
        <v>1.4769673900496776</v>
      </c>
      <c r="L6586" s="15">
        <v>1.4769673900496776</v>
      </c>
      <c r="M6586" s="15" t="s">
        <v>10</v>
      </c>
      <c r="N6586" s="15" t="s">
        <v>10</v>
      </c>
      <c r="O6586" s="15" t="s">
        <v>10</v>
      </c>
      <c r="P6586" s="15" t="s">
        <v>10</v>
      </c>
      <c r="Q6586" s="8"/>
      <c r="R6586" s="9" t="s">
        <v>6099</v>
      </c>
    </row>
    <row r="6587" spans="1:18" x14ac:dyDescent="0.25">
      <c r="A6587" s="6" t="str">
        <f>HYPERLINK("proteomic_fractions_linear_files/Yang_linear_img/14389423.jpg", "14389423")</f>
        <v>14389423</v>
      </c>
      <c r="B6587" s="7"/>
      <c r="C6587" s="6" t="str">
        <f>HYPERLINK("http://www.ncbi.nlm.nih.gov/protein/14389423","Scarb1")</f>
        <v>Scarb1</v>
      </c>
      <c r="D6587" s="8"/>
      <c r="E6587" s="8">
        <v>56623</v>
      </c>
      <c r="F6587" s="8"/>
      <c r="G6587" s="15" t="s">
        <v>10</v>
      </c>
      <c r="H6587" s="15" t="s">
        <v>10</v>
      </c>
      <c r="I6587" s="15">
        <v>1.4578712012832256</v>
      </c>
      <c r="J6587" s="15">
        <v>1.4578712012832256</v>
      </c>
      <c r="K6587" s="15">
        <v>1.4578712012832256</v>
      </c>
      <c r="L6587" s="15">
        <v>1.4578712012832256</v>
      </c>
      <c r="M6587" s="15" t="s">
        <v>10</v>
      </c>
      <c r="N6587" s="15" t="s">
        <v>10</v>
      </c>
      <c r="O6587" s="15" t="s">
        <v>10</v>
      </c>
      <c r="P6587" s="15" t="s">
        <v>10</v>
      </c>
      <c r="Q6587" s="8"/>
      <c r="R6587" s="9" t="s">
        <v>6100</v>
      </c>
    </row>
    <row r="6588" spans="1:18" x14ac:dyDescent="0.25">
      <c r="A6588" s="6" t="str">
        <f>HYPERLINK("proteomic_fractions_linear_files/Yang_linear_img/326537322.jpg", "326537322")</f>
        <v>326537322</v>
      </c>
      <c r="B6588" s="7"/>
      <c r="C6588" s="6" t="str">
        <f>HYPERLINK("http://www.ncbi.nlm.nih.gov/protein/326537322","Scarb1")</f>
        <v>Scarb1</v>
      </c>
      <c r="D6588" s="8"/>
      <c r="E6588" s="8">
        <v>56111</v>
      </c>
      <c r="F6588" s="8"/>
      <c r="G6588" s="15" t="s">
        <v>10</v>
      </c>
      <c r="H6588" s="15" t="s">
        <v>10</v>
      </c>
      <c r="I6588" s="15">
        <v>1.4839046155918545</v>
      </c>
      <c r="J6588" s="15">
        <v>1.4839046155918545</v>
      </c>
      <c r="K6588" s="15">
        <v>1.4839046155918545</v>
      </c>
      <c r="L6588" s="15">
        <v>1.4839046155918545</v>
      </c>
      <c r="M6588" s="15" t="s">
        <v>10</v>
      </c>
      <c r="N6588" s="15" t="s">
        <v>10</v>
      </c>
      <c r="O6588" s="15" t="s">
        <v>10</v>
      </c>
      <c r="P6588" s="15" t="s">
        <v>10</v>
      </c>
      <c r="Q6588" s="8"/>
      <c r="R6588" s="9" t="s">
        <v>6101</v>
      </c>
    </row>
    <row r="6589" spans="1:18" x14ac:dyDescent="0.25">
      <c r="A6589" s="6" t="str">
        <f>HYPERLINK("proteomic_fractions_linear_files/Yang_linear_img/326537324.jpg", "326537324")</f>
        <v>326537324</v>
      </c>
      <c r="B6589" s="7"/>
      <c r="C6589" s="6" t="str">
        <f>HYPERLINK("http://www.ncbi.nlm.nih.gov/protein/326537324","Scarb1")</f>
        <v>Scarb1</v>
      </c>
      <c r="D6589" s="8"/>
      <c r="E6589" s="8">
        <v>57704</v>
      </c>
      <c r="F6589" s="8"/>
      <c r="G6589" s="15" t="s">
        <v>10</v>
      </c>
      <c r="H6589" s="15" t="s">
        <v>10</v>
      </c>
      <c r="I6589" s="15">
        <v>1.4327354909162735</v>
      </c>
      <c r="J6589" s="15">
        <v>1.4327354909162735</v>
      </c>
      <c r="K6589" s="15">
        <v>1.4327354909162735</v>
      </c>
      <c r="L6589" s="15">
        <v>1.4327354909162735</v>
      </c>
      <c r="M6589" s="15" t="s">
        <v>10</v>
      </c>
      <c r="N6589" s="15" t="s">
        <v>10</v>
      </c>
      <c r="O6589" s="15" t="s">
        <v>10</v>
      </c>
      <c r="P6589" s="15" t="s">
        <v>10</v>
      </c>
      <c r="Q6589" s="8"/>
      <c r="R6589" s="9" t="s">
        <v>6102</v>
      </c>
    </row>
    <row r="6590" spans="1:18" x14ac:dyDescent="0.25">
      <c r="A6590" s="6" t="str">
        <f>HYPERLINK("proteomic_fractions_linear_files/Yang_linear_img/6680878.jpg", "6680878")</f>
        <v>6680878</v>
      </c>
      <c r="B6590" s="7"/>
      <c r="C6590" s="6" t="str">
        <f>HYPERLINK("http://www.ncbi.nlm.nih.gov/protein/6680878","Scarb2")</f>
        <v>Scarb2</v>
      </c>
      <c r="D6590" s="8"/>
      <c r="E6590" s="8">
        <v>51316</v>
      </c>
      <c r="F6590" s="8"/>
      <c r="G6590" s="15">
        <v>1.8621172780898922</v>
      </c>
      <c r="H6590" s="15">
        <v>1.8621172780898922</v>
      </c>
      <c r="I6590" s="15">
        <v>1.8621172780898922</v>
      </c>
      <c r="J6590" s="15">
        <v>1.8621172780898922</v>
      </c>
      <c r="K6590" s="15">
        <v>1.8621172780898922</v>
      </c>
      <c r="L6590" s="15">
        <v>1.8621172780898922</v>
      </c>
      <c r="M6590" s="15">
        <v>1.8621172780898922</v>
      </c>
      <c r="N6590" s="15">
        <v>1.8621172780898922</v>
      </c>
      <c r="O6590" s="15" t="s">
        <v>10</v>
      </c>
      <c r="P6590" s="15" t="s">
        <v>10</v>
      </c>
      <c r="Q6590" s="8"/>
      <c r="R6590" s="9" t="s">
        <v>6103</v>
      </c>
    </row>
    <row r="6591" spans="1:18" x14ac:dyDescent="0.25">
      <c r="A6591" s="6" t="str">
        <f>HYPERLINK("proteomic_fractions_linear_files/Yang_linear_img/30520019.jpg", "30520019")</f>
        <v>30520019</v>
      </c>
      <c r="B6591" s="7"/>
      <c r="C6591" s="6" t="str">
        <f>HYPERLINK("http://www.ncbi.nlm.nih.gov/protein/30520019","Sccpdh")</f>
        <v>Sccpdh</v>
      </c>
      <c r="D6591" s="8"/>
      <c r="E6591" s="8">
        <v>46998</v>
      </c>
      <c r="F6591" s="8"/>
      <c r="G6591" s="15" t="s">
        <v>10</v>
      </c>
      <c r="H6591" s="15" t="s">
        <v>10</v>
      </c>
      <c r="I6591" s="15">
        <v>0.93884232440352056</v>
      </c>
      <c r="J6591" s="15">
        <v>0.93884232440352056</v>
      </c>
      <c r="K6591" s="15">
        <v>0.93884232440352056</v>
      </c>
      <c r="L6591" s="15">
        <v>0.93884232440352056</v>
      </c>
      <c r="M6591" s="15" t="s">
        <v>10</v>
      </c>
      <c r="N6591" s="15" t="s">
        <v>10</v>
      </c>
      <c r="O6591" s="15" t="s">
        <v>10</v>
      </c>
      <c r="P6591" s="15" t="s">
        <v>10</v>
      </c>
      <c r="Q6591" s="8"/>
      <c r="R6591" s="9" t="s">
        <v>6104</v>
      </c>
    </row>
    <row r="6592" spans="1:18" x14ac:dyDescent="0.25">
      <c r="A6592" s="6" t="str">
        <f>HYPERLINK("proteomic_fractions_linear_files/Yang_linear_img/70909345.jpg", "70909345")</f>
        <v>70909345</v>
      </c>
      <c r="B6592" s="7"/>
      <c r="C6592" s="6" t="str">
        <f>HYPERLINK("http://www.ncbi.nlm.nih.gov/protein/70909345","Scel")</f>
        <v>Scel</v>
      </c>
      <c r="D6592" s="8"/>
      <c r="E6592" s="8">
        <v>72841</v>
      </c>
      <c r="F6592" s="8"/>
      <c r="G6592" s="15">
        <v>1.3009312490765002</v>
      </c>
      <c r="H6592" s="15">
        <v>1.3009312490765002</v>
      </c>
      <c r="I6592" s="15">
        <v>1.1383377873033405</v>
      </c>
      <c r="J6592" s="15">
        <v>1.1383377873033405</v>
      </c>
      <c r="K6592" s="15">
        <v>1.1383377873033405</v>
      </c>
      <c r="L6592" s="15">
        <v>1.1383377873033405</v>
      </c>
      <c r="M6592" s="15">
        <v>1.1383377873033405</v>
      </c>
      <c r="N6592" s="15">
        <v>1.1383377873033405</v>
      </c>
      <c r="O6592" s="15">
        <v>0.19021713013611849</v>
      </c>
      <c r="P6592" s="15">
        <v>0.20816901772348337</v>
      </c>
      <c r="Q6592" s="8"/>
      <c r="R6592" s="9" t="s">
        <v>6105</v>
      </c>
    </row>
    <row r="6593" spans="1:18" x14ac:dyDescent="0.25">
      <c r="A6593" s="6" t="str">
        <f>HYPERLINK("proteomic_fractions_linear_files/Yang_linear_img/58037481.jpg", "58037481")</f>
        <v>58037481</v>
      </c>
      <c r="B6593" s="7"/>
      <c r="C6593" s="6" t="str">
        <f>HYPERLINK("http://www.ncbi.nlm.nih.gov/protein/58037481","Scfd1")</f>
        <v>Scfd1</v>
      </c>
      <c r="D6593" s="8"/>
      <c r="E6593" s="8">
        <v>72192</v>
      </c>
      <c r="F6593" s="8"/>
      <c r="G6593" s="15">
        <v>1.1541480343492203</v>
      </c>
      <c r="H6593" s="15">
        <v>1.1541480343492203</v>
      </c>
      <c r="I6593" s="15">
        <v>1.0199466700233646</v>
      </c>
      <c r="J6593" s="15">
        <v>1.0199466700233646</v>
      </c>
      <c r="K6593" s="15">
        <v>1.0199466700233646</v>
      </c>
      <c r="L6593" s="15">
        <v>1.0199466700233646</v>
      </c>
      <c r="M6593" s="15">
        <v>1.0199466700233646</v>
      </c>
      <c r="N6593" s="15">
        <v>1.0199466700233646</v>
      </c>
      <c r="O6593" s="15" t="s">
        <v>10</v>
      </c>
      <c r="P6593" s="15" t="s">
        <v>10</v>
      </c>
      <c r="Q6593" s="8"/>
      <c r="R6593" s="9" t="s">
        <v>6106</v>
      </c>
    </row>
    <row r="6594" spans="1:18" x14ac:dyDescent="0.25">
      <c r="A6594" s="6" t="str">
        <f>HYPERLINK("proteomic_fractions_linear_files/Yang_linear_img/167900448.jpg", "167900448")</f>
        <v>167900448</v>
      </c>
      <c r="B6594" s="7"/>
      <c r="C6594" s="6" t="str">
        <f>HYPERLINK("http://www.ncbi.nlm.nih.gov/protein/167900448","Scfd2")</f>
        <v>Scfd2</v>
      </c>
      <c r="D6594" s="8"/>
      <c r="E6594" s="8">
        <v>74620</v>
      </c>
      <c r="F6594" s="8"/>
      <c r="G6594" s="15" t="s">
        <v>10</v>
      </c>
      <c r="H6594" s="15" t="s">
        <v>10</v>
      </c>
      <c r="I6594" s="15">
        <v>0.97914880322242992</v>
      </c>
      <c r="J6594" s="15">
        <v>0.97914880322242992</v>
      </c>
      <c r="K6594" s="15" t="s">
        <v>10</v>
      </c>
      <c r="L6594" s="15" t="s">
        <v>10</v>
      </c>
      <c r="M6594" s="15" t="s">
        <v>10</v>
      </c>
      <c r="N6594" s="15" t="s">
        <v>10</v>
      </c>
      <c r="O6594" s="15" t="s">
        <v>10</v>
      </c>
      <c r="P6594" s="15" t="s">
        <v>10</v>
      </c>
      <c r="Q6594" s="8"/>
      <c r="R6594" s="9" t="s">
        <v>6107</v>
      </c>
    </row>
    <row r="6595" spans="1:18" x14ac:dyDescent="0.25">
      <c r="A6595" s="6" t="str">
        <f>HYPERLINK("proteomic_fractions_linear_files/Yang_linear_img/21703798.jpg", "21703798")</f>
        <v>21703798</v>
      </c>
      <c r="B6595" s="7"/>
      <c r="C6595" s="6" t="str">
        <f>HYPERLINK("http://www.ncbi.nlm.nih.gov/protein/21703798","Scgn")</f>
        <v>Scgn</v>
      </c>
      <c r="D6595" s="8"/>
      <c r="E6595" s="8">
        <v>32015</v>
      </c>
      <c r="F6595" s="8"/>
      <c r="G6595" s="15" t="s">
        <v>10</v>
      </c>
      <c r="H6595" s="15" t="s">
        <v>10</v>
      </c>
      <c r="I6595" s="15" t="s">
        <v>10</v>
      </c>
      <c r="J6595" s="15" t="s">
        <v>10</v>
      </c>
      <c r="K6595" s="15" t="s">
        <v>10</v>
      </c>
      <c r="L6595" s="15" t="s">
        <v>10</v>
      </c>
      <c r="M6595" s="15" t="s">
        <v>10</v>
      </c>
      <c r="N6595" s="15" t="s">
        <v>10</v>
      </c>
      <c r="O6595" s="15">
        <v>2.5968330772857455</v>
      </c>
      <c r="P6595" s="15">
        <v>2.5968330772857455</v>
      </c>
      <c r="Q6595" s="8"/>
      <c r="R6595" s="9" t="s">
        <v>6108</v>
      </c>
    </row>
    <row r="6596" spans="1:18" x14ac:dyDescent="0.25">
      <c r="A6596" s="6" t="str">
        <f>HYPERLINK("proteomic_fractions_linear_files/Yang_linear_img/226246550.jpg", "226246550")</f>
        <v>226246550</v>
      </c>
      <c r="B6596" s="7"/>
      <c r="C6596" s="6" t="str">
        <f>HYPERLINK("http://www.ncbi.nlm.nih.gov/protein/226246550","Scin")</f>
        <v>Scin</v>
      </c>
      <c r="D6596" s="8"/>
      <c r="E6596" s="8">
        <v>80123</v>
      </c>
      <c r="F6596" s="8"/>
      <c r="G6596" s="15">
        <v>1.3725195477641434</v>
      </c>
      <c r="H6596" s="15">
        <v>1.3725195477641434</v>
      </c>
      <c r="I6596" s="15">
        <v>1.0387332309142983</v>
      </c>
      <c r="J6596" s="15">
        <v>1.0387332309142983</v>
      </c>
      <c r="K6596" s="15">
        <v>1.1870997647823063</v>
      </c>
      <c r="L6596" s="15">
        <v>1.1870997647823063</v>
      </c>
      <c r="M6596" s="15">
        <v>1.1870997647823063</v>
      </c>
      <c r="N6596" s="15">
        <v>1.1870997647823063</v>
      </c>
      <c r="O6596" s="15">
        <v>1.0387332309142983</v>
      </c>
      <c r="P6596" s="15">
        <v>1.0387332309142983</v>
      </c>
      <c r="Q6596" s="8"/>
      <c r="R6596" s="9" t="s">
        <v>6109</v>
      </c>
    </row>
    <row r="6597" spans="1:18" x14ac:dyDescent="0.25">
      <c r="A6597" s="6" t="str">
        <f>HYPERLINK("proteomic_fractions_linear_files/Yang_linear_img/226246552.jpg", "226246552")</f>
        <v>226246552</v>
      </c>
      <c r="B6597" s="7"/>
      <c r="C6597" s="6" t="str">
        <f>HYPERLINK("http://www.ncbi.nlm.nih.gov/protein/226246552","Scin")</f>
        <v>Scin</v>
      </c>
      <c r="D6597" s="8"/>
      <c r="E6597" s="8">
        <v>68979</v>
      </c>
      <c r="F6597" s="8"/>
      <c r="G6597" s="15">
        <v>1.5913270119004561</v>
      </c>
      <c r="H6597" s="15">
        <v>1.5913270119004561</v>
      </c>
      <c r="I6597" s="15">
        <v>1.2043283836687515</v>
      </c>
      <c r="J6597" s="15">
        <v>1.2043283836687515</v>
      </c>
      <c r="K6597" s="15">
        <v>1.3763475533707901</v>
      </c>
      <c r="L6597" s="15">
        <v>1.3763475533707901</v>
      </c>
      <c r="M6597" s="15">
        <v>1.3763475533707901</v>
      </c>
      <c r="N6597" s="15">
        <v>1.3763475533707901</v>
      </c>
      <c r="O6597" s="15">
        <v>1.2043283836687515</v>
      </c>
      <c r="P6597" s="15">
        <v>1.2043283836687515</v>
      </c>
      <c r="Q6597" s="8"/>
      <c r="R6597" s="9" t="s">
        <v>6110</v>
      </c>
    </row>
    <row r="6598" spans="1:18" x14ac:dyDescent="0.25">
      <c r="A6598" s="6" t="str">
        <f>HYPERLINK("proteomic_fractions_linear_files/Yang_linear_img/27804323.jpg", "27804323")</f>
        <v>27804323</v>
      </c>
      <c r="B6598" s="7"/>
      <c r="C6598" s="6" t="str">
        <f>HYPERLINK("http://www.ncbi.nlm.nih.gov/protein/27804323","Scly")</f>
        <v>Scly</v>
      </c>
      <c r="D6598" s="8"/>
      <c r="E6598" s="8">
        <v>47073</v>
      </c>
      <c r="F6598" s="8"/>
      <c r="G6598" s="15" t="s">
        <v>10</v>
      </c>
      <c r="H6598" s="15" t="s">
        <v>10</v>
      </c>
      <c r="I6598" s="15">
        <v>0.93884232440352056</v>
      </c>
      <c r="J6598" s="15">
        <v>0.93884232440352056</v>
      </c>
      <c r="K6598" s="15">
        <v>0.93884232440352056</v>
      </c>
      <c r="L6598" s="15">
        <v>0.93884232440352056</v>
      </c>
      <c r="M6598" s="15" t="s">
        <v>10</v>
      </c>
      <c r="N6598" s="15" t="s">
        <v>10</v>
      </c>
      <c r="O6598" s="15">
        <v>0.86185783411112227</v>
      </c>
      <c r="P6598" s="15">
        <v>0.86185783411112227</v>
      </c>
      <c r="Q6598" s="8"/>
      <c r="R6598" s="9" t="s">
        <v>6111</v>
      </c>
    </row>
    <row r="6599" spans="1:18" x14ac:dyDescent="0.25">
      <c r="A6599" s="6" t="str">
        <f>HYPERLINK("proteomic_fractions_linear_files/Yang_linear_img/133987591.jpg", "133987591")</f>
        <v>133987591</v>
      </c>
      <c r="B6599" s="7"/>
      <c r="C6599" s="6" t="str">
        <f>HYPERLINK("http://www.ncbi.nlm.nih.gov/protein/133987591","Scn11a")</f>
        <v>Scn11a</v>
      </c>
      <c r="D6599" s="8"/>
      <c r="E6599" s="8">
        <v>201255</v>
      </c>
      <c r="F6599" s="8"/>
      <c r="G6599" s="15" t="s">
        <v>10</v>
      </c>
      <c r="H6599" s="15" t="s">
        <v>10</v>
      </c>
      <c r="I6599" s="15" t="s">
        <v>10</v>
      </c>
      <c r="J6599" s="15" t="s">
        <v>10</v>
      </c>
      <c r="K6599" s="15" t="s">
        <v>10</v>
      </c>
      <c r="L6599" s="15" t="s">
        <v>10</v>
      </c>
      <c r="M6599" s="15" t="s">
        <v>10</v>
      </c>
      <c r="N6599" s="15" t="s">
        <v>10</v>
      </c>
      <c r="O6599" s="15">
        <v>0.13889657362030874</v>
      </c>
      <c r="P6599" s="15">
        <v>0.13889657362030874</v>
      </c>
      <c r="Q6599" s="8"/>
      <c r="R6599" s="9" t="s">
        <v>6112</v>
      </c>
    </row>
    <row r="6600" spans="1:18" x14ac:dyDescent="0.25">
      <c r="A6600" s="6" t="str">
        <f>HYPERLINK("proteomic_fractions_linear_files/Yang_linear_img/90991710.jpg", "90991710")</f>
        <v>90991710</v>
      </c>
      <c r="B6600" s="7"/>
      <c r="C6600" s="6" t="str">
        <f>HYPERLINK("http://www.ncbi.nlm.nih.gov/protein/90991710","Sco1")</f>
        <v>Sco1</v>
      </c>
      <c r="D6600" s="8"/>
      <c r="E6600" s="8">
        <v>31486</v>
      </c>
      <c r="F6600" s="8"/>
      <c r="G6600" s="15" t="s">
        <v>10</v>
      </c>
      <c r="H6600" s="15" t="s">
        <v>10</v>
      </c>
      <c r="I6600" s="15">
        <v>0.84355671340080651</v>
      </c>
      <c r="J6600" s="15">
        <v>0.84355671340080651</v>
      </c>
      <c r="K6600" s="15" t="s">
        <v>10</v>
      </c>
      <c r="L6600" s="15" t="s">
        <v>10</v>
      </c>
      <c r="M6600" s="15" t="s">
        <v>10</v>
      </c>
      <c r="N6600" s="15" t="s">
        <v>10</v>
      </c>
      <c r="O6600" s="15" t="s">
        <v>10</v>
      </c>
      <c r="P6600" s="15" t="s">
        <v>10</v>
      </c>
      <c r="Q6600" s="8"/>
      <c r="R6600" s="9" t="s">
        <v>6113</v>
      </c>
    </row>
    <row r="6601" spans="1:18" x14ac:dyDescent="0.25">
      <c r="A6601" s="6" t="str">
        <f>HYPERLINK("proteomic_fractions_linear_files/Yang_linear_img/162329549.jpg", "162329549")</f>
        <v>162329549</v>
      </c>
      <c r="B6601" s="7"/>
      <c r="C6601" s="6" t="str">
        <f>HYPERLINK("http://www.ncbi.nlm.nih.gov/protein/162329549","Sco2")</f>
        <v>Sco2</v>
      </c>
      <c r="D6601" s="8"/>
      <c r="E6601" s="8">
        <v>28813</v>
      </c>
      <c r="F6601" s="8"/>
      <c r="G6601" s="15" t="s">
        <v>10</v>
      </c>
      <c r="H6601" s="15" t="s">
        <v>10</v>
      </c>
      <c r="I6601" s="15">
        <v>0.79688184050749811</v>
      </c>
      <c r="J6601" s="15">
        <v>0.79688184050749811</v>
      </c>
      <c r="K6601" s="15" t="s">
        <v>10</v>
      </c>
      <c r="L6601" s="15" t="s">
        <v>10</v>
      </c>
      <c r="M6601" s="15" t="s">
        <v>10</v>
      </c>
      <c r="N6601" s="15" t="s">
        <v>10</v>
      </c>
      <c r="O6601" s="15" t="s">
        <v>10</v>
      </c>
      <c r="P6601" s="15" t="s">
        <v>10</v>
      </c>
      <c r="Q6601" s="8"/>
      <c r="R6601" s="9" t="s">
        <v>6114</v>
      </c>
    </row>
    <row r="6602" spans="1:18" x14ac:dyDescent="0.25">
      <c r="A6602" s="6" t="str">
        <f>HYPERLINK("proteomic_fractions_linear_files/Yang_linear_img/85362711.jpg", "85362711")</f>
        <v>85362711</v>
      </c>
      <c r="B6602" s="7"/>
      <c r="C6602" s="6" t="str">
        <f>HYPERLINK("http://www.ncbi.nlm.nih.gov/protein/85362711","Scoc")</f>
        <v>Scoc</v>
      </c>
      <c r="D6602" s="8"/>
      <c r="E6602" s="8">
        <v>14024</v>
      </c>
      <c r="F6602" s="8"/>
      <c r="G6602" s="15" t="s">
        <v>10</v>
      </c>
      <c r="H6602" s="15" t="s">
        <v>10</v>
      </c>
      <c r="I6602" s="15" t="s">
        <v>10</v>
      </c>
      <c r="J6602" s="15" t="s">
        <v>10</v>
      </c>
      <c r="K6602" s="15">
        <v>1.0369624087050249</v>
      </c>
      <c r="L6602" s="15">
        <v>1.0369624087050249</v>
      </c>
      <c r="M6602" s="15" t="s">
        <v>10</v>
      </c>
      <c r="N6602" s="15" t="s">
        <v>10</v>
      </c>
      <c r="O6602" s="15">
        <v>0.94979028735725246</v>
      </c>
      <c r="P6602" s="15">
        <v>0.94979028735725246</v>
      </c>
      <c r="Q6602" s="8"/>
      <c r="R6602" s="9" t="s">
        <v>6115</v>
      </c>
    </row>
    <row r="6603" spans="1:18" x14ac:dyDescent="0.25">
      <c r="A6603" s="6" t="str">
        <f>HYPERLINK("proteomic_fractions_linear_files/Yang_linear_img/9790207.jpg", "9790207")</f>
        <v>9790207</v>
      </c>
      <c r="B6603" s="7"/>
      <c r="C6603" s="6" t="str">
        <f>HYPERLINK("http://www.ncbi.nlm.nih.gov/protein/9790207","Scoc")</f>
        <v>Scoc</v>
      </c>
      <c r="D6603" s="8"/>
      <c r="E6603" s="8">
        <v>9223</v>
      </c>
      <c r="F6603" s="8"/>
      <c r="G6603" s="15" t="s">
        <v>10</v>
      </c>
      <c r="H6603" s="15" t="s">
        <v>10</v>
      </c>
      <c r="I6603" s="15" t="s">
        <v>10</v>
      </c>
      <c r="J6603" s="15" t="s">
        <v>10</v>
      </c>
      <c r="K6603" s="15">
        <v>1.6130526357633719</v>
      </c>
      <c r="L6603" s="15">
        <v>1.6130526357633719</v>
      </c>
      <c r="M6603" s="15" t="s">
        <v>10</v>
      </c>
      <c r="N6603" s="15" t="s">
        <v>10</v>
      </c>
      <c r="O6603" s="15">
        <v>1.4774515581112815</v>
      </c>
      <c r="P6603" s="15">
        <v>1.4774515581112815</v>
      </c>
      <c r="Q6603" s="8"/>
      <c r="R6603" s="9" t="s">
        <v>6116</v>
      </c>
    </row>
    <row r="6604" spans="1:18" x14ac:dyDescent="0.25">
      <c r="A6604" s="6" t="str">
        <f>HYPERLINK("proteomic_fractions_linear_files/Yang_linear_img/45476581.jpg", "45476581")</f>
        <v>45476581</v>
      </c>
      <c r="B6604" s="7"/>
      <c r="C6604" s="6" t="str">
        <f>HYPERLINK("http://www.ncbi.nlm.nih.gov/protein/45476581","Scp2")</f>
        <v>Scp2</v>
      </c>
      <c r="D6604" s="8"/>
      <c r="E6604" s="8">
        <v>58995</v>
      </c>
      <c r="F6604" s="8"/>
      <c r="G6604" s="15">
        <v>0.235353398304011</v>
      </c>
      <c r="H6604" s="15">
        <v>0.235353398304011</v>
      </c>
      <c r="I6604" s="15">
        <v>0.235353398304011</v>
      </c>
      <c r="J6604" s="15">
        <v>0.235353398304011</v>
      </c>
      <c r="K6604" s="15">
        <v>0.24605887664187029</v>
      </c>
      <c r="L6604" s="15">
        <v>0.24605887664187029</v>
      </c>
      <c r="M6604" s="15" t="s">
        <v>10</v>
      </c>
      <c r="N6604" s="15" t="s">
        <v>10</v>
      </c>
      <c r="O6604" s="15">
        <v>0.22537396649155142</v>
      </c>
      <c r="P6604" s="15">
        <v>0.22537396649155142</v>
      </c>
      <c r="Q6604" s="8"/>
      <c r="R6604" s="9" t="s">
        <v>6117</v>
      </c>
    </row>
    <row r="6605" spans="1:18" x14ac:dyDescent="0.25">
      <c r="A6605" s="6" t="str">
        <f>HYPERLINK("proteomic_fractions_linear_files/Yang_linear_img/253970508.jpg", "253970508")</f>
        <v>253970508</v>
      </c>
      <c r="B6605" s="7"/>
      <c r="C6605" s="6" t="str">
        <f>HYPERLINK("http://www.ncbi.nlm.nih.gov/protein/253970508","Scpep1")</f>
        <v>Scpep1</v>
      </c>
      <c r="D6605" s="8"/>
      <c r="E6605" s="8">
        <v>47817</v>
      </c>
      <c r="F6605" s="8"/>
      <c r="G6605" s="15">
        <v>0.84390246256714052</v>
      </c>
      <c r="H6605" s="15">
        <v>0.84390246256714052</v>
      </c>
      <c r="I6605" s="15">
        <v>0.62261264357735691</v>
      </c>
      <c r="J6605" s="15">
        <v>0.62261264357735691</v>
      </c>
      <c r="K6605" s="15">
        <v>0.36604041177831181</v>
      </c>
      <c r="L6605" s="15">
        <v>0.36604041177831181</v>
      </c>
      <c r="M6605" s="15">
        <v>0.38531873259508509</v>
      </c>
      <c r="N6605" s="15">
        <v>0.38531873259508509</v>
      </c>
      <c r="O6605" s="15">
        <v>0.36604041177831181</v>
      </c>
      <c r="P6605" s="15">
        <v>0.36604041177831181</v>
      </c>
      <c r="Q6605" s="8"/>
      <c r="R6605" s="9" t="s">
        <v>6118</v>
      </c>
    </row>
    <row r="6606" spans="1:18" x14ac:dyDescent="0.25">
      <c r="A6606" s="6" t="str">
        <f>HYPERLINK("proteomic_fractions_linear_files/Yang_linear_img/20373163.jpg", "20373163")</f>
        <v>20373163</v>
      </c>
      <c r="B6606" s="7"/>
      <c r="C6606" s="6" t="str">
        <f>HYPERLINK("http://www.ncbi.nlm.nih.gov/protein/20373163","Scrib")</f>
        <v>Scrib</v>
      </c>
      <c r="D6606" s="8"/>
      <c r="E6606" s="8">
        <v>179619</v>
      </c>
      <c r="F6606" s="8"/>
      <c r="G6606" s="15">
        <v>1.2964491534880505</v>
      </c>
      <c r="H6606" s="15">
        <v>1.2964491534880505</v>
      </c>
      <c r="I6606" s="15">
        <v>1.2964491534880505</v>
      </c>
      <c r="J6606" s="15">
        <v>1.2964491534880505</v>
      </c>
      <c r="K6606" s="15">
        <v>1.6765740257583266</v>
      </c>
      <c r="L6606" s="15">
        <v>1.6765740257583266</v>
      </c>
      <c r="M6606" s="15" t="s">
        <v>10</v>
      </c>
      <c r="N6606" s="15" t="s">
        <v>10</v>
      </c>
      <c r="O6606" s="15" t="s">
        <v>10</v>
      </c>
      <c r="P6606" s="15" t="s">
        <v>10</v>
      </c>
      <c r="Q6606" s="8"/>
      <c r="R6606" s="9" t="s">
        <v>6119</v>
      </c>
    </row>
    <row r="6607" spans="1:18" x14ac:dyDescent="0.25">
      <c r="A6607" s="6" t="str">
        <f>HYPERLINK("proteomic_fractions_linear_files/Yang_linear_img/22122499.jpg", "22122499")</f>
        <v>22122499</v>
      </c>
      <c r="B6607" s="7"/>
      <c r="C6607" s="6" t="str">
        <f>HYPERLINK("http://www.ncbi.nlm.nih.gov/protein/22122499","Scrn2")</f>
        <v>Scrn2</v>
      </c>
      <c r="D6607" s="8"/>
      <c r="E6607" s="8">
        <v>46470</v>
      </c>
      <c r="F6607" s="8"/>
      <c r="G6607" s="15" t="s">
        <v>10</v>
      </c>
      <c r="H6607" s="15" t="s">
        <v>10</v>
      </c>
      <c r="I6607" s="15">
        <v>0.88059387398310318</v>
      </c>
      <c r="J6607" s="15">
        <v>0.88059387398310318</v>
      </c>
      <c r="K6607" s="15">
        <v>0.88059387398310318</v>
      </c>
      <c r="L6607" s="15">
        <v>0.88059387398310318</v>
      </c>
      <c r="M6607" s="15">
        <v>0.88059387398310318</v>
      </c>
      <c r="N6607" s="15">
        <v>0.88059387398310318</v>
      </c>
      <c r="O6607" s="15">
        <v>0.81176796572009979</v>
      </c>
      <c r="P6607" s="15">
        <v>0.81176796572009979</v>
      </c>
      <c r="Q6607" s="8"/>
      <c r="R6607" s="9" t="s">
        <v>6120</v>
      </c>
    </row>
    <row r="6608" spans="1:18" x14ac:dyDescent="0.25">
      <c r="A6608" s="6" t="str">
        <f>HYPERLINK("proteomic_fractions_linear_files/Yang_linear_img/12963867.jpg", "12963867")</f>
        <v>12963867</v>
      </c>
      <c r="B6608" s="7"/>
      <c r="C6608" s="6" t="str">
        <f>HYPERLINK("http://www.ncbi.nlm.nih.gov/protein/12963867","Scyl1")</f>
        <v>Scyl1</v>
      </c>
      <c r="D6608" s="8"/>
      <c r="E6608" s="8">
        <v>89029</v>
      </c>
      <c r="F6608" s="8"/>
      <c r="G6608" s="15" t="s">
        <v>10</v>
      </c>
      <c r="H6608" s="15" t="s">
        <v>10</v>
      </c>
      <c r="I6608" s="15">
        <v>1.2337254361924883</v>
      </c>
      <c r="J6608" s="15">
        <v>1.2337254361924883</v>
      </c>
      <c r="K6608" s="15">
        <v>1.2337254361924883</v>
      </c>
      <c r="L6608" s="15">
        <v>1.2337254361924883</v>
      </c>
      <c r="M6608" s="15">
        <v>1.2337254361924883</v>
      </c>
      <c r="N6608" s="15">
        <v>1.2337254361924883</v>
      </c>
      <c r="O6608" s="15" t="s">
        <v>10</v>
      </c>
      <c r="P6608" s="15" t="s">
        <v>10</v>
      </c>
      <c r="Q6608" s="8"/>
      <c r="R6608" s="9" t="s">
        <v>6121</v>
      </c>
    </row>
    <row r="6609" spans="1:18" x14ac:dyDescent="0.25">
      <c r="A6609" s="6" t="str">
        <f>HYPERLINK("proteomic_fractions_linear_files/Yang_linear_img/37574121.jpg", "37574121")</f>
        <v>37574121</v>
      </c>
      <c r="B6609" s="7"/>
      <c r="C6609" s="6" t="str">
        <f>HYPERLINK("http://www.ncbi.nlm.nih.gov/protein/37574121","Scyl2")</f>
        <v>Scyl2</v>
      </c>
      <c r="D6609" s="8"/>
      <c r="E6609" s="8">
        <v>103187</v>
      </c>
      <c r="F6609" s="8"/>
      <c r="G6609" s="15">
        <v>3.9712966770819396</v>
      </c>
      <c r="H6609" s="15">
        <v>3.9712966770819396</v>
      </c>
      <c r="I6609" s="15">
        <v>1.0660346002051599</v>
      </c>
      <c r="J6609" s="15">
        <v>1.0660346002051599</v>
      </c>
      <c r="K6609" s="15">
        <v>1.0660346002051599</v>
      </c>
      <c r="L6609" s="15">
        <v>1.0660346002051599</v>
      </c>
      <c r="M6609" s="15" t="s">
        <v>10</v>
      </c>
      <c r="N6609" s="15" t="s">
        <v>10</v>
      </c>
      <c r="O6609" s="15">
        <v>1.0660346002051599</v>
      </c>
      <c r="P6609" s="15">
        <v>1.0660346002051599</v>
      </c>
      <c r="Q6609" s="8"/>
      <c r="R6609" s="9" t="s">
        <v>6122</v>
      </c>
    </row>
    <row r="6610" spans="1:18" x14ac:dyDescent="0.25">
      <c r="A6610" s="6" t="str">
        <f>HYPERLINK("proteomic_fractions_linear_files/Yang_linear_img/21311917.jpg", "21311917")</f>
        <v>21311917</v>
      </c>
      <c r="B6610" s="7"/>
      <c r="C6610" s="6" t="str">
        <f>HYPERLINK("http://www.ncbi.nlm.nih.gov/protein/21311917","Scyl3")</f>
        <v>Scyl3</v>
      </c>
      <c r="D6610" s="8"/>
      <c r="E6610" s="8">
        <v>81202</v>
      </c>
      <c r="F6610" s="8"/>
      <c r="G6610" s="15" t="s">
        <v>10</v>
      </c>
      <c r="H6610" s="15" t="s">
        <v>10</v>
      </c>
      <c r="I6610" s="15">
        <v>1.1724442121306728</v>
      </c>
      <c r="J6610" s="15">
        <v>1.1724442121306728</v>
      </c>
      <c r="K6610" s="15">
        <v>1.3555748619892773</v>
      </c>
      <c r="L6610" s="15">
        <v>1.3555748619892773</v>
      </c>
      <c r="M6610" s="15">
        <v>1.1724442121306728</v>
      </c>
      <c r="N6610" s="15">
        <v>1.1724442121306728</v>
      </c>
      <c r="O6610" s="15" t="s">
        <v>10</v>
      </c>
      <c r="P6610" s="15" t="s">
        <v>10</v>
      </c>
      <c r="Q6610" s="8"/>
      <c r="R6610" s="9" t="s">
        <v>6123</v>
      </c>
    </row>
    <row r="6611" spans="1:18" x14ac:dyDescent="0.25">
      <c r="A6611" s="6" t="str">
        <f>HYPERLINK("proteomic_fractions_linear_files/Yang_linear_img/27370042.jpg", "27370042")</f>
        <v>27370042</v>
      </c>
      <c r="B6611" s="7"/>
      <c r="C6611" s="6" t="str">
        <f>HYPERLINK("http://www.ncbi.nlm.nih.gov/protein/27370042","Sdad1")</f>
        <v>Sdad1</v>
      </c>
      <c r="D6611" s="8"/>
      <c r="E6611" s="8">
        <v>79456</v>
      </c>
      <c r="F6611" s="8"/>
      <c r="G6611" s="15" t="s">
        <v>10</v>
      </c>
      <c r="H6611" s="15" t="s">
        <v>10</v>
      </c>
      <c r="I6611" s="15" t="s">
        <v>10</v>
      </c>
      <c r="J6611" s="15" t="s">
        <v>10</v>
      </c>
      <c r="K6611" s="15" t="s">
        <v>10</v>
      </c>
      <c r="L6611" s="15" t="s">
        <v>10</v>
      </c>
      <c r="M6611" s="15">
        <v>1.2021263440833483</v>
      </c>
      <c r="N6611" s="15">
        <v>1.2021263440833483</v>
      </c>
      <c r="O6611" s="15" t="s">
        <v>10</v>
      </c>
      <c r="P6611" s="15" t="s">
        <v>10</v>
      </c>
      <c r="Q6611" s="8"/>
      <c r="R6611" s="9" t="s">
        <v>6124</v>
      </c>
    </row>
    <row r="6612" spans="1:18" x14ac:dyDescent="0.25">
      <c r="A6612" s="6" t="str">
        <f>HYPERLINK("proteomic_fractions_linear_files/Yang_linear_img/6755438.jpg", "6755438")</f>
        <v>6755438</v>
      </c>
      <c r="B6612" s="7"/>
      <c r="C6612" s="6" t="str">
        <f>HYPERLINK("http://www.ncbi.nlm.nih.gov/protein/6755438","Sdc1")</f>
        <v>Sdc1</v>
      </c>
      <c r="D6612" s="8"/>
      <c r="E6612" s="8">
        <v>30360</v>
      </c>
      <c r="F6612" s="8"/>
      <c r="G6612" s="15" t="s">
        <v>10</v>
      </c>
      <c r="H6612" s="15" t="s">
        <v>10</v>
      </c>
      <c r="I6612" s="15">
        <v>0.46286168333122168</v>
      </c>
      <c r="J6612" s="15">
        <v>0.46286168333122168</v>
      </c>
      <c r="K6612" s="15">
        <v>0.50654460979380955</v>
      </c>
      <c r="L6612" s="15">
        <v>0.50654460979380955</v>
      </c>
      <c r="M6612" s="15" t="s">
        <v>10</v>
      </c>
      <c r="N6612" s="15" t="s">
        <v>10</v>
      </c>
      <c r="O6612" s="15" t="s">
        <v>10</v>
      </c>
      <c r="P6612" s="15" t="s">
        <v>10</v>
      </c>
      <c r="Q6612" s="8"/>
      <c r="R6612" s="9" t="s">
        <v>6125</v>
      </c>
    </row>
    <row r="6613" spans="1:18" x14ac:dyDescent="0.25">
      <c r="A6613" s="6" t="str">
        <f>HYPERLINK("proteomic_fractions_linear_files/Yang_linear_img/6755442.jpg", "6755442")</f>
        <v>6755442</v>
      </c>
      <c r="B6613" s="7"/>
      <c r="C6613" s="6" t="str">
        <f>HYPERLINK("http://www.ncbi.nlm.nih.gov/protein/6755442","Sdc4")</f>
        <v>Sdc4</v>
      </c>
      <c r="D6613" s="8"/>
      <c r="E6613" s="8">
        <v>19211</v>
      </c>
      <c r="F6613" s="8"/>
      <c r="G6613" s="15">
        <v>99.26128442805215</v>
      </c>
      <c r="H6613" s="15">
        <v>99.26128442805215</v>
      </c>
      <c r="I6613" s="15">
        <v>12.282149875149951</v>
      </c>
      <c r="J6613" s="15">
        <v>15.883332875605198</v>
      </c>
      <c r="K6613" s="15">
        <v>21.528608302075778</v>
      </c>
      <c r="L6613" s="15">
        <v>21.528608302075778</v>
      </c>
      <c r="M6613" s="15">
        <v>21.528608302075778</v>
      </c>
      <c r="N6613" s="15">
        <v>21.528608302075778</v>
      </c>
      <c r="O6613" s="15" t="s">
        <v>10</v>
      </c>
      <c r="P6613" s="15" t="s">
        <v>10</v>
      </c>
      <c r="Q6613" s="8"/>
      <c r="R6613" s="9" t="s">
        <v>6126</v>
      </c>
    </row>
    <row r="6614" spans="1:18" x14ac:dyDescent="0.25">
      <c r="A6614" s="6" t="str">
        <f>HYPERLINK("proteomic_fractions_linear_files/Yang_linear_img/148277591.jpg", "148277591")</f>
        <v>148277591</v>
      </c>
      <c r="B6614" s="7"/>
      <c r="C6614" s="6" t="str">
        <f>HYPERLINK("http://www.ncbi.nlm.nih.gov/protein/148277591","Sdcbp")</f>
        <v>Sdcbp</v>
      </c>
      <c r="D6614" s="8"/>
      <c r="E6614" s="8">
        <v>32120</v>
      </c>
      <c r="F6614" s="8"/>
      <c r="G6614" s="15" t="s">
        <v>10</v>
      </c>
      <c r="H6614" s="15" t="s">
        <v>10</v>
      </c>
      <c r="I6614" s="15">
        <v>0.93391896536603536</v>
      </c>
      <c r="J6614" s="15">
        <v>0.93391896536603536</v>
      </c>
      <c r="K6614" s="15">
        <v>1.0026272767416746</v>
      </c>
      <c r="L6614" s="15">
        <v>1.0026272767416746</v>
      </c>
      <c r="M6614" s="15">
        <v>1.0026272767416746</v>
      </c>
      <c r="N6614" s="15">
        <v>1.0026272767416746</v>
      </c>
      <c r="O6614" s="15" t="s">
        <v>10</v>
      </c>
      <c r="P6614" s="15" t="s">
        <v>10</v>
      </c>
      <c r="Q6614" s="8"/>
      <c r="R6614" s="9" t="s">
        <v>6127</v>
      </c>
    </row>
    <row r="6615" spans="1:18" x14ac:dyDescent="0.25">
      <c r="A6615" s="6" t="str">
        <f>HYPERLINK("proteomic_fractions_linear_files/Yang_linear_img/148277640.jpg", "148277640")</f>
        <v>148277640</v>
      </c>
      <c r="B6615" s="7"/>
      <c r="C6615" s="6" t="str">
        <f>HYPERLINK("http://www.ncbi.nlm.nih.gov/protein/148277640","Sdcbp")</f>
        <v>Sdcbp</v>
      </c>
      <c r="D6615" s="8"/>
      <c r="E6615" s="8">
        <v>32248</v>
      </c>
      <c r="F6615" s="8"/>
      <c r="G6615" s="15" t="s">
        <v>10</v>
      </c>
      <c r="H6615" s="15" t="s">
        <v>10</v>
      </c>
      <c r="I6615" s="15">
        <v>0.93391896536603536</v>
      </c>
      <c r="J6615" s="15">
        <v>0.93391896536603536</v>
      </c>
      <c r="K6615" s="15">
        <v>1.0026272767416746</v>
      </c>
      <c r="L6615" s="15">
        <v>1.0026272767416746</v>
      </c>
      <c r="M6615" s="15">
        <v>1.0026272767416746</v>
      </c>
      <c r="N6615" s="15">
        <v>1.0026272767416746</v>
      </c>
      <c r="O6615" s="15" t="s">
        <v>10</v>
      </c>
      <c r="P6615" s="15" t="s">
        <v>10</v>
      </c>
      <c r="Q6615" s="8"/>
      <c r="R6615" s="9" t="s">
        <v>6128</v>
      </c>
    </row>
    <row r="6616" spans="1:18" x14ac:dyDescent="0.25">
      <c r="A6616" s="6" t="str">
        <f>HYPERLINK("proteomic_fractions_linear_files/Yang_linear_img/29789245.jpg", "29789245")</f>
        <v>29789245</v>
      </c>
      <c r="B6616" s="7"/>
      <c r="C6616" s="6" t="str">
        <f>HYPERLINK("http://www.ncbi.nlm.nih.gov/protein/29789245","Sdccag8")</f>
        <v>Sdccag8</v>
      </c>
      <c r="D6616" s="8"/>
      <c r="E6616" s="8">
        <v>82848</v>
      </c>
      <c r="F6616" s="8"/>
      <c r="G6616" s="15" t="s">
        <v>10</v>
      </c>
      <c r="H6616" s="15" t="s">
        <v>10</v>
      </c>
      <c r="I6616" s="15" t="s">
        <v>10</v>
      </c>
      <c r="J6616" s="15" t="s">
        <v>10</v>
      </c>
      <c r="K6616" s="15">
        <v>1.001188656302938</v>
      </c>
      <c r="L6616" s="15">
        <v>1.001188656302938</v>
      </c>
      <c r="M6616" s="15" t="s">
        <v>10</v>
      </c>
      <c r="N6616" s="15" t="s">
        <v>10</v>
      </c>
      <c r="O6616" s="15">
        <v>1.001188656302938</v>
      </c>
      <c r="P6616" s="15">
        <v>1.001188656302938</v>
      </c>
      <c r="Q6616" s="8"/>
      <c r="R6616" s="9" t="s">
        <v>6129</v>
      </c>
    </row>
    <row r="6617" spans="1:18" x14ac:dyDescent="0.25">
      <c r="A6617" s="6" t="str">
        <f>HYPERLINK("proteomic_fractions_linear_files/Yang_linear_img/11612505.jpg", "11612505")</f>
        <v>11612505</v>
      </c>
      <c r="B6617" s="7"/>
      <c r="C6617" s="6" t="str">
        <f>HYPERLINK("http://www.ncbi.nlm.nih.gov/protein/11612505","Sdf2l1")</f>
        <v>Sdf2l1</v>
      </c>
      <c r="D6617" s="8"/>
      <c r="E6617" s="8">
        <v>20899</v>
      </c>
      <c r="F6617" s="8"/>
      <c r="G6617" s="15">
        <v>0.92862618228739402</v>
      </c>
      <c r="H6617" s="15">
        <v>0.92862618228739402</v>
      </c>
      <c r="I6617" s="15">
        <v>1.0378924890799406</v>
      </c>
      <c r="J6617" s="15">
        <v>1.0378924890799406</v>
      </c>
      <c r="K6617" s="15">
        <v>1.0378924890799406</v>
      </c>
      <c r="L6617" s="15">
        <v>1.0378924890799406</v>
      </c>
      <c r="M6617" s="15" t="s">
        <v>10</v>
      </c>
      <c r="N6617" s="15" t="s">
        <v>10</v>
      </c>
      <c r="O6617" s="15" t="s">
        <v>10</v>
      </c>
      <c r="P6617" s="15" t="s">
        <v>10</v>
      </c>
      <c r="Q6617" s="8"/>
      <c r="R6617" s="9" t="s">
        <v>6130</v>
      </c>
    </row>
    <row r="6618" spans="1:18" x14ac:dyDescent="0.25">
      <c r="A6618" s="6" t="str">
        <f>HYPERLINK("proteomic_fractions_linear_files/Yang_linear_img/54607098.jpg", "54607098")</f>
        <v>54607098</v>
      </c>
      <c r="B6618" s="7"/>
      <c r="C6618" s="6" t="str">
        <f>HYPERLINK("http://www.ncbi.nlm.nih.gov/protein/54607098","Sdha")</f>
        <v>Sdha</v>
      </c>
      <c r="D6618" s="8"/>
      <c r="E6618" s="8">
        <v>68032</v>
      </c>
      <c r="F6618" s="8"/>
      <c r="G6618" s="15">
        <v>1.222039095193292</v>
      </c>
      <c r="H6618" s="15">
        <v>1.222039095193292</v>
      </c>
      <c r="I6618" s="15">
        <v>1.0799435329659153</v>
      </c>
      <c r="J6618" s="15">
        <v>1.0799435329659153</v>
      </c>
      <c r="K6618" s="15">
        <v>1.0799435329659153</v>
      </c>
      <c r="L6618" s="15">
        <v>1.0799435329659153</v>
      </c>
      <c r="M6618" s="15" t="s">
        <v>10</v>
      </c>
      <c r="N6618" s="15" t="s">
        <v>10</v>
      </c>
      <c r="O6618" s="15" t="s">
        <v>10</v>
      </c>
      <c r="P6618" s="15" t="s">
        <v>10</v>
      </c>
      <c r="Q6618" s="8"/>
      <c r="R6618" s="9" t="s">
        <v>6131</v>
      </c>
    </row>
    <row r="6619" spans="1:18" x14ac:dyDescent="0.25">
      <c r="A6619" s="6" t="str">
        <f>HYPERLINK("proteomic_fractions_linear_files/Yang_linear_img/110815822.jpg", "110815822")</f>
        <v>110815822</v>
      </c>
      <c r="B6619" s="7"/>
      <c r="C6619" s="6" t="str">
        <f>HYPERLINK("http://www.ncbi.nlm.nih.gov/protein/110815822","Sdhaf1")</f>
        <v>Sdhaf1</v>
      </c>
      <c r="D6619" s="8"/>
      <c r="E6619" s="8">
        <v>13011</v>
      </c>
      <c r="F6619" s="8"/>
      <c r="G6619" s="15" t="s">
        <v>10</v>
      </c>
      <c r="H6619" s="15" t="s">
        <v>10</v>
      </c>
      <c r="I6619" s="15">
        <v>1.4227153203510834</v>
      </c>
      <c r="J6619" s="15">
        <v>1.4227153203510834</v>
      </c>
      <c r="K6619" s="15" t="s">
        <v>10</v>
      </c>
      <c r="L6619" s="15" t="s">
        <v>10</v>
      </c>
      <c r="M6619" s="15">
        <v>1.4227153203510834</v>
      </c>
      <c r="N6619" s="15">
        <v>1.4227153203510834</v>
      </c>
      <c r="O6619" s="15" t="s">
        <v>10</v>
      </c>
      <c r="P6619" s="15" t="s">
        <v>10</v>
      </c>
      <c r="Q6619" s="8"/>
      <c r="R6619" s="9" t="s">
        <v>6132</v>
      </c>
    </row>
    <row r="6620" spans="1:18" x14ac:dyDescent="0.25">
      <c r="A6620" s="6" t="str">
        <f>HYPERLINK("proteomic_fractions_linear_files/Yang_linear_img/34328286.jpg", "34328286")</f>
        <v>34328286</v>
      </c>
      <c r="B6620" s="7"/>
      <c r="C6620" s="6" t="str">
        <f>HYPERLINK("http://www.ncbi.nlm.nih.gov/protein/34328286","Sdhb")</f>
        <v>Sdhb</v>
      </c>
      <c r="D6620" s="8"/>
      <c r="E6620" s="8">
        <v>28770</v>
      </c>
      <c r="F6620" s="8"/>
      <c r="G6620" s="15">
        <v>1.1914957424301789</v>
      </c>
      <c r="H6620" s="15">
        <v>1.1914957424301789</v>
      </c>
      <c r="I6620" s="15">
        <v>0.90173303846293107</v>
      </c>
      <c r="J6620" s="15">
        <v>0.90173303846293107</v>
      </c>
      <c r="K6620" s="15">
        <v>0.90173303846293107</v>
      </c>
      <c r="L6620" s="15">
        <v>0.90173303846293107</v>
      </c>
      <c r="M6620" s="15" t="s">
        <v>10</v>
      </c>
      <c r="N6620" s="15" t="s">
        <v>10</v>
      </c>
      <c r="O6620" s="15" t="s">
        <v>10</v>
      </c>
      <c r="P6620" s="15" t="s">
        <v>10</v>
      </c>
      <c r="Q6620" s="8"/>
      <c r="R6620" s="9" t="s">
        <v>6133</v>
      </c>
    </row>
    <row r="6621" spans="1:18" x14ac:dyDescent="0.25">
      <c r="A6621" s="6" t="str">
        <f>HYPERLINK("proteomic_fractions_linear_files/Yang_linear_img/228008307.jpg", "228008307")</f>
        <v>228008307</v>
      </c>
      <c r="B6621" s="7"/>
      <c r="C6621" s="6" t="str">
        <f>HYPERLINK("http://www.ncbi.nlm.nih.gov/protein/228008307","Sdhc")</f>
        <v>Sdhc</v>
      </c>
      <c r="D6621" s="8"/>
      <c r="E6621" s="8">
        <v>15116</v>
      </c>
      <c r="F6621" s="8"/>
      <c r="G6621" s="15">
        <v>1.1713293176905979</v>
      </c>
      <c r="H6621" s="15">
        <v>1.1713293176905979</v>
      </c>
      <c r="I6621" s="15">
        <v>0.96783158145802317</v>
      </c>
      <c r="J6621" s="15">
        <v>0.96783158145802317</v>
      </c>
      <c r="K6621" s="15">
        <v>0.96783158145802317</v>
      </c>
      <c r="L6621" s="15">
        <v>0.96783158145802317</v>
      </c>
      <c r="M6621" s="15" t="s">
        <v>10</v>
      </c>
      <c r="N6621" s="15" t="s">
        <v>10</v>
      </c>
      <c r="O6621" s="15" t="s">
        <v>10</v>
      </c>
      <c r="P6621" s="15" t="s">
        <v>10</v>
      </c>
      <c r="Q6621" s="8"/>
      <c r="R6621" s="9" t="s">
        <v>6134</v>
      </c>
    </row>
    <row r="6622" spans="1:18" x14ac:dyDescent="0.25">
      <c r="A6622" s="6" t="str">
        <f>HYPERLINK("proteomic_fractions_linear_files/Yang_linear_img/27229021.jpg", "27229021")</f>
        <v>27229021</v>
      </c>
      <c r="B6622" s="7"/>
      <c r="C6622" s="6" t="str">
        <f>HYPERLINK("http://www.ncbi.nlm.nih.gov/protein/27229021","Sdhd")</f>
        <v>Sdhd</v>
      </c>
      <c r="D6622" s="8"/>
      <c r="E6622" s="8">
        <v>10956</v>
      </c>
      <c r="F6622" s="8"/>
      <c r="G6622" s="15">
        <v>1.6813908331421894</v>
      </c>
      <c r="H6622" s="15">
        <v>1.6813908331421894</v>
      </c>
      <c r="I6622" s="15">
        <v>1.1120782993028506</v>
      </c>
      <c r="J6622" s="15">
        <v>1.1120782993028506</v>
      </c>
      <c r="K6622" s="15" t="s">
        <v>10</v>
      </c>
      <c r="L6622" s="15" t="s">
        <v>10</v>
      </c>
      <c r="M6622" s="15" t="s">
        <v>10</v>
      </c>
      <c r="N6622" s="15" t="s">
        <v>10</v>
      </c>
      <c r="O6622" s="15" t="s">
        <v>10</v>
      </c>
      <c r="P6622" s="15" t="s">
        <v>10</v>
      </c>
      <c r="Q6622" s="8"/>
      <c r="R6622" s="9" t="s">
        <v>6135</v>
      </c>
    </row>
    <row r="6623" spans="1:18" x14ac:dyDescent="0.25">
      <c r="A6623" s="6" t="str">
        <f>HYPERLINK("proteomic_fractions_linear_files/Yang_linear_img/131889222.jpg", "131889222")</f>
        <v>131889222</v>
      </c>
      <c r="B6623" s="7"/>
      <c r="C6623" s="6" t="str">
        <f>HYPERLINK("http://www.ncbi.nlm.nih.gov/protein/131889222","Sdr39u1")</f>
        <v>Sdr39u1</v>
      </c>
      <c r="D6623" s="8"/>
      <c r="E6623" s="8">
        <v>31327</v>
      </c>
      <c r="F6623" s="8"/>
      <c r="G6623" s="15">
        <v>0.7920909875250618</v>
      </c>
      <c r="H6623" s="15">
        <v>0.7920909875250618</v>
      </c>
      <c r="I6623" s="15">
        <v>0.84355671340080651</v>
      </c>
      <c r="J6623" s="15">
        <v>0.84355671340080651</v>
      </c>
      <c r="K6623" s="15" t="s">
        <v>10</v>
      </c>
      <c r="L6623" s="15" t="s">
        <v>10</v>
      </c>
      <c r="M6623" s="15" t="s">
        <v>10</v>
      </c>
      <c r="N6623" s="15" t="s">
        <v>10</v>
      </c>
      <c r="O6623" s="15" t="s">
        <v>10</v>
      </c>
      <c r="P6623" s="15" t="s">
        <v>10</v>
      </c>
      <c r="Q6623" s="8"/>
      <c r="R6623" s="9" t="s">
        <v>6136</v>
      </c>
    </row>
    <row r="6624" spans="1:18" x14ac:dyDescent="0.25">
      <c r="A6624" s="6" t="str">
        <f>HYPERLINK("proteomic_fractions_linear_files/Yang_linear_img/20589949.jpg", "20589949")</f>
        <v>20589949</v>
      </c>
      <c r="B6624" s="7"/>
      <c r="C6624" s="6" t="str">
        <f>HYPERLINK("http://www.ncbi.nlm.nih.gov/protein/20589949","Sdsl")</f>
        <v>Sdsl</v>
      </c>
      <c r="D6624" s="8"/>
      <c r="E6624" s="8">
        <v>34601</v>
      </c>
      <c r="F6624" s="8"/>
      <c r="G6624" s="15" t="s">
        <v>10</v>
      </c>
      <c r="H6624" s="15" t="s">
        <v>10</v>
      </c>
      <c r="I6624" s="15" t="s">
        <v>10</v>
      </c>
      <c r="J6624" s="15" t="s">
        <v>10</v>
      </c>
      <c r="K6624" s="15" t="s">
        <v>10</v>
      </c>
      <c r="L6624" s="15" t="s">
        <v>10</v>
      </c>
      <c r="M6624" s="15" t="s">
        <v>10</v>
      </c>
      <c r="N6624" s="15" t="s">
        <v>10</v>
      </c>
      <c r="O6624" s="15">
        <v>0.91668779587810256</v>
      </c>
      <c r="P6624" s="15">
        <v>0.91668779587810256</v>
      </c>
      <c r="Q6624" s="8"/>
      <c r="R6624" s="9" t="s">
        <v>6137</v>
      </c>
    </row>
    <row r="6625" spans="1:18" x14ac:dyDescent="0.25">
      <c r="A6625" s="6" t="str">
        <f>HYPERLINK("proteomic_fractions_linear_files/Yang_linear_img/9910550.jpg", "9910550")</f>
        <v>9910550</v>
      </c>
      <c r="B6625" s="7"/>
      <c r="C6625" s="6" t="str">
        <f>HYPERLINK("http://www.ncbi.nlm.nih.gov/protein/9910550","Sec11a")</f>
        <v>Sec11a</v>
      </c>
      <c r="D6625" s="8"/>
      <c r="E6625" s="8">
        <v>20495</v>
      </c>
      <c r="F6625" s="8"/>
      <c r="G6625" s="15">
        <v>1.2277410306638459</v>
      </c>
      <c r="H6625" s="15">
        <v>1.2277410306638459</v>
      </c>
      <c r="I6625" s="15">
        <v>0.83582372603035116</v>
      </c>
      <c r="J6625" s="15">
        <v>0.83582372603035116</v>
      </c>
      <c r="K6625" s="15">
        <v>0.83582372603035116</v>
      </c>
      <c r="L6625" s="15">
        <v>0.83582372603035116</v>
      </c>
      <c r="M6625" s="15">
        <v>0.87849698826794831</v>
      </c>
      <c r="N6625" s="15">
        <v>0.87849698826794831</v>
      </c>
      <c r="O6625" s="15" t="s">
        <v>10</v>
      </c>
      <c r="P6625" s="15" t="s">
        <v>10</v>
      </c>
      <c r="Q6625" s="8"/>
      <c r="R6625" s="9" t="s">
        <v>6138</v>
      </c>
    </row>
    <row r="6626" spans="1:18" x14ac:dyDescent="0.25">
      <c r="A6626" s="6" t="str">
        <f>HYPERLINK("proteomic_fractions_linear_files/Yang_linear_img/29150272.jpg", "29150272")</f>
        <v>29150272</v>
      </c>
      <c r="B6626" s="7"/>
      <c r="C6626" s="6" t="str">
        <f>HYPERLINK("http://www.ncbi.nlm.nih.gov/protein/29150272","Sec13")</f>
        <v>Sec13</v>
      </c>
      <c r="D6626" s="8"/>
      <c r="E6626" s="8">
        <v>35435</v>
      </c>
      <c r="F6626" s="8"/>
      <c r="G6626" s="15">
        <v>0.91668779587810256</v>
      </c>
      <c r="H6626" s="15">
        <v>0.91668779587810256</v>
      </c>
      <c r="I6626" s="15">
        <v>0.98723932944214809</v>
      </c>
      <c r="J6626" s="15">
        <v>0.98723932944214809</v>
      </c>
      <c r="K6626" s="15">
        <v>0.98723932944214809</v>
      </c>
      <c r="L6626" s="15">
        <v>0.98723932944214809</v>
      </c>
      <c r="M6626" s="15">
        <v>0.98723932944214809</v>
      </c>
      <c r="N6626" s="15">
        <v>0.98723932944214809</v>
      </c>
      <c r="O6626" s="15">
        <v>0.91668779587810256</v>
      </c>
      <c r="P6626" s="15">
        <v>0.91668779587810256</v>
      </c>
      <c r="Q6626" s="8"/>
      <c r="R6626" s="9" t="s">
        <v>6139</v>
      </c>
    </row>
    <row r="6627" spans="1:18" x14ac:dyDescent="0.25">
      <c r="A6627" s="6" t="str">
        <f>HYPERLINK("proteomic_fractions_linear_files/Yang_linear_img/262073064.jpg", "262073064")</f>
        <v>262073064</v>
      </c>
      <c r="B6627" s="7"/>
      <c r="C6627" s="6" t="str">
        <f>HYPERLINK("http://www.ncbi.nlm.nih.gov/protein/262073064","Sec14l1")</f>
        <v>Sec14l1</v>
      </c>
      <c r="D6627" s="8"/>
      <c r="E6627" s="8">
        <v>81678</v>
      </c>
      <c r="F6627" s="8"/>
      <c r="G6627" s="15">
        <v>0.64781182475611077</v>
      </c>
      <c r="H6627" s="15">
        <v>0.64781182475611077</v>
      </c>
      <c r="I6627" s="15" t="s">
        <v>10</v>
      </c>
      <c r="J6627" s="15" t="s">
        <v>10</v>
      </c>
      <c r="K6627" s="15">
        <v>0.49399168540515542</v>
      </c>
      <c r="L6627" s="15">
        <v>0.49399168540515542</v>
      </c>
      <c r="M6627" s="15">
        <v>0.45538202955029988</v>
      </c>
      <c r="N6627" s="15">
        <v>0.45538202955029988</v>
      </c>
      <c r="O6627" s="15" t="s">
        <v>10</v>
      </c>
      <c r="P6627" s="15" t="s">
        <v>10</v>
      </c>
      <c r="Q6627" s="8"/>
      <c r="R6627" s="9" t="s">
        <v>6140</v>
      </c>
    </row>
    <row r="6628" spans="1:18" x14ac:dyDescent="0.25">
      <c r="A6628" s="6" t="str">
        <f>HYPERLINK("proteomic_fractions_linear_files/Yang_linear_img/262073066.jpg", "262073066")</f>
        <v>262073066</v>
      </c>
      <c r="B6628" s="7"/>
      <c r="C6628" s="6" t="str">
        <f>HYPERLINK("http://www.ncbi.nlm.nih.gov/protein/262073066","Sec14l1")</f>
        <v>Sec14l1</v>
      </c>
      <c r="D6628" s="8"/>
      <c r="E6628" s="8">
        <v>81085</v>
      </c>
      <c r="F6628" s="8"/>
      <c r="G6628" s="15">
        <v>0.65580950160495155</v>
      </c>
      <c r="H6628" s="15">
        <v>0.65580950160495155</v>
      </c>
      <c r="I6628" s="15" t="s">
        <v>10</v>
      </c>
      <c r="J6628" s="15" t="s">
        <v>10</v>
      </c>
      <c r="K6628" s="15">
        <v>0.50009034818793507</v>
      </c>
      <c r="L6628" s="15">
        <v>0.50009034818793507</v>
      </c>
      <c r="M6628" s="15">
        <v>0.46100402991511841</v>
      </c>
      <c r="N6628" s="15">
        <v>0.46100402991511841</v>
      </c>
      <c r="O6628" s="15" t="s">
        <v>10</v>
      </c>
      <c r="P6628" s="15" t="s">
        <v>10</v>
      </c>
      <c r="Q6628" s="8"/>
      <c r="R6628" s="9" t="s">
        <v>6141</v>
      </c>
    </row>
    <row r="6629" spans="1:18" x14ac:dyDescent="0.25">
      <c r="A6629" s="6" t="str">
        <f>HYPERLINK("proteomic_fractions_linear_files/Yang_linear_img/262073068.jpg", "262073068")</f>
        <v>262073068</v>
      </c>
      <c r="B6629" s="7"/>
      <c r="C6629" s="6" t="str">
        <f>HYPERLINK("http://www.ncbi.nlm.nih.gov/protein/262073068","Sec14l1")</f>
        <v>Sec14l1</v>
      </c>
      <c r="D6629" s="8"/>
      <c r="E6629" s="8">
        <v>81145</v>
      </c>
      <c r="F6629" s="8"/>
      <c r="G6629" s="15">
        <v>0.65580950160495155</v>
      </c>
      <c r="H6629" s="15">
        <v>0.65580950160495155</v>
      </c>
      <c r="I6629" s="15" t="s">
        <v>10</v>
      </c>
      <c r="J6629" s="15" t="s">
        <v>10</v>
      </c>
      <c r="K6629" s="15">
        <v>0.50009034818793507</v>
      </c>
      <c r="L6629" s="15">
        <v>0.50009034818793507</v>
      </c>
      <c r="M6629" s="15">
        <v>0.46100402991511841</v>
      </c>
      <c r="N6629" s="15">
        <v>0.46100402991511841</v>
      </c>
      <c r="O6629" s="15" t="s">
        <v>10</v>
      </c>
      <c r="P6629" s="15" t="s">
        <v>10</v>
      </c>
      <c r="Q6629" s="8"/>
      <c r="R6629" s="9" t="s">
        <v>6142</v>
      </c>
    </row>
    <row r="6630" spans="1:18" x14ac:dyDescent="0.25">
      <c r="A6630" s="6" t="str">
        <f>HYPERLINK("proteomic_fractions_linear_files/Yang_linear_img/189181692.jpg", "189181692")</f>
        <v>189181692</v>
      </c>
      <c r="B6630" s="7"/>
      <c r="C6630" s="6" t="str">
        <f>HYPERLINK("http://www.ncbi.nlm.nih.gov/protein/189181692","Sec14l5")</f>
        <v>Sec14l5</v>
      </c>
      <c r="D6630" s="8"/>
      <c r="E6630" s="8">
        <v>78748</v>
      </c>
      <c r="F6630" s="8"/>
      <c r="G6630" s="15" t="s">
        <v>10</v>
      </c>
      <c r="H6630" s="15" t="s">
        <v>10</v>
      </c>
      <c r="I6630" s="15" t="s">
        <v>10</v>
      </c>
      <c r="J6630" s="15" t="s">
        <v>10</v>
      </c>
      <c r="K6630" s="15">
        <v>1.6293876980394553</v>
      </c>
      <c r="L6630" s="15">
        <v>1.6293876980394553</v>
      </c>
      <c r="M6630" s="15" t="s">
        <v>10</v>
      </c>
      <c r="N6630" s="15" t="s">
        <v>10</v>
      </c>
      <c r="O6630" s="15" t="s">
        <v>10</v>
      </c>
      <c r="P6630" s="15" t="s">
        <v>10</v>
      </c>
      <c r="Q6630" s="8"/>
      <c r="R6630" s="9" t="s">
        <v>6143</v>
      </c>
    </row>
    <row r="6631" spans="1:18" x14ac:dyDescent="0.25">
      <c r="A6631" s="6" t="str">
        <f>HYPERLINK("proteomic_fractions_linear_files/Yang_linear_img/124378050.jpg", "124378050")</f>
        <v>124378050</v>
      </c>
      <c r="B6631" s="7"/>
      <c r="C6631" s="6" t="str">
        <f>HYPERLINK("http://www.ncbi.nlm.nih.gov/protein/124378050","Sec16a")</f>
        <v>Sec16a</v>
      </c>
      <c r="D6631" s="8"/>
      <c r="E6631" s="8">
        <v>254072</v>
      </c>
      <c r="F6631" s="8"/>
      <c r="G6631" s="15" t="s">
        <v>10</v>
      </c>
      <c r="H6631" s="15" t="s">
        <v>10</v>
      </c>
      <c r="I6631" s="15" t="s">
        <v>10</v>
      </c>
      <c r="J6631" s="15" t="s">
        <v>10</v>
      </c>
      <c r="K6631" s="15">
        <v>1.1881233253405463</v>
      </c>
      <c r="L6631" s="15">
        <v>1.1881233253405463</v>
      </c>
      <c r="M6631" s="15">
        <v>0.50677806356345267</v>
      </c>
      <c r="N6631" s="15">
        <v>0.50677806356345267</v>
      </c>
      <c r="O6631" s="15">
        <v>1.1881233253405463</v>
      </c>
      <c r="P6631" s="15">
        <v>1.1881233253405463</v>
      </c>
      <c r="Q6631" s="8"/>
      <c r="R6631" s="9" t="s">
        <v>6144</v>
      </c>
    </row>
    <row r="6632" spans="1:18" x14ac:dyDescent="0.25">
      <c r="A6632" s="6" t="str">
        <f>HYPERLINK("proteomic_fractions_linear_files/Yang_linear_img/27819645.jpg", "27819645")</f>
        <v>27819645</v>
      </c>
      <c r="B6632" s="7"/>
      <c r="C6632" s="6" t="str">
        <f>HYPERLINK("http://www.ncbi.nlm.nih.gov/protein/27819645","Sec22a")</f>
        <v>Sec22a</v>
      </c>
      <c r="D6632" s="8"/>
      <c r="E6632" s="8">
        <v>34894</v>
      </c>
      <c r="F6632" s="8"/>
      <c r="G6632" s="15" t="s">
        <v>10</v>
      </c>
      <c r="H6632" s="15" t="s">
        <v>10</v>
      </c>
      <c r="I6632" s="15">
        <v>0.79766317993377311</v>
      </c>
      <c r="J6632" s="15">
        <v>0.79766317993377311</v>
      </c>
      <c r="K6632" s="15" t="s">
        <v>10</v>
      </c>
      <c r="L6632" s="15" t="s">
        <v>10</v>
      </c>
      <c r="M6632" s="15" t="s">
        <v>10</v>
      </c>
      <c r="N6632" s="15" t="s">
        <v>10</v>
      </c>
      <c r="O6632" s="15" t="s">
        <v>10</v>
      </c>
      <c r="P6632" s="15" t="s">
        <v>10</v>
      </c>
      <c r="Q6632" s="8"/>
      <c r="R6632" s="9" t="s">
        <v>6145</v>
      </c>
    </row>
    <row r="6633" spans="1:18" x14ac:dyDescent="0.25">
      <c r="A6633" s="6" t="str">
        <f>HYPERLINK("proteomic_fractions_linear_files/Yang_linear_img/6755448.jpg", "6755448")</f>
        <v>6755448</v>
      </c>
      <c r="B6633" s="7"/>
      <c r="C6633" s="6" t="str">
        <f>HYPERLINK("http://www.ncbi.nlm.nih.gov/protein/6755448","Sec22b")</f>
        <v>Sec22b</v>
      </c>
      <c r="D6633" s="8"/>
      <c r="E6633" s="8">
        <v>23369</v>
      </c>
      <c r="F6633" s="8"/>
      <c r="G6633" s="15">
        <v>1.3949596893797211</v>
      </c>
      <c r="H6633" s="15">
        <v>1.3949596893797211</v>
      </c>
      <c r="I6633" s="15">
        <v>1.0047640597703238</v>
      </c>
      <c r="J6633" s="15">
        <v>1.0047640597703238</v>
      </c>
      <c r="K6633" s="15">
        <v>1.0047640597703238</v>
      </c>
      <c r="L6633" s="15">
        <v>1.0047640597703238</v>
      </c>
      <c r="M6633" s="15">
        <v>1.0047640597703238</v>
      </c>
      <c r="N6633" s="15">
        <v>1.0047640597703238</v>
      </c>
      <c r="O6633" s="15">
        <v>0.80414344193756893</v>
      </c>
      <c r="P6633" s="15">
        <v>0.80414344193756893</v>
      </c>
      <c r="Q6633" s="8"/>
      <c r="R6633" s="9" t="s">
        <v>6146</v>
      </c>
    </row>
    <row r="6634" spans="1:18" x14ac:dyDescent="0.25">
      <c r="A6634" s="6" t="str">
        <f>HYPERLINK("proteomic_fractions_linear_files/Yang_linear_img/67906177.jpg", "67906177")</f>
        <v>67906177</v>
      </c>
      <c r="B6634" s="7"/>
      <c r="C6634" s="6" t="str">
        <f>HYPERLINK("http://www.ncbi.nlm.nih.gov/protein/67906177","Sec23a")</f>
        <v>Sec23a</v>
      </c>
      <c r="D6634" s="8"/>
      <c r="E6634" s="8">
        <v>86031</v>
      </c>
      <c r="F6634" s="8"/>
      <c r="G6634" s="15">
        <v>1.2767623700131565</v>
      </c>
      <c r="H6634" s="15">
        <v>1.2767623700131565</v>
      </c>
      <c r="I6634" s="15">
        <v>0.96626347061795181</v>
      </c>
      <c r="J6634" s="15">
        <v>0.96626347061795181</v>
      </c>
      <c r="K6634" s="15">
        <v>1.104278850960285</v>
      </c>
      <c r="L6634" s="15">
        <v>1.104278850960285</v>
      </c>
      <c r="M6634" s="15">
        <v>1.104278850960285</v>
      </c>
      <c r="N6634" s="15">
        <v>1.104278850960285</v>
      </c>
      <c r="O6634" s="15">
        <v>0.96626347061795181</v>
      </c>
      <c r="P6634" s="15">
        <v>0.96626347061795181</v>
      </c>
      <c r="Q6634" s="8"/>
      <c r="R6634" s="9" t="s">
        <v>6147</v>
      </c>
    </row>
    <row r="6635" spans="1:18" x14ac:dyDescent="0.25">
      <c r="A6635" s="6" t="str">
        <f>HYPERLINK("proteomic_fractions_linear_files/Yang_linear_img/529250183.jpg", "529250183")</f>
        <v>529250183</v>
      </c>
      <c r="B6635" s="7"/>
      <c r="C6635" s="6" t="str">
        <f>HYPERLINK("http://www.ncbi.nlm.nih.gov/protein/529250183","Sec23b")</f>
        <v>Sec23b</v>
      </c>
      <c r="D6635" s="8"/>
      <c r="E6635" s="8">
        <v>68760</v>
      </c>
      <c r="F6635" s="8"/>
      <c r="G6635" s="15">
        <v>1.5913270119004561</v>
      </c>
      <c r="H6635" s="15">
        <v>1.5913270119004561</v>
      </c>
      <c r="I6635" s="15" t="s">
        <v>10</v>
      </c>
      <c r="J6635" s="15" t="s">
        <v>10</v>
      </c>
      <c r="K6635" s="15" t="s">
        <v>10</v>
      </c>
      <c r="L6635" s="15" t="s">
        <v>10</v>
      </c>
      <c r="M6635" s="15" t="s">
        <v>10</v>
      </c>
      <c r="N6635" s="15" t="s">
        <v>10</v>
      </c>
      <c r="O6635" s="15" t="s">
        <v>10</v>
      </c>
      <c r="P6635" s="15" t="s">
        <v>10</v>
      </c>
      <c r="Q6635" s="8"/>
      <c r="R6635" s="9" t="s">
        <v>6148</v>
      </c>
    </row>
    <row r="6636" spans="1:18" x14ac:dyDescent="0.25">
      <c r="A6636" s="6" t="str">
        <f>HYPERLINK("proteomic_fractions_linear_files/Yang_linear_img/357527456;31980969.jpg", "357527456;31980969")</f>
        <v>357527456;31980969</v>
      </c>
      <c r="B6636" s="8"/>
      <c r="C6636" s="6" t="str">
        <f>HYPERLINK("http://www.ncbi.nlm.nih.gov/protein/357527456;31980969","Sec23b")</f>
        <v>Sec23b</v>
      </c>
      <c r="D6636" s="8"/>
      <c r="E6636" s="8">
        <v>86306</v>
      </c>
      <c r="F6636" s="8"/>
      <c r="G6636" s="15" t="s">
        <v>10</v>
      </c>
      <c r="H6636" s="15" t="s">
        <v>10</v>
      </c>
      <c r="I6636" s="15" t="s">
        <v>10</v>
      </c>
      <c r="J6636" s="15" t="s">
        <v>10</v>
      </c>
      <c r="K6636" s="15">
        <v>1.104278850960285</v>
      </c>
      <c r="L6636" s="15">
        <v>1.104278850960285</v>
      </c>
      <c r="M6636" s="15" t="s">
        <v>10</v>
      </c>
      <c r="N6636" s="15" t="s">
        <v>10</v>
      </c>
      <c r="O6636" s="15" t="s">
        <v>10</v>
      </c>
      <c r="P6636" s="15" t="s">
        <v>10</v>
      </c>
      <c r="Q6636" s="8"/>
      <c r="R6636" s="9" t="s">
        <v>6149</v>
      </c>
    </row>
    <row r="6637" spans="1:18" x14ac:dyDescent="0.25">
      <c r="A6637" s="6" t="str">
        <f>HYPERLINK("proteomic_fractions_linear_files/Yang_linear_img/31980969.jpg", "31980969")</f>
        <v>31980969</v>
      </c>
      <c r="B6637" s="7"/>
      <c r="C6637" s="6" t="str">
        <f>HYPERLINK("http://www.ncbi.nlm.nih.gov/protein/31980969","Sec23b")</f>
        <v>Sec23b</v>
      </c>
      <c r="D6637" s="8"/>
      <c r="E6637" s="8">
        <v>86306</v>
      </c>
      <c r="F6637" s="8"/>
      <c r="G6637" s="15">
        <v>1.2767623700131565</v>
      </c>
      <c r="H6637" s="15">
        <v>1.2767623700131565</v>
      </c>
      <c r="I6637" s="15">
        <v>0.96626347061795181</v>
      </c>
      <c r="J6637" s="15">
        <v>0.96626347061795181</v>
      </c>
      <c r="K6637" s="15" t="s">
        <v>10</v>
      </c>
      <c r="L6637" s="15" t="s">
        <v>10</v>
      </c>
      <c r="M6637" s="15">
        <v>1.104278850960285</v>
      </c>
      <c r="N6637" s="15">
        <v>1.104278850960285</v>
      </c>
      <c r="O6637" s="15">
        <v>0.96626347061795181</v>
      </c>
      <c r="P6637" s="15">
        <v>0.96626347061795181</v>
      </c>
      <c r="Q6637" s="8"/>
      <c r="R6637" s="9" t="s">
        <v>6150</v>
      </c>
    </row>
    <row r="6638" spans="1:18" x14ac:dyDescent="0.25">
      <c r="A6638" s="6" t="str">
        <f>HYPERLINK("proteomic_fractions_linear_files/Yang_linear_img/254692911.jpg", "254692911")</f>
        <v>254692911</v>
      </c>
      <c r="B6638" s="7"/>
      <c r="C6638" s="6" t="str">
        <f>HYPERLINK("http://www.ncbi.nlm.nih.gov/protein/254692911","Sec23ip")</f>
        <v>Sec23ip</v>
      </c>
      <c r="D6638" s="8"/>
      <c r="E6638" s="8">
        <v>110633</v>
      </c>
      <c r="F6638" s="8"/>
      <c r="G6638" s="15" t="s">
        <v>10</v>
      </c>
      <c r="H6638" s="15" t="s">
        <v>10</v>
      </c>
      <c r="I6638" s="15" t="s">
        <v>10</v>
      </c>
      <c r="J6638" s="15" t="s">
        <v>10</v>
      </c>
      <c r="K6638" s="15">
        <v>1.3824582985247011</v>
      </c>
      <c r="L6638" s="15">
        <v>1.3824582985247011</v>
      </c>
      <c r="M6638" s="15">
        <v>1.3824582985247011</v>
      </c>
      <c r="N6638" s="15">
        <v>1.3824582985247011</v>
      </c>
      <c r="O6638" s="15">
        <v>1.1596543076136663</v>
      </c>
      <c r="P6638" s="15">
        <v>1.1596543076136663</v>
      </c>
      <c r="Q6638" s="8"/>
      <c r="R6638" s="9" t="s">
        <v>6151</v>
      </c>
    </row>
    <row r="6639" spans="1:18" x14ac:dyDescent="0.25">
      <c r="A6639" s="6" t="str">
        <f>HYPERLINK("proteomic_fractions_linear_files/Yang_linear_img/116174774.jpg", "116174774")</f>
        <v>116174774</v>
      </c>
      <c r="B6639" s="7"/>
      <c r="C6639" s="6" t="str">
        <f>HYPERLINK("http://www.ncbi.nlm.nih.gov/protein/116174774","Sec24a")</f>
        <v>Sec24a</v>
      </c>
      <c r="D6639" s="8"/>
      <c r="E6639" s="8">
        <v>118652</v>
      </c>
      <c r="F6639" s="8"/>
      <c r="G6639" s="15" t="s">
        <v>10</v>
      </c>
      <c r="H6639" s="15" t="s">
        <v>10</v>
      </c>
      <c r="I6639" s="15" t="s">
        <v>10</v>
      </c>
      <c r="J6639" s="15" t="s">
        <v>10</v>
      </c>
      <c r="K6639" s="15">
        <v>1.0816943541606467</v>
      </c>
      <c r="L6639" s="15">
        <v>1.0816943541606467</v>
      </c>
      <c r="M6639" s="15" t="s">
        <v>10</v>
      </c>
      <c r="N6639" s="15" t="s">
        <v>10</v>
      </c>
      <c r="O6639" s="15">
        <v>1.0816943541606467</v>
      </c>
      <c r="P6639" s="15">
        <v>1.0816943541606467</v>
      </c>
      <c r="Q6639" s="8"/>
      <c r="R6639" s="9" t="s">
        <v>6152</v>
      </c>
    </row>
    <row r="6640" spans="1:18" x14ac:dyDescent="0.25">
      <c r="A6640" s="6" t="str">
        <f>HYPERLINK("proteomic_fractions_linear_files/Yang_linear_img/46402179.jpg", "46402179")</f>
        <v>46402179</v>
      </c>
      <c r="B6640" s="7"/>
      <c r="C6640" s="6" t="str">
        <f>HYPERLINK("http://www.ncbi.nlm.nih.gov/protein/46402179","Sec24b")</f>
        <v>Sec24b</v>
      </c>
      <c r="D6640" s="8"/>
      <c r="E6640" s="8">
        <v>135420</v>
      </c>
      <c r="F6640" s="8"/>
      <c r="G6640" s="15">
        <v>1.383450604740299</v>
      </c>
      <c r="H6640" s="15">
        <v>1.383450604740299</v>
      </c>
      <c r="I6640" s="15">
        <v>0.70346652727840375</v>
      </c>
      <c r="J6640" s="15">
        <v>0.6155456183195841</v>
      </c>
      <c r="K6640" s="15">
        <v>1.383450604740299</v>
      </c>
      <c r="L6640" s="15">
        <v>1.383450604740299</v>
      </c>
      <c r="M6640" s="15">
        <v>0.95349354181568124</v>
      </c>
      <c r="N6640" s="15">
        <v>0.95349354181568124</v>
      </c>
      <c r="O6640" s="15">
        <v>1.1366879343425322</v>
      </c>
      <c r="P6640" s="15">
        <v>1.1366879343425322</v>
      </c>
      <c r="Q6640" s="8"/>
      <c r="R6640" s="9" t="s">
        <v>6153</v>
      </c>
    </row>
    <row r="6641" spans="1:18" x14ac:dyDescent="0.25">
      <c r="A6641" s="6" t="str">
        <f>HYPERLINK("proteomic_fractions_linear_files/Yang_linear_img/269954698.jpg", "269954698")</f>
        <v>269954698</v>
      </c>
      <c r="B6641" s="7"/>
      <c r="C6641" s="6" t="str">
        <f>HYPERLINK("http://www.ncbi.nlm.nih.gov/protein/269954698","Sec24c")</f>
        <v>Sec24c</v>
      </c>
      <c r="D6641" s="8"/>
      <c r="E6641" s="8">
        <v>118451</v>
      </c>
      <c r="F6641" s="8"/>
      <c r="G6641" s="15">
        <v>3.4664708283003374</v>
      </c>
      <c r="H6641" s="15">
        <v>3.4664708283003374</v>
      </c>
      <c r="I6641" s="15">
        <v>0.80481339985241107</v>
      </c>
      <c r="J6641" s="15">
        <v>0.80481339985241107</v>
      </c>
      <c r="K6641" s="15">
        <v>1.3004480604766258</v>
      </c>
      <c r="L6641" s="15">
        <v>1.3004480604766258</v>
      </c>
      <c r="M6641" s="15">
        <v>0.93052172729772431</v>
      </c>
      <c r="N6641" s="15">
        <v>0.93052172729772431</v>
      </c>
      <c r="O6641" s="15">
        <v>1.0908612554670929</v>
      </c>
      <c r="P6641" s="15">
        <v>1.0908612554670929</v>
      </c>
      <c r="Q6641" s="8"/>
      <c r="R6641" s="9" t="s">
        <v>6154</v>
      </c>
    </row>
    <row r="6642" spans="1:18" x14ac:dyDescent="0.25">
      <c r="A6642" s="6" t="str">
        <f>HYPERLINK("proteomic_fractions_linear_files/Yang_linear_img/269954700.jpg", "269954700")</f>
        <v>269954700</v>
      </c>
      <c r="B6642" s="7"/>
      <c r="C6642" s="6" t="str">
        <f>HYPERLINK("http://www.ncbi.nlm.nih.gov/protein/269954700","Sec24c")</f>
        <v>Sec24c</v>
      </c>
      <c r="D6642" s="8"/>
      <c r="E6642" s="8">
        <v>111483</v>
      </c>
      <c r="F6642" s="8"/>
      <c r="G6642" s="15">
        <v>3.6850770967517099</v>
      </c>
      <c r="H6642" s="15">
        <v>3.6850770967517099</v>
      </c>
      <c r="I6642" s="15">
        <v>0.85556739804130189</v>
      </c>
      <c r="J6642" s="15">
        <v>0.85556739804130189</v>
      </c>
      <c r="K6642" s="15">
        <v>1.3824582985247011</v>
      </c>
      <c r="L6642" s="15">
        <v>1.3824582985247011</v>
      </c>
      <c r="M6642" s="15">
        <v>0.9892032776678511</v>
      </c>
      <c r="N6642" s="15">
        <v>0.9892032776678511</v>
      </c>
      <c r="O6642" s="15">
        <v>1.1596543076136663</v>
      </c>
      <c r="P6642" s="15">
        <v>1.1596543076136663</v>
      </c>
      <c r="Q6642" s="8"/>
      <c r="R6642" s="9" t="s">
        <v>6155</v>
      </c>
    </row>
    <row r="6643" spans="1:18" x14ac:dyDescent="0.25">
      <c r="A6643" s="6" t="str">
        <f>HYPERLINK("proteomic_fractions_linear_files/Yang_linear_img/46560565.jpg", "46560565")</f>
        <v>46560565</v>
      </c>
      <c r="B6643" s="7"/>
      <c r="C6643" s="6" t="str">
        <f>HYPERLINK("http://www.ncbi.nlm.nih.gov/protein/46560565","Sec24d")</f>
        <v>Sec24d</v>
      </c>
      <c r="D6643" s="8"/>
      <c r="E6643" s="8">
        <v>112545</v>
      </c>
      <c r="F6643" s="8"/>
      <c r="G6643" s="15" t="s">
        <v>10</v>
      </c>
      <c r="H6643" s="15" t="s">
        <v>10</v>
      </c>
      <c r="I6643" s="15" t="s">
        <v>10</v>
      </c>
      <c r="J6643" s="15" t="s">
        <v>10</v>
      </c>
      <c r="K6643" s="15">
        <v>1.1391294526116547</v>
      </c>
      <c r="L6643" s="15">
        <v>1.1391294526116547</v>
      </c>
      <c r="M6643" s="15" t="s">
        <v>10</v>
      </c>
      <c r="N6643" s="15" t="s">
        <v>10</v>
      </c>
      <c r="O6643" s="15">
        <v>1.1391294526116547</v>
      </c>
      <c r="P6643" s="15">
        <v>1.1391294526116547</v>
      </c>
      <c r="Q6643" s="8"/>
      <c r="R6643" s="9" t="s">
        <v>6156</v>
      </c>
    </row>
    <row r="6644" spans="1:18" x14ac:dyDescent="0.25">
      <c r="A6644" s="6" t="str">
        <f>HYPERLINK("proteomic_fractions_linear_files/Yang_linear_img/244791271.jpg", "244791271")</f>
        <v>244791271</v>
      </c>
      <c r="B6644" s="7"/>
      <c r="C6644" s="6" t="str">
        <f>HYPERLINK("http://www.ncbi.nlm.nih.gov/protein/244791271","Sec31a")</f>
        <v>Sec31a</v>
      </c>
      <c r="D6644" s="8"/>
      <c r="E6644" s="8">
        <v>133439</v>
      </c>
      <c r="F6644" s="8"/>
      <c r="G6644" s="15">
        <v>0.96783179056478919</v>
      </c>
      <c r="H6644" s="15">
        <v>1.1537809859867807</v>
      </c>
      <c r="I6644" s="15">
        <v>1.1537809859867807</v>
      </c>
      <c r="J6644" s="15">
        <v>1.1537809859867807</v>
      </c>
      <c r="K6644" s="15">
        <v>1.1537809859867807</v>
      </c>
      <c r="L6644" s="15">
        <v>1.1537809859867807</v>
      </c>
      <c r="M6644" s="15">
        <v>1.1537809859867807</v>
      </c>
      <c r="N6644" s="15">
        <v>1.1537809859867807</v>
      </c>
      <c r="O6644" s="15">
        <v>1.1537809859867807</v>
      </c>
      <c r="P6644" s="15">
        <v>1.1537809859867807</v>
      </c>
      <c r="Q6644" s="8"/>
      <c r="R6644" s="9" t="s">
        <v>6157</v>
      </c>
    </row>
    <row r="6645" spans="1:18" x14ac:dyDescent="0.25">
      <c r="A6645" s="6" t="str">
        <f>HYPERLINK("proteomic_fractions_linear_files/Yang_linear_img/133504851.jpg", "133504851")</f>
        <v>133504851</v>
      </c>
      <c r="B6645" s="7"/>
      <c r="C6645" s="6" t="str">
        <f>HYPERLINK("http://www.ncbi.nlm.nih.gov/protein/133504851","Sec31b")</f>
        <v>Sec31b</v>
      </c>
      <c r="D6645" s="8"/>
      <c r="E6645" s="8">
        <v>125503</v>
      </c>
      <c r="F6645" s="8"/>
      <c r="G6645" s="15">
        <v>0.46645402845709405</v>
      </c>
      <c r="H6645" s="15">
        <v>0.46645402845709405</v>
      </c>
      <c r="I6645" s="15">
        <v>0.32148665240652974</v>
      </c>
      <c r="J6645" s="15">
        <v>0.32148665240652974</v>
      </c>
      <c r="K6645" s="15">
        <v>0.35020308926163068</v>
      </c>
      <c r="L6645" s="15">
        <v>0.35020308926163068</v>
      </c>
      <c r="M6645" s="15" t="s">
        <v>10</v>
      </c>
      <c r="N6645" s="15" t="s">
        <v>10</v>
      </c>
      <c r="O6645" s="15">
        <v>0.32148665240652974</v>
      </c>
      <c r="P6645" s="15">
        <v>0.32148665240652974</v>
      </c>
      <c r="Q6645" s="8"/>
      <c r="R6645" s="9" t="s">
        <v>6158</v>
      </c>
    </row>
    <row r="6646" spans="1:18" x14ac:dyDescent="0.25">
      <c r="A6646" s="6" t="str">
        <f>HYPERLINK("proteomic_fractions_linear_files/Yang_linear_img/8394252.jpg", "8394252")</f>
        <v>8394252</v>
      </c>
      <c r="B6646" s="7"/>
      <c r="C6646" s="6" t="str">
        <f>HYPERLINK("http://www.ncbi.nlm.nih.gov/protein/8394252","Sec61a1")</f>
        <v>Sec61a1</v>
      </c>
      <c r="D6646" s="8"/>
      <c r="E6646" s="8">
        <v>52134</v>
      </c>
      <c r="F6646" s="8"/>
      <c r="G6646" s="15">
        <v>0.66448801020144588</v>
      </c>
      <c r="H6646" s="15">
        <v>0.66448801020144588</v>
      </c>
      <c r="I6646" s="15" t="s">
        <v>10</v>
      </c>
      <c r="J6646" s="15" t="s">
        <v>10</v>
      </c>
      <c r="K6646" s="15">
        <v>0.71810243121393447</v>
      </c>
      <c r="L6646" s="15">
        <v>0.71810243121393447</v>
      </c>
      <c r="M6646" s="15">
        <v>0.71810243121393447</v>
      </c>
      <c r="N6646" s="15">
        <v>0.71810243121393447</v>
      </c>
      <c r="O6646" s="15" t="s">
        <v>10</v>
      </c>
      <c r="P6646" s="15" t="s">
        <v>10</v>
      </c>
      <c r="Q6646" s="8"/>
      <c r="R6646" s="9" t="s">
        <v>6159</v>
      </c>
    </row>
    <row r="6647" spans="1:18" x14ac:dyDescent="0.25">
      <c r="A6647" s="6" t="str">
        <f>HYPERLINK("proteomic_fractions_linear_files/Yang_linear_img/10946604.jpg", "10946604")</f>
        <v>10946604</v>
      </c>
      <c r="B6647" s="7"/>
      <c r="C6647" s="6" t="str">
        <f>HYPERLINK("http://www.ncbi.nlm.nih.gov/protein/10946604","Sec61a2")</f>
        <v>Sec61a2</v>
      </c>
      <c r="D6647" s="8"/>
      <c r="E6647" s="8">
        <v>52117</v>
      </c>
      <c r="F6647" s="8"/>
      <c r="G6647" s="15" t="s">
        <v>10</v>
      </c>
      <c r="H6647" s="15" t="s">
        <v>10</v>
      </c>
      <c r="I6647" s="15" t="s">
        <v>10</v>
      </c>
      <c r="J6647" s="15" t="s">
        <v>10</v>
      </c>
      <c r="K6647" s="15">
        <v>0.71810243121393447</v>
      </c>
      <c r="L6647" s="15">
        <v>0.71810243121393447</v>
      </c>
      <c r="M6647" s="15" t="s">
        <v>10</v>
      </c>
      <c r="N6647" s="15" t="s">
        <v>10</v>
      </c>
      <c r="O6647" s="15" t="s">
        <v>10</v>
      </c>
      <c r="P6647" s="15" t="s">
        <v>10</v>
      </c>
      <c r="Q6647" s="8"/>
      <c r="R6647" s="9" t="s">
        <v>6160</v>
      </c>
    </row>
    <row r="6648" spans="1:18" x14ac:dyDescent="0.25">
      <c r="A6648" s="6" t="str">
        <f>HYPERLINK("proteomic_fractions_linear_files/Yang_linear_img/13324684.jpg", "13324684")</f>
        <v>13324684</v>
      </c>
      <c r="B6648" s="7"/>
      <c r="C6648" s="6" t="str">
        <f>HYPERLINK("http://www.ncbi.nlm.nih.gov/protein/13324684","Sec61b")</f>
        <v>Sec61b</v>
      </c>
      <c r="D6648" s="8"/>
      <c r="E6648" s="8">
        <v>9827</v>
      </c>
      <c r="F6648" s="8"/>
      <c r="G6648" s="15">
        <v>2.0597441186656273</v>
      </c>
      <c r="H6648" s="15">
        <v>1.9501149828035274</v>
      </c>
      <c r="I6648" s="15">
        <v>1.3885850499936649</v>
      </c>
      <c r="J6648" s="15">
        <v>1.3885850499936649</v>
      </c>
      <c r="K6648" s="15">
        <v>1.4517473721870346</v>
      </c>
      <c r="L6648" s="15">
        <v>1.4517473721870346</v>
      </c>
      <c r="M6648" s="15">
        <v>1.4517473721870346</v>
      </c>
      <c r="N6648" s="15">
        <v>1.4517473721870346</v>
      </c>
      <c r="O6648" s="15" t="s">
        <v>10</v>
      </c>
      <c r="P6648" s="15" t="s">
        <v>10</v>
      </c>
      <c r="Q6648" s="8"/>
      <c r="R6648" s="9" t="s">
        <v>6161</v>
      </c>
    </row>
    <row r="6649" spans="1:18" x14ac:dyDescent="0.25">
      <c r="A6649" s="6" t="str">
        <f>HYPERLINK("proteomic_fractions_linear_files/Yang_linear_img/39930429.jpg", "39930429")</f>
        <v>39930429</v>
      </c>
      <c r="B6649" s="7"/>
      <c r="C6649" s="6" t="str">
        <f>HYPERLINK("http://www.ncbi.nlm.nih.gov/protein/39930429","Sec62")</f>
        <v>Sec62</v>
      </c>
      <c r="D6649" s="8"/>
      <c r="E6649" s="8">
        <v>45450</v>
      </c>
      <c r="F6649" s="8"/>
      <c r="G6649" s="15">
        <v>1.6319146720373832</v>
      </c>
      <c r="H6649" s="15">
        <v>1.6319146720373832</v>
      </c>
      <c r="I6649" s="15">
        <v>1.1804571028889128</v>
      </c>
      <c r="J6649" s="15">
        <v>1.1804571028889128</v>
      </c>
      <c r="K6649" s="15">
        <v>1.1804571028889128</v>
      </c>
      <c r="L6649" s="15">
        <v>1.1804571028889128</v>
      </c>
      <c r="M6649" s="15">
        <v>1.1804571028889128</v>
      </c>
      <c r="N6649" s="15">
        <v>1.1804571028889128</v>
      </c>
      <c r="O6649" s="15" t="s">
        <v>10</v>
      </c>
      <c r="P6649" s="15" t="s">
        <v>10</v>
      </c>
      <c r="Q6649" s="8"/>
      <c r="R6649" s="9" t="s">
        <v>6162</v>
      </c>
    </row>
    <row r="6650" spans="1:18" x14ac:dyDescent="0.25">
      <c r="A6650" s="6" t="str">
        <f>HYPERLINK("proteomic_fractions_linear_files/Yang_linear_img/158937300.jpg", "158937300")</f>
        <v>158937300</v>
      </c>
      <c r="B6650" s="7"/>
      <c r="C6650" s="6" t="str">
        <f>HYPERLINK("http://www.ncbi.nlm.nih.gov/protein/158937300","Sec63")</f>
        <v>Sec63</v>
      </c>
      <c r="D6650" s="8"/>
      <c r="E6650" s="8">
        <v>87739</v>
      </c>
      <c r="F6650" s="8"/>
      <c r="G6650" s="15" t="s">
        <v>10</v>
      </c>
      <c r="H6650" s="15" t="s">
        <v>10</v>
      </c>
      <c r="I6650" s="15">
        <v>1.0791816043475513</v>
      </c>
      <c r="J6650" s="15">
        <v>1.0791816043475513</v>
      </c>
      <c r="K6650" s="15">
        <v>1.2477450434219486</v>
      </c>
      <c r="L6650" s="15">
        <v>1.2477450434219486</v>
      </c>
      <c r="M6650" s="15" t="s">
        <v>10</v>
      </c>
      <c r="N6650" s="15" t="s">
        <v>10</v>
      </c>
      <c r="O6650" s="15" t="s">
        <v>10</v>
      </c>
      <c r="P6650" s="15" t="s">
        <v>10</v>
      </c>
      <c r="Q6650" s="8"/>
      <c r="R6650" s="9" t="s">
        <v>6163</v>
      </c>
    </row>
    <row r="6651" spans="1:18" x14ac:dyDescent="0.25">
      <c r="A6651" s="6" t="str">
        <f>HYPERLINK("proteomic_fractions_linear_files/Yang_linear_img/20532338.jpg", "20532338")</f>
        <v>20532338</v>
      </c>
      <c r="B6651" s="7"/>
      <c r="C6651" s="6" t="str">
        <f>HYPERLINK("http://www.ncbi.nlm.nih.gov/protein/20532338","Seh1l")</f>
        <v>Seh1l</v>
      </c>
      <c r="D6651" s="8"/>
      <c r="E6651" s="8">
        <v>39291</v>
      </c>
      <c r="F6651" s="8"/>
      <c r="G6651" s="15" t="s">
        <v>10</v>
      </c>
      <c r="H6651" s="15" t="s">
        <v>10</v>
      </c>
      <c r="I6651" s="15" t="s">
        <v>10</v>
      </c>
      <c r="J6651" s="15" t="s">
        <v>10</v>
      </c>
      <c r="K6651" s="15">
        <v>0.95746990828524592</v>
      </c>
      <c r="L6651" s="15">
        <v>0.95746990828524592</v>
      </c>
      <c r="M6651" s="15">
        <v>0.95746990828524592</v>
      </c>
      <c r="N6651" s="15">
        <v>0.95746990828524592</v>
      </c>
      <c r="O6651" s="15" t="s">
        <v>10</v>
      </c>
      <c r="P6651" s="15" t="s">
        <v>10</v>
      </c>
      <c r="Q6651" s="8"/>
      <c r="R6651" s="9" t="s">
        <v>6164</v>
      </c>
    </row>
    <row r="6652" spans="1:18" x14ac:dyDescent="0.25">
      <c r="A6652" s="6" t="str">
        <f>HYPERLINK("proteomic_fractions_linear_files/Yang_linear_img/84875515.jpg", "84875515")</f>
        <v>84875515</v>
      </c>
      <c r="B6652" s="7"/>
      <c r="C6652" s="6" t="str">
        <f>HYPERLINK("http://www.ncbi.nlm.nih.gov/protein/84875515","Seh1l")</f>
        <v>Seh1l</v>
      </c>
      <c r="D6652" s="8"/>
      <c r="E6652" s="8">
        <v>39644</v>
      </c>
      <c r="F6652" s="8"/>
      <c r="G6652" s="15" t="s">
        <v>10</v>
      </c>
      <c r="H6652" s="15" t="s">
        <v>10</v>
      </c>
      <c r="I6652" s="15" t="s">
        <v>10</v>
      </c>
      <c r="J6652" s="15" t="s">
        <v>10</v>
      </c>
      <c r="K6652" s="15">
        <v>0.93353316057811475</v>
      </c>
      <c r="L6652" s="15">
        <v>0.93353316057811475</v>
      </c>
      <c r="M6652" s="15">
        <v>0.93353316057811475</v>
      </c>
      <c r="N6652" s="15">
        <v>0.93353316057811475</v>
      </c>
      <c r="O6652" s="15" t="s">
        <v>10</v>
      </c>
      <c r="P6652" s="15" t="s">
        <v>10</v>
      </c>
      <c r="Q6652" s="8"/>
      <c r="R6652" s="9" t="s">
        <v>6165</v>
      </c>
    </row>
    <row r="6653" spans="1:18" x14ac:dyDescent="0.25">
      <c r="A6653" s="6" t="str">
        <f>HYPERLINK("proteomic_fractions_linear_files/Yang_linear_img/46309573.jpg", "46309573")</f>
        <v>46309573</v>
      </c>
      <c r="B6653" s="7"/>
      <c r="C6653" s="6" t="str">
        <f>HYPERLINK("http://www.ncbi.nlm.nih.gov/protein/46309573","Sel1l")</f>
        <v>Sel1l</v>
      </c>
      <c r="D6653" s="8"/>
      <c r="E6653" s="8">
        <v>80178</v>
      </c>
      <c r="F6653" s="8"/>
      <c r="G6653" s="15">
        <v>1.6090203518139621</v>
      </c>
      <c r="H6653" s="15">
        <v>1.6090203518139621</v>
      </c>
      <c r="I6653" s="15">
        <v>1.1870997647823063</v>
      </c>
      <c r="J6653" s="15">
        <v>1.1870997647823063</v>
      </c>
      <c r="K6653" s="15">
        <v>1.3725195477641434</v>
      </c>
      <c r="L6653" s="15">
        <v>1.3725195477641434</v>
      </c>
      <c r="M6653" s="15" t="s">
        <v>10</v>
      </c>
      <c r="N6653" s="15" t="s">
        <v>10</v>
      </c>
      <c r="O6653" s="15" t="s">
        <v>10</v>
      </c>
      <c r="P6653" s="15" t="s">
        <v>10</v>
      </c>
      <c r="Q6653" s="8"/>
      <c r="R6653" s="9" t="s">
        <v>6166</v>
      </c>
    </row>
    <row r="6654" spans="1:18" x14ac:dyDescent="0.25">
      <c r="A6654" s="6" t="str">
        <f>HYPERLINK("proteomic_fractions_linear_files/Yang_linear_img/84875513.jpg", "84875513")</f>
        <v>84875513</v>
      </c>
      <c r="B6654" s="7"/>
      <c r="C6654" s="6" t="str">
        <f>HYPERLINK("http://www.ncbi.nlm.nih.gov/protein/84875513","Sel1l")</f>
        <v>Sel1l</v>
      </c>
      <c r="D6654" s="8"/>
      <c r="E6654" s="8">
        <v>86132</v>
      </c>
      <c r="F6654" s="8"/>
      <c r="G6654" s="15">
        <v>1.4967631179664764</v>
      </c>
      <c r="H6654" s="15">
        <v>1.4967631179664764</v>
      </c>
      <c r="I6654" s="15">
        <v>1.104278850960285</v>
      </c>
      <c r="J6654" s="15">
        <v>1.104278850960285</v>
      </c>
      <c r="K6654" s="15">
        <v>1.2767623700131565</v>
      </c>
      <c r="L6654" s="15">
        <v>1.2767623700131565</v>
      </c>
      <c r="M6654" s="15" t="s">
        <v>10</v>
      </c>
      <c r="N6654" s="15" t="s">
        <v>10</v>
      </c>
      <c r="O6654" s="15" t="s">
        <v>10</v>
      </c>
      <c r="P6654" s="15" t="s">
        <v>10</v>
      </c>
      <c r="Q6654" s="8"/>
      <c r="R6654" s="9" t="s">
        <v>6167</v>
      </c>
    </row>
    <row r="6655" spans="1:18" x14ac:dyDescent="0.25">
      <c r="A6655" s="6" t="str">
        <f>HYPERLINK("proteomic_fractions_linear_files/Yang_linear_img/22164798.jpg", "22164798")</f>
        <v>22164798</v>
      </c>
      <c r="B6655" s="7"/>
      <c r="C6655" s="6" t="str">
        <f>HYPERLINK("http://www.ncbi.nlm.nih.gov/protein/22164798","Selenbp1")</f>
        <v>Selenbp1</v>
      </c>
      <c r="D6655" s="8"/>
      <c r="E6655" s="8">
        <v>52383</v>
      </c>
      <c r="F6655" s="8"/>
      <c r="G6655" s="15">
        <v>1.2587166025104679</v>
      </c>
      <c r="H6655" s="15">
        <v>1.2587166025104679</v>
      </c>
      <c r="I6655" s="15">
        <v>1.0215494159615592</v>
      </c>
      <c r="J6655" s="15">
        <v>1.0215494159615592</v>
      </c>
      <c r="K6655" s="15">
        <v>1.0215494159615592</v>
      </c>
      <c r="L6655" s="15">
        <v>1.0215494159615592</v>
      </c>
      <c r="M6655" s="15">
        <v>1.0215494159615592</v>
      </c>
      <c r="N6655" s="15">
        <v>1.0215494159615592</v>
      </c>
      <c r="O6655" s="15">
        <v>0.92865337662337022</v>
      </c>
      <c r="P6655" s="15">
        <v>0.92865337662337022</v>
      </c>
      <c r="Q6655" s="8"/>
      <c r="R6655" s="9" t="s">
        <v>6168</v>
      </c>
    </row>
    <row r="6656" spans="1:18" x14ac:dyDescent="0.25">
      <c r="A6656" s="6" t="str">
        <f>HYPERLINK("proteomic_fractions_linear_files/Yang_linear_img/9507079.jpg", "9507079")</f>
        <v>9507079</v>
      </c>
      <c r="B6656" s="7"/>
      <c r="C6656" s="6" t="str">
        <f>HYPERLINK("http://www.ncbi.nlm.nih.gov/protein/9507079","Selenbp2")</f>
        <v>Selenbp2</v>
      </c>
      <c r="D6656" s="8"/>
      <c r="E6656" s="8">
        <v>52497</v>
      </c>
      <c r="F6656" s="8"/>
      <c r="G6656" s="15">
        <v>1.2587166025104679</v>
      </c>
      <c r="H6656" s="15">
        <v>1.2587166025104679</v>
      </c>
      <c r="I6656" s="15">
        <v>1.0215494159615592</v>
      </c>
      <c r="J6656" s="15">
        <v>1.0215494159615592</v>
      </c>
      <c r="K6656" s="15">
        <v>1.0215494159615592</v>
      </c>
      <c r="L6656" s="15">
        <v>1.0215494159615592</v>
      </c>
      <c r="M6656" s="15">
        <v>1.0215494159615592</v>
      </c>
      <c r="N6656" s="15">
        <v>1.0215494159615592</v>
      </c>
      <c r="O6656" s="15">
        <v>0.92865337662337022</v>
      </c>
      <c r="P6656" s="15">
        <v>0.92865337662337022</v>
      </c>
      <c r="Q6656" s="8"/>
      <c r="R6656" s="9" t="s">
        <v>6169</v>
      </c>
    </row>
    <row r="6657" spans="1:18" x14ac:dyDescent="0.25">
      <c r="A6657" s="6" t="str">
        <f>HYPERLINK("proteomic_fractions_linear_files/Yang_linear_img/111119001.jpg", "111119001")</f>
        <v>111119001</v>
      </c>
      <c r="B6657" s="7"/>
      <c r="C6657" s="6" t="str">
        <f>HYPERLINK("http://www.ncbi.nlm.nih.gov/protein/111119001","Selk")</f>
        <v>Selk</v>
      </c>
      <c r="D6657" s="8"/>
      <c r="E6657" s="8">
        <v>10511</v>
      </c>
      <c r="F6657" s="8"/>
      <c r="G6657" s="15" t="s">
        <v>10</v>
      </c>
      <c r="H6657" s="15" t="s">
        <v>10</v>
      </c>
      <c r="I6657" s="15">
        <v>1.2088240020910486</v>
      </c>
      <c r="J6657" s="15">
        <v>1.2088240020910486</v>
      </c>
      <c r="K6657" s="15">
        <v>1.3197703383518498</v>
      </c>
      <c r="L6657" s="15">
        <v>1.3197703383518498</v>
      </c>
      <c r="M6657" s="15" t="s">
        <v>10</v>
      </c>
      <c r="N6657" s="15" t="s">
        <v>10</v>
      </c>
      <c r="O6657" s="15" t="s">
        <v>10</v>
      </c>
      <c r="P6657" s="15" t="s">
        <v>10</v>
      </c>
      <c r="Q6657" s="8"/>
      <c r="R6657" s="9" t="s">
        <v>6170</v>
      </c>
    </row>
    <row r="6658" spans="1:18" x14ac:dyDescent="0.25">
      <c r="A6658" s="6" t="str">
        <f>HYPERLINK("proteomic_fractions_linear_files/Yang_linear_img/81295807.jpg", "81295807")</f>
        <v>81295807</v>
      </c>
      <c r="B6658" s="7"/>
      <c r="C6658" s="6" t="str">
        <f>HYPERLINK("http://www.ncbi.nlm.nih.gov/protein/81295807","Selo")</f>
        <v>Selo</v>
      </c>
      <c r="D6658" s="8"/>
      <c r="E6658" s="8">
        <v>74090</v>
      </c>
      <c r="F6658" s="8"/>
      <c r="G6658" s="15" t="s">
        <v>10</v>
      </c>
      <c r="H6658" s="15" t="s">
        <v>10</v>
      </c>
      <c r="I6658" s="15">
        <v>0.99238054380651686</v>
      </c>
      <c r="J6658" s="15">
        <v>0.99238054380651686</v>
      </c>
      <c r="K6658" s="15" t="s">
        <v>10</v>
      </c>
      <c r="L6658" s="15" t="s">
        <v>10</v>
      </c>
      <c r="M6658" s="15" t="s">
        <v>10</v>
      </c>
      <c r="N6658" s="15" t="s">
        <v>10</v>
      </c>
      <c r="O6658" s="15">
        <v>0.99238054380651686</v>
      </c>
      <c r="P6658" s="15">
        <v>0.99238054380651686</v>
      </c>
      <c r="Q6658" s="8"/>
      <c r="R6658" s="9" t="s">
        <v>6171</v>
      </c>
    </row>
    <row r="6659" spans="1:18" x14ac:dyDescent="0.25">
      <c r="A6659" s="6" t="str">
        <f>HYPERLINK("proteomic_fractions_linear_files/Yang_linear_img/143770878.jpg", "143770878")</f>
        <v>143770878</v>
      </c>
      <c r="B6659" s="7"/>
      <c r="C6659" s="6" t="str">
        <f>HYPERLINK("http://www.ncbi.nlm.nih.gov/protein/143770878","Selt")</f>
        <v>Selt</v>
      </c>
      <c r="D6659" s="8"/>
      <c r="E6659" s="8">
        <v>20285</v>
      </c>
      <c r="F6659" s="8"/>
      <c r="G6659" s="15">
        <v>1.2277410306638459</v>
      </c>
      <c r="H6659" s="15">
        <v>1.2277410306638459</v>
      </c>
      <c r="I6659" s="15">
        <v>0.83582372603035116</v>
      </c>
      <c r="J6659" s="15">
        <v>0.83582372603035116</v>
      </c>
      <c r="K6659" s="15">
        <v>0.83582372603035116</v>
      </c>
      <c r="L6659" s="15">
        <v>0.83582372603035116</v>
      </c>
      <c r="M6659" s="15">
        <v>0.83582372603035116</v>
      </c>
      <c r="N6659" s="15">
        <v>0.83582372603035116</v>
      </c>
      <c r="O6659" s="15" t="s">
        <v>10</v>
      </c>
      <c r="P6659" s="15" t="s">
        <v>10</v>
      </c>
      <c r="Q6659" s="8"/>
      <c r="R6659" s="9" t="s">
        <v>6172</v>
      </c>
    </row>
    <row r="6660" spans="1:18" x14ac:dyDescent="0.25">
      <c r="A6660" s="6" t="str">
        <f>HYPERLINK("proteomic_fractions_linear_files/Yang_linear_img/46048361.jpg", "46048361")</f>
        <v>46048361</v>
      </c>
      <c r="B6660" s="7"/>
      <c r="C6660" s="6" t="str">
        <f>HYPERLINK("http://www.ncbi.nlm.nih.gov/protein/46048361","Sema3c")</f>
        <v>Sema3c</v>
      </c>
      <c r="D6660" s="8"/>
      <c r="E6660" s="8">
        <v>83107</v>
      </c>
      <c r="F6660" s="8"/>
      <c r="G6660" s="15" t="s">
        <v>10</v>
      </c>
      <c r="H6660" s="15" t="s">
        <v>10</v>
      </c>
      <c r="I6660" s="15">
        <v>0.16729940361369458</v>
      </c>
      <c r="J6660" s="15">
        <v>0.16729940361369458</v>
      </c>
      <c r="K6660" s="15" t="s">
        <v>10</v>
      </c>
      <c r="L6660" s="15" t="s">
        <v>10</v>
      </c>
      <c r="M6660" s="15" t="s">
        <v>10</v>
      </c>
      <c r="N6660" s="15" t="s">
        <v>10</v>
      </c>
      <c r="O6660" s="15" t="s">
        <v>10</v>
      </c>
      <c r="P6660" s="15" t="s">
        <v>10</v>
      </c>
      <c r="Q6660" s="8"/>
      <c r="R6660" s="9" t="s">
        <v>6173</v>
      </c>
    </row>
    <row r="6661" spans="1:18" x14ac:dyDescent="0.25">
      <c r="A6661" s="6" t="str">
        <f>HYPERLINK("proteomic_fractions_linear_files/Yang_linear_img/110625636.jpg", "110625636")</f>
        <v>110625636</v>
      </c>
      <c r="B6661" s="7"/>
      <c r="C6661" s="6" t="str">
        <f>HYPERLINK("http://www.ncbi.nlm.nih.gov/protein/110625636","Sema4b")</f>
        <v>Sema4b</v>
      </c>
      <c r="D6661" s="8"/>
      <c r="E6661" s="8">
        <v>88061</v>
      </c>
      <c r="F6661" s="8"/>
      <c r="G6661" s="15" t="s">
        <v>10</v>
      </c>
      <c r="H6661" s="15" t="s">
        <v>10</v>
      </c>
      <c r="I6661" s="15">
        <v>0.17268566242970779</v>
      </c>
      <c r="J6661" s="15">
        <v>0.17268566242970779</v>
      </c>
      <c r="K6661" s="15" t="s">
        <v>10</v>
      </c>
      <c r="L6661" s="15" t="s">
        <v>10</v>
      </c>
      <c r="M6661" s="15" t="s">
        <v>10</v>
      </c>
      <c r="N6661" s="15" t="s">
        <v>10</v>
      </c>
      <c r="O6661" s="15" t="s">
        <v>10</v>
      </c>
      <c r="P6661" s="15" t="s">
        <v>10</v>
      </c>
      <c r="Q6661" s="8"/>
      <c r="R6661" s="9" t="s">
        <v>6174</v>
      </c>
    </row>
    <row r="6662" spans="1:18" x14ac:dyDescent="0.25">
      <c r="A6662" s="6" t="str">
        <f>HYPERLINK("proteomic_fractions_linear_files/Yang_linear_img/530232771.jpg", "530232771")</f>
        <v>530232771</v>
      </c>
      <c r="B6662" s="7"/>
      <c r="C6662" s="6" t="str">
        <f>HYPERLINK("http://www.ncbi.nlm.nih.gov/protein/530232771","Sema4d")</f>
        <v>Sema4d</v>
      </c>
      <c r="D6662" s="8"/>
      <c r="E6662" s="8">
        <v>93172</v>
      </c>
      <c r="F6662" s="8"/>
      <c r="G6662" s="15">
        <v>0.57118892075269978</v>
      </c>
      <c r="H6662" s="15">
        <v>0.57118892075269978</v>
      </c>
      <c r="I6662" s="15" t="s">
        <v>10</v>
      </c>
      <c r="J6662" s="15" t="s">
        <v>10</v>
      </c>
      <c r="K6662" s="15" t="s">
        <v>10</v>
      </c>
      <c r="L6662" s="15" t="s">
        <v>10</v>
      </c>
      <c r="M6662" s="15" t="s">
        <v>10</v>
      </c>
      <c r="N6662" s="15" t="s">
        <v>10</v>
      </c>
      <c r="O6662" s="15" t="s">
        <v>10</v>
      </c>
      <c r="P6662" s="15" t="s">
        <v>10</v>
      </c>
      <c r="Q6662" s="8"/>
      <c r="R6662" s="9" t="s">
        <v>6175</v>
      </c>
    </row>
    <row r="6663" spans="1:18" x14ac:dyDescent="0.25">
      <c r="A6663" s="6" t="str">
        <f>HYPERLINK("proteomic_fractions_linear_files/Yang_linear_img/49274623.jpg", "49274623")</f>
        <v>49274623</v>
      </c>
      <c r="B6663" s="7"/>
      <c r="C6663" s="6" t="str">
        <f>HYPERLINK("http://www.ncbi.nlm.nih.gov/protein/49274623","Sema4d")</f>
        <v>Sema4d</v>
      </c>
      <c r="D6663" s="8"/>
      <c r="E6663" s="8">
        <v>93172</v>
      </c>
      <c r="F6663" s="8"/>
      <c r="G6663" s="15" t="s">
        <v>10</v>
      </c>
      <c r="H6663" s="15" t="s">
        <v>10</v>
      </c>
      <c r="I6663" s="15" t="s">
        <v>10</v>
      </c>
      <c r="J6663" s="15" t="s">
        <v>10</v>
      </c>
      <c r="K6663" s="15" t="s">
        <v>10</v>
      </c>
      <c r="L6663" s="15" t="s">
        <v>10</v>
      </c>
      <c r="M6663" s="15">
        <v>0.30019582040518344</v>
      </c>
      <c r="N6663" s="15">
        <v>0.30019582040518344</v>
      </c>
      <c r="O6663" s="15">
        <v>1.650030872432708</v>
      </c>
      <c r="P6663" s="15">
        <v>1.650030872432708</v>
      </c>
      <c r="Q6663" s="8"/>
      <c r="R6663" s="9" t="s">
        <v>6175</v>
      </c>
    </row>
    <row r="6664" spans="1:18" x14ac:dyDescent="0.25">
      <c r="A6664" s="6" t="str">
        <f>HYPERLINK("proteomic_fractions_linear_files/Yang_linear_img/164698454.jpg", "164698454")</f>
        <v>164698454</v>
      </c>
      <c r="B6664" s="7"/>
      <c r="C6664" s="6" t="str">
        <f>HYPERLINK("http://www.ncbi.nlm.nih.gov/protein/164698454","Sema4f")</f>
        <v>Sema4f</v>
      </c>
      <c r="D6664" s="8"/>
      <c r="E6664" s="8">
        <v>80289</v>
      </c>
      <c r="F6664" s="8"/>
      <c r="G6664" s="15" t="s">
        <v>10</v>
      </c>
      <c r="H6664" s="15" t="s">
        <v>10</v>
      </c>
      <c r="I6664" s="15" t="s">
        <v>10</v>
      </c>
      <c r="J6664" s="15" t="s">
        <v>10</v>
      </c>
      <c r="K6664" s="15" t="s">
        <v>10</v>
      </c>
      <c r="L6664" s="15" t="s">
        <v>10</v>
      </c>
      <c r="M6664" s="15" t="s">
        <v>10</v>
      </c>
      <c r="N6664" s="15" t="s">
        <v>10</v>
      </c>
      <c r="O6664" s="15">
        <v>1.6090203518139621</v>
      </c>
      <c r="P6664" s="15">
        <v>1.6090203518139621</v>
      </c>
      <c r="Q6664" s="8"/>
      <c r="R6664" s="9" t="s">
        <v>6176</v>
      </c>
    </row>
    <row r="6665" spans="1:18" x14ac:dyDescent="0.25">
      <c r="A6665" s="6" t="str">
        <f>HYPERLINK("proteomic_fractions_linear_files/Yang_linear_img/164698456.jpg", "164698456")</f>
        <v>164698456</v>
      </c>
      <c r="B6665" s="7"/>
      <c r="C6665" s="6" t="str">
        <f>HYPERLINK("http://www.ncbi.nlm.nih.gov/protein/164698456","Sema4f")</f>
        <v>Sema4f</v>
      </c>
      <c r="D6665" s="8"/>
      <c r="E6665" s="8">
        <v>57021</v>
      </c>
      <c r="F6665" s="8"/>
      <c r="G6665" s="15" t="s">
        <v>10</v>
      </c>
      <c r="H6665" s="15" t="s">
        <v>10</v>
      </c>
      <c r="I6665" s="15" t="s">
        <v>10</v>
      </c>
      <c r="J6665" s="15" t="s">
        <v>10</v>
      </c>
      <c r="K6665" s="15" t="s">
        <v>10</v>
      </c>
      <c r="L6665" s="15" t="s">
        <v>10</v>
      </c>
      <c r="M6665" s="15" t="s">
        <v>10</v>
      </c>
      <c r="N6665" s="15" t="s">
        <v>10</v>
      </c>
      <c r="O6665" s="15">
        <v>2.2582741779845081</v>
      </c>
      <c r="P6665" s="15">
        <v>2.2582741779845081</v>
      </c>
      <c r="Q6665" s="8"/>
      <c r="R6665" s="9" t="s">
        <v>6177</v>
      </c>
    </row>
    <row r="6666" spans="1:18" x14ac:dyDescent="0.25">
      <c r="A6666" s="6" t="str">
        <f>HYPERLINK("proteomic_fractions_linear_files/Yang_linear_img/6755462.jpg", "6755462")</f>
        <v>6755462</v>
      </c>
      <c r="B6666" s="7"/>
      <c r="C6666" s="6" t="str">
        <f>HYPERLINK("http://www.ncbi.nlm.nih.gov/protein/6755462","Sema4g")</f>
        <v>Sema4g</v>
      </c>
      <c r="D6666" s="8"/>
      <c r="E6666" s="8">
        <v>90358</v>
      </c>
      <c r="F6666" s="8"/>
      <c r="G6666" s="15" t="s">
        <v>10</v>
      </c>
      <c r="H6666" s="15" t="s">
        <v>10</v>
      </c>
      <c r="I6666" s="15" t="s">
        <v>10</v>
      </c>
      <c r="J6666" s="15" t="s">
        <v>10</v>
      </c>
      <c r="K6666" s="15">
        <v>2.5928983069761009</v>
      </c>
      <c r="L6666" s="15">
        <v>2.5928983069761009</v>
      </c>
      <c r="M6666" s="15" t="s">
        <v>10</v>
      </c>
      <c r="N6666" s="15" t="s">
        <v>10</v>
      </c>
      <c r="O6666" s="15" t="s">
        <v>10</v>
      </c>
      <c r="P6666" s="15" t="s">
        <v>10</v>
      </c>
      <c r="Q6666" s="8"/>
      <c r="R6666" s="9" t="s">
        <v>6178</v>
      </c>
    </row>
    <row r="6667" spans="1:18" x14ac:dyDescent="0.25">
      <c r="A6667" s="6" t="str">
        <f>HYPERLINK("proteomic_fractions_linear_files/Yang_linear_img/254939663.jpg", "254939663")</f>
        <v>254939663</v>
      </c>
      <c r="B6667" s="7"/>
      <c r="C6667" s="6" t="str">
        <f>HYPERLINK("http://www.ncbi.nlm.nih.gov/protein/254939663","Senp3")</f>
        <v>Senp3</v>
      </c>
      <c r="D6667" s="8"/>
      <c r="E6667" s="8">
        <v>64272</v>
      </c>
      <c r="F6667" s="8"/>
      <c r="G6667" s="15" t="s">
        <v>10</v>
      </c>
      <c r="H6667" s="15" t="s">
        <v>10</v>
      </c>
      <c r="I6667" s="15" t="s">
        <v>10</v>
      </c>
      <c r="J6667" s="15" t="s">
        <v>10</v>
      </c>
      <c r="K6667" s="15">
        <v>1.1474400037762851</v>
      </c>
      <c r="L6667" s="15">
        <v>1.1474400037762851</v>
      </c>
      <c r="M6667" s="15">
        <v>1.1474400037762851</v>
      </c>
      <c r="N6667" s="15">
        <v>1.1474400037762851</v>
      </c>
      <c r="O6667" s="15" t="s">
        <v>10</v>
      </c>
      <c r="P6667" s="15" t="s">
        <v>10</v>
      </c>
      <c r="Q6667" s="8"/>
      <c r="R6667" s="9" t="s">
        <v>6179</v>
      </c>
    </row>
    <row r="6668" spans="1:18" x14ac:dyDescent="0.25">
      <c r="A6668" s="6" t="str">
        <f>HYPERLINK("proteomic_fractions_linear_files/Yang_linear_img/16716395.jpg", "16716395")</f>
        <v>16716395</v>
      </c>
      <c r="B6668" s="7"/>
      <c r="C6668" s="6" t="str">
        <f>HYPERLINK("http://www.ncbi.nlm.nih.gov/protein/16716395","Sep15")</f>
        <v>Sep15</v>
      </c>
      <c r="D6668" s="8"/>
      <c r="E6668" s="8">
        <v>15213</v>
      </c>
      <c r="F6668" s="8"/>
      <c r="G6668" s="15">
        <v>0.92572336666244337</v>
      </c>
      <c r="H6668" s="15">
        <v>0.92572336666244337</v>
      </c>
      <c r="I6668" s="15">
        <v>0.96783158145802317</v>
      </c>
      <c r="J6668" s="15">
        <v>0.92572336666244337</v>
      </c>
      <c r="K6668" s="15">
        <v>0.96783158145802317</v>
      </c>
      <c r="L6668" s="15">
        <v>0.96783158145802317</v>
      </c>
      <c r="M6668" s="15" t="s">
        <v>10</v>
      </c>
      <c r="N6668" s="15" t="s">
        <v>10</v>
      </c>
      <c r="O6668" s="15">
        <v>0.92572336666244337</v>
      </c>
      <c r="P6668" s="15">
        <v>0.92572336666244337</v>
      </c>
      <c r="Q6668" s="8"/>
      <c r="R6668" s="9" t="s">
        <v>6180</v>
      </c>
    </row>
    <row r="6669" spans="1:18" x14ac:dyDescent="0.25">
      <c r="A6669" s="6" t="str">
        <f>HYPERLINK("proteomic_fractions_linear_files/Yang_linear_img/156713463.jpg", "156713463")</f>
        <v>156713463</v>
      </c>
      <c r="B6669" s="7"/>
      <c r="C6669" s="6" t="str">
        <f>HYPERLINK("http://www.ncbi.nlm.nih.gov/protein/156713463","Sephs1")</f>
        <v>Sephs1</v>
      </c>
      <c r="D6669" s="8"/>
      <c r="E6669" s="8">
        <v>42776</v>
      </c>
      <c r="F6669" s="8"/>
      <c r="G6669" s="15" t="s">
        <v>10</v>
      </c>
      <c r="H6669" s="15" t="s">
        <v>10</v>
      </c>
      <c r="I6669" s="15">
        <v>0.942030655888901</v>
      </c>
      <c r="J6669" s="15">
        <v>0.942030655888901</v>
      </c>
      <c r="K6669" s="15">
        <v>0.942030655888901</v>
      </c>
      <c r="L6669" s="15">
        <v>0.942030655888901</v>
      </c>
      <c r="M6669" s="15">
        <v>0.942030655888901</v>
      </c>
      <c r="N6669" s="15">
        <v>0.942030655888901</v>
      </c>
      <c r="O6669" s="15">
        <v>0.86840294007266494</v>
      </c>
      <c r="P6669" s="15">
        <v>0.86840294007266494</v>
      </c>
      <c r="Q6669" s="8"/>
      <c r="R6669" s="9" t="s">
        <v>6181</v>
      </c>
    </row>
    <row r="6670" spans="1:18" x14ac:dyDescent="0.25">
      <c r="A6670" s="6" t="str">
        <f>HYPERLINK("proteomic_fractions_linear_files/Yang_linear_img/15011843.jpg", "15011843")</f>
        <v>15011843</v>
      </c>
      <c r="B6670" s="7"/>
      <c r="C6670" s="6" t="str">
        <f>HYPERLINK("http://www.ncbi.nlm.nih.gov/protein/15011843","Sephs2")</f>
        <v>Sephs2</v>
      </c>
      <c r="D6670" s="8"/>
      <c r="E6670" s="8">
        <v>47703</v>
      </c>
      <c r="F6670" s="8"/>
      <c r="G6670" s="15" t="s">
        <v>10</v>
      </c>
      <c r="H6670" s="15" t="s">
        <v>10</v>
      </c>
      <c r="I6670" s="15" t="s">
        <v>10</v>
      </c>
      <c r="J6670" s="15" t="s">
        <v>10</v>
      </c>
      <c r="K6670" s="15" t="s">
        <v>10</v>
      </c>
      <c r="L6670" s="15" t="s">
        <v>10</v>
      </c>
      <c r="M6670" s="15" t="s">
        <v>10</v>
      </c>
      <c r="N6670" s="15" t="s">
        <v>10</v>
      </c>
      <c r="O6670" s="15">
        <v>1.006041158008651</v>
      </c>
      <c r="P6670" s="15">
        <v>1.006041158008651</v>
      </c>
      <c r="Q6670" s="8"/>
      <c r="R6670" s="9" t="s">
        <v>6182</v>
      </c>
    </row>
    <row r="6671" spans="1:18" x14ac:dyDescent="0.25">
      <c r="A6671" s="6" t="str">
        <f>HYPERLINK("proteomic_fractions_linear_files/Yang_linear_img/111118964.jpg", "111118964")</f>
        <v>111118964</v>
      </c>
      <c r="B6671" s="7"/>
      <c r="C6671" s="6" t="str">
        <f>HYPERLINK("http://www.ncbi.nlm.nih.gov/protein/111118964","Sepn1")</f>
        <v>Sepn1</v>
      </c>
      <c r="D6671" s="8"/>
      <c r="E6671" s="8">
        <v>62361</v>
      </c>
      <c r="F6671" s="8"/>
      <c r="G6671" s="15" t="s">
        <v>10</v>
      </c>
      <c r="H6671" s="15" t="s">
        <v>10</v>
      </c>
      <c r="I6671" s="15">
        <v>1.1844541974464877</v>
      </c>
      <c r="J6671" s="15">
        <v>1.1844541974464877</v>
      </c>
      <c r="K6671" s="15" t="s">
        <v>10</v>
      </c>
      <c r="L6671" s="15" t="s">
        <v>10</v>
      </c>
      <c r="M6671" s="15" t="s">
        <v>10</v>
      </c>
      <c r="N6671" s="15" t="s">
        <v>10</v>
      </c>
      <c r="O6671" s="15" t="s">
        <v>10</v>
      </c>
      <c r="P6671" s="15" t="s">
        <v>10</v>
      </c>
      <c r="Q6671" s="8"/>
      <c r="R6671" s="9" t="s">
        <v>6183</v>
      </c>
    </row>
    <row r="6672" spans="1:18" x14ac:dyDescent="0.25">
      <c r="A6672" s="6" t="str">
        <f>HYPERLINK("proteomic_fractions_linear_files/Yang_linear_img/27369676.jpg", "27369676")</f>
        <v>27369676</v>
      </c>
      <c r="B6672" s="7"/>
      <c r="C6672" s="6" t="str">
        <f>HYPERLINK("http://www.ncbi.nlm.nih.gov/protein/27369676","Sepsecs")</f>
        <v>Sepsecs</v>
      </c>
      <c r="D6672" s="8"/>
      <c r="E6672" s="8">
        <v>55195</v>
      </c>
      <c r="F6672" s="8"/>
      <c r="G6672" s="15" t="s">
        <v>10</v>
      </c>
      <c r="H6672" s="15" t="s">
        <v>10</v>
      </c>
      <c r="I6672" s="15" t="s">
        <v>10</v>
      </c>
      <c r="J6672" s="15" t="s">
        <v>10</v>
      </c>
      <c r="K6672" s="15" t="s">
        <v>10</v>
      </c>
      <c r="L6672" s="15" t="s">
        <v>10</v>
      </c>
      <c r="M6672" s="15">
        <v>0.96582853872729235</v>
      </c>
      <c r="N6672" s="15">
        <v>0.96582853872729235</v>
      </c>
      <c r="O6672" s="15" t="s">
        <v>10</v>
      </c>
      <c r="P6672" s="15" t="s">
        <v>10</v>
      </c>
      <c r="Q6672" s="8"/>
      <c r="R6672" s="9" t="s">
        <v>6184</v>
      </c>
    </row>
    <row r="6673" spans="1:18" x14ac:dyDescent="0.25">
      <c r="A6673" s="6" t="str">
        <f>HYPERLINK("proteomic_fractions_linear_files/Yang_linear_img/226442740.jpg", "226442740")</f>
        <v>226442740</v>
      </c>
      <c r="B6673" s="7"/>
      <c r="C6673" s="6" t="str">
        <f>HYPERLINK("http://www.ncbi.nlm.nih.gov/protein/226442740","Sept10")</f>
        <v>Sept10</v>
      </c>
      <c r="D6673" s="8"/>
      <c r="E6673" s="8">
        <v>52305</v>
      </c>
      <c r="F6673" s="8"/>
      <c r="G6673" s="15">
        <v>1.1302539920306509</v>
      </c>
      <c r="H6673" s="15">
        <v>1.1302539920306509</v>
      </c>
      <c r="I6673" s="15">
        <v>1.0215494159615592</v>
      </c>
      <c r="J6673" s="15">
        <v>1.0215494159615592</v>
      </c>
      <c r="K6673" s="15">
        <v>1.0215494159615592</v>
      </c>
      <c r="L6673" s="15">
        <v>1.0215494159615592</v>
      </c>
      <c r="M6673" s="15">
        <v>1.0215494159615592</v>
      </c>
      <c r="N6673" s="15">
        <v>1.0215494159615592</v>
      </c>
      <c r="O6673" s="15">
        <v>0.84856902398010514</v>
      </c>
      <c r="P6673" s="15">
        <v>0.84856902398010514</v>
      </c>
      <c r="Q6673" s="8"/>
      <c r="R6673" s="9" t="s">
        <v>6185</v>
      </c>
    </row>
    <row r="6674" spans="1:18" x14ac:dyDescent="0.25">
      <c r="A6674" s="6" t="str">
        <f>HYPERLINK("proteomic_fractions_linear_files/Yang_linear_img/67906175.jpg", "67906175")</f>
        <v>67906175</v>
      </c>
      <c r="B6674" s="7"/>
      <c r="C6674" s="6" t="str">
        <f>HYPERLINK("http://www.ncbi.nlm.nih.gov/protein/67906175","Sept10")</f>
        <v>Sept10</v>
      </c>
      <c r="D6674" s="8"/>
      <c r="E6674" s="8">
        <v>49698</v>
      </c>
      <c r="F6674" s="8"/>
      <c r="G6674" s="15">
        <v>1.1754641517118771</v>
      </c>
      <c r="H6674" s="15">
        <v>1.1754641517118771</v>
      </c>
      <c r="I6674" s="15">
        <v>1.0624113926000216</v>
      </c>
      <c r="J6674" s="15">
        <v>1.0624113926000216</v>
      </c>
      <c r="K6674" s="15">
        <v>1.0624113926000216</v>
      </c>
      <c r="L6674" s="15">
        <v>1.0624113926000216</v>
      </c>
      <c r="M6674" s="15">
        <v>1.0624113926000216</v>
      </c>
      <c r="N6674" s="15">
        <v>1.0624113926000216</v>
      </c>
      <c r="O6674" s="15">
        <v>0.88251178493930937</v>
      </c>
      <c r="P6674" s="15">
        <v>0.88251178493930937</v>
      </c>
      <c r="Q6674" s="8"/>
      <c r="R6674" s="9" t="s">
        <v>6186</v>
      </c>
    </row>
    <row r="6675" spans="1:18" x14ac:dyDescent="0.25">
      <c r="A6675" s="6" t="str">
        <f>HYPERLINK("proteomic_fractions_linear_files/Yang_linear_img/57634518.jpg", "57634518")</f>
        <v>57634518</v>
      </c>
      <c r="B6675" s="7"/>
      <c r="C6675" s="6" t="str">
        <f>HYPERLINK("http://www.ncbi.nlm.nih.gov/protein/57634518","Sept11")</f>
        <v>Sept11</v>
      </c>
      <c r="D6675" s="8"/>
      <c r="E6675" s="8">
        <v>49210</v>
      </c>
      <c r="F6675" s="8"/>
      <c r="G6675" s="15">
        <v>1.3357808842968231</v>
      </c>
      <c r="H6675" s="15">
        <v>1.3357808842968231</v>
      </c>
      <c r="I6675" s="15">
        <v>1.0840932577551241</v>
      </c>
      <c r="J6675" s="15">
        <v>1.0840932577551241</v>
      </c>
      <c r="K6675" s="15">
        <v>1.0840932577551241</v>
      </c>
      <c r="L6675" s="15">
        <v>1.0840932577551241</v>
      </c>
      <c r="M6675" s="15">
        <v>1.0840932577551241</v>
      </c>
      <c r="N6675" s="15">
        <v>1.0840932577551241</v>
      </c>
      <c r="O6675" s="15">
        <v>0.9855097058043929</v>
      </c>
      <c r="P6675" s="15">
        <v>0.9855097058043929</v>
      </c>
      <c r="Q6675" s="8"/>
      <c r="R6675" s="9" t="s">
        <v>6187</v>
      </c>
    </row>
    <row r="6676" spans="1:18" x14ac:dyDescent="0.25">
      <c r="A6676" s="6" t="str">
        <f>HYPERLINK("proteomic_fractions_linear_files/Yang_linear_img/160333377.jpg", "160333377")</f>
        <v>160333377</v>
      </c>
      <c r="B6676" s="7"/>
      <c r="C6676" s="6" t="str">
        <f>HYPERLINK("http://www.ncbi.nlm.nih.gov/protein/160333377","Sept14")</f>
        <v>Sept14</v>
      </c>
      <c r="D6676" s="8"/>
      <c r="E6676" s="8">
        <v>49551</v>
      </c>
      <c r="F6676" s="8"/>
      <c r="G6676" s="15">
        <v>1.1754641517118771</v>
      </c>
      <c r="H6676" s="15">
        <v>1.1754641517118771</v>
      </c>
      <c r="I6676" s="15">
        <v>0.96579951168830502</v>
      </c>
      <c r="J6676" s="15">
        <v>0.96579951168830502</v>
      </c>
      <c r="K6676" s="15">
        <v>0.96579951168830502</v>
      </c>
      <c r="L6676" s="15">
        <v>0.96579951168830502</v>
      </c>
      <c r="M6676" s="15">
        <v>1.0624113926000216</v>
      </c>
      <c r="N6676" s="15">
        <v>1.0624113926000216</v>
      </c>
      <c r="O6676" s="15">
        <v>0.88251178493930937</v>
      </c>
      <c r="P6676" s="15">
        <v>0.88251178493930937</v>
      </c>
      <c r="Q6676" s="8"/>
      <c r="R6676" s="9" t="s">
        <v>6188</v>
      </c>
    </row>
    <row r="6677" spans="1:18" x14ac:dyDescent="0.25">
      <c r="A6677" s="6" t="str">
        <f>HYPERLINK("proteomic_fractions_linear_files/Yang_linear_img/228480253.jpg", "228480253")</f>
        <v>228480253</v>
      </c>
      <c r="B6677" s="7"/>
      <c r="C6677" s="6" t="str">
        <f>HYPERLINK("http://www.ncbi.nlm.nih.gov/protein/228480253","Sept2")</f>
        <v>Sept2</v>
      </c>
      <c r="D6677" s="8"/>
      <c r="E6677" s="8">
        <v>36847</v>
      </c>
      <c r="F6677" s="8"/>
      <c r="G6677" s="15">
        <v>1.4356910710811102</v>
      </c>
      <c r="H6677" s="15">
        <v>1.4356910710811102</v>
      </c>
      <c r="I6677" s="15">
        <v>1.0947923838708851</v>
      </c>
      <c r="J6677" s="15">
        <v>1.0947923838708851</v>
      </c>
      <c r="K6677" s="15">
        <v>1.0947923838708851</v>
      </c>
      <c r="L6677" s="15">
        <v>1.0947923838708851</v>
      </c>
      <c r="M6677" s="15">
        <v>1.0947923838708851</v>
      </c>
      <c r="N6677" s="15">
        <v>1.0947923838708851</v>
      </c>
      <c r="O6677" s="15">
        <v>1.0092250384628267</v>
      </c>
      <c r="P6677" s="15">
        <v>1.0092250384628267</v>
      </c>
      <c r="Q6677" s="8"/>
      <c r="R6677" s="9" t="s">
        <v>6189</v>
      </c>
    </row>
    <row r="6678" spans="1:18" x14ac:dyDescent="0.25">
      <c r="A6678" s="6" t="str">
        <f>HYPERLINK("proteomic_fractions_linear_files/Yang_linear_img/228480255.jpg", "228480255")</f>
        <v>228480255</v>
      </c>
      <c r="B6678" s="7"/>
      <c r="C6678" s="6" t="str">
        <f>HYPERLINK("http://www.ncbi.nlm.nih.gov/protein/228480255","Sept2")</f>
        <v>Sept2</v>
      </c>
      <c r="D6678" s="8"/>
      <c r="E6678" s="8">
        <v>41395</v>
      </c>
      <c r="F6678" s="8"/>
      <c r="G6678" s="15">
        <v>1.2956236495122215</v>
      </c>
      <c r="H6678" s="15">
        <v>1.2956236495122215</v>
      </c>
      <c r="I6678" s="15">
        <v>0.98798337081031085</v>
      </c>
      <c r="J6678" s="15">
        <v>0.98798337081031085</v>
      </c>
      <c r="K6678" s="15">
        <v>0.98798337081031085</v>
      </c>
      <c r="L6678" s="15">
        <v>0.98798337081031085</v>
      </c>
      <c r="M6678" s="15">
        <v>0.98798337081031085</v>
      </c>
      <c r="N6678" s="15">
        <v>0.98798337081031085</v>
      </c>
      <c r="O6678" s="15">
        <v>0.91076405910059977</v>
      </c>
      <c r="P6678" s="15">
        <v>0.91076405910059977</v>
      </c>
      <c r="Q6678" s="8"/>
      <c r="R6678" s="9" t="s">
        <v>6190</v>
      </c>
    </row>
    <row r="6679" spans="1:18" x14ac:dyDescent="0.25">
      <c r="A6679" s="6" t="str">
        <f>HYPERLINK("proteomic_fractions_linear_files/Yang_linear_img/548923742.jpg", "548923742")</f>
        <v>548923742</v>
      </c>
      <c r="B6679" s="7"/>
      <c r="C6679" s="6" t="str">
        <f>HYPERLINK("http://www.ncbi.nlm.nih.gov/protein/548923742","Sept4")</f>
        <v>Sept4</v>
      </c>
      <c r="D6679" s="8"/>
      <c r="E6679" s="8">
        <v>43658</v>
      </c>
      <c r="F6679" s="8"/>
      <c r="G6679" s="15">
        <v>1.2072856734091155</v>
      </c>
      <c r="H6679" s="15">
        <v>1.2072856734091155</v>
      </c>
      <c r="I6679" s="15" t="s">
        <v>10</v>
      </c>
      <c r="J6679" s="15" t="s">
        <v>10</v>
      </c>
      <c r="K6679" s="15" t="s">
        <v>10</v>
      </c>
      <c r="L6679" s="15" t="s">
        <v>10</v>
      </c>
      <c r="M6679" s="15" t="s">
        <v>10</v>
      </c>
      <c r="N6679" s="15" t="s">
        <v>10</v>
      </c>
      <c r="O6679" s="15" t="s">
        <v>10</v>
      </c>
      <c r="P6679" s="15" t="s">
        <v>10</v>
      </c>
      <c r="Q6679" s="8"/>
      <c r="R6679" s="9" t="s">
        <v>6191</v>
      </c>
    </row>
    <row r="6680" spans="1:18" x14ac:dyDescent="0.25">
      <c r="A6680" s="6" t="str">
        <f>HYPERLINK("proteomic_fractions_linear_files/Yang_linear_img/548923858.jpg", "548923858")</f>
        <v>548923858</v>
      </c>
      <c r="B6680" s="7"/>
      <c r="C6680" s="6" t="str">
        <f>HYPERLINK("http://www.ncbi.nlm.nih.gov/protein/548923858","Sept4")</f>
        <v>Sept4</v>
      </c>
      <c r="D6680" s="8"/>
      <c r="E6680" s="8">
        <v>36208</v>
      </c>
      <c r="F6680" s="8"/>
      <c r="G6680" s="15">
        <v>1.4755713786111411</v>
      </c>
      <c r="H6680" s="15">
        <v>1.4755713786111411</v>
      </c>
      <c r="I6680" s="15" t="s">
        <v>10</v>
      </c>
      <c r="J6680" s="15" t="s">
        <v>10</v>
      </c>
      <c r="K6680" s="15" t="s">
        <v>10</v>
      </c>
      <c r="L6680" s="15" t="s">
        <v>10</v>
      </c>
      <c r="M6680" s="15" t="s">
        <v>10</v>
      </c>
      <c r="N6680" s="15" t="s">
        <v>10</v>
      </c>
      <c r="O6680" s="15" t="s">
        <v>10</v>
      </c>
      <c r="P6680" s="15" t="s">
        <v>10</v>
      </c>
      <c r="Q6680" s="8"/>
      <c r="R6680" s="9" t="s">
        <v>6192</v>
      </c>
    </row>
    <row r="6681" spans="1:18" x14ac:dyDescent="0.25">
      <c r="A6681" s="6" t="str">
        <f>HYPERLINK("proteomic_fractions_linear_files/Yang_linear_img/548923884.jpg", "548923884")</f>
        <v>548923884</v>
      </c>
      <c r="B6681" s="7"/>
      <c r="C6681" s="6" t="str">
        <f>HYPERLINK("http://www.ncbi.nlm.nih.gov/protein/548923884","Sept4")</f>
        <v>Sept4</v>
      </c>
      <c r="D6681" s="8"/>
      <c r="E6681" s="8">
        <v>49294</v>
      </c>
      <c r="F6681" s="8"/>
      <c r="G6681" s="15">
        <v>1.0840932577551241</v>
      </c>
      <c r="H6681" s="15">
        <v>1.0840932577551241</v>
      </c>
      <c r="I6681" s="15" t="s">
        <v>10</v>
      </c>
      <c r="J6681" s="15" t="s">
        <v>10</v>
      </c>
      <c r="K6681" s="15" t="s">
        <v>10</v>
      </c>
      <c r="L6681" s="15" t="s">
        <v>10</v>
      </c>
      <c r="M6681" s="15" t="s">
        <v>10</v>
      </c>
      <c r="N6681" s="15" t="s">
        <v>10</v>
      </c>
      <c r="O6681" s="15" t="s">
        <v>10</v>
      </c>
      <c r="P6681" s="15" t="s">
        <v>10</v>
      </c>
      <c r="Q6681" s="8"/>
      <c r="R6681" s="9" t="s">
        <v>6193</v>
      </c>
    </row>
    <row r="6682" spans="1:18" x14ac:dyDescent="0.25">
      <c r="A6682" s="6" t="str">
        <f>HYPERLINK("proteomic_fractions_linear_files/Yang_linear_img/6755120.jpg", "6755120")</f>
        <v>6755120</v>
      </c>
      <c r="B6682" s="7"/>
      <c r="C6682" s="6" t="str">
        <f>HYPERLINK("http://www.ncbi.nlm.nih.gov/protein/6755120","Sept4")</f>
        <v>Sept4</v>
      </c>
      <c r="D6682" s="8"/>
      <c r="E6682" s="8">
        <v>54805</v>
      </c>
      <c r="F6682" s="8"/>
      <c r="G6682" s="15">
        <v>0.96582853872729235</v>
      </c>
      <c r="H6682" s="15">
        <v>0.96582853872729235</v>
      </c>
      <c r="I6682" s="15">
        <v>0.73649669460404987</v>
      </c>
      <c r="J6682" s="15">
        <v>0.73649669460404987</v>
      </c>
      <c r="K6682" s="15">
        <v>0.73649669460404987</v>
      </c>
      <c r="L6682" s="15">
        <v>0.73649669460404987</v>
      </c>
      <c r="M6682" s="15">
        <v>0.73649669460404987</v>
      </c>
      <c r="N6682" s="15">
        <v>0.73649669460404987</v>
      </c>
      <c r="O6682" s="15" t="s">
        <v>10</v>
      </c>
      <c r="P6682" s="15" t="s">
        <v>10</v>
      </c>
      <c r="Q6682" s="8"/>
      <c r="R6682" s="9" t="s">
        <v>6194</v>
      </c>
    </row>
    <row r="6683" spans="1:18" x14ac:dyDescent="0.25">
      <c r="A6683" s="6" t="str">
        <f>HYPERLINK("proteomic_fractions_linear_files/Yang_linear_img/158508501.jpg", "158508501")</f>
        <v>158508501</v>
      </c>
      <c r="B6683" s="7"/>
      <c r="C6683" s="6" t="str">
        <f>HYPERLINK("http://www.ncbi.nlm.nih.gov/protein/158508501","Sept5")</f>
        <v>Sept5</v>
      </c>
      <c r="D6683" s="8"/>
      <c r="E6683" s="8">
        <v>42617</v>
      </c>
      <c r="F6683" s="8"/>
      <c r="G6683" s="15" t="s">
        <v>10</v>
      </c>
      <c r="H6683" s="15" t="s">
        <v>10</v>
      </c>
      <c r="I6683" s="15">
        <v>0.942030655888901</v>
      </c>
      <c r="J6683" s="15">
        <v>0.942030655888901</v>
      </c>
      <c r="K6683" s="15">
        <v>0.942030655888901</v>
      </c>
      <c r="L6683" s="15">
        <v>0.942030655888901</v>
      </c>
      <c r="M6683" s="15">
        <v>0.942030655888901</v>
      </c>
      <c r="N6683" s="15">
        <v>0.942030655888901</v>
      </c>
      <c r="O6683" s="15" t="s">
        <v>10</v>
      </c>
      <c r="P6683" s="15" t="s">
        <v>10</v>
      </c>
      <c r="Q6683" s="8"/>
      <c r="R6683" s="9" t="s">
        <v>6195</v>
      </c>
    </row>
    <row r="6684" spans="1:18" x14ac:dyDescent="0.25">
      <c r="A6684" s="6" t="str">
        <f>HYPERLINK("proteomic_fractions_linear_files/Yang_linear_img/293597551.jpg", "293597551")</f>
        <v>293597551</v>
      </c>
      <c r="B6684" s="7"/>
      <c r="C6684" s="6" t="str">
        <f>HYPERLINK("http://www.ncbi.nlm.nih.gov/protein/293597551","Sept6")</f>
        <v>Sept6</v>
      </c>
      <c r="D6684" s="8"/>
      <c r="E6684" s="8">
        <v>48828</v>
      </c>
      <c r="F6684" s="8"/>
      <c r="G6684" s="15" t="s">
        <v>10</v>
      </c>
      <c r="H6684" s="15" t="s">
        <v>10</v>
      </c>
      <c r="I6684" s="15">
        <v>1.0840932577551241</v>
      </c>
      <c r="J6684" s="15">
        <v>1.0840932577551241</v>
      </c>
      <c r="K6684" s="15">
        <v>1.0840932577551241</v>
      </c>
      <c r="L6684" s="15">
        <v>1.0840932577551241</v>
      </c>
      <c r="M6684" s="15">
        <v>1.0840932577551241</v>
      </c>
      <c r="N6684" s="15">
        <v>1.0840932577551241</v>
      </c>
      <c r="O6684" s="15">
        <v>0.9855097058043929</v>
      </c>
      <c r="P6684" s="15">
        <v>0.9855097058043929</v>
      </c>
      <c r="Q6684" s="8"/>
      <c r="R6684" s="9" t="s">
        <v>6196</v>
      </c>
    </row>
    <row r="6685" spans="1:18" x14ac:dyDescent="0.25">
      <c r="A6685" s="6" t="str">
        <f>HYPERLINK("proteomic_fractions_linear_files/Yang_linear_img/293597553.jpg", "293597553")</f>
        <v>293597553</v>
      </c>
      <c r="B6685" s="7"/>
      <c r="C6685" s="6" t="str">
        <f>HYPERLINK("http://www.ncbi.nlm.nih.gov/protein/293597553","Sept6")</f>
        <v>Sept6</v>
      </c>
      <c r="D6685" s="8"/>
      <c r="E6685" s="8">
        <v>49489</v>
      </c>
      <c r="F6685" s="8"/>
      <c r="G6685" s="15" t="s">
        <v>10</v>
      </c>
      <c r="H6685" s="15" t="s">
        <v>10</v>
      </c>
      <c r="I6685" s="15">
        <v>1.0840932577551241</v>
      </c>
      <c r="J6685" s="15">
        <v>1.0840932577551241</v>
      </c>
      <c r="K6685" s="15">
        <v>1.0840932577551241</v>
      </c>
      <c r="L6685" s="15">
        <v>1.0840932577551241</v>
      </c>
      <c r="M6685" s="15">
        <v>1.0840932577551241</v>
      </c>
      <c r="N6685" s="15">
        <v>1.0840932577551241</v>
      </c>
      <c r="O6685" s="15">
        <v>0.9855097058043929</v>
      </c>
      <c r="P6685" s="15">
        <v>0.9855097058043929</v>
      </c>
      <c r="Q6685" s="8"/>
      <c r="R6685" s="9" t="s">
        <v>6197</v>
      </c>
    </row>
    <row r="6686" spans="1:18" x14ac:dyDescent="0.25">
      <c r="A6686" s="6" t="str">
        <f>HYPERLINK("proteomic_fractions_linear_files/Yang_linear_img/31560370.jpg", "31560370")</f>
        <v>31560370</v>
      </c>
      <c r="B6686" s="7"/>
      <c r="C6686" s="6" t="str">
        <f>HYPERLINK("http://www.ncbi.nlm.nih.gov/protein/31560370","Sept6")</f>
        <v>Sept6</v>
      </c>
      <c r="D6686" s="8"/>
      <c r="E6686" s="8">
        <v>48927</v>
      </c>
      <c r="F6686" s="8"/>
      <c r="G6686" s="15" t="s">
        <v>10</v>
      </c>
      <c r="H6686" s="15" t="s">
        <v>10</v>
      </c>
      <c r="I6686" s="15">
        <v>1.0840932577551241</v>
      </c>
      <c r="J6686" s="15">
        <v>1.0840932577551241</v>
      </c>
      <c r="K6686" s="15">
        <v>1.0840932577551241</v>
      </c>
      <c r="L6686" s="15">
        <v>1.0840932577551241</v>
      </c>
      <c r="M6686" s="15">
        <v>1.0840932577551241</v>
      </c>
      <c r="N6686" s="15">
        <v>1.0840932577551241</v>
      </c>
      <c r="O6686" s="15">
        <v>0.9855097058043929</v>
      </c>
      <c r="P6686" s="15">
        <v>0.9855097058043929</v>
      </c>
      <c r="Q6686" s="8"/>
      <c r="R6686" s="9" t="s">
        <v>6198</v>
      </c>
    </row>
    <row r="6687" spans="1:18" x14ac:dyDescent="0.25">
      <c r="A6687" s="6" t="str">
        <f>HYPERLINK("proteomic_fractions_linear_files/Yang_linear_img/358679344.jpg", "358679344")</f>
        <v>358679344</v>
      </c>
      <c r="B6687" s="7"/>
      <c r="C6687" s="6" t="str">
        <f>HYPERLINK("http://www.ncbi.nlm.nih.gov/protein/358679344","Sept6")</f>
        <v>Sept6</v>
      </c>
      <c r="D6687" s="8"/>
      <c r="E6687" s="8">
        <v>48633</v>
      </c>
      <c r="F6687" s="8"/>
      <c r="G6687" s="15" t="s">
        <v>10</v>
      </c>
      <c r="H6687" s="15" t="s">
        <v>10</v>
      </c>
      <c r="I6687" s="15">
        <v>1.0840932577551241</v>
      </c>
      <c r="J6687" s="15">
        <v>1.0840932577551241</v>
      </c>
      <c r="K6687" s="15">
        <v>1.0840932577551241</v>
      </c>
      <c r="L6687" s="15">
        <v>1.0840932577551241</v>
      </c>
      <c r="M6687" s="15">
        <v>1.0840932577551241</v>
      </c>
      <c r="N6687" s="15">
        <v>1.0840932577551241</v>
      </c>
      <c r="O6687" s="15">
        <v>0.9855097058043929</v>
      </c>
      <c r="P6687" s="15">
        <v>0.9855097058043929</v>
      </c>
      <c r="Q6687" s="8"/>
      <c r="R6687" s="9" t="s">
        <v>6199</v>
      </c>
    </row>
    <row r="6688" spans="1:18" x14ac:dyDescent="0.25">
      <c r="A6688" s="6" t="str">
        <f>HYPERLINK("proteomic_fractions_linear_files/Yang_linear_img/28173550.jpg", "28173550")</f>
        <v>28173550</v>
      </c>
      <c r="B6688" s="7"/>
      <c r="C6688" s="6" t="str">
        <f>HYPERLINK("http://www.ncbi.nlm.nih.gov/protein/28173550","Sept7")</f>
        <v>Sept7</v>
      </c>
      <c r="D6688" s="8"/>
      <c r="E6688" s="8">
        <v>50518</v>
      </c>
      <c r="F6688" s="8"/>
      <c r="G6688" s="15">
        <v>0.86520763229344055</v>
      </c>
      <c r="H6688" s="15">
        <v>1.1524158350116442</v>
      </c>
      <c r="I6688" s="15">
        <v>0.94686226636108339</v>
      </c>
      <c r="J6688" s="15">
        <v>0.94686226636108339</v>
      </c>
      <c r="K6688" s="15">
        <v>0.94686226636108339</v>
      </c>
      <c r="L6688" s="15">
        <v>0.94686226636108339</v>
      </c>
      <c r="M6688" s="15">
        <v>0.94686226636108339</v>
      </c>
      <c r="N6688" s="15">
        <v>0.94686226636108339</v>
      </c>
      <c r="O6688" s="15">
        <v>0.86520763229344055</v>
      </c>
      <c r="P6688" s="15">
        <v>0.86520763229344055</v>
      </c>
      <c r="Q6688" s="8"/>
      <c r="R6688" s="9" t="s">
        <v>6200</v>
      </c>
    </row>
    <row r="6689" spans="1:18" x14ac:dyDescent="0.25">
      <c r="A6689" s="6" t="str">
        <f>HYPERLINK("proteomic_fractions_linear_files/Yang_linear_img/329299065.jpg", "329299065")</f>
        <v>329299065</v>
      </c>
      <c r="B6689" s="7"/>
      <c r="C6689" s="6" t="str">
        <f>HYPERLINK("http://www.ncbi.nlm.nih.gov/protein/329299065","Sept7")</f>
        <v>Sept7</v>
      </c>
      <c r="D6689" s="8"/>
      <c r="E6689" s="8">
        <v>50419</v>
      </c>
      <c r="F6689" s="8"/>
      <c r="G6689" s="15">
        <v>0.88251178493930937</v>
      </c>
      <c r="H6689" s="15">
        <v>1.1754641517118771</v>
      </c>
      <c r="I6689" s="15">
        <v>0.96579951168830502</v>
      </c>
      <c r="J6689" s="15">
        <v>0.96579951168830502</v>
      </c>
      <c r="K6689" s="15">
        <v>0.96579951168830502</v>
      </c>
      <c r="L6689" s="15">
        <v>0.96579951168830502</v>
      </c>
      <c r="M6689" s="15">
        <v>0.96579951168830502</v>
      </c>
      <c r="N6689" s="15">
        <v>0.96579951168830502</v>
      </c>
      <c r="O6689" s="15">
        <v>0.88251178493930937</v>
      </c>
      <c r="P6689" s="15">
        <v>0.88251178493930937</v>
      </c>
      <c r="Q6689" s="8"/>
      <c r="R6689" s="9" t="s">
        <v>6201</v>
      </c>
    </row>
    <row r="6690" spans="1:18" x14ac:dyDescent="0.25">
      <c r="A6690" s="6" t="str">
        <f>HYPERLINK("proteomic_fractions_linear_files/Yang_linear_img/356640208.jpg", "356640208")</f>
        <v>356640208</v>
      </c>
      <c r="B6690" s="7"/>
      <c r="C6690" s="6" t="str">
        <f>HYPERLINK("http://www.ncbi.nlm.nih.gov/protein/356640208","Sept8")</f>
        <v>Sept8</v>
      </c>
      <c r="D6690" s="8"/>
      <c r="E6690" s="8">
        <v>49681</v>
      </c>
      <c r="F6690" s="8"/>
      <c r="G6690" s="15">
        <v>1.1754641517118771</v>
      </c>
      <c r="H6690" s="15">
        <v>1.1754641517118771</v>
      </c>
      <c r="I6690" s="15">
        <v>1.0624113926000216</v>
      </c>
      <c r="J6690" s="15">
        <v>1.0624113926000216</v>
      </c>
      <c r="K6690" s="15">
        <v>1.0624113926000216</v>
      </c>
      <c r="L6690" s="15">
        <v>1.0624113926000216</v>
      </c>
      <c r="M6690" s="15">
        <v>1.0624113926000216</v>
      </c>
      <c r="N6690" s="15">
        <v>1.0624113926000216</v>
      </c>
      <c r="O6690" s="15">
        <v>0.88251178493930937</v>
      </c>
      <c r="P6690" s="15">
        <v>0.88251178493930937</v>
      </c>
      <c r="Q6690" s="8"/>
      <c r="R6690" s="9" t="s">
        <v>6202</v>
      </c>
    </row>
    <row r="6691" spans="1:18" x14ac:dyDescent="0.25">
      <c r="A6691" s="6" t="str">
        <f>HYPERLINK("proteomic_fractions_linear_files/Yang_linear_img/356640210.jpg", "356640210")</f>
        <v>356640210</v>
      </c>
      <c r="B6691" s="7"/>
      <c r="C6691" s="6" t="str">
        <f>HYPERLINK("http://www.ncbi.nlm.nih.gov/protein/356640210","Sept8")</f>
        <v>Sept8</v>
      </c>
      <c r="D6691" s="8"/>
      <c r="E6691" s="8">
        <v>49431</v>
      </c>
      <c r="F6691" s="8"/>
      <c r="G6691" s="15">
        <v>1.1994532160325275</v>
      </c>
      <c r="H6691" s="15">
        <v>1.1994532160325275</v>
      </c>
      <c r="I6691" s="15">
        <v>1.0840932577551241</v>
      </c>
      <c r="J6691" s="15">
        <v>1.0840932577551241</v>
      </c>
      <c r="K6691" s="15">
        <v>1.0840932577551241</v>
      </c>
      <c r="L6691" s="15">
        <v>1.0840932577551241</v>
      </c>
      <c r="M6691" s="15">
        <v>1.0840932577551241</v>
      </c>
      <c r="N6691" s="15">
        <v>1.0840932577551241</v>
      </c>
      <c r="O6691" s="15">
        <v>0.90052222952990757</v>
      </c>
      <c r="P6691" s="15">
        <v>0.90052222952990757</v>
      </c>
      <c r="Q6691" s="8"/>
      <c r="R6691" s="9" t="s">
        <v>6203</v>
      </c>
    </row>
    <row r="6692" spans="1:18" x14ac:dyDescent="0.25">
      <c r="A6692" s="6" t="str">
        <f>HYPERLINK("proteomic_fractions_linear_files/Yang_linear_img/39930477.jpg", "39930477")</f>
        <v>39930477</v>
      </c>
      <c r="B6692" s="7"/>
      <c r="C6692" s="6" t="str">
        <f>HYPERLINK("http://www.ncbi.nlm.nih.gov/protein/39930477","Sept8")</f>
        <v>Sept8</v>
      </c>
      <c r="D6692" s="8"/>
      <c r="E6692" s="8">
        <v>49843</v>
      </c>
      <c r="F6692" s="8"/>
      <c r="G6692" s="15">
        <v>1.1754641517118771</v>
      </c>
      <c r="H6692" s="15">
        <v>1.1754641517118771</v>
      </c>
      <c r="I6692" s="15">
        <v>1.0624113926000216</v>
      </c>
      <c r="J6692" s="15">
        <v>1.0624113926000216</v>
      </c>
      <c r="K6692" s="15">
        <v>1.0624113926000216</v>
      </c>
      <c r="L6692" s="15">
        <v>1.0624113926000216</v>
      </c>
      <c r="M6692" s="15">
        <v>1.0624113926000216</v>
      </c>
      <c r="N6692" s="15">
        <v>1.0624113926000216</v>
      </c>
      <c r="O6692" s="15">
        <v>0.88251178493930937</v>
      </c>
      <c r="P6692" s="15">
        <v>0.88251178493930937</v>
      </c>
      <c r="Q6692" s="8"/>
      <c r="R6692" s="9" t="s">
        <v>6204</v>
      </c>
    </row>
    <row r="6693" spans="1:18" x14ac:dyDescent="0.25">
      <c r="A6693" s="6" t="str">
        <f>HYPERLINK("proteomic_fractions_linear_files/Yang_linear_img/164698479.jpg", "164698479")</f>
        <v>164698479</v>
      </c>
      <c r="B6693" s="7"/>
      <c r="C6693" s="6" t="str">
        <f>HYPERLINK("http://www.ncbi.nlm.nih.gov/protein/164698479","Sept9")</f>
        <v>Sept9</v>
      </c>
      <c r="D6693" s="8"/>
      <c r="E6693" s="8">
        <v>65444</v>
      </c>
      <c r="F6693" s="8"/>
      <c r="G6693" s="15">
        <v>1.461045864347454</v>
      </c>
      <c r="H6693" s="15">
        <v>1.461045864347454</v>
      </c>
      <c r="I6693" s="15">
        <v>1.1297870806412653</v>
      </c>
      <c r="J6693" s="15">
        <v>1.1297870806412653</v>
      </c>
      <c r="K6693" s="15">
        <v>1.2784408995868286</v>
      </c>
      <c r="L6693" s="15">
        <v>1.2784408995868286</v>
      </c>
      <c r="M6693" s="15">
        <v>1.2784408995868286</v>
      </c>
      <c r="N6693" s="15">
        <v>1.2784408995868286</v>
      </c>
      <c r="O6693" s="15">
        <v>1.1297870806412653</v>
      </c>
      <c r="P6693" s="15">
        <v>1.1297870806412653</v>
      </c>
      <c r="Q6693" s="8"/>
      <c r="R6693" s="9" t="s">
        <v>6205</v>
      </c>
    </row>
    <row r="6694" spans="1:18" x14ac:dyDescent="0.25">
      <c r="A6694" s="6" t="str">
        <f>HYPERLINK("proteomic_fractions_linear_files/Yang_linear_img/164698481.jpg", "164698481")</f>
        <v>164698481</v>
      </c>
      <c r="B6694" s="7"/>
      <c r="C6694" s="6" t="str">
        <f>HYPERLINK("http://www.ncbi.nlm.nih.gov/protein/164698481","Sept9")</f>
        <v>Sept9</v>
      </c>
      <c r="D6694" s="8"/>
      <c r="E6694" s="8">
        <v>64644</v>
      </c>
      <c r="F6694" s="8"/>
      <c r="G6694" s="15">
        <v>1.461045864347454</v>
      </c>
      <c r="H6694" s="15">
        <v>1.461045864347454</v>
      </c>
      <c r="I6694" s="15">
        <v>1.1297870806412653</v>
      </c>
      <c r="J6694" s="15">
        <v>1.1297870806412653</v>
      </c>
      <c r="K6694" s="15">
        <v>1.2784408995868286</v>
      </c>
      <c r="L6694" s="15">
        <v>1.2784408995868286</v>
      </c>
      <c r="M6694" s="15">
        <v>1.2784408995868286</v>
      </c>
      <c r="N6694" s="15">
        <v>1.2784408995868286</v>
      </c>
      <c r="O6694" s="15">
        <v>1.1297870806412653</v>
      </c>
      <c r="P6694" s="15">
        <v>1.1297870806412653</v>
      </c>
      <c r="Q6694" s="8"/>
      <c r="R6694" s="9" t="s">
        <v>6206</v>
      </c>
    </row>
    <row r="6695" spans="1:18" x14ac:dyDescent="0.25">
      <c r="A6695" s="6" t="str">
        <f>HYPERLINK("proteomic_fractions_linear_files/Yang_linear_img/8393784.jpg", "8393784")</f>
        <v>8393784</v>
      </c>
      <c r="B6695" s="7"/>
      <c r="C6695" s="6" t="str">
        <f>HYPERLINK("http://www.ncbi.nlm.nih.gov/protein/8393784","Sept9")</f>
        <v>Sept9</v>
      </c>
      <c r="D6695" s="8"/>
      <c r="E6695" s="8">
        <v>38468</v>
      </c>
      <c r="F6695" s="8"/>
      <c r="G6695" s="15">
        <v>2.1868068019248383</v>
      </c>
      <c r="H6695" s="15">
        <v>2.1868068019248383</v>
      </c>
      <c r="I6695" s="15">
        <v>1.9325305326758486</v>
      </c>
      <c r="J6695" s="15">
        <v>1.9325305326758486</v>
      </c>
      <c r="K6695" s="15">
        <v>2.1868068019248383</v>
      </c>
      <c r="L6695" s="15">
        <v>2.1868068019248383</v>
      </c>
      <c r="M6695" s="15">
        <v>2.1868068019248383</v>
      </c>
      <c r="N6695" s="15">
        <v>2.1868068019248383</v>
      </c>
      <c r="O6695" s="15">
        <v>1.9325305326758486</v>
      </c>
      <c r="P6695" s="15">
        <v>1.9325305326758486</v>
      </c>
      <c r="Q6695" s="8"/>
      <c r="R6695" s="9" t="s">
        <v>6207</v>
      </c>
    </row>
    <row r="6696" spans="1:18" x14ac:dyDescent="0.25">
      <c r="A6696" s="6" t="str">
        <f>HYPERLINK("proteomic_fractions_linear_files/Yang_linear_img/6677917.jpg", "6677917")</f>
        <v>6677917</v>
      </c>
      <c r="B6696" s="7"/>
      <c r="C6696" s="6" t="str">
        <f>HYPERLINK("http://www.ncbi.nlm.nih.gov/protein/6677917","Sepw1")</f>
        <v>Sepw1</v>
      </c>
      <c r="D6696" s="8"/>
      <c r="E6696" s="8">
        <v>9556</v>
      </c>
      <c r="F6696" s="8"/>
      <c r="G6696" s="15">
        <v>1.2232861292331356</v>
      </c>
      <c r="H6696" s="15">
        <v>1.2232861292331356</v>
      </c>
      <c r="I6696" s="15" t="s">
        <v>10</v>
      </c>
      <c r="J6696" s="15" t="s">
        <v>10</v>
      </c>
      <c r="K6696" s="15">
        <v>1.2747219341937626</v>
      </c>
      <c r="L6696" s="15">
        <v>1.2747219341937626</v>
      </c>
      <c r="M6696" s="15" t="s">
        <v>10</v>
      </c>
      <c r="N6696" s="15" t="s">
        <v>10</v>
      </c>
      <c r="O6696" s="15" t="s">
        <v>10</v>
      </c>
      <c r="P6696" s="15" t="s">
        <v>10</v>
      </c>
      <c r="Q6696" s="8"/>
      <c r="R6696" s="9" t="s">
        <v>6208</v>
      </c>
    </row>
    <row r="6697" spans="1:18" x14ac:dyDescent="0.25">
      <c r="A6697" s="6" t="str">
        <f>HYPERLINK("proteomic_fractions_linear_files/Yang_linear_img/161169008.jpg", "161169008")</f>
        <v>161169008</v>
      </c>
      <c r="B6697" s="7"/>
      <c r="C6697" s="6" t="str">
        <f>HYPERLINK("http://www.ncbi.nlm.nih.gov/protein/161169008","Serac1")</f>
        <v>Serac1</v>
      </c>
      <c r="D6697" s="8"/>
      <c r="E6697" s="8">
        <v>70518</v>
      </c>
      <c r="F6697" s="8"/>
      <c r="G6697" s="15" t="s">
        <v>10</v>
      </c>
      <c r="H6697" s="15" t="s">
        <v>10</v>
      </c>
      <c r="I6697" s="15" t="s">
        <v>10</v>
      </c>
      <c r="J6697" s="15" t="s">
        <v>10</v>
      </c>
      <c r="K6697" s="15">
        <v>0.34584254384897067</v>
      </c>
      <c r="L6697" s="15">
        <v>0.34584254384897067</v>
      </c>
      <c r="M6697" s="15" t="s">
        <v>10</v>
      </c>
      <c r="N6697" s="15" t="s">
        <v>10</v>
      </c>
      <c r="O6697" s="15" t="s">
        <v>10</v>
      </c>
      <c r="P6697" s="15" t="s">
        <v>10</v>
      </c>
      <c r="Q6697" s="8"/>
      <c r="R6697" s="9" t="s">
        <v>6209</v>
      </c>
    </row>
    <row r="6698" spans="1:18" x14ac:dyDescent="0.25">
      <c r="A6698" s="6" t="str">
        <f>HYPERLINK("proteomic_fractions_linear_files/Yang_linear_img/161169010.jpg", "161169010")</f>
        <v>161169010</v>
      </c>
      <c r="B6698" s="7"/>
      <c r="C6698" s="6" t="str">
        <f>HYPERLINK("http://www.ncbi.nlm.nih.gov/protein/161169010","Serac1")</f>
        <v>Serac1</v>
      </c>
      <c r="D6698" s="8"/>
      <c r="E6698" s="8">
        <v>73857</v>
      </c>
      <c r="F6698" s="8"/>
      <c r="G6698" s="15" t="s">
        <v>10</v>
      </c>
      <c r="H6698" s="15" t="s">
        <v>10</v>
      </c>
      <c r="I6698" s="15" t="s">
        <v>10</v>
      </c>
      <c r="J6698" s="15" t="s">
        <v>10</v>
      </c>
      <c r="K6698" s="15">
        <v>0.33182190017941782</v>
      </c>
      <c r="L6698" s="15">
        <v>0.33182190017941782</v>
      </c>
      <c r="M6698" s="15" t="s">
        <v>10</v>
      </c>
      <c r="N6698" s="15" t="s">
        <v>10</v>
      </c>
      <c r="O6698" s="15" t="s">
        <v>10</v>
      </c>
      <c r="P6698" s="15" t="s">
        <v>10</v>
      </c>
      <c r="Q6698" s="8"/>
      <c r="R6698" s="9" t="s">
        <v>6210</v>
      </c>
    </row>
    <row r="6699" spans="1:18" x14ac:dyDescent="0.25">
      <c r="A6699" s="6" t="str">
        <f>HYPERLINK("proteomic_fractions_linear_files/Yang_linear_img/165932375.jpg", "165932375")</f>
        <v>165932375</v>
      </c>
      <c r="B6699" s="7"/>
      <c r="C6699" s="6" t="str">
        <f>HYPERLINK("http://www.ncbi.nlm.nih.gov/protein/165932375","Serbp1")</f>
        <v>Serbp1</v>
      </c>
      <c r="D6699" s="8"/>
      <c r="E6699" s="8">
        <v>44583</v>
      </c>
      <c r="F6699" s="8"/>
      <c r="G6699" s="15">
        <v>1.4545169629009851</v>
      </c>
      <c r="H6699" s="15">
        <v>1.4545169629009851</v>
      </c>
      <c r="I6699" s="15">
        <v>1.1804571028889128</v>
      </c>
      <c r="J6699" s="15">
        <v>1.1804571028889128</v>
      </c>
      <c r="K6699" s="15">
        <v>1.3060712796798635</v>
      </c>
      <c r="L6699" s="15">
        <v>1.3060712796798635</v>
      </c>
      <c r="M6699" s="15">
        <v>0.90016262673828318</v>
      </c>
      <c r="N6699" s="15">
        <v>0.90016262673828318</v>
      </c>
      <c r="O6699" s="15">
        <v>1.0731105685425613</v>
      </c>
      <c r="P6699" s="15">
        <v>1.0731105685425613</v>
      </c>
      <c r="Q6699" s="8"/>
      <c r="R6699" s="9" t="s">
        <v>6211</v>
      </c>
    </row>
    <row r="6700" spans="1:18" x14ac:dyDescent="0.25">
      <c r="A6700" s="6" t="str">
        <f>HYPERLINK("proteomic_fractions_linear_files/Yang_linear_img/165932377.jpg", "165932377")</f>
        <v>165932377</v>
      </c>
      <c r="B6700" s="7"/>
      <c r="C6700" s="6" t="str">
        <f>HYPERLINK("http://www.ncbi.nlm.nih.gov/protein/165932377","Serbp1")</f>
        <v>Serbp1</v>
      </c>
      <c r="D6700" s="8"/>
      <c r="E6700" s="8">
        <v>43874</v>
      </c>
      <c r="F6700" s="8"/>
      <c r="G6700" s="15">
        <v>1.4875741666032802</v>
      </c>
      <c r="H6700" s="15">
        <v>1.4875741666032802</v>
      </c>
      <c r="I6700" s="15">
        <v>1.2072856734091155</v>
      </c>
      <c r="J6700" s="15">
        <v>1.2072856734091155</v>
      </c>
      <c r="K6700" s="15">
        <v>1.3357547178544058</v>
      </c>
      <c r="L6700" s="15">
        <v>1.3357547178544058</v>
      </c>
      <c r="M6700" s="15">
        <v>0.9206208682550624</v>
      </c>
      <c r="N6700" s="15">
        <v>0.9206208682550624</v>
      </c>
      <c r="O6700" s="15">
        <v>1.0974994451003466</v>
      </c>
      <c r="P6700" s="15">
        <v>1.0974994451003466</v>
      </c>
      <c r="Q6700" s="8"/>
      <c r="R6700" s="9" t="s">
        <v>6212</v>
      </c>
    </row>
    <row r="6701" spans="1:18" x14ac:dyDescent="0.25">
      <c r="A6701" s="6" t="str">
        <f>HYPERLINK("proteomic_fractions_linear_files/Yang_linear_img/165932379.jpg", "165932379")</f>
        <v>165932379</v>
      </c>
      <c r="B6701" s="7"/>
      <c r="C6701" s="6" t="str">
        <f>HYPERLINK("http://www.ncbi.nlm.nih.gov/protein/165932379","Serbp1")</f>
        <v>Serbp1</v>
      </c>
      <c r="D6701" s="8"/>
      <c r="E6701" s="8">
        <v>42813</v>
      </c>
      <c r="F6701" s="8"/>
      <c r="G6701" s="15">
        <v>1.5221689146638218</v>
      </c>
      <c r="H6701" s="15">
        <v>1.5221689146638218</v>
      </c>
      <c r="I6701" s="15">
        <v>1.2353620844186297</v>
      </c>
      <c r="J6701" s="15">
        <v>1.2353620844186297</v>
      </c>
      <c r="K6701" s="15">
        <v>1.3668187810603221</v>
      </c>
      <c r="L6701" s="15">
        <v>1.3668187810603221</v>
      </c>
      <c r="M6701" s="15">
        <v>0.942030655888901</v>
      </c>
      <c r="N6701" s="15">
        <v>0.942030655888901</v>
      </c>
      <c r="O6701" s="15">
        <v>1.123022688009657</v>
      </c>
      <c r="P6701" s="15">
        <v>1.123022688009657</v>
      </c>
      <c r="Q6701" s="8"/>
      <c r="R6701" s="9" t="s">
        <v>6213</v>
      </c>
    </row>
    <row r="6702" spans="1:18" x14ac:dyDescent="0.25">
      <c r="A6702" s="6" t="str">
        <f>HYPERLINK("proteomic_fractions_linear_files/Yang_linear_img/165932381.jpg", "165932381")</f>
        <v>165932381</v>
      </c>
      <c r="B6702" s="7"/>
      <c r="C6702" s="6" t="str">
        <f>HYPERLINK("http://www.ncbi.nlm.nih.gov/protein/165932381","Serbp1")</f>
        <v>Serbp1</v>
      </c>
      <c r="D6702" s="8"/>
      <c r="E6702" s="8">
        <v>42104</v>
      </c>
      <c r="F6702" s="8"/>
      <c r="G6702" s="15">
        <v>1.5584110316796269</v>
      </c>
      <c r="H6702" s="15">
        <v>1.5584110316796269</v>
      </c>
      <c r="I6702" s="15">
        <v>1.2647754673809781</v>
      </c>
      <c r="J6702" s="15">
        <v>1.2647754673809781</v>
      </c>
      <c r="K6702" s="15">
        <v>1.3993620853712823</v>
      </c>
      <c r="L6702" s="15">
        <v>1.3993620853712823</v>
      </c>
      <c r="M6702" s="15">
        <v>0.96445995721958921</v>
      </c>
      <c r="N6702" s="15">
        <v>0.96445995721958921</v>
      </c>
      <c r="O6702" s="15">
        <v>1.1497613234384585</v>
      </c>
      <c r="P6702" s="15">
        <v>1.1497613234384585</v>
      </c>
      <c r="Q6702" s="8"/>
      <c r="R6702" s="9" t="s">
        <v>6214</v>
      </c>
    </row>
    <row r="6703" spans="1:18" x14ac:dyDescent="0.25">
      <c r="A6703" s="6" t="str">
        <f>HYPERLINK("proteomic_fractions_linear_files/Yang_linear_img/6755472.jpg", "6755472")</f>
        <v>6755472</v>
      </c>
      <c r="B6703" s="7"/>
      <c r="C6703" s="6" t="str">
        <f>HYPERLINK("http://www.ncbi.nlm.nih.gov/protein/6755472","Serf2")</f>
        <v>Serf2</v>
      </c>
      <c r="D6703" s="8"/>
      <c r="E6703" s="8">
        <v>6769</v>
      </c>
      <c r="F6703" s="8"/>
      <c r="G6703" s="15">
        <v>1.8995805747145049</v>
      </c>
      <c r="H6703" s="15">
        <v>1.8995805747145049</v>
      </c>
      <c r="I6703" s="15" t="s">
        <v>10</v>
      </c>
      <c r="J6703" s="15" t="s">
        <v>10</v>
      </c>
      <c r="K6703" s="15">
        <v>1.9836929285623786</v>
      </c>
      <c r="L6703" s="15">
        <v>1.9836929285623786</v>
      </c>
      <c r="M6703" s="15" t="s">
        <v>10</v>
      </c>
      <c r="N6703" s="15" t="s">
        <v>10</v>
      </c>
      <c r="O6703" s="15">
        <v>1.821031334562518</v>
      </c>
      <c r="P6703" s="15">
        <v>1.821031334562518</v>
      </c>
      <c r="Q6703" s="8"/>
      <c r="R6703" s="9" t="s">
        <v>6215</v>
      </c>
    </row>
    <row r="6704" spans="1:18" x14ac:dyDescent="0.25">
      <c r="A6704" s="6" t="str">
        <f>HYPERLINK("proteomic_fractions_linear_files/Yang_linear_img/13443008.jpg", "13443008")</f>
        <v>13443008</v>
      </c>
      <c r="B6704" s="7"/>
      <c r="C6704" s="6" t="str">
        <f>HYPERLINK("http://www.ncbi.nlm.nih.gov/protein/13443008","Serhl")</f>
        <v>Serhl</v>
      </c>
      <c r="D6704" s="8"/>
      <c r="E6704" s="8">
        <v>35180</v>
      </c>
      <c r="F6704" s="8"/>
      <c r="G6704" s="15">
        <v>0.74715023186928575</v>
      </c>
      <c r="H6704" s="15">
        <v>0.74715023186928575</v>
      </c>
      <c r="I6704" s="15">
        <v>0.79766317993377311</v>
      </c>
      <c r="J6704" s="15">
        <v>0.79766317993377311</v>
      </c>
      <c r="K6704" s="15">
        <v>0.79766317993377311</v>
      </c>
      <c r="L6704" s="15">
        <v>0.79766317993377311</v>
      </c>
      <c r="M6704" s="15" t="s">
        <v>10</v>
      </c>
      <c r="N6704" s="15" t="s">
        <v>10</v>
      </c>
      <c r="O6704" s="15" t="s">
        <v>10</v>
      </c>
      <c r="P6704" s="15" t="s">
        <v>10</v>
      </c>
      <c r="Q6704" s="8"/>
      <c r="R6704" s="9" t="s">
        <v>6216</v>
      </c>
    </row>
    <row r="6705" spans="1:18" x14ac:dyDescent="0.25">
      <c r="A6705" s="6" t="str">
        <f>HYPERLINK("proteomic_fractions_linear_files/Yang_linear_img/9790269.jpg", "9790269")</f>
        <v>9790269</v>
      </c>
      <c r="B6705" s="7"/>
      <c r="C6705" s="6" t="str">
        <f>HYPERLINK("http://www.ncbi.nlm.nih.gov/protein/9790269","Serinc1")</f>
        <v>Serinc1</v>
      </c>
      <c r="D6705" s="8"/>
      <c r="E6705" s="8">
        <v>48631</v>
      </c>
      <c r="F6705" s="8"/>
      <c r="G6705" s="15" t="s">
        <v>10</v>
      </c>
      <c r="H6705" s="15" t="s">
        <v>10</v>
      </c>
      <c r="I6705" s="15" t="s">
        <v>10</v>
      </c>
      <c r="J6705" s="15" t="s">
        <v>10</v>
      </c>
      <c r="K6705" s="15">
        <v>1.0840932577551241</v>
      </c>
      <c r="L6705" s="15">
        <v>1.0840932577551241</v>
      </c>
      <c r="M6705" s="15" t="s">
        <v>10</v>
      </c>
      <c r="N6705" s="15" t="s">
        <v>10</v>
      </c>
      <c r="O6705" s="15" t="s">
        <v>10</v>
      </c>
      <c r="P6705" s="15" t="s">
        <v>10</v>
      </c>
      <c r="Q6705" s="8"/>
      <c r="R6705" s="9" t="s">
        <v>6217</v>
      </c>
    </row>
    <row r="6706" spans="1:18" x14ac:dyDescent="0.25">
      <c r="A6706" s="6" t="str">
        <f>HYPERLINK("proteomic_fractions_linear_files/Yang_linear_img/148277027.jpg", "148277027")</f>
        <v>148277027</v>
      </c>
      <c r="B6706" s="7"/>
      <c r="C6706" s="6" t="str">
        <f>HYPERLINK("http://www.ncbi.nlm.nih.gov/protein/148277027","Serinc2")</f>
        <v>Serinc2</v>
      </c>
      <c r="D6706" s="8"/>
      <c r="E6706" s="8">
        <v>48733</v>
      </c>
      <c r="F6706" s="8"/>
      <c r="G6706" s="15" t="s">
        <v>10</v>
      </c>
      <c r="H6706" s="15" t="s">
        <v>10</v>
      </c>
      <c r="I6706" s="15" t="s">
        <v>10</v>
      </c>
      <c r="J6706" s="15" t="s">
        <v>10</v>
      </c>
      <c r="K6706" s="15">
        <v>0.26014733350893116</v>
      </c>
      <c r="L6706" s="15">
        <v>0.26014733350893116</v>
      </c>
      <c r="M6706" s="15" t="s">
        <v>10</v>
      </c>
      <c r="N6706" s="15" t="s">
        <v>10</v>
      </c>
      <c r="O6706" s="15" t="s">
        <v>10</v>
      </c>
      <c r="P6706" s="15" t="s">
        <v>10</v>
      </c>
      <c r="Q6706" s="8"/>
      <c r="R6706" s="9" t="s">
        <v>6218</v>
      </c>
    </row>
    <row r="6707" spans="1:18" x14ac:dyDescent="0.25">
      <c r="A6707" s="6" t="str">
        <f>HYPERLINK("proteomic_fractions_linear_files/Yang_linear_img/358356409.jpg", "358356409")</f>
        <v>358356409</v>
      </c>
      <c r="B6707" s="7"/>
      <c r="C6707" s="6" t="str">
        <f>HYPERLINK("http://www.ncbi.nlm.nih.gov/protein/358356409","Serinc2")</f>
        <v>Serinc2</v>
      </c>
      <c r="D6707" s="8"/>
      <c r="E6707" s="8">
        <v>44800</v>
      </c>
      <c r="F6707" s="8"/>
      <c r="G6707" s="15" t="s">
        <v>10</v>
      </c>
      <c r="H6707" s="15" t="s">
        <v>10</v>
      </c>
      <c r="I6707" s="15" t="s">
        <v>10</v>
      </c>
      <c r="J6707" s="15" t="s">
        <v>10</v>
      </c>
      <c r="K6707" s="15">
        <v>0.28327154093194723</v>
      </c>
      <c r="L6707" s="15">
        <v>0.28327154093194723</v>
      </c>
      <c r="M6707" s="15" t="s">
        <v>10</v>
      </c>
      <c r="N6707" s="15" t="s">
        <v>10</v>
      </c>
      <c r="O6707" s="15" t="s">
        <v>10</v>
      </c>
      <c r="P6707" s="15" t="s">
        <v>10</v>
      </c>
      <c r="Q6707" s="8"/>
      <c r="R6707" s="9" t="s">
        <v>6219</v>
      </c>
    </row>
    <row r="6708" spans="1:18" x14ac:dyDescent="0.25">
      <c r="A6708" s="6" t="str">
        <f>HYPERLINK("proteomic_fractions_linear_files/Yang_linear_img/213385301.jpg", "213385301")</f>
        <v>213385301</v>
      </c>
      <c r="B6708" s="7"/>
      <c r="C6708" s="6" t="str">
        <f>HYPERLINK("http://www.ncbi.nlm.nih.gov/protein/213385301","Serinc3")</f>
        <v>Serinc3</v>
      </c>
      <c r="D6708" s="8"/>
      <c r="E6708" s="8">
        <v>50644</v>
      </c>
      <c r="F6708" s="8"/>
      <c r="G6708" s="15" t="s">
        <v>10</v>
      </c>
      <c r="H6708" s="15" t="s">
        <v>10</v>
      </c>
      <c r="I6708" s="15" t="s">
        <v>10</v>
      </c>
      <c r="J6708" s="15" t="s">
        <v>10</v>
      </c>
      <c r="K6708" s="15">
        <v>1.0415797966666878</v>
      </c>
      <c r="L6708" s="15">
        <v>1.0415797966666878</v>
      </c>
      <c r="M6708" s="15" t="s">
        <v>10</v>
      </c>
      <c r="N6708" s="15" t="s">
        <v>10</v>
      </c>
      <c r="O6708" s="15" t="s">
        <v>10</v>
      </c>
      <c r="P6708" s="15" t="s">
        <v>10</v>
      </c>
      <c r="Q6708" s="8"/>
      <c r="R6708" s="9" t="s">
        <v>6220</v>
      </c>
    </row>
    <row r="6709" spans="1:18" x14ac:dyDescent="0.25">
      <c r="A6709" s="6" t="str">
        <f>HYPERLINK("proteomic_fractions_linear_files/Yang_linear_img/6680856.jpg", "6680856")</f>
        <v>6680856</v>
      </c>
      <c r="B6709" s="7"/>
      <c r="C6709" s="6" t="str">
        <f>HYPERLINK("http://www.ncbi.nlm.nih.gov/protein/6680856","Serpina6")</f>
        <v>Serpina6</v>
      </c>
      <c r="D6709" s="8"/>
      <c r="E6709" s="8">
        <v>42277</v>
      </c>
      <c r="F6709" s="8"/>
      <c r="G6709" s="15" t="s">
        <v>10</v>
      </c>
      <c r="H6709" s="15" t="s">
        <v>10</v>
      </c>
      <c r="I6709" s="15" t="s">
        <v>10</v>
      </c>
      <c r="J6709" s="15" t="s">
        <v>10</v>
      </c>
      <c r="K6709" s="15" t="s">
        <v>10</v>
      </c>
      <c r="L6709" s="15" t="s">
        <v>10</v>
      </c>
      <c r="M6709" s="15" t="s">
        <v>10</v>
      </c>
      <c r="N6709" s="15" t="s">
        <v>10</v>
      </c>
      <c r="O6709" s="15">
        <v>1.1497613234384585</v>
      </c>
      <c r="P6709" s="15">
        <v>1.1497613234384585</v>
      </c>
      <c r="Q6709" s="8"/>
      <c r="R6709" s="9" t="s">
        <v>6221</v>
      </c>
    </row>
    <row r="6710" spans="1:18" x14ac:dyDescent="0.25">
      <c r="A6710" s="6" t="str">
        <f>HYPERLINK("proteomic_fractions_linear_files/Yang_linear_img/160333613.jpg", "160333613")</f>
        <v>160333613</v>
      </c>
      <c r="B6710" s="7"/>
      <c r="C6710" s="6" t="str">
        <f>HYPERLINK("http://www.ncbi.nlm.nih.gov/protein/160333613","Serpinb3c")</f>
        <v>Serpinb3c</v>
      </c>
      <c r="D6710" s="8"/>
      <c r="E6710" s="8">
        <v>44239</v>
      </c>
      <c r="F6710" s="8"/>
      <c r="G6710" s="15" t="s">
        <v>10</v>
      </c>
      <c r="H6710" s="15" t="s">
        <v>10</v>
      </c>
      <c r="I6710" s="15" t="s">
        <v>10</v>
      </c>
      <c r="J6710" s="15" t="s">
        <v>10</v>
      </c>
      <c r="K6710" s="15">
        <v>0.31558751136219659</v>
      </c>
      <c r="L6710" s="15">
        <v>0.31558751136219659</v>
      </c>
      <c r="M6710" s="15">
        <v>0.28970953049858239</v>
      </c>
      <c r="N6710" s="15">
        <v>0.28970953049858239</v>
      </c>
      <c r="O6710" s="15" t="s">
        <v>10</v>
      </c>
      <c r="P6710" s="15" t="s">
        <v>10</v>
      </c>
      <c r="Q6710" s="8"/>
      <c r="R6710" s="9" t="s">
        <v>6222</v>
      </c>
    </row>
    <row r="6711" spans="1:18" x14ac:dyDescent="0.25">
      <c r="A6711" s="6" t="str">
        <f>HYPERLINK("proteomic_fractions_linear_files/Yang_linear_img/6678103.jpg", "6678103")</f>
        <v>6678103</v>
      </c>
      <c r="B6711" s="7"/>
      <c r="C6711" s="6" t="str">
        <f>HYPERLINK("http://www.ncbi.nlm.nih.gov/protein/6678103","Serpinb5")</f>
        <v>Serpinb5</v>
      </c>
      <c r="D6711" s="8"/>
      <c r="E6711" s="8">
        <v>41980</v>
      </c>
      <c r="F6711" s="8"/>
      <c r="G6711" s="15" t="s">
        <v>10</v>
      </c>
      <c r="H6711" s="15" t="s">
        <v>10</v>
      </c>
      <c r="I6711" s="15" t="s">
        <v>10</v>
      </c>
      <c r="J6711" s="15" t="s">
        <v>10</v>
      </c>
      <c r="K6711" s="15" t="s">
        <v>10</v>
      </c>
      <c r="L6711" s="15" t="s">
        <v>10</v>
      </c>
      <c r="M6711" s="15" t="s">
        <v>10</v>
      </c>
      <c r="N6711" s="15" t="s">
        <v>10</v>
      </c>
      <c r="O6711" s="15">
        <v>0.82269944120179006</v>
      </c>
      <c r="P6711" s="15">
        <v>0.82269944120179006</v>
      </c>
      <c r="Q6711" s="8"/>
      <c r="R6711" s="9" t="s">
        <v>6223</v>
      </c>
    </row>
    <row r="6712" spans="1:18" x14ac:dyDescent="0.25">
      <c r="A6712" s="6" t="str">
        <f>HYPERLINK("proteomic_fractions_linear_files/Yang_linear_img/255759941.jpg", "255759941")</f>
        <v>255759941</v>
      </c>
      <c r="B6712" s="7"/>
      <c r="C6712" s="6" t="str">
        <f>HYPERLINK("http://www.ncbi.nlm.nih.gov/protein/255759941","Serpinb6a")</f>
        <v>Serpinb6a</v>
      </c>
      <c r="D6712" s="8"/>
      <c r="E6712" s="8">
        <v>44644</v>
      </c>
      <c r="F6712" s="8"/>
      <c r="G6712" s="15">
        <v>0.27184136205180792</v>
      </c>
      <c r="H6712" s="15">
        <v>0.27184136205180792</v>
      </c>
      <c r="I6712" s="15">
        <v>0.90016262673828318</v>
      </c>
      <c r="J6712" s="15">
        <v>0.90016262673828318</v>
      </c>
      <c r="K6712" s="15">
        <v>0.90016262673828318</v>
      </c>
      <c r="L6712" s="15">
        <v>0.90016262673828318</v>
      </c>
      <c r="M6712" s="15">
        <v>0.90016262673828318</v>
      </c>
      <c r="N6712" s="15">
        <v>0.90016262673828318</v>
      </c>
      <c r="O6712" s="15">
        <v>0.8298072538472131</v>
      </c>
      <c r="P6712" s="15">
        <v>0.8298072538472131</v>
      </c>
      <c r="Q6712" s="8"/>
      <c r="R6712" s="9" t="s">
        <v>6224</v>
      </c>
    </row>
    <row r="6713" spans="1:18" x14ac:dyDescent="0.25">
      <c r="A6713" s="6" t="str">
        <f>HYPERLINK("proteomic_fractions_linear_files/Yang_linear_img/255759943.jpg", "255759943")</f>
        <v>255759943</v>
      </c>
      <c r="B6713" s="7"/>
      <c r="C6713" s="6" t="str">
        <f>HYPERLINK("http://www.ncbi.nlm.nih.gov/protein/255759943","Serpinb6a")</f>
        <v>Serpinb6a</v>
      </c>
      <c r="D6713" s="8"/>
      <c r="E6713" s="8">
        <v>42468</v>
      </c>
      <c r="F6713" s="8"/>
      <c r="G6713" s="15">
        <v>0.29125860219836563</v>
      </c>
      <c r="H6713" s="15">
        <v>0.29125860219836563</v>
      </c>
      <c r="I6713" s="15">
        <v>0.96445995721958921</v>
      </c>
      <c r="J6713" s="15">
        <v>0.96445995721958921</v>
      </c>
      <c r="K6713" s="15">
        <v>0.96445995721958921</v>
      </c>
      <c r="L6713" s="15">
        <v>0.96445995721958921</v>
      </c>
      <c r="M6713" s="15">
        <v>0.96445995721958921</v>
      </c>
      <c r="N6713" s="15">
        <v>0.96445995721958921</v>
      </c>
      <c r="O6713" s="15">
        <v>0.88907920055058554</v>
      </c>
      <c r="P6713" s="15">
        <v>0.88907920055058554</v>
      </c>
      <c r="Q6713" s="8"/>
      <c r="R6713" s="9" t="s">
        <v>6225</v>
      </c>
    </row>
    <row r="6714" spans="1:18" x14ac:dyDescent="0.25">
      <c r="A6714" s="6" t="str">
        <f>HYPERLINK("proteomic_fractions_linear_files/Yang_linear_img/15826844.jpg", "15826844")</f>
        <v>15826844</v>
      </c>
      <c r="B6714" s="7"/>
      <c r="C6714" s="6" t="str">
        <f>HYPERLINK("http://www.ncbi.nlm.nih.gov/protein/15826844","Serpinb6b")</f>
        <v>Serpinb6b</v>
      </c>
      <c r="D6714" s="8"/>
      <c r="E6714" s="8">
        <v>42405</v>
      </c>
      <c r="F6714" s="8"/>
      <c r="G6714" s="15" t="s">
        <v>10</v>
      </c>
      <c r="H6714" s="15" t="s">
        <v>10</v>
      </c>
      <c r="I6714" s="15" t="s">
        <v>10</v>
      </c>
      <c r="J6714" s="15" t="s">
        <v>10</v>
      </c>
      <c r="K6714" s="15">
        <v>0.96445995721958921</v>
      </c>
      <c r="L6714" s="15">
        <v>0.96445995721958921</v>
      </c>
      <c r="M6714" s="15" t="s">
        <v>10</v>
      </c>
      <c r="N6714" s="15" t="s">
        <v>10</v>
      </c>
      <c r="O6714" s="15">
        <v>0.82269944120179006</v>
      </c>
      <c r="P6714" s="15">
        <v>0.82269944120179006</v>
      </c>
      <c r="Q6714" s="8"/>
      <c r="R6714" s="9" t="s">
        <v>6226</v>
      </c>
    </row>
    <row r="6715" spans="1:18" x14ac:dyDescent="0.25">
      <c r="A6715" s="6" t="str">
        <f>HYPERLINK("proteomic_fractions_linear_files/Yang_linear_img/142347364.jpg", "142347364")</f>
        <v>142347364</v>
      </c>
      <c r="B6715" s="7"/>
      <c r="C6715" s="6" t="str">
        <f>HYPERLINK("http://www.ncbi.nlm.nih.gov/protein/142347364","Serpinb6c")</f>
        <v>Serpinb6c</v>
      </c>
      <c r="D6715" s="8"/>
      <c r="E6715" s="8">
        <v>42784</v>
      </c>
      <c r="F6715" s="8"/>
      <c r="G6715" s="15" t="s">
        <v>10</v>
      </c>
      <c r="H6715" s="15" t="s">
        <v>10</v>
      </c>
      <c r="I6715" s="15" t="s">
        <v>10</v>
      </c>
      <c r="J6715" s="15" t="s">
        <v>10</v>
      </c>
      <c r="K6715" s="15">
        <v>0.942030655888901</v>
      </c>
      <c r="L6715" s="15">
        <v>0.942030655888901</v>
      </c>
      <c r="M6715" s="15" t="s">
        <v>10</v>
      </c>
      <c r="N6715" s="15" t="s">
        <v>10</v>
      </c>
      <c r="O6715" s="15">
        <v>0.80356689605756237</v>
      </c>
      <c r="P6715" s="15">
        <v>0.80356689605756237</v>
      </c>
      <c r="Q6715" s="8"/>
      <c r="R6715" s="9" t="s">
        <v>6227</v>
      </c>
    </row>
    <row r="6716" spans="1:18" x14ac:dyDescent="0.25">
      <c r="A6716" s="6" t="str">
        <f>HYPERLINK("proteomic_fractions_linear_files/Yang_linear_img/115647930.jpg", "115647930")</f>
        <v>115647930</v>
      </c>
      <c r="B6716" s="7"/>
      <c r="C6716" s="6" t="str">
        <f>HYPERLINK("http://www.ncbi.nlm.nih.gov/protein/115647930","Serpinb6d")</f>
        <v>Serpinb6d</v>
      </c>
      <c r="D6716" s="8"/>
      <c r="E6716" s="8">
        <v>43184</v>
      </c>
      <c r="F6716" s="8"/>
      <c r="G6716" s="15" t="s">
        <v>10</v>
      </c>
      <c r="H6716" s="15" t="s">
        <v>10</v>
      </c>
      <c r="I6716" s="15" t="s">
        <v>10</v>
      </c>
      <c r="J6716" s="15" t="s">
        <v>10</v>
      </c>
      <c r="K6716" s="15" t="s">
        <v>10</v>
      </c>
      <c r="L6716" s="15" t="s">
        <v>10</v>
      </c>
      <c r="M6716" s="15" t="s">
        <v>10</v>
      </c>
      <c r="N6716" s="15" t="s">
        <v>10</v>
      </c>
      <c r="O6716" s="15">
        <v>0.80356689605756237</v>
      </c>
      <c r="P6716" s="15">
        <v>0.80356689605756237</v>
      </c>
      <c r="Q6716" s="8"/>
      <c r="R6716" s="9" t="s">
        <v>6228</v>
      </c>
    </row>
    <row r="6717" spans="1:18" x14ac:dyDescent="0.25">
      <c r="A6717" s="6" t="str">
        <f>HYPERLINK("proteomic_fractions_linear_files/Yang_linear_img/6678101.jpg", "6678101")</f>
        <v>6678101</v>
      </c>
      <c r="B6717" s="7"/>
      <c r="C6717" s="6" t="str">
        <f>HYPERLINK("http://www.ncbi.nlm.nih.gov/protein/6678101","Serpinb9")</f>
        <v>Serpinb9</v>
      </c>
      <c r="D6717" s="8"/>
      <c r="E6717" s="8">
        <v>42128</v>
      </c>
      <c r="F6717" s="8"/>
      <c r="G6717" s="15">
        <v>0.31659676245241747</v>
      </c>
      <c r="H6717" s="15">
        <v>0.31659676245241747</v>
      </c>
      <c r="I6717" s="15">
        <v>0.96445995721958921</v>
      </c>
      <c r="J6717" s="15">
        <v>0.96445995721958921</v>
      </c>
      <c r="K6717" s="15">
        <v>0.96445995721958921</v>
      </c>
      <c r="L6717" s="15">
        <v>0.96445995721958921</v>
      </c>
      <c r="M6717" s="15" t="s">
        <v>10</v>
      </c>
      <c r="N6717" s="15" t="s">
        <v>10</v>
      </c>
      <c r="O6717" s="15">
        <v>0.82269944120179006</v>
      </c>
      <c r="P6717" s="15">
        <v>0.82269944120179006</v>
      </c>
      <c r="Q6717" s="8"/>
      <c r="R6717" s="9" t="s">
        <v>6229</v>
      </c>
    </row>
    <row r="6718" spans="1:18" x14ac:dyDescent="0.25">
      <c r="A6718" s="6" t="str">
        <f>HYPERLINK("proteomic_fractions_linear_files/Yang_linear_img/15826842.jpg", "15826842")</f>
        <v>15826842</v>
      </c>
      <c r="B6718" s="7"/>
      <c r="C6718" s="6" t="str">
        <f>HYPERLINK("http://www.ncbi.nlm.nih.gov/protein/15826842","Serpinb9b")</f>
        <v>Serpinb9b</v>
      </c>
      <c r="D6718" s="8"/>
      <c r="E6718" s="8">
        <v>42603</v>
      </c>
      <c r="F6718" s="8"/>
      <c r="G6718" s="15" t="s">
        <v>10</v>
      </c>
      <c r="H6718" s="15" t="s">
        <v>10</v>
      </c>
      <c r="I6718" s="15" t="s">
        <v>10</v>
      </c>
      <c r="J6718" s="15" t="s">
        <v>10</v>
      </c>
      <c r="K6718" s="15">
        <v>0.942030655888901</v>
      </c>
      <c r="L6718" s="15">
        <v>0.942030655888901</v>
      </c>
      <c r="M6718" s="15" t="s">
        <v>10</v>
      </c>
      <c r="N6718" s="15" t="s">
        <v>10</v>
      </c>
      <c r="O6718" s="15">
        <v>0.80356689605756237</v>
      </c>
      <c r="P6718" s="15">
        <v>0.80356689605756237</v>
      </c>
      <c r="Q6718" s="8"/>
      <c r="R6718" s="9" t="s">
        <v>6230</v>
      </c>
    </row>
    <row r="6719" spans="1:18" x14ac:dyDescent="0.25">
      <c r="A6719" s="6" t="str">
        <f>HYPERLINK("proteomic_fractions_linear_files/Yang_linear_img/33468935.jpg", "33468935")</f>
        <v>33468935</v>
      </c>
      <c r="B6719" s="7"/>
      <c r="C6719" s="6" t="str">
        <f>HYPERLINK("http://www.ncbi.nlm.nih.gov/protein/33468935","Serpinb9d")</f>
        <v>Serpinb9d</v>
      </c>
      <c r="D6719" s="8"/>
      <c r="E6719" s="8">
        <v>42629</v>
      </c>
      <c r="F6719" s="8"/>
      <c r="G6719" s="15" t="s">
        <v>10</v>
      </c>
      <c r="H6719" s="15" t="s">
        <v>10</v>
      </c>
      <c r="I6719" s="15" t="s">
        <v>10</v>
      </c>
      <c r="J6719" s="15" t="s">
        <v>10</v>
      </c>
      <c r="K6719" s="15" t="s">
        <v>10</v>
      </c>
      <c r="L6719" s="15" t="s">
        <v>10</v>
      </c>
      <c r="M6719" s="15" t="s">
        <v>10</v>
      </c>
      <c r="N6719" s="15" t="s">
        <v>10</v>
      </c>
      <c r="O6719" s="15">
        <v>0.80356689605756237</v>
      </c>
      <c r="P6719" s="15">
        <v>0.80356689605756237</v>
      </c>
      <c r="Q6719" s="8"/>
      <c r="R6719" s="9" t="s">
        <v>6231</v>
      </c>
    </row>
    <row r="6720" spans="1:18" x14ac:dyDescent="0.25">
      <c r="A6720" s="6" t="str">
        <f>HYPERLINK("proteomic_fractions_linear_files/Yang_linear_img/15826846.jpg", "15826846")</f>
        <v>15826846</v>
      </c>
      <c r="B6720" s="7"/>
      <c r="C6720" s="6" t="str">
        <f>HYPERLINK("http://www.ncbi.nlm.nih.gov/protein/15826846","Serpinb9e")</f>
        <v>Serpinb9e</v>
      </c>
      <c r="D6720" s="8"/>
      <c r="E6720" s="8">
        <v>42652</v>
      </c>
      <c r="F6720" s="8"/>
      <c r="G6720" s="15" t="s">
        <v>10</v>
      </c>
      <c r="H6720" s="15" t="s">
        <v>10</v>
      </c>
      <c r="I6720" s="15" t="s">
        <v>10</v>
      </c>
      <c r="J6720" s="15" t="s">
        <v>10</v>
      </c>
      <c r="K6720" s="15" t="s">
        <v>10</v>
      </c>
      <c r="L6720" s="15" t="s">
        <v>10</v>
      </c>
      <c r="M6720" s="15" t="s">
        <v>10</v>
      </c>
      <c r="N6720" s="15" t="s">
        <v>10</v>
      </c>
      <c r="O6720" s="15">
        <v>0.80356689605756237</v>
      </c>
      <c r="P6720" s="15">
        <v>0.80356689605756237</v>
      </c>
      <c r="Q6720" s="8"/>
      <c r="R6720" s="9" t="s">
        <v>6232</v>
      </c>
    </row>
    <row r="6721" spans="1:18" x14ac:dyDescent="0.25">
      <c r="A6721" s="6" t="str">
        <f>HYPERLINK("proteomic_fractions_linear_files/Yang_linear_img/60593101.jpg", "60593101")</f>
        <v>60593101</v>
      </c>
      <c r="B6721" s="7"/>
      <c r="C6721" s="6" t="str">
        <f>HYPERLINK("http://www.ncbi.nlm.nih.gov/protein/60593101","Serpinb9f")</f>
        <v>Serpinb9f</v>
      </c>
      <c r="D6721" s="8"/>
      <c r="E6721" s="8">
        <v>42903</v>
      </c>
      <c r="F6721" s="8"/>
      <c r="G6721" s="15" t="s">
        <v>10</v>
      </c>
      <c r="H6721" s="15" t="s">
        <v>10</v>
      </c>
      <c r="I6721" s="15" t="s">
        <v>10</v>
      </c>
      <c r="J6721" s="15" t="s">
        <v>10</v>
      </c>
      <c r="K6721" s="15" t="s">
        <v>10</v>
      </c>
      <c r="L6721" s="15" t="s">
        <v>10</v>
      </c>
      <c r="M6721" s="15" t="s">
        <v>10</v>
      </c>
      <c r="N6721" s="15" t="s">
        <v>10</v>
      </c>
      <c r="O6721" s="15">
        <v>0.80356689605756237</v>
      </c>
      <c r="P6721" s="15">
        <v>0.80356689605756237</v>
      </c>
      <c r="Q6721" s="8"/>
      <c r="R6721" s="9" t="s">
        <v>6233</v>
      </c>
    </row>
    <row r="6722" spans="1:18" x14ac:dyDescent="0.25">
      <c r="A6722" s="6" t="str">
        <f>HYPERLINK("proteomic_fractions_linear_files/Yang_linear_img/254675225.jpg", "254675225")</f>
        <v>254675225</v>
      </c>
      <c r="B6722" s="7"/>
      <c r="C6722" s="6" t="str">
        <f>HYPERLINK("http://www.ncbi.nlm.nih.gov/protein/254675225","Serpinb9g")</f>
        <v>Serpinb9g</v>
      </c>
      <c r="D6722" s="8"/>
      <c r="E6722" s="8">
        <v>42863</v>
      </c>
      <c r="F6722" s="8"/>
      <c r="G6722" s="15" t="s">
        <v>10</v>
      </c>
      <c r="H6722" s="15" t="s">
        <v>10</v>
      </c>
      <c r="I6722" s="15" t="s">
        <v>10</v>
      </c>
      <c r="J6722" s="15" t="s">
        <v>10</v>
      </c>
      <c r="K6722" s="15" t="s">
        <v>10</v>
      </c>
      <c r="L6722" s="15" t="s">
        <v>10</v>
      </c>
      <c r="M6722" s="15" t="s">
        <v>10</v>
      </c>
      <c r="N6722" s="15" t="s">
        <v>10</v>
      </c>
      <c r="O6722" s="15">
        <v>0.80356689605756237</v>
      </c>
      <c r="P6722" s="15">
        <v>0.80356689605756237</v>
      </c>
      <c r="Q6722" s="8"/>
      <c r="R6722" s="9" t="s">
        <v>6234</v>
      </c>
    </row>
    <row r="6723" spans="1:18" x14ac:dyDescent="0.25">
      <c r="A6723" s="6" t="str">
        <f>HYPERLINK("proteomic_fractions_linear_files/Yang_linear_img/170172562.jpg", "170172562")</f>
        <v>170172562</v>
      </c>
      <c r="B6723" s="7"/>
      <c r="C6723" s="6" t="str">
        <f>HYPERLINK("http://www.ncbi.nlm.nih.gov/protein/170172562","Serpine1")</f>
        <v>Serpine1</v>
      </c>
      <c r="D6723" s="8"/>
      <c r="E6723" s="8">
        <v>42823</v>
      </c>
      <c r="F6723" s="8"/>
      <c r="G6723" s="15" t="s">
        <v>10</v>
      </c>
      <c r="H6723" s="15" t="s">
        <v>10</v>
      </c>
      <c r="I6723" s="15">
        <v>0.35340321613521597</v>
      </c>
      <c r="J6723" s="15">
        <v>0.35340321613521597</v>
      </c>
      <c r="K6723" s="15">
        <v>0.37040562286469247</v>
      </c>
      <c r="L6723" s="15">
        <v>0.37040562286469247</v>
      </c>
      <c r="M6723" s="15" t="s">
        <v>10</v>
      </c>
      <c r="N6723" s="15" t="s">
        <v>10</v>
      </c>
      <c r="O6723" s="15" t="s">
        <v>10</v>
      </c>
      <c r="P6723" s="15" t="s">
        <v>10</v>
      </c>
      <c r="Q6723" s="8"/>
      <c r="R6723" s="9" t="s">
        <v>6235</v>
      </c>
    </row>
    <row r="6724" spans="1:18" x14ac:dyDescent="0.25">
      <c r="A6724" s="6" t="str">
        <f>HYPERLINK("proteomic_fractions_linear_files/Yang_linear_img/161353502.jpg", "161353502")</f>
        <v>161353502</v>
      </c>
      <c r="B6724" s="7"/>
      <c r="C6724" s="6" t="str">
        <f>HYPERLINK("http://www.ncbi.nlm.nih.gov/protein/161353502","Serpinh1")</f>
        <v>Serpinh1</v>
      </c>
      <c r="D6724" s="8"/>
      <c r="E6724" s="8">
        <v>44794</v>
      </c>
      <c r="F6724" s="8"/>
      <c r="G6724" s="15">
        <v>1.3060712796798635</v>
      </c>
      <c r="H6724" s="15">
        <v>1.3060712796798635</v>
      </c>
      <c r="I6724" s="15">
        <v>0.98056864993256598</v>
      </c>
      <c r="J6724" s="15">
        <v>0.98056864993256598</v>
      </c>
      <c r="K6724" s="15">
        <v>1.0731105685425613</v>
      </c>
      <c r="L6724" s="15">
        <v>1.0731105685425613</v>
      </c>
      <c r="M6724" s="15" t="s">
        <v>10</v>
      </c>
      <c r="N6724" s="15" t="s">
        <v>10</v>
      </c>
      <c r="O6724" s="15">
        <v>0.90016262673828318</v>
      </c>
      <c r="P6724" s="15">
        <v>0.90016262673828318</v>
      </c>
      <c r="Q6724" s="8"/>
      <c r="R6724" s="9" t="s">
        <v>6236</v>
      </c>
    </row>
    <row r="6725" spans="1:18" x14ac:dyDescent="0.25">
      <c r="A6725" s="6" t="str">
        <f>HYPERLINK("proteomic_fractions_linear_files/Yang_linear_img/30425210.jpg", "30425210")</f>
        <v>30425210</v>
      </c>
      <c r="B6725" s="7"/>
      <c r="C6725" s="6" t="str">
        <f>HYPERLINK("http://www.ncbi.nlm.nih.gov/protein/30425210","Sestd1")</f>
        <v>Sestd1</v>
      </c>
      <c r="D6725" s="8"/>
      <c r="E6725" s="8">
        <v>79246</v>
      </c>
      <c r="F6725" s="8"/>
      <c r="G6725" s="15" t="s">
        <v>10</v>
      </c>
      <c r="H6725" s="15" t="s">
        <v>10</v>
      </c>
      <c r="I6725" s="15">
        <v>1.0518817528246058</v>
      </c>
      <c r="J6725" s="15">
        <v>1.0518817528246058</v>
      </c>
      <c r="K6725" s="15">
        <v>1.2021263440833483</v>
      </c>
      <c r="L6725" s="15">
        <v>1.2021263440833483</v>
      </c>
      <c r="M6725" s="15">
        <v>1.0518817528246058</v>
      </c>
      <c r="N6725" s="15">
        <v>1.0518817528246058</v>
      </c>
      <c r="O6725" s="15">
        <v>1.0518817528246058</v>
      </c>
      <c r="P6725" s="15">
        <v>1.0518817528246058</v>
      </c>
      <c r="Q6725" s="8"/>
      <c r="R6725" s="9" t="s">
        <v>6237</v>
      </c>
    </row>
    <row r="6726" spans="1:18" x14ac:dyDescent="0.25">
      <c r="A6726" s="6" t="str">
        <f>HYPERLINK("proteomic_fractions_linear_files/Yang_linear_img/13591862.jpg", "13591862")</f>
        <v>13591862</v>
      </c>
      <c r="B6726" s="7"/>
      <c r="C6726" s="6" t="str">
        <f>HYPERLINK("http://www.ncbi.nlm.nih.gov/protein/13591862","Set")</f>
        <v>Set</v>
      </c>
      <c r="D6726" s="8"/>
      <c r="E6726" s="8">
        <v>33247</v>
      </c>
      <c r="F6726" s="8"/>
      <c r="G6726" s="15">
        <v>1.0470720160750056</v>
      </c>
      <c r="H6726" s="15">
        <v>1.0470720160750056</v>
      </c>
      <c r="I6726" s="15">
        <v>0.70029010226416499</v>
      </c>
      <c r="J6726" s="15">
        <v>1.2274944910067498</v>
      </c>
      <c r="K6726" s="15">
        <v>1.1315553461552907</v>
      </c>
      <c r="L6726" s="15">
        <v>1.1315553461552907</v>
      </c>
      <c r="M6726" s="15">
        <v>0.53242241713208993</v>
      </c>
      <c r="N6726" s="15">
        <v>0.53242241713208993</v>
      </c>
      <c r="O6726" s="15">
        <v>1.1315553461552907</v>
      </c>
      <c r="P6726" s="15">
        <v>1.1315553461552907</v>
      </c>
      <c r="Q6726" s="8"/>
      <c r="R6726" s="9" t="s">
        <v>6238</v>
      </c>
    </row>
    <row r="6727" spans="1:18" x14ac:dyDescent="0.25">
      <c r="A6727" s="6" t="str">
        <f>HYPERLINK("proteomic_fractions_linear_files/Yang_linear_img/325910859.jpg", "325910859")</f>
        <v>325910859</v>
      </c>
      <c r="B6727" s="7"/>
      <c r="C6727" s="6" t="str">
        <f>HYPERLINK("http://www.ncbi.nlm.nih.gov/protein/325910859","Set")</f>
        <v>Set</v>
      </c>
      <c r="D6727" s="8"/>
      <c r="E6727" s="8">
        <v>31974</v>
      </c>
      <c r="F6727" s="8"/>
      <c r="G6727" s="15">
        <v>1.0797930165773495</v>
      </c>
      <c r="H6727" s="15">
        <v>1.0797930165773495</v>
      </c>
      <c r="I6727" s="15">
        <v>0.72217416795992018</v>
      </c>
      <c r="J6727" s="15">
        <v>1.2658536938507108</v>
      </c>
      <c r="K6727" s="15">
        <v>1.1669164507226435</v>
      </c>
      <c r="L6727" s="15">
        <v>1.1669164507226435</v>
      </c>
      <c r="M6727" s="15">
        <v>0.54906061766746772</v>
      </c>
      <c r="N6727" s="15">
        <v>0.54906061766746772</v>
      </c>
      <c r="O6727" s="15">
        <v>1.1669164507226435</v>
      </c>
      <c r="P6727" s="15">
        <v>1.1669164507226435</v>
      </c>
      <c r="Q6727" s="8"/>
      <c r="R6727" s="9" t="s">
        <v>6239</v>
      </c>
    </row>
    <row r="6728" spans="1:18" x14ac:dyDescent="0.25">
      <c r="A6728" s="6" t="str">
        <f>HYPERLINK("proteomic_fractions_linear_files/Yang_linear_img/119508422.jpg", "119508422")</f>
        <v>119508422</v>
      </c>
      <c r="B6728" s="7"/>
      <c r="C6728" s="6" t="str">
        <f>HYPERLINK("http://www.ncbi.nlm.nih.gov/protein/119508422","Setd1a")</f>
        <v>Setd1a</v>
      </c>
      <c r="D6728" s="8"/>
      <c r="E6728" s="8">
        <v>185929</v>
      </c>
      <c r="F6728" s="8"/>
      <c r="G6728" s="15" t="s">
        <v>10</v>
      </c>
      <c r="H6728" s="15" t="s">
        <v>10</v>
      </c>
      <c r="I6728" s="15" t="s">
        <v>10</v>
      </c>
      <c r="J6728" s="15" t="s">
        <v>10</v>
      </c>
      <c r="K6728" s="15" t="s">
        <v>10</v>
      </c>
      <c r="L6728" s="15" t="s">
        <v>10</v>
      </c>
      <c r="M6728" s="15">
        <v>0.20075981947916446</v>
      </c>
      <c r="N6728" s="15">
        <v>0.20075981947916446</v>
      </c>
      <c r="O6728" s="15">
        <v>0.16067423060060823</v>
      </c>
      <c r="P6728" s="15">
        <v>0.16067423060060823</v>
      </c>
      <c r="Q6728" s="8"/>
      <c r="R6728" s="9" t="s">
        <v>6240</v>
      </c>
    </row>
    <row r="6729" spans="1:18" x14ac:dyDescent="0.25">
      <c r="A6729" s="6" t="str">
        <f>HYPERLINK("proteomic_fractions_linear_files/Yang_linear_img/268370088.jpg", "268370088")</f>
        <v>268370088</v>
      </c>
      <c r="B6729" s="7"/>
      <c r="C6729" s="6" t="str">
        <f>HYPERLINK("http://www.ncbi.nlm.nih.gov/protein/268370088","Setd3")</f>
        <v>Setd3</v>
      </c>
      <c r="D6729" s="8"/>
      <c r="E6729" s="8">
        <v>67045</v>
      </c>
      <c r="F6729" s="8"/>
      <c r="G6729" s="15" t="s">
        <v>10</v>
      </c>
      <c r="H6729" s="15" t="s">
        <v>10</v>
      </c>
      <c r="I6729" s="15">
        <v>0.97691437806782588</v>
      </c>
      <c r="J6729" s="15">
        <v>0.97691437806782588</v>
      </c>
      <c r="K6729" s="15">
        <v>1.0960620931594365</v>
      </c>
      <c r="L6729" s="15">
        <v>1.0960620931594365</v>
      </c>
      <c r="M6729" s="15">
        <v>1.0960620931594365</v>
      </c>
      <c r="N6729" s="15">
        <v>1.0960620931594365</v>
      </c>
      <c r="O6729" s="15" t="s">
        <v>10</v>
      </c>
      <c r="P6729" s="15" t="s">
        <v>10</v>
      </c>
      <c r="Q6729" s="8"/>
      <c r="R6729" s="9" t="s">
        <v>6241</v>
      </c>
    </row>
    <row r="6730" spans="1:18" x14ac:dyDescent="0.25">
      <c r="A6730" s="6" t="str">
        <f>HYPERLINK("proteomic_fractions_linear_files/Yang_linear_img/84490382.jpg", "84490382")</f>
        <v>84490382</v>
      </c>
      <c r="B6730" s="7"/>
      <c r="C6730" s="6" t="str">
        <f>HYPERLINK("http://www.ncbi.nlm.nih.gov/protein/84490382","Setd7")</f>
        <v>Setd7</v>
      </c>
      <c r="D6730" s="8"/>
      <c r="E6730" s="8">
        <v>40375</v>
      </c>
      <c r="F6730" s="8"/>
      <c r="G6730" s="15" t="s">
        <v>10</v>
      </c>
      <c r="H6730" s="15" t="s">
        <v>10</v>
      </c>
      <c r="I6730" s="15" t="s">
        <v>10</v>
      </c>
      <c r="J6730" s="15" t="s">
        <v>10</v>
      </c>
      <c r="K6730" s="15" t="s">
        <v>10</v>
      </c>
      <c r="L6730" s="15" t="s">
        <v>10</v>
      </c>
      <c r="M6730" s="15" t="s">
        <v>10</v>
      </c>
      <c r="N6730" s="15" t="s">
        <v>10</v>
      </c>
      <c r="O6730" s="15">
        <v>1.1031397311741367</v>
      </c>
      <c r="P6730" s="15">
        <v>1.1031397311741367</v>
      </c>
      <c r="Q6730" s="8"/>
      <c r="R6730" s="9" t="s">
        <v>6242</v>
      </c>
    </row>
    <row r="6731" spans="1:18" x14ac:dyDescent="0.25">
      <c r="A6731" s="6" t="str">
        <f>HYPERLINK("proteomic_fractions_linear_files/Yang_linear_img/113722131.jpg", "113722131")</f>
        <v>113722131</v>
      </c>
      <c r="B6731" s="7"/>
      <c r="C6731" s="6" t="str">
        <f>HYPERLINK("http://www.ncbi.nlm.nih.gov/protein/113722131","Setx")</f>
        <v>Setx</v>
      </c>
      <c r="D6731" s="8"/>
      <c r="E6731" s="8">
        <v>297459</v>
      </c>
      <c r="F6731" s="8"/>
      <c r="G6731" s="15" t="s">
        <v>10</v>
      </c>
      <c r="H6731" s="15" t="s">
        <v>10</v>
      </c>
      <c r="I6731" s="15" t="s">
        <v>10</v>
      </c>
      <c r="J6731" s="15" t="s">
        <v>10</v>
      </c>
      <c r="K6731" s="15">
        <v>0.1257283717950323</v>
      </c>
      <c r="L6731" s="15">
        <v>0.1257283717950323</v>
      </c>
      <c r="M6731" s="15" t="s">
        <v>10</v>
      </c>
      <c r="N6731" s="15" t="s">
        <v>10</v>
      </c>
      <c r="O6731" s="15" t="s">
        <v>10</v>
      </c>
      <c r="P6731" s="15" t="s">
        <v>10</v>
      </c>
      <c r="Q6731" s="8"/>
      <c r="R6731" s="9" t="s">
        <v>6243</v>
      </c>
    </row>
    <row r="6732" spans="1:18" x14ac:dyDescent="0.25">
      <c r="A6732" s="6" t="str">
        <f>HYPERLINK("proteomic_fractions_linear_files/Yang_linear_img/160707945.jpg", "160707945")</f>
        <v>160707945</v>
      </c>
      <c r="B6732" s="7"/>
      <c r="C6732" s="6" t="str">
        <f>HYPERLINK("http://www.ncbi.nlm.nih.gov/protein/160707945","Sf1")</f>
        <v>Sf1</v>
      </c>
      <c r="D6732" s="8"/>
      <c r="E6732" s="8">
        <v>59568</v>
      </c>
      <c r="F6732" s="8"/>
      <c r="G6732" s="15">
        <v>1.5827996863764084</v>
      </c>
      <c r="H6732" s="15">
        <v>1.5827996863764084</v>
      </c>
      <c r="I6732" s="15">
        <v>0.73542648744942452</v>
      </c>
      <c r="J6732" s="15">
        <v>0.73542648744942452</v>
      </c>
      <c r="K6732" s="15">
        <v>1.3849776412190642</v>
      </c>
      <c r="L6732" s="15">
        <v>1.3849776412190642</v>
      </c>
      <c r="M6732" s="15">
        <v>0.21245365569896044</v>
      </c>
      <c r="N6732" s="15">
        <v>0.21245365569896044</v>
      </c>
      <c r="O6732" s="15">
        <v>1.3849776412190642</v>
      </c>
      <c r="P6732" s="15">
        <v>1.3849776412190642</v>
      </c>
      <c r="Q6732" s="8"/>
      <c r="R6732" s="9" t="s">
        <v>6244</v>
      </c>
    </row>
    <row r="6733" spans="1:18" x14ac:dyDescent="0.25">
      <c r="A6733" s="6" t="str">
        <f>HYPERLINK("proteomic_fractions_linear_files/Yang_linear_img/160707947.jpg", "160707947")</f>
        <v>160707947</v>
      </c>
      <c r="B6733" s="7"/>
      <c r="C6733" s="6" t="str">
        <f>HYPERLINK("http://www.ncbi.nlm.nih.gov/protein/160707947","Sf1")</f>
        <v>Sf1</v>
      </c>
      <c r="D6733" s="8"/>
      <c r="E6733" s="8">
        <v>68216</v>
      </c>
      <c r="F6733" s="8"/>
      <c r="G6733" s="15">
        <v>1.3965879585674192</v>
      </c>
      <c r="H6733" s="15">
        <v>1.3965879585674192</v>
      </c>
      <c r="I6733" s="15">
        <v>0.64890572422008042</v>
      </c>
      <c r="J6733" s="15">
        <v>0.64890572422008042</v>
      </c>
      <c r="K6733" s="15">
        <v>1.222039095193292</v>
      </c>
      <c r="L6733" s="15">
        <v>1.222039095193292</v>
      </c>
      <c r="M6733" s="15">
        <v>0.18745910796967097</v>
      </c>
      <c r="N6733" s="15">
        <v>0.18745910796967097</v>
      </c>
      <c r="O6733" s="15">
        <v>1.222039095193292</v>
      </c>
      <c r="P6733" s="15">
        <v>1.222039095193292</v>
      </c>
      <c r="Q6733" s="8"/>
      <c r="R6733" s="9" t="s">
        <v>6245</v>
      </c>
    </row>
    <row r="6734" spans="1:18" x14ac:dyDescent="0.25">
      <c r="A6734" s="6" t="str">
        <f>HYPERLINK("proteomic_fractions_linear_files/Yang_linear_img/165932270.jpg", "165932270")</f>
        <v>165932270</v>
      </c>
      <c r="B6734" s="7"/>
      <c r="C6734" s="6" t="str">
        <f>HYPERLINK("http://www.ncbi.nlm.nih.gov/protein/165932270","Sf3a1")</f>
        <v>Sf3a1</v>
      </c>
      <c r="D6734" s="8"/>
      <c r="E6734" s="8">
        <v>88414</v>
      </c>
      <c r="F6734" s="8"/>
      <c r="G6734" s="15">
        <v>1.2477450434219486</v>
      </c>
      <c r="H6734" s="15">
        <v>1.2477450434219486</v>
      </c>
      <c r="I6734" s="15">
        <v>1.2477450434219486</v>
      </c>
      <c r="J6734" s="15">
        <v>1.2477450434219486</v>
      </c>
      <c r="K6734" s="15">
        <v>1.4627457743763292</v>
      </c>
      <c r="L6734" s="15">
        <v>1.4627457743763292</v>
      </c>
      <c r="M6734" s="15">
        <v>1.4627457743763292</v>
      </c>
      <c r="N6734" s="15">
        <v>1.4627457743763292</v>
      </c>
      <c r="O6734" s="15">
        <v>1.4627457743763292</v>
      </c>
      <c r="P6734" s="15">
        <v>1.4627457743763292</v>
      </c>
      <c r="Q6734" s="8"/>
      <c r="R6734" s="9" t="s">
        <v>6246</v>
      </c>
    </row>
    <row r="6735" spans="1:18" x14ac:dyDescent="0.25">
      <c r="A6735" s="6" t="str">
        <f>HYPERLINK("proteomic_fractions_linear_files/Yang_linear_img/158749553.jpg", "158749553")</f>
        <v>158749553</v>
      </c>
      <c r="B6735" s="7"/>
      <c r="C6735" s="6" t="str">
        <f>HYPERLINK("http://www.ncbi.nlm.nih.gov/protein/158749553","Sf3a2")</f>
        <v>Sf3a2</v>
      </c>
      <c r="D6735" s="8"/>
      <c r="E6735" s="8">
        <v>51148</v>
      </c>
      <c r="F6735" s="8"/>
      <c r="G6735" s="15" t="s">
        <v>10</v>
      </c>
      <c r="H6735" s="15" t="s">
        <v>10</v>
      </c>
      <c r="I6735" s="15" t="s">
        <v>10</v>
      </c>
      <c r="J6735" s="15" t="s">
        <v>10</v>
      </c>
      <c r="K6735" s="15">
        <v>1.2833973202067517</v>
      </c>
      <c r="L6735" s="15">
        <v>1.2833973202067517</v>
      </c>
      <c r="M6735" s="15">
        <v>1.2833973202067517</v>
      </c>
      <c r="N6735" s="15">
        <v>1.2833973202067517</v>
      </c>
      <c r="O6735" s="15" t="s">
        <v>10</v>
      </c>
      <c r="P6735" s="15" t="s">
        <v>10</v>
      </c>
      <c r="Q6735" s="8"/>
      <c r="R6735" s="9" t="s">
        <v>6247</v>
      </c>
    </row>
    <row r="6736" spans="1:18" x14ac:dyDescent="0.25">
      <c r="A6736" s="6" t="str">
        <f>HYPERLINK("proteomic_fractions_linear_files/Yang_linear_img/22095003.jpg", "22095003")</f>
        <v>22095003</v>
      </c>
      <c r="B6736" s="7"/>
      <c r="C6736" s="6" t="str">
        <f>HYPERLINK("http://www.ncbi.nlm.nih.gov/protein/22095003","Sf3a3")</f>
        <v>Sf3a3</v>
      </c>
      <c r="D6736" s="8"/>
      <c r="E6736" s="8">
        <v>58711</v>
      </c>
      <c r="F6736" s="8"/>
      <c r="G6736" s="15">
        <v>1.244680682062411</v>
      </c>
      <c r="H6736" s="15">
        <v>1.244680682062411</v>
      </c>
      <c r="I6736" s="15">
        <v>0.99615606077277719</v>
      </c>
      <c r="J6736" s="15">
        <v>0.99615606077277719</v>
      </c>
      <c r="K6736" s="15">
        <v>1.1093773445854971</v>
      </c>
      <c r="L6736" s="15">
        <v>1.1093773445854971</v>
      </c>
      <c r="M6736" s="15">
        <v>0.99615606077277719</v>
      </c>
      <c r="N6736" s="15">
        <v>0.99615606077277719</v>
      </c>
      <c r="O6736" s="15" t="s">
        <v>10</v>
      </c>
      <c r="P6736" s="15" t="s">
        <v>10</v>
      </c>
      <c r="Q6736" s="8"/>
      <c r="R6736" s="9" t="s">
        <v>6248</v>
      </c>
    </row>
    <row r="6737" spans="1:18" x14ac:dyDescent="0.25">
      <c r="A6737" s="6" t="str">
        <f>HYPERLINK("proteomic_fractions_linear_files/Yang_linear_img/153791358.jpg", "153791358")</f>
        <v>153791358</v>
      </c>
      <c r="B6737" s="7"/>
      <c r="C6737" s="6" t="str">
        <f>HYPERLINK("http://www.ncbi.nlm.nih.gov/protein/153791358","Sf3b1")</f>
        <v>Sf3b1</v>
      </c>
      <c r="D6737" s="8"/>
      <c r="E6737" s="8">
        <v>145700</v>
      </c>
      <c r="F6737" s="8"/>
      <c r="G6737" s="15">
        <v>1.2792180249310983</v>
      </c>
      <c r="H6737" s="15">
        <v>1.2792180249310983</v>
      </c>
      <c r="I6737" s="15">
        <v>1.051047062576999</v>
      </c>
      <c r="J6737" s="15">
        <v>1.051047062576999</v>
      </c>
      <c r="K6737" s="15">
        <v>1.2792180249310983</v>
      </c>
      <c r="L6737" s="15">
        <v>1.2792180249310983</v>
      </c>
      <c r="M6737" s="15">
        <v>1.2792180249310983</v>
      </c>
      <c r="N6737" s="15">
        <v>1.2792180249310983</v>
      </c>
      <c r="O6737" s="15">
        <v>1.2792180249310983</v>
      </c>
      <c r="P6737" s="15">
        <v>1.2792180249310983</v>
      </c>
      <c r="Q6737" s="8"/>
      <c r="R6737" s="9" t="s">
        <v>6249</v>
      </c>
    </row>
    <row r="6738" spans="1:18" x14ac:dyDescent="0.25">
      <c r="A6738" s="6" t="str">
        <f>HYPERLINK("proteomic_fractions_linear_files/Yang_linear_img/268837785.jpg", "268837785")</f>
        <v>268837785</v>
      </c>
      <c r="B6738" s="7"/>
      <c r="C6738" s="6" t="str">
        <f>HYPERLINK("http://www.ncbi.nlm.nih.gov/protein/268837785","Sf3b2")</f>
        <v>Sf3b2</v>
      </c>
      <c r="D6738" s="8"/>
      <c r="E6738" s="8">
        <v>98068</v>
      </c>
      <c r="F6738" s="8"/>
      <c r="G6738" s="15">
        <v>1.5658456238392024</v>
      </c>
      <c r="H6738" s="15">
        <v>1.5658456238392024</v>
      </c>
      <c r="I6738" s="15">
        <v>1.5658456238392024</v>
      </c>
      <c r="J6738" s="15">
        <v>1.5658456238392024</v>
      </c>
      <c r="K6738" s="15">
        <v>1.5658456238392024</v>
      </c>
      <c r="L6738" s="15">
        <v>1.5658456238392024</v>
      </c>
      <c r="M6738" s="15">
        <v>1.5658456238392024</v>
      </c>
      <c r="N6738" s="15">
        <v>1.5658456238392024</v>
      </c>
      <c r="O6738" s="15">
        <v>1.5658456238392024</v>
      </c>
      <c r="P6738" s="15">
        <v>1.5658456238392024</v>
      </c>
      <c r="Q6738" s="8"/>
      <c r="R6738" s="9" t="s">
        <v>6250</v>
      </c>
    </row>
    <row r="6739" spans="1:18" x14ac:dyDescent="0.25">
      <c r="A6739" s="6" t="str">
        <f>HYPERLINK("proteomic_fractions_linear_files/Yang_linear_img/19527174.jpg", "19527174")</f>
        <v>19527174</v>
      </c>
      <c r="B6739" s="7"/>
      <c r="C6739" s="6" t="str">
        <f>HYPERLINK("http://www.ncbi.nlm.nih.gov/protein/19527174","Sf3b3")</f>
        <v>Sf3b3</v>
      </c>
      <c r="D6739" s="8"/>
      <c r="E6739" s="8">
        <v>135420</v>
      </c>
      <c r="F6739" s="8"/>
      <c r="G6739" s="15">
        <v>1.1366879343425322</v>
      </c>
      <c r="H6739" s="15">
        <v>1.1366879343425322</v>
      </c>
      <c r="I6739" s="15">
        <v>1.1366879343425322</v>
      </c>
      <c r="J6739" s="15">
        <v>1.1366879343425322</v>
      </c>
      <c r="K6739" s="15">
        <v>1.1366879343425322</v>
      </c>
      <c r="L6739" s="15">
        <v>1.1366879343425322</v>
      </c>
      <c r="M6739" s="15">
        <v>1.1366879343425322</v>
      </c>
      <c r="N6739" s="15">
        <v>1.1366879343425322</v>
      </c>
      <c r="O6739" s="15">
        <v>1.1366879343425322</v>
      </c>
      <c r="P6739" s="15">
        <v>1.1366879343425322</v>
      </c>
      <c r="Q6739" s="8"/>
      <c r="R6739" s="9" t="s">
        <v>6251</v>
      </c>
    </row>
    <row r="6740" spans="1:18" x14ac:dyDescent="0.25">
      <c r="A6740" s="6" t="str">
        <f>HYPERLINK("proteomic_fractions_linear_files/Yang_linear_img/23346437.jpg", "23346437")</f>
        <v>23346437</v>
      </c>
      <c r="B6740" s="7"/>
      <c r="C6740" s="6" t="str">
        <f>HYPERLINK("http://www.ncbi.nlm.nih.gov/protein/23346437","Sf3b4")</f>
        <v>Sf3b4</v>
      </c>
      <c r="D6740" s="8"/>
      <c r="E6740" s="8">
        <v>44225</v>
      </c>
      <c r="F6740" s="8"/>
      <c r="G6740" s="15" t="s">
        <v>10</v>
      </c>
      <c r="H6740" s="15" t="s">
        <v>10</v>
      </c>
      <c r="I6740" s="15">
        <v>1.0974994451003466</v>
      </c>
      <c r="J6740" s="15">
        <v>1.0974994451003466</v>
      </c>
      <c r="K6740" s="15">
        <v>1.0974994451003466</v>
      </c>
      <c r="L6740" s="15">
        <v>1.0974994451003466</v>
      </c>
      <c r="M6740" s="15" t="s">
        <v>10</v>
      </c>
      <c r="N6740" s="15" t="s">
        <v>10</v>
      </c>
      <c r="O6740" s="15" t="s">
        <v>10</v>
      </c>
      <c r="P6740" s="15" t="s">
        <v>10</v>
      </c>
      <c r="Q6740" s="8"/>
      <c r="R6740" s="9" t="s">
        <v>6252</v>
      </c>
    </row>
    <row r="6741" spans="1:18" x14ac:dyDescent="0.25">
      <c r="A6741" s="6" t="str">
        <f>HYPERLINK("proteomic_fractions_linear_files/Yang_linear_img/85540445.jpg", "85540445")</f>
        <v>85540445</v>
      </c>
      <c r="B6741" s="7"/>
      <c r="C6741" s="6" t="str">
        <f>HYPERLINK("http://www.ncbi.nlm.nih.gov/protein/85540445","Sf3b5")</f>
        <v>Sf3b5</v>
      </c>
      <c r="D6741" s="8"/>
      <c r="E6741" s="8">
        <v>9988</v>
      </c>
      <c r="F6741" s="8"/>
      <c r="G6741" s="15">
        <v>1.9501149828035274</v>
      </c>
      <c r="H6741" s="15">
        <v>1.9501149828035274</v>
      </c>
      <c r="I6741" s="15">
        <v>1.2747219341937626</v>
      </c>
      <c r="J6741" s="15">
        <v>1.2747219341937626</v>
      </c>
      <c r="K6741" s="15">
        <v>1.3885850499936649</v>
      </c>
      <c r="L6741" s="15">
        <v>1.3885850499936649</v>
      </c>
      <c r="M6741" s="15">
        <v>1.3297064023001535</v>
      </c>
      <c r="N6741" s="15">
        <v>1.3297064023001535</v>
      </c>
      <c r="O6741" s="15">
        <v>1.2232861292331356</v>
      </c>
      <c r="P6741" s="15">
        <v>1.2232861292331356</v>
      </c>
      <c r="Q6741" s="8"/>
      <c r="R6741" s="9" t="s">
        <v>6253</v>
      </c>
    </row>
    <row r="6742" spans="1:18" x14ac:dyDescent="0.25">
      <c r="A6742" s="6" t="str">
        <f>HYPERLINK("proteomic_fractions_linear_files/Yang_linear_img/134023662.jpg", "134023662")</f>
        <v>134023662</v>
      </c>
      <c r="B6742" s="7"/>
      <c r="C6742" s="6" t="str">
        <f>HYPERLINK("http://www.ncbi.nlm.nih.gov/protein/134023662","Sfn")</f>
        <v>Sfn</v>
      </c>
      <c r="D6742" s="8"/>
      <c r="E6742" s="8">
        <v>27575</v>
      </c>
      <c r="F6742" s="8"/>
      <c r="G6742" s="15">
        <v>1.3336188008258782</v>
      </c>
      <c r="H6742" s="15">
        <v>1.3336188008258782</v>
      </c>
      <c r="I6742" s="15">
        <v>0.93393778983660714</v>
      </c>
      <c r="J6742" s="15">
        <v>0.93393778983660714</v>
      </c>
      <c r="K6742" s="15">
        <v>0.99707897491721642</v>
      </c>
      <c r="L6742" s="15">
        <v>0.99707897491721642</v>
      </c>
      <c r="M6742" s="15">
        <v>0.93393778983660714</v>
      </c>
      <c r="N6742" s="15">
        <v>0.93393778983660714</v>
      </c>
      <c r="O6742" s="15">
        <v>0.87695787904560418</v>
      </c>
      <c r="P6742" s="15">
        <v>0.87695787904560418</v>
      </c>
      <c r="Q6742" s="8"/>
      <c r="R6742" s="9" t="s">
        <v>6254</v>
      </c>
    </row>
    <row r="6743" spans="1:18" x14ac:dyDescent="0.25">
      <c r="A6743" s="6" t="str">
        <f>HYPERLINK("proteomic_fractions_linear_files/Yang_linear_img/23956214.jpg", "23956214")</f>
        <v>23956214</v>
      </c>
      <c r="B6743" s="7"/>
      <c r="C6743" s="6" t="str">
        <f>HYPERLINK("http://www.ncbi.nlm.nih.gov/protein/23956214","Sfpq")</f>
        <v>Sfpq</v>
      </c>
      <c r="D6743" s="8"/>
      <c r="E6743" s="8">
        <v>75311</v>
      </c>
      <c r="F6743" s="8"/>
      <c r="G6743" s="15">
        <v>1.7162883752682263</v>
      </c>
      <c r="H6743" s="15">
        <v>1.7162883752682263</v>
      </c>
      <c r="I6743" s="15">
        <v>1.4640208509484196</v>
      </c>
      <c r="J6743" s="15">
        <v>1.4640208509484196</v>
      </c>
      <c r="K6743" s="15">
        <v>1.4640208509484196</v>
      </c>
      <c r="L6743" s="15">
        <v>1.4640208509484196</v>
      </c>
      <c r="M6743" s="15">
        <v>1.4640208509484196</v>
      </c>
      <c r="N6743" s="15">
        <v>1.4640208509484196</v>
      </c>
      <c r="O6743" s="15" t="s">
        <v>10</v>
      </c>
      <c r="P6743" s="15" t="s">
        <v>10</v>
      </c>
      <c r="Q6743" s="8"/>
      <c r="R6743" s="9" t="s">
        <v>6255</v>
      </c>
    </row>
    <row r="6744" spans="1:18" x14ac:dyDescent="0.25">
      <c r="A6744" s="6" t="str">
        <f>HYPERLINK("proteomic_fractions_linear_files/Yang_linear_img/125662573.jpg", "125662573")</f>
        <v>125662573</v>
      </c>
      <c r="B6744" s="7"/>
      <c r="C6744" s="6" t="str">
        <f>HYPERLINK("http://www.ncbi.nlm.nih.gov/protein/125662573","Sfr1")</f>
        <v>Sfr1</v>
      </c>
      <c r="D6744" s="8"/>
      <c r="E6744" s="8">
        <v>35052</v>
      </c>
      <c r="F6744" s="8"/>
      <c r="G6744" s="15" t="s">
        <v>10</v>
      </c>
      <c r="H6744" s="15" t="s">
        <v>10</v>
      </c>
      <c r="I6744" s="15" t="s">
        <v>10</v>
      </c>
      <c r="J6744" s="15" t="s">
        <v>10</v>
      </c>
      <c r="K6744" s="15" t="s">
        <v>10</v>
      </c>
      <c r="L6744" s="15" t="s">
        <v>10</v>
      </c>
      <c r="M6744" s="15">
        <v>0.85386876833466085</v>
      </c>
      <c r="N6744" s="15">
        <v>0.85386876833466085</v>
      </c>
      <c r="O6744" s="15">
        <v>1.5177305608571736</v>
      </c>
      <c r="P6744" s="15">
        <v>1.5177305608571736</v>
      </c>
      <c r="Q6744" s="8"/>
      <c r="R6744" s="9" t="s">
        <v>6256</v>
      </c>
    </row>
    <row r="6745" spans="1:18" x14ac:dyDescent="0.25">
      <c r="A6745" s="6" t="str">
        <f>HYPERLINK("proteomic_fractions_linear_files/Yang_linear_img/226437597.jpg", "226437597")</f>
        <v>226437597</v>
      </c>
      <c r="B6745" s="7"/>
      <c r="C6745" s="6" t="str">
        <f>HYPERLINK("http://www.ncbi.nlm.nih.gov/protein/226437597","Sfrs18")</f>
        <v>Sfrs18</v>
      </c>
      <c r="D6745" s="8"/>
      <c r="E6745" s="8">
        <v>93065</v>
      </c>
      <c r="F6745" s="8"/>
      <c r="G6745" s="15" t="s">
        <v>10</v>
      </c>
      <c r="H6745" s="15" t="s">
        <v>10</v>
      </c>
      <c r="I6745" s="15">
        <v>64.441935483870978</v>
      </c>
      <c r="J6745" s="15">
        <v>64.441935483870978</v>
      </c>
      <c r="K6745" s="15">
        <v>64.441935483870978</v>
      </c>
      <c r="L6745" s="15">
        <v>64.441935483870978</v>
      </c>
      <c r="M6745" s="15" t="s">
        <v>10</v>
      </c>
      <c r="N6745" s="15" t="s">
        <v>10</v>
      </c>
      <c r="O6745" s="15" t="s">
        <v>10</v>
      </c>
      <c r="P6745" s="15" t="s">
        <v>10</v>
      </c>
      <c r="Q6745" s="8"/>
      <c r="R6745" s="9" t="s">
        <v>6257</v>
      </c>
    </row>
    <row r="6746" spans="1:18" x14ac:dyDescent="0.25">
      <c r="A6746" s="6" t="str">
        <f>HYPERLINK("proteomic_fractions_linear_files/Yang_linear_img/21704008.jpg", "21704008")</f>
        <v>21704008</v>
      </c>
      <c r="B6746" s="7"/>
      <c r="C6746" s="6" t="str">
        <f>HYPERLINK("http://www.ncbi.nlm.nih.gov/protein/21704008","Sft2d2")</f>
        <v>Sft2d2</v>
      </c>
      <c r="D6746" s="8"/>
      <c r="E6746" s="8">
        <v>17368</v>
      </c>
      <c r="F6746" s="8"/>
      <c r="G6746" s="15">
        <v>0.89390225257731093</v>
      </c>
      <c r="H6746" s="15">
        <v>0.89390225257731093</v>
      </c>
      <c r="I6746" s="15" t="s">
        <v>10</v>
      </c>
      <c r="J6746" s="15" t="s">
        <v>10</v>
      </c>
      <c r="K6746" s="15">
        <v>0.98332203062394252</v>
      </c>
      <c r="L6746" s="15">
        <v>0.98332203062394252</v>
      </c>
      <c r="M6746" s="15">
        <v>0.98332203062394252</v>
      </c>
      <c r="N6746" s="15">
        <v>0.98332203062394252</v>
      </c>
      <c r="O6746" s="15" t="s">
        <v>10</v>
      </c>
      <c r="P6746" s="15" t="s">
        <v>10</v>
      </c>
      <c r="Q6746" s="8"/>
      <c r="R6746" s="9" t="s">
        <v>6258</v>
      </c>
    </row>
    <row r="6747" spans="1:18" x14ac:dyDescent="0.25">
      <c r="A6747" s="6" t="str">
        <f>HYPERLINK("proteomic_fractions_linear_files/Yang_linear_img/242247185.jpg", "242247185")</f>
        <v>242247185</v>
      </c>
      <c r="B6747" s="7"/>
      <c r="C6747" s="6" t="str">
        <f>HYPERLINK("http://www.ncbi.nlm.nih.gov/protein/242247185","Sft2d3")</f>
        <v>Sft2d3</v>
      </c>
      <c r="D6747" s="8"/>
      <c r="E6747" s="8">
        <v>21818</v>
      </c>
      <c r="F6747" s="8"/>
      <c r="G6747" s="15" t="s">
        <v>10</v>
      </c>
      <c r="H6747" s="15" t="s">
        <v>10</v>
      </c>
      <c r="I6747" s="15">
        <v>0.8406954165710947</v>
      </c>
      <c r="J6747" s="15">
        <v>0.8406954165710947</v>
      </c>
      <c r="K6747" s="15" t="s">
        <v>10</v>
      </c>
      <c r="L6747" s="15" t="s">
        <v>10</v>
      </c>
      <c r="M6747" s="15" t="s">
        <v>10</v>
      </c>
      <c r="N6747" s="15" t="s">
        <v>10</v>
      </c>
      <c r="O6747" s="15" t="s">
        <v>10</v>
      </c>
      <c r="P6747" s="15" t="s">
        <v>10</v>
      </c>
      <c r="Q6747" s="8"/>
      <c r="R6747" s="9" t="s">
        <v>6259</v>
      </c>
    </row>
    <row r="6748" spans="1:18" x14ac:dyDescent="0.25">
      <c r="A6748" s="6" t="str">
        <f>HYPERLINK("proteomic_fractions_linear_files/Yang_linear_img/15147224.jpg", "15147224")</f>
        <v>15147224</v>
      </c>
      <c r="B6748" s="7"/>
      <c r="C6748" s="6" t="str">
        <f>HYPERLINK("http://www.ncbi.nlm.nih.gov/protein/15147224","Sfxn1")</f>
        <v>Sfxn1</v>
      </c>
      <c r="D6748" s="8"/>
      <c r="E6748" s="8">
        <v>35518</v>
      </c>
      <c r="F6748" s="8"/>
      <c r="G6748" s="15">
        <v>1.2257108124157075</v>
      </c>
      <c r="H6748" s="15">
        <v>1.2257108124157075</v>
      </c>
      <c r="I6748" s="15">
        <v>0.89122424599259964</v>
      </c>
      <c r="J6748" s="15">
        <v>0.89122424599259964</v>
      </c>
      <c r="K6748" s="15">
        <v>0.89122424599259964</v>
      </c>
      <c r="L6748" s="15">
        <v>0.89122424599259964</v>
      </c>
      <c r="M6748" s="15" t="s">
        <v>10</v>
      </c>
      <c r="N6748" s="15" t="s">
        <v>10</v>
      </c>
      <c r="O6748" s="15" t="s">
        <v>10</v>
      </c>
      <c r="P6748" s="15" t="s">
        <v>10</v>
      </c>
      <c r="Q6748" s="8"/>
      <c r="R6748" s="9" t="s">
        <v>6260</v>
      </c>
    </row>
    <row r="6749" spans="1:18" x14ac:dyDescent="0.25">
      <c r="A6749" s="6" t="str">
        <f>HYPERLINK("proteomic_fractions_linear_files/Yang_linear_img/86439984.jpg", "86439984")</f>
        <v>86439984</v>
      </c>
      <c r="B6749" s="7"/>
      <c r="C6749" s="6" t="str">
        <f>HYPERLINK("http://www.ncbi.nlm.nih.gov/protein/86439984","Sfxn2")</f>
        <v>Sfxn2</v>
      </c>
      <c r="D6749" s="8"/>
      <c r="E6749" s="8">
        <v>36011</v>
      </c>
      <c r="F6749" s="8"/>
      <c r="G6749" s="15" t="s">
        <v>10</v>
      </c>
      <c r="H6749" s="15" t="s">
        <v>10</v>
      </c>
      <c r="I6749" s="15">
        <v>0.83015019143647584</v>
      </c>
      <c r="J6749" s="15">
        <v>0.83015019143647584</v>
      </c>
      <c r="K6749" s="15" t="s">
        <v>10</v>
      </c>
      <c r="L6749" s="15" t="s">
        <v>10</v>
      </c>
      <c r="M6749" s="15" t="s">
        <v>10</v>
      </c>
      <c r="N6749" s="15" t="s">
        <v>10</v>
      </c>
      <c r="O6749" s="15" t="s">
        <v>10</v>
      </c>
      <c r="P6749" s="15" t="s">
        <v>10</v>
      </c>
      <c r="Q6749" s="8"/>
      <c r="R6749" s="9" t="s">
        <v>6261</v>
      </c>
    </row>
    <row r="6750" spans="1:18" x14ac:dyDescent="0.25">
      <c r="A6750" s="6" t="str">
        <f>HYPERLINK("proteomic_fractions_linear_files/Yang_linear_img/16716499.jpg", "16716499")</f>
        <v>16716499</v>
      </c>
      <c r="B6750" s="7"/>
      <c r="C6750" s="6" t="str">
        <f>HYPERLINK("http://www.ncbi.nlm.nih.gov/protein/16716499","Sfxn3")</f>
        <v>Sfxn3</v>
      </c>
      <c r="D6750" s="8"/>
      <c r="E6750" s="8">
        <v>35275</v>
      </c>
      <c r="F6750" s="8"/>
      <c r="G6750" s="15">
        <v>1.2607311213418706</v>
      </c>
      <c r="H6750" s="15">
        <v>1.2607311213418706</v>
      </c>
      <c r="I6750" s="15">
        <v>0.91668779587810256</v>
      </c>
      <c r="J6750" s="15">
        <v>0.91668779587810256</v>
      </c>
      <c r="K6750" s="15">
        <v>0.91668779587810256</v>
      </c>
      <c r="L6750" s="15">
        <v>0.91668779587810256</v>
      </c>
      <c r="M6750" s="15" t="s">
        <v>10</v>
      </c>
      <c r="N6750" s="15" t="s">
        <v>10</v>
      </c>
      <c r="O6750" s="15" t="s">
        <v>10</v>
      </c>
      <c r="P6750" s="15" t="s">
        <v>10</v>
      </c>
      <c r="Q6750" s="8"/>
      <c r="R6750" s="9" t="s">
        <v>6262</v>
      </c>
    </row>
    <row r="6751" spans="1:18" x14ac:dyDescent="0.25">
      <c r="A6751" s="6" t="str">
        <f>HYPERLINK("proteomic_fractions_linear_files/Yang_linear_img/295821210.jpg", "295821210")</f>
        <v>295821210</v>
      </c>
      <c r="B6751" s="7"/>
      <c r="C6751" s="6" t="str">
        <f>HYPERLINK("http://www.ncbi.nlm.nih.gov/protein/295821210","Sfxn3")</f>
        <v>Sfxn3</v>
      </c>
      <c r="D6751" s="8"/>
      <c r="E6751" s="8">
        <v>31525</v>
      </c>
      <c r="F6751" s="8"/>
      <c r="G6751" s="15">
        <v>1.3789246639676709</v>
      </c>
      <c r="H6751" s="15">
        <v>1.3789246639676709</v>
      </c>
      <c r="I6751" s="15">
        <v>1.0026272767416746</v>
      </c>
      <c r="J6751" s="15">
        <v>1.0026272767416746</v>
      </c>
      <c r="K6751" s="15">
        <v>1.0026272767416746</v>
      </c>
      <c r="L6751" s="15">
        <v>1.0026272767416746</v>
      </c>
      <c r="M6751" s="15" t="s">
        <v>10</v>
      </c>
      <c r="N6751" s="15" t="s">
        <v>10</v>
      </c>
      <c r="O6751" s="15" t="s">
        <v>10</v>
      </c>
      <c r="P6751" s="15" t="s">
        <v>10</v>
      </c>
      <c r="Q6751" s="8"/>
      <c r="R6751" s="9" t="s">
        <v>6263</v>
      </c>
    </row>
    <row r="6752" spans="1:18" x14ac:dyDescent="0.25">
      <c r="A6752" s="6" t="str">
        <f>HYPERLINK("proteomic_fractions_linear_files/Yang_linear_img/295821212.jpg", "295821212")</f>
        <v>295821212</v>
      </c>
      <c r="B6752" s="7"/>
      <c r="C6752" s="6" t="str">
        <f>HYPERLINK("http://www.ncbi.nlm.nih.gov/protein/295821212","Sfxn3")</f>
        <v>Sfxn3</v>
      </c>
      <c r="D6752" s="8"/>
      <c r="E6752" s="8">
        <v>30821</v>
      </c>
      <c r="F6752" s="8"/>
      <c r="G6752" s="15">
        <v>1.4234061047408215</v>
      </c>
      <c r="H6752" s="15">
        <v>1.4234061047408215</v>
      </c>
      <c r="I6752" s="15">
        <v>1.0349700921204383</v>
      </c>
      <c r="J6752" s="15">
        <v>1.0349700921204383</v>
      </c>
      <c r="K6752" s="15">
        <v>1.0349700921204383</v>
      </c>
      <c r="L6752" s="15">
        <v>1.0349700921204383</v>
      </c>
      <c r="M6752" s="15" t="s">
        <v>10</v>
      </c>
      <c r="N6752" s="15" t="s">
        <v>10</v>
      </c>
      <c r="O6752" s="15" t="s">
        <v>10</v>
      </c>
      <c r="P6752" s="15" t="s">
        <v>10</v>
      </c>
      <c r="Q6752" s="8"/>
      <c r="R6752" s="9" t="s">
        <v>6264</v>
      </c>
    </row>
    <row r="6753" spans="1:18" x14ac:dyDescent="0.25">
      <c r="A6753" s="6" t="str">
        <f>HYPERLINK("proteomic_fractions_linear_files/Yang_linear_img/31543694.jpg", "31543694")</f>
        <v>31543694</v>
      </c>
      <c r="B6753" s="7"/>
      <c r="C6753" s="6" t="str">
        <f>HYPERLINK("http://www.ncbi.nlm.nih.gov/protein/31543694","Sgpl1")</f>
        <v>Sgpl1</v>
      </c>
      <c r="D6753" s="8"/>
      <c r="E6753" s="8">
        <v>63546</v>
      </c>
      <c r="F6753" s="8"/>
      <c r="G6753" s="15">
        <v>1.1474400037762851</v>
      </c>
      <c r="H6753" s="15">
        <v>1.1474400037762851</v>
      </c>
      <c r="I6753" s="15">
        <v>0.91833136852490393</v>
      </c>
      <c r="J6753" s="15">
        <v>0.91833136852490393</v>
      </c>
      <c r="K6753" s="15">
        <v>0.91833136852490393</v>
      </c>
      <c r="L6753" s="15">
        <v>0.91833136852490393</v>
      </c>
      <c r="M6753" s="15" t="s">
        <v>10</v>
      </c>
      <c r="N6753" s="15" t="s">
        <v>10</v>
      </c>
      <c r="O6753" s="15" t="s">
        <v>10</v>
      </c>
      <c r="P6753" s="15" t="s">
        <v>10</v>
      </c>
      <c r="Q6753" s="8"/>
      <c r="R6753" s="9" t="s">
        <v>6265</v>
      </c>
    </row>
    <row r="6754" spans="1:18" x14ac:dyDescent="0.25">
      <c r="A6754" s="6" t="str">
        <f>HYPERLINK("proteomic_fractions_linear_files/Yang_linear_img/31543697.jpg", "31543697")</f>
        <v>31543697</v>
      </c>
      <c r="B6754" s="7"/>
      <c r="C6754" s="6" t="str">
        <f>HYPERLINK("http://www.ncbi.nlm.nih.gov/protein/31543697","Sgsh")</f>
        <v>Sgsh</v>
      </c>
      <c r="D6754" s="8"/>
      <c r="E6754" s="8">
        <v>54528</v>
      </c>
      <c r="F6754" s="8"/>
      <c r="G6754" s="15" t="s">
        <v>10</v>
      </c>
      <c r="H6754" s="15" t="s">
        <v>10</v>
      </c>
      <c r="I6754" s="15">
        <v>1.0686037742835246</v>
      </c>
      <c r="J6754" s="15">
        <v>1.0686037742835246</v>
      </c>
      <c r="K6754" s="15">
        <v>2.7900522024771242</v>
      </c>
      <c r="L6754" s="15">
        <v>2.7900522024771242</v>
      </c>
      <c r="M6754" s="15" t="s">
        <v>10</v>
      </c>
      <c r="N6754" s="15" t="s">
        <v>10</v>
      </c>
      <c r="O6754" s="15">
        <v>2.7900522024771242</v>
      </c>
      <c r="P6754" s="15">
        <v>2.7900522024771242</v>
      </c>
      <c r="Q6754" s="8"/>
      <c r="R6754" s="9" t="s">
        <v>6266</v>
      </c>
    </row>
    <row r="6755" spans="1:18" x14ac:dyDescent="0.25">
      <c r="A6755" s="6" t="str">
        <f>HYPERLINK("proteomic_fractions_linear_files/Yang_linear_img/21313588.jpg", "21313588")</f>
        <v>21313588</v>
      </c>
      <c r="B6755" s="7"/>
      <c r="C6755" s="6" t="str">
        <f>HYPERLINK("http://www.ncbi.nlm.nih.gov/protein/21313588","Sgta")</f>
        <v>Sgta</v>
      </c>
      <c r="D6755" s="8"/>
      <c r="E6755" s="8">
        <v>34191</v>
      </c>
      <c r="F6755" s="8"/>
      <c r="G6755" s="15">
        <v>1.4202933995416251</v>
      </c>
      <c r="H6755" s="15">
        <v>1.4202933995416251</v>
      </c>
      <c r="I6755" s="15">
        <v>1.0162757803080937</v>
      </c>
      <c r="J6755" s="15">
        <v>1.0162757803080937</v>
      </c>
      <c r="K6755" s="15">
        <v>1.098274306562488</v>
      </c>
      <c r="L6755" s="15">
        <v>1.098274306562488</v>
      </c>
      <c r="M6755" s="15">
        <v>1.0162757803080937</v>
      </c>
      <c r="N6755" s="15">
        <v>1.0162757803080937</v>
      </c>
      <c r="O6755" s="15">
        <v>0.94364920163922317</v>
      </c>
      <c r="P6755" s="15">
        <v>0.94364920163922317</v>
      </c>
      <c r="Q6755" s="8"/>
      <c r="R6755" s="9" t="s">
        <v>6267</v>
      </c>
    </row>
    <row r="6756" spans="1:18" x14ac:dyDescent="0.25">
      <c r="A6756" s="6" t="str">
        <f>HYPERLINK("proteomic_fractions_linear_files/Yang_linear_img/206597474.jpg", "206597474")</f>
        <v>206597474</v>
      </c>
      <c r="B6756" s="7"/>
      <c r="C6756" s="6" t="str">
        <f>HYPERLINK("http://www.ncbi.nlm.nih.gov/protein/206597474","Sh2d4a")</f>
        <v>Sh2d4a</v>
      </c>
      <c r="D6756" s="8"/>
      <c r="E6756" s="8">
        <v>48329</v>
      </c>
      <c r="F6756" s="8"/>
      <c r="G6756" s="15" t="s">
        <v>10</v>
      </c>
      <c r="H6756" s="15" t="s">
        <v>10</v>
      </c>
      <c r="I6756" s="15">
        <v>0.91928310931178059</v>
      </c>
      <c r="J6756" s="15">
        <v>0.91928310931178059</v>
      </c>
      <c r="K6756" s="15">
        <v>1.006041158008651</v>
      </c>
      <c r="L6756" s="15">
        <v>1.006041158008651</v>
      </c>
      <c r="M6756" s="15" t="s">
        <v>10</v>
      </c>
      <c r="N6756" s="15" t="s">
        <v>10</v>
      </c>
      <c r="O6756" s="15">
        <v>0.84390246256714052</v>
      </c>
      <c r="P6756" s="15">
        <v>0.84390246256714052</v>
      </c>
      <c r="Q6756" s="8"/>
      <c r="R6756" s="9" t="s">
        <v>6268</v>
      </c>
    </row>
    <row r="6757" spans="1:18" x14ac:dyDescent="0.25">
      <c r="A6757" s="6" t="str">
        <f>HYPERLINK("proteomic_fractions_linear_files/Yang_linear_img/9910548.jpg", "9910548")</f>
        <v>9910548</v>
      </c>
      <c r="B6757" s="7"/>
      <c r="C6757" s="6" t="str">
        <f>HYPERLINK("http://www.ncbi.nlm.nih.gov/protein/9910548","Sh3bgrl")</f>
        <v>Sh3bgrl</v>
      </c>
      <c r="D6757" s="8"/>
      <c r="E6757" s="8">
        <v>12680</v>
      </c>
      <c r="F6757" s="8"/>
      <c r="G6757" s="15">
        <v>1.068142346148973</v>
      </c>
      <c r="H6757" s="15">
        <v>1.068142346148973</v>
      </c>
      <c r="I6757" s="15">
        <v>1.068142346148973</v>
      </c>
      <c r="J6757" s="15">
        <v>1.068142346148973</v>
      </c>
      <c r="K6757" s="15">
        <v>1.1167287478361805</v>
      </c>
      <c r="L6757" s="15">
        <v>1.1167287478361805</v>
      </c>
      <c r="M6757" s="15">
        <v>1.1167287478361805</v>
      </c>
      <c r="N6757" s="15">
        <v>1.1167287478361805</v>
      </c>
      <c r="O6757" s="15">
        <v>1.068142346148973</v>
      </c>
      <c r="P6757" s="15">
        <v>1.068142346148973</v>
      </c>
      <c r="Q6757" s="8"/>
      <c r="R6757" s="9" t="s">
        <v>6269</v>
      </c>
    </row>
    <row r="6758" spans="1:18" x14ac:dyDescent="0.25">
      <c r="A6758" s="6" t="str">
        <f>HYPERLINK("proteomic_fractions_linear_files/Yang_linear_img/27369694.jpg", "27369694")</f>
        <v>27369694</v>
      </c>
      <c r="B6758" s="7"/>
      <c r="C6758" s="6" t="str">
        <f>HYPERLINK("http://www.ncbi.nlm.nih.gov/protein/27369694","Sh3bgrl2")</f>
        <v>Sh3bgrl2</v>
      </c>
      <c r="D6758" s="8"/>
      <c r="E6758" s="8">
        <v>12124</v>
      </c>
      <c r="F6758" s="8"/>
      <c r="G6758" s="15">
        <v>1.1080886685834612</v>
      </c>
      <c r="H6758" s="15">
        <v>1.1080886685834612</v>
      </c>
      <c r="I6758" s="15">
        <v>1.0622682784948021</v>
      </c>
      <c r="J6758" s="15">
        <v>1.0622682784948021</v>
      </c>
      <c r="K6758" s="15">
        <v>1.1571542083280542</v>
      </c>
      <c r="L6758" s="15">
        <v>1.1571542083280542</v>
      </c>
      <c r="M6758" s="15">
        <v>1.209789476822529</v>
      </c>
      <c r="N6758" s="15">
        <v>1.209789476822529</v>
      </c>
      <c r="O6758" s="15">
        <v>1.0194051076942798</v>
      </c>
      <c r="P6758" s="15">
        <v>1.0194051076942798</v>
      </c>
      <c r="Q6758" s="8"/>
      <c r="R6758" s="9" t="s">
        <v>6270</v>
      </c>
    </row>
    <row r="6759" spans="1:18" x14ac:dyDescent="0.25">
      <c r="A6759" s="6" t="str">
        <f>HYPERLINK("proteomic_fractions_linear_files/Yang_linear_img/18017602.jpg", "18017602")</f>
        <v>18017602</v>
      </c>
      <c r="B6759" s="7"/>
      <c r="C6759" s="6" t="str">
        <f>HYPERLINK("http://www.ncbi.nlm.nih.gov/protein/18017602","Sh3bgrl3")</f>
        <v>Sh3bgrl3</v>
      </c>
      <c r="D6759" s="8"/>
      <c r="E6759" s="8">
        <v>10346</v>
      </c>
      <c r="F6759" s="8"/>
      <c r="G6759" s="15">
        <v>1.8495299164564085</v>
      </c>
      <c r="H6759" s="15">
        <v>1.2747219341937626</v>
      </c>
      <c r="I6759" s="15">
        <v>1.2747219341937626</v>
      </c>
      <c r="J6759" s="15">
        <v>1.2747219341937626</v>
      </c>
      <c r="K6759" s="15">
        <v>1.2747219341937626</v>
      </c>
      <c r="L6759" s="15">
        <v>1.2747219341937626</v>
      </c>
      <c r="M6759" s="15">
        <v>1.2747219341937626</v>
      </c>
      <c r="N6759" s="15">
        <v>1.2747219341937626</v>
      </c>
      <c r="O6759" s="15">
        <v>1.2232861292331356</v>
      </c>
      <c r="P6759" s="15">
        <v>1.2232861292331356</v>
      </c>
      <c r="Q6759" s="8"/>
      <c r="R6759" s="9" t="s">
        <v>6271</v>
      </c>
    </row>
    <row r="6760" spans="1:18" x14ac:dyDescent="0.25">
      <c r="A6760" s="6" t="str">
        <f>HYPERLINK("proteomic_fractions_linear_files/Yang_linear_img/85838509.jpg", "85838509")</f>
        <v>85838509</v>
      </c>
      <c r="B6760" s="7"/>
      <c r="C6760" s="6" t="str">
        <f>HYPERLINK("http://www.ncbi.nlm.nih.gov/protein/85838509","Sh3bp1")</f>
        <v>Sh3bp1</v>
      </c>
      <c r="D6760" s="8"/>
      <c r="E6760" s="8">
        <v>64332</v>
      </c>
      <c r="F6760" s="8"/>
      <c r="G6760" s="15" t="s">
        <v>10</v>
      </c>
      <c r="H6760" s="15" t="s">
        <v>10</v>
      </c>
      <c r="I6760" s="15">
        <v>0.27453030883373386</v>
      </c>
      <c r="J6760" s="15">
        <v>0.27453030883373386</v>
      </c>
      <c r="K6760" s="15">
        <v>1.2984165386428728</v>
      </c>
      <c r="L6760" s="15">
        <v>1.2984165386428728</v>
      </c>
      <c r="M6760" s="15">
        <v>1.2984165386428728</v>
      </c>
      <c r="N6760" s="15">
        <v>1.2984165386428728</v>
      </c>
      <c r="O6760" s="15">
        <v>1.2984165386428728</v>
      </c>
      <c r="P6760" s="15">
        <v>1.2984165386428728</v>
      </c>
      <c r="Q6760" s="8"/>
      <c r="R6760" s="9" t="s">
        <v>6272</v>
      </c>
    </row>
    <row r="6761" spans="1:18" x14ac:dyDescent="0.25">
      <c r="A6761" s="6" t="str">
        <f>HYPERLINK("proteomic_fractions_linear_files/Yang_linear_img/19527036.jpg", "19527036")</f>
        <v>19527036</v>
      </c>
      <c r="B6761" s="7"/>
      <c r="C6761" s="6" t="str">
        <f>HYPERLINK("http://www.ncbi.nlm.nih.gov/protein/19527036","Sh3bp4")</f>
        <v>Sh3bp4</v>
      </c>
      <c r="D6761" s="8"/>
      <c r="E6761" s="8">
        <v>107453</v>
      </c>
      <c r="F6761" s="8"/>
      <c r="G6761" s="15" t="s">
        <v>10</v>
      </c>
      <c r="H6761" s="15" t="s">
        <v>10</v>
      </c>
      <c r="I6761" s="15" t="s">
        <v>10</v>
      </c>
      <c r="J6761" s="15" t="s">
        <v>10</v>
      </c>
      <c r="K6761" s="15">
        <v>1.2030058705151119</v>
      </c>
      <c r="L6761" s="15">
        <v>1.2030058705151119</v>
      </c>
      <c r="M6761" s="15" t="s">
        <v>10</v>
      </c>
      <c r="N6761" s="15" t="s">
        <v>10</v>
      </c>
      <c r="O6761" s="15" t="s">
        <v>10</v>
      </c>
      <c r="P6761" s="15" t="s">
        <v>10</v>
      </c>
      <c r="Q6761" s="8"/>
      <c r="R6761" s="9" t="s">
        <v>6273</v>
      </c>
    </row>
    <row r="6762" spans="1:18" x14ac:dyDescent="0.25">
      <c r="A6762" s="6" t="str">
        <f>HYPERLINK("proteomic_fractions_linear_files/Yang_linear_img/170671710.jpg", "170671710")</f>
        <v>170671710</v>
      </c>
      <c r="B6762" s="7"/>
      <c r="C6762" s="6" t="str">
        <f>HYPERLINK("http://www.ncbi.nlm.nih.gov/protein/170671710","Sh3d19")</f>
        <v>Sh3d19</v>
      </c>
      <c r="D6762" s="8"/>
      <c r="E6762" s="8">
        <v>85946</v>
      </c>
      <c r="F6762" s="8"/>
      <c r="G6762" s="15" t="s">
        <v>10</v>
      </c>
      <c r="H6762" s="15" t="s">
        <v>10</v>
      </c>
      <c r="I6762" s="15" t="s">
        <v>10</v>
      </c>
      <c r="J6762" s="15" t="s">
        <v>10</v>
      </c>
      <c r="K6762" s="15">
        <v>3.5091084260057999</v>
      </c>
      <c r="L6762" s="15">
        <v>3.5091084260057999</v>
      </c>
      <c r="M6762" s="15" t="s">
        <v>10</v>
      </c>
      <c r="N6762" s="15" t="s">
        <v>10</v>
      </c>
      <c r="O6762" s="15" t="s">
        <v>10</v>
      </c>
      <c r="P6762" s="15" t="s">
        <v>10</v>
      </c>
      <c r="Q6762" s="8"/>
      <c r="R6762" s="9" t="s">
        <v>6274</v>
      </c>
    </row>
    <row r="6763" spans="1:18" x14ac:dyDescent="0.25">
      <c r="A6763" s="6" t="str">
        <f>HYPERLINK("proteomic_fractions_linear_files/Yang_linear_img/357197145.jpg", "357197145")</f>
        <v>357197145</v>
      </c>
      <c r="B6763" s="7"/>
      <c r="C6763" s="6" t="str">
        <f>HYPERLINK("http://www.ncbi.nlm.nih.gov/protein/357197145","Sh3gl1")</f>
        <v>Sh3gl1</v>
      </c>
      <c r="D6763" s="8"/>
      <c r="E6763" s="8">
        <v>27735</v>
      </c>
      <c r="F6763" s="8"/>
      <c r="G6763" s="15" t="s">
        <v>10</v>
      </c>
      <c r="H6763" s="15" t="s">
        <v>10</v>
      </c>
      <c r="I6763" s="15">
        <v>1.5759139016773382</v>
      </c>
      <c r="J6763" s="15">
        <v>1.5759139016773382</v>
      </c>
      <c r="K6763" s="15">
        <v>1.5759139016773382</v>
      </c>
      <c r="L6763" s="15">
        <v>1.5759139016773382</v>
      </c>
      <c r="M6763" s="15">
        <v>0.5427263676362245</v>
      </c>
      <c r="N6763" s="15">
        <v>1.2340491618026852</v>
      </c>
      <c r="O6763" s="15">
        <v>1.4466899358293837</v>
      </c>
      <c r="P6763" s="15">
        <v>1.4466899358293837</v>
      </c>
      <c r="Q6763" s="8"/>
      <c r="R6763" s="9" t="s">
        <v>6275</v>
      </c>
    </row>
    <row r="6764" spans="1:18" x14ac:dyDescent="0.25">
      <c r="A6764" s="6" t="str">
        <f>HYPERLINK("proteomic_fractions_linear_files/Yang_linear_img/7305485.jpg", "7305485")</f>
        <v>7305485</v>
      </c>
      <c r="B6764" s="7"/>
      <c r="C6764" s="6" t="str">
        <f>HYPERLINK("http://www.ncbi.nlm.nih.gov/protein/7305485","Sh3gl1")</f>
        <v>Sh3gl1</v>
      </c>
      <c r="D6764" s="8"/>
      <c r="E6764" s="8">
        <v>41387</v>
      </c>
      <c r="F6764" s="8"/>
      <c r="G6764" s="15" t="s">
        <v>10</v>
      </c>
      <c r="H6764" s="15" t="s">
        <v>10</v>
      </c>
      <c r="I6764" s="15">
        <v>1.0762338840723285</v>
      </c>
      <c r="J6764" s="15">
        <v>1.0762338840723285</v>
      </c>
      <c r="K6764" s="15">
        <v>1.0762338840723285</v>
      </c>
      <c r="L6764" s="15">
        <v>1.0762338840723285</v>
      </c>
      <c r="M6764" s="15">
        <v>0.37064239741010452</v>
      </c>
      <c r="N6764" s="15">
        <v>0.84276528123110206</v>
      </c>
      <c r="O6764" s="15">
        <v>0.98798337081031085</v>
      </c>
      <c r="P6764" s="15">
        <v>0.98798337081031085</v>
      </c>
      <c r="Q6764" s="8"/>
      <c r="R6764" s="9" t="s">
        <v>6276</v>
      </c>
    </row>
    <row r="6765" spans="1:18" x14ac:dyDescent="0.25">
      <c r="A6765" s="6" t="str">
        <f>HYPERLINK("proteomic_fractions_linear_files/Yang_linear_img/31560792.jpg", "31560792")</f>
        <v>31560792</v>
      </c>
      <c r="B6765" s="7"/>
      <c r="C6765" s="6" t="str">
        <f>HYPERLINK("http://www.ncbi.nlm.nih.gov/protein/31560792","Sh3gl2")</f>
        <v>Sh3gl2</v>
      </c>
      <c r="D6765" s="8"/>
      <c r="E6765" s="8">
        <v>39824</v>
      </c>
      <c r="F6765" s="8"/>
      <c r="G6765" s="15" t="s">
        <v>10</v>
      </c>
      <c r="H6765" s="15" t="s">
        <v>10</v>
      </c>
      <c r="I6765" s="15">
        <v>1.1031397311741367</v>
      </c>
      <c r="J6765" s="15">
        <v>1.1031397311741367</v>
      </c>
      <c r="K6765" s="15">
        <v>1.1031397311741367</v>
      </c>
      <c r="L6765" s="15">
        <v>1.1031397311741367</v>
      </c>
      <c r="M6765" s="15">
        <v>1.0126829550805687</v>
      </c>
      <c r="N6765" s="15">
        <v>1.0126829550805687</v>
      </c>
      <c r="O6765" s="15">
        <v>1.0126829550805687</v>
      </c>
      <c r="P6765" s="15">
        <v>1.0126829550805687</v>
      </c>
      <c r="Q6765" s="8"/>
      <c r="R6765" s="9" t="s">
        <v>6277</v>
      </c>
    </row>
    <row r="6766" spans="1:18" x14ac:dyDescent="0.25">
      <c r="A6766" s="6" t="str">
        <f>HYPERLINK("proteomic_fractions_linear_files/Yang_linear_img/530677952.jpg", "530677952")</f>
        <v>530677952</v>
      </c>
      <c r="B6766" s="7"/>
      <c r="C6766" s="6" t="str">
        <f>HYPERLINK("http://www.ncbi.nlm.nih.gov/protein/530677952","Sh3glb1")</f>
        <v>Sh3glb1</v>
      </c>
      <c r="D6766" s="8"/>
      <c r="E6766" s="8">
        <v>43108</v>
      </c>
      <c r="F6766" s="8"/>
      <c r="G6766" s="15">
        <v>1.2353620844186297</v>
      </c>
      <c r="H6766" s="15">
        <v>0.86840294007266494</v>
      </c>
      <c r="I6766" s="15" t="s">
        <v>10</v>
      </c>
      <c r="J6766" s="15" t="s">
        <v>10</v>
      </c>
      <c r="K6766" s="15" t="s">
        <v>10</v>
      </c>
      <c r="L6766" s="15" t="s">
        <v>10</v>
      </c>
      <c r="M6766" s="15" t="s">
        <v>10</v>
      </c>
      <c r="N6766" s="15" t="s">
        <v>10</v>
      </c>
      <c r="O6766" s="15" t="s">
        <v>10</v>
      </c>
      <c r="P6766" s="15" t="s">
        <v>10</v>
      </c>
      <c r="Q6766" s="8"/>
      <c r="R6766" s="9" t="s">
        <v>6278</v>
      </c>
    </row>
    <row r="6767" spans="1:18" x14ac:dyDescent="0.25">
      <c r="A6767" s="6" t="str">
        <f>HYPERLINK("proteomic_fractions_linear_files/Yang_linear_img/530677964.jpg", "530677964")</f>
        <v>530677964</v>
      </c>
      <c r="B6767" s="7"/>
      <c r="C6767" s="6" t="str">
        <f>HYPERLINK("http://www.ncbi.nlm.nih.gov/protein/530677964","Sh3glb1")</f>
        <v>Sh3glb1</v>
      </c>
      <c r="D6767" s="8"/>
      <c r="E6767" s="8">
        <v>39568</v>
      </c>
      <c r="F6767" s="8"/>
      <c r="G6767" s="15">
        <v>1.3280142407500271</v>
      </c>
      <c r="H6767" s="15">
        <v>0.93353316057811475</v>
      </c>
      <c r="I6767" s="15" t="s">
        <v>10</v>
      </c>
      <c r="J6767" s="15" t="s">
        <v>10</v>
      </c>
      <c r="K6767" s="15" t="s">
        <v>10</v>
      </c>
      <c r="L6767" s="15" t="s">
        <v>10</v>
      </c>
      <c r="M6767" s="15" t="s">
        <v>10</v>
      </c>
      <c r="N6767" s="15" t="s">
        <v>10</v>
      </c>
      <c r="O6767" s="15" t="s">
        <v>10</v>
      </c>
      <c r="P6767" s="15" t="s">
        <v>10</v>
      </c>
      <c r="Q6767" s="8"/>
      <c r="R6767" s="9" t="s">
        <v>6279</v>
      </c>
    </row>
    <row r="6768" spans="1:18" x14ac:dyDescent="0.25">
      <c r="A6768" s="6" t="str">
        <f>HYPERLINK("proteomic_fractions_linear_files/Yang_linear_img/9507097.jpg", "9507097")</f>
        <v>9507097</v>
      </c>
      <c r="B6768" s="7"/>
      <c r="C6768" s="6" t="str">
        <f>HYPERLINK("http://www.ncbi.nlm.nih.gov/protein/9507097","Sh3glb1")</f>
        <v>Sh3glb1</v>
      </c>
      <c r="D6768" s="8"/>
      <c r="E6768" s="8">
        <v>40724</v>
      </c>
      <c r="F6768" s="8"/>
      <c r="G6768" s="15">
        <v>1.2956236495122215</v>
      </c>
      <c r="H6768" s="15">
        <v>0.91076405910059977</v>
      </c>
      <c r="I6768" s="15">
        <v>0.98798337081031085</v>
      </c>
      <c r="J6768" s="15">
        <v>0.98798337081031085</v>
      </c>
      <c r="K6768" s="15">
        <v>0.98798337081031085</v>
      </c>
      <c r="L6768" s="15">
        <v>0.98798337081031085</v>
      </c>
      <c r="M6768" s="15">
        <v>0.98798337081031085</v>
      </c>
      <c r="N6768" s="15">
        <v>0.98798337081031085</v>
      </c>
      <c r="O6768" s="15">
        <v>0.91076405910059977</v>
      </c>
      <c r="P6768" s="15">
        <v>0.91076405910059977</v>
      </c>
      <c r="Q6768" s="8"/>
      <c r="R6768" s="9" t="s">
        <v>6280</v>
      </c>
    </row>
    <row r="6769" spans="1:18" x14ac:dyDescent="0.25">
      <c r="A6769" s="6" t="str">
        <f>HYPERLINK("proteomic_fractions_linear_files/Yang_linear_img/21314838.jpg", "21314838")</f>
        <v>21314838</v>
      </c>
      <c r="B6769" s="7"/>
      <c r="C6769" s="6" t="str">
        <f>HYPERLINK("http://www.ncbi.nlm.nih.gov/protein/21314838","Sh3glb2")</f>
        <v>Sh3glb2</v>
      </c>
      <c r="D6769" s="8"/>
      <c r="E6769" s="8">
        <v>43985</v>
      </c>
      <c r="F6769" s="8"/>
      <c r="G6769" s="15" t="s">
        <v>10</v>
      </c>
      <c r="H6769" s="15" t="s">
        <v>10</v>
      </c>
      <c r="I6769" s="15" t="s">
        <v>10</v>
      </c>
      <c r="J6769" s="15" t="s">
        <v>10</v>
      </c>
      <c r="K6769" s="15">
        <v>1.2072856734091155</v>
      </c>
      <c r="L6769" s="15">
        <v>1.2072856734091155</v>
      </c>
      <c r="M6769" s="15" t="s">
        <v>10</v>
      </c>
      <c r="N6769" s="15" t="s">
        <v>10</v>
      </c>
      <c r="O6769" s="15">
        <v>1.0974994451003466</v>
      </c>
      <c r="P6769" s="15">
        <v>1.0974994451003466</v>
      </c>
      <c r="Q6769" s="8"/>
      <c r="R6769" s="9" t="s">
        <v>6281</v>
      </c>
    </row>
    <row r="6770" spans="1:18" x14ac:dyDescent="0.25">
      <c r="A6770" s="6" t="str">
        <f>HYPERLINK("proteomic_fractions_linear_files/Yang_linear_img/7305487.jpg", "7305487")</f>
        <v>7305487</v>
      </c>
      <c r="B6770" s="7"/>
      <c r="C6770" s="6" t="str">
        <f>HYPERLINK("http://www.ncbi.nlm.nih.gov/protein/7305487","Sh3yl1")</f>
        <v>Sh3yl1</v>
      </c>
      <c r="D6770" s="8"/>
      <c r="E6770" s="8">
        <v>36897</v>
      </c>
      <c r="F6770" s="8"/>
      <c r="G6770" s="15" t="s">
        <v>10</v>
      </c>
      <c r="H6770" s="15" t="s">
        <v>10</v>
      </c>
      <c r="I6770" s="15">
        <v>0.93387504136419419</v>
      </c>
      <c r="J6770" s="15">
        <v>0.93387504136419419</v>
      </c>
      <c r="K6770" s="15">
        <v>0.93387504136419419</v>
      </c>
      <c r="L6770" s="15">
        <v>0.93387504136419419</v>
      </c>
      <c r="M6770" s="15">
        <v>0.93387504136419419</v>
      </c>
      <c r="N6770" s="15">
        <v>0.93387504136419419</v>
      </c>
      <c r="O6770" s="15" t="s">
        <v>10</v>
      </c>
      <c r="P6770" s="15" t="s">
        <v>10</v>
      </c>
      <c r="Q6770" s="8"/>
      <c r="R6770" s="9" t="s">
        <v>6282</v>
      </c>
    </row>
    <row r="6771" spans="1:18" x14ac:dyDescent="0.25">
      <c r="A6771" s="6" t="str">
        <f>HYPERLINK("proteomic_fractions_linear_files/Yang_linear_img/15778828.jpg", "15778828")</f>
        <v>15778828</v>
      </c>
      <c r="B6771" s="7"/>
      <c r="C6771" s="6" t="str">
        <f>HYPERLINK("http://www.ncbi.nlm.nih.gov/protein/15778828","Shc1")</f>
        <v>Shc1</v>
      </c>
      <c r="D6771" s="8"/>
      <c r="E6771" s="8">
        <v>51278</v>
      </c>
      <c r="F6771" s="8"/>
      <c r="G6771" s="15" t="s">
        <v>10</v>
      </c>
      <c r="H6771" s="15" t="s">
        <v>10</v>
      </c>
      <c r="I6771" s="15">
        <v>1.0415797966666878</v>
      </c>
      <c r="J6771" s="15">
        <v>1.0415797966666878</v>
      </c>
      <c r="K6771" s="15">
        <v>1.1524158350116442</v>
      </c>
      <c r="L6771" s="15">
        <v>1.1524158350116442</v>
      </c>
      <c r="M6771" s="15" t="s">
        <v>10</v>
      </c>
      <c r="N6771" s="15" t="s">
        <v>10</v>
      </c>
      <c r="O6771" s="15">
        <v>0.94686226636108339</v>
      </c>
      <c r="P6771" s="15">
        <v>0.94686226636108339</v>
      </c>
      <c r="Q6771" s="8"/>
      <c r="R6771" s="9" t="s">
        <v>6283</v>
      </c>
    </row>
    <row r="6772" spans="1:18" x14ac:dyDescent="0.25">
      <c r="A6772" s="6" t="str">
        <f>HYPERLINK("proteomic_fractions_linear_files/Yang_linear_img/164664522.jpg", "164664522")</f>
        <v>164664522</v>
      </c>
      <c r="B6772" s="7"/>
      <c r="C6772" s="6" t="str">
        <f>HYPERLINK("http://www.ncbi.nlm.nih.gov/protein/164664522","Shc1")</f>
        <v>Shc1</v>
      </c>
      <c r="D6772" s="8"/>
      <c r="E6772" s="8">
        <v>62477</v>
      </c>
      <c r="F6772" s="8"/>
      <c r="G6772" s="15" t="s">
        <v>10</v>
      </c>
      <c r="H6772" s="15" t="s">
        <v>10</v>
      </c>
      <c r="I6772" s="15">
        <v>0.85678338112904961</v>
      </c>
      <c r="J6772" s="15">
        <v>0.85678338112904961</v>
      </c>
      <c r="K6772" s="15">
        <v>0.9479549610579654</v>
      </c>
      <c r="L6772" s="15">
        <v>0.9479549610579654</v>
      </c>
      <c r="M6772" s="15" t="s">
        <v>10</v>
      </c>
      <c r="N6772" s="15" t="s">
        <v>10</v>
      </c>
      <c r="O6772" s="15">
        <v>0.77887057394218151</v>
      </c>
      <c r="P6772" s="15">
        <v>0.77887057394218151</v>
      </c>
      <c r="Q6772" s="8"/>
      <c r="R6772" s="9" t="s">
        <v>6284</v>
      </c>
    </row>
    <row r="6773" spans="1:18" x14ac:dyDescent="0.25">
      <c r="A6773" s="6" t="str">
        <f>HYPERLINK("proteomic_fractions_linear_files/Yang_linear_img/6755508.jpg", "6755508")</f>
        <v>6755508</v>
      </c>
      <c r="B6773" s="7"/>
      <c r="C6773" s="6" t="str">
        <f>HYPERLINK("http://www.ncbi.nlm.nih.gov/protein/6755508","Shcbp1")</f>
        <v>Shcbp1</v>
      </c>
      <c r="D6773" s="8"/>
      <c r="E6773" s="8">
        <v>75786</v>
      </c>
      <c r="F6773" s="8"/>
      <c r="G6773" s="15" t="s">
        <v>10</v>
      </c>
      <c r="H6773" s="15" t="s">
        <v>10</v>
      </c>
      <c r="I6773" s="15" t="s">
        <v>10</v>
      </c>
      <c r="J6773" s="15" t="s">
        <v>10</v>
      </c>
      <c r="K6773" s="15" t="s">
        <v>10</v>
      </c>
      <c r="L6773" s="15" t="s">
        <v>10</v>
      </c>
      <c r="M6773" s="15" t="s">
        <v>10</v>
      </c>
      <c r="N6773" s="15" t="s">
        <v>10</v>
      </c>
      <c r="O6773" s="15">
        <v>0.96626526633792431</v>
      </c>
      <c r="P6773" s="15">
        <v>0.96626526633792431</v>
      </c>
      <c r="Q6773" s="8"/>
      <c r="R6773" s="9" t="s">
        <v>6285</v>
      </c>
    </row>
    <row r="6774" spans="1:18" x14ac:dyDescent="0.25">
      <c r="A6774" s="6" t="str">
        <f>HYPERLINK("proteomic_fractions_linear_files/Yang_linear_img/21617861.jpg", "21617861")</f>
        <v>21617861</v>
      </c>
      <c r="B6774" s="7"/>
      <c r="C6774" s="6" t="str">
        <f>HYPERLINK("http://www.ncbi.nlm.nih.gov/protein/21617861","Shh")</f>
        <v>Shh</v>
      </c>
      <c r="D6774" s="8"/>
      <c r="E6774" s="8">
        <v>45261</v>
      </c>
      <c r="F6774" s="8"/>
      <c r="G6774" s="15" t="s">
        <v>10</v>
      </c>
      <c r="H6774" s="15" t="s">
        <v>10</v>
      </c>
      <c r="I6774" s="15">
        <v>0.51354607499372107</v>
      </c>
      <c r="J6774" s="15">
        <v>0.51354607499372107</v>
      </c>
      <c r="K6774" s="15">
        <v>0.54566268029504261</v>
      </c>
      <c r="L6774" s="15">
        <v>0.54566268029504261</v>
      </c>
      <c r="M6774" s="15" t="s">
        <v>10</v>
      </c>
      <c r="N6774" s="15" t="s">
        <v>10</v>
      </c>
      <c r="O6774" s="15" t="s">
        <v>10</v>
      </c>
      <c r="P6774" s="15" t="s">
        <v>10</v>
      </c>
      <c r="Q6774" s="8"/>
      <c r="R6774" s="9" t="s">
        <v>6286</v>
      </c>
    </row>
    <row r="6775" spans="1:18" x14ac:dyDescent="0.25">
      <c r="A6775" s="6" t="str">
        <f>HYPERLINK("proteomic_fractions_linear_files/Yang_linear_img/291463305.jpg", "291463305")</f>
        <v>291463305</v>
      </c>
      <c r="B6775" s="7"/>
      <c r="C6775" s="6" t="str">
        <f>HYPERLINK("http://www.ncbi.nlm.nih.gov/protein/291463305","Shisa9")</f>
        <v>Shisa9</v>
      </c>
      <c r="D6775" s="8"/>
      <c r="E6775" s="8">
        <v>42507</v>
      </c>
      <c r="F6775" s="8"/>
      <c r="G6775" s="15" t="s">
        <v>10</v>
      </c>
      <c r="H6775" s="15" t="s">
        <v>10</v>
      </c>
      <c r="I6775" s="15" t="s">
        <v>10</v>
      </c>
      <c r="J6775" s="15" t="s">
        <v>10</v>
      </c>
      <c r="K6775" s="15">
        <v>139.37441860465117</v>
      </c>
      <c r="L6775" s="15">
        <v>139.37441860465117</v>
      </c>
      <c r="M6775" s="15" t="s">
        <v>10</v>
      </c>
      <c r="N6775" s="15" t="s">
        <v>10</v>
      </c>
      <c r="O6775" s="15" t="s">
        <v>10</v>
      </c>
      <c r="P6775" s="15" t="s">
        <v>10</v>
      </c>
      <c r="Q6775" s="8"/>
      <c r="R6775" s="9" t="s">
        <v>6287</v>
      </c>
    </row>
    <row r="6776" spans="1:18" x14ac:dyDescent="0.25">
      <c r="A6776" s="6" t="str">
        <f>HYPERLINK("proteomic_fractions_linear_files/Yang_linear_img/291463307.jpg", "291463307")</f>
        <v>291463307</v>
      </c>
      <c r="B6776" s="7"/>
      <c r="C6776" s="6" t="str">
        <f>HYPERLINK("http://www.ncbi.nlm.nih.gov/protein/291463307","Shisa9")</f>
        <v>Shisa9</v>
      </c>
      <c r="D6776" s="8"/>
      <c r="E6776" s="8">
        <v>44135</v>
      </c>
      <c r="F6776" s="8"/>
      <c r="G6776" s="15" t="s">
        <v>10</v>
      </c>
      <c r="H6776" s="15" t="s">
        <v>10</v>
      </c>
      <c r="I6776" s="15" t="s">
        <v>10</v>
      </c>
      <c r="J6776" s="15" t="s">
        <v>10</v>
      </c>
      <c r="K6776" s="15">
        <v>136.20681818181819</v>
      </c>
      <c r="L6776" s="15">
        <v>136.20681818181819</v>
      </c>
      <c r="M6776" s="15" t="s">
        <v>10</v>
      </c>
      <c r="N6776" s="15" t="s">
        <v>10</v>
      </c>
      <c r="O6776" s="15" t="s">
        <v>10</v>
      </c>
      <c r="P6776" s="15" t="s">
        <v>10</v>
      </c>
      <c r="Q6776" s="8"/>
      <c r="R6776" s="9" t="s">
        <v>6288</v>
      </c>
    </row>
    <row r="6777" spans="1:18" x14ac:dyDescent="0.25">
      <c r="A6777" s="6" t="str">
        <f>HYPERLINK("proteomic_fractions_linear_files/Yang_linear_img/67846103.jpg", "67846103")</f>
        <v>67846103</v>
      </c>
      <c r="B6777" s="7"/>
      <c r="C6777" s="6" t="str">
        <f>HYPERLINK("http://www.ncbi.nlm.nih.gov/protein/67846103","Shmt1")</f>
        <v>Shmt1</v>
      </c>
      <c r="D6777" s="8"/>
      <c r="E6777" s="8">
        <v>52470</v>
      </c>
      <c r="F6777" s="8"/>
      <c r="G6777" s="15">
        <v>1.2587166025104679</v>
      </c>
      <c r="H6777" s="15">
        <v>1.2587166025104679</v>
      </c>
      <c r="I6777" s="15">
        <v>1.0215494159615592</v>
      </c>
      <c r="J6777" s="15">
        <v>1.0215494159615592</v>
      </c>
      <c r="K6777" s="15">
        <v>1.0215494159615592</v>
      </c>
      <c r="L6777" s="15">
        <v>1.0215494159615592</v>
      </c>
      <c r="M6777" s="15">
        <v>0.92865337662337022</v>
      </c>
      <c r="N6777" s="15">
        <v>0.92865337662337022</v>
      </c>
      <c r="O6777" s="15">
        <v>0.92865337662337022</v>
      </c>
      <c r="P6777" s="15">
        <v>0.92865337662337022</v>
      </c>
      <c r="Q6777" s="8"/>
      <c r="R6777" s="9" t="s">
        <v>6289</v>
      </c>
    </row>
    <row r="6778" spans="1:18" x14ac:dyDescent="0.25">
      <c r="A6778" s="6" t="str">
        <f>HYPERLINK("proteomic_fractions_linear_files/Yang_linear_img/21312298.jpg", "21312298")</f>
        <v>21312298</v>
      </c>
      <c r="B6778" s="7"/>
      <c r="C6778" s="6" t="str">
        <f>HYPERLINK("http://www.ncbi.nlm.nih.gov/protein/21312298","Shmt2")</f>
        <v>Shmt2</v>
      </c>
      <c r="D6778" s="8"/>
      <c r="E6778" s="8">
        <v>55628</v>
      </c>
      <c r="F6778" s="8"/>
      <c r="G6778" s="15">
        <v>1.1688082737597203</v>
      </c>
      <c r="H6778" s="15">
        <v>1.1688082737597203</v>
      </c>
      <c r="I6778" s="15">
        <v>0.94858160053573359</v>
      </c>
      <c r="J6778" s="15">
        <v>0.94858160053573359</v>
      </c>
      <c r="K6778" s="15">
        <v>0.94858160053573359</v>
      </c>
      <c r="L6778" s="15">
        <v>0.94858160053573359</v>
      </c>
      <c r="M6778" s="15">
        <v>0.94858160053573359</v>
      </c>
      <c r="N6778" s="15">
        <v>0.86232099257884376</v>
      </c>
      <c r="O6778" s="15">
        <v>0.86232099257884376</v>
      </c>
      <c r="P6778" s="15">
        <v>0.86232099257884376</v>
      </c>
      <c r="Q6778" s="8"/>
      <c r="R6778" s="9" t="s">
        <v>6290</v>
      </c>
    </row>
    <row r="6779" spans="1:18" x14ac:dyDescent="0.25">
      <c r="A6779" s="6" t="str">
        <f>HYPERLINK("proteomic_fractions_linear_files/Yang_linear_img/356640163.jpg", "356640163")</f>
        <v>356640163</v>
      </c>
      <c r="B6779" s="7"/>
      <c r="C6779" s="6" t="str">
        <f>HYPERLINK("http://www.ncbi.nlm.nih.gov/protein/356640163","Shmt2")</f>
        <v>Shmt2</v>
      </c>
      <c r="D6779" s="8"/>
      <c r="E6779" s="8">
        <v>55289</v>
      </c>
      <c r="F6779" s="8"/>
      <c r="G6779" s="15">
        <v>1.1900593332826241</v>
      </c>
      <c r="H6779" s="15">
        <v>1.1900593332826241</v>
      </c>
      <c r="I6779" s="15">
        <v>0.96582853872729235</v>
      </c>
      <c r="J6779" s="15">
        <v>0.96582853872729235</v>
      </c>
      <c r="K6779" s="15">
        <v>0.96582853872729235</v>
      </c>
      <c r="L6779" s="15">
        <v>0.96582853872729235</v>
      </c>
      <c r="M6779" s="15">
        <v>0.96582853872729235</v>
      </c>
      <c r="N6779" s="15">
        <v>0.87799955608027735</v>
      </c>
      <c r="O6779" s="15">
        <v>0.87799955608027735</v>
      </c>
      <c r="P6779" s="15">
        <v>0.87799955608027735</v>
      </c>
      <c r="Q6779" s="8"/>
      <c r="R6779" s="9" t="s">
        <v>6291</v>
      </c>
    </row>
    <row r="6780" spans="1:18" x14ac:dyDescent="0.25">
      <c r="A6780" s="6" t="str">
        <f>HYPERLINK("proteomic_fractions_linear_files/Yang_linear_img/31543701.jpg", "31543701")</f>
        <v>31543701</v>
      </c>
      <c r="B6780" s="7"/>
      <c r="C6780" s="6" t="str">
        <f>HYPERLINK("http://www.ncbi.nlm.nih.gov/protein/31543701","Shoc2")</f>
        <v>Shoc2</v>
      </c>
      <c r="D6780" s="8"/>
      <c r="E6780" s="8">
        <v>64762</v>
      </c>
      <c r="F6780" s="8"/>
      <c r="G6780" s="15" t="s">
        <v>10</v>
      </c>
      <c r="H6780" s="15" t="s">
        <v>10</v>
      </c>
      <c r="I6780" s="15">
        <v>1.0069732820083743</v>
      </c>
      <c r="J6780" s="15">
        <v>1.0069732820083743</v>
      </c>
      <c r="K6780" s="15">
        <v>1.0069732820083743</v>
      </c>
      <c r="L6780" s="15">
        <v>1.0069732820083743</v>
      </c>
      <c r="M6780" s="15">
        <v>1.0069732820083743</v>
      </c>
      <c r="N6780" s="15">
        <v>1.0069732820083743</v>
      </c>
      <c r="O6780" s="15" t="s">
        <v>10</v>
      </c>
      <c r="P6780" s="15" t="s">
        <v>10</v>
      </c>
      <c r="Q6780" s="8"/>
      <c r="R6780" s="9" t="s">
        <v>6292</v>
      </c>
    </row>
    <row r="6781" spans="1:18" x14ac:dyDescent="0.25">
      <c r="A6781" s="6" t="str">
        <f>HYPERLINK("proteomic_fractions_linear_files/Yang_linear_img/22095001.jpg", "22095001")</f>
        <v>22095001</v>
      </c>
      <c r="B6781" s="7"/>
      <c r="C6781" s="6" t="str">
        <f>HYPERLINK("http://www.ncbi.nlm.nih.gov/protein/22095001","Shpk")</f>
        <v>Shpk</v>
      </c>
      <c r="D6781" s="8"/>
      <c r="E6781" s="8">
        <v>51172</v>
      </c>
      <c r="F6781" s="8"/>
      <c r="G6781" s="15" t="s">
        <v>10</v>
      </c>
      <c r="H6781" s="15" t="s">
        <v>10</v>
      </c>
      <c r="I6781" s="15" t="s">
        <v>10</v>
      </c>
      <c r="J6781" s="15" t="s">
        <v>10</v>
      </c>
      <c r="K6781" s="15" t="s">
        <v>10</v>
      </c>
      <c r="L6781" s="15" t="s">
        <v>10</v>
      </c>
      <c r="M6781" s="15" t="s">
        <v>10</v>
      </c>
      <c r="N6781" s="15" t="s">
        <v>10</v>
      </c>
      <c r="O6781" s="15">
        <v>0.86520763229344055</v>
      </c>
      <c r="P6781" s="15">
        <v>0.86520763229344055</v>
      </c>
      <c r="Q6781" s="8"/>
      <c r="R6781" s="9" t="s">
        <v>6293</v>
      </c>
    </row>
    <row r="6782" spans="1:18" x14ac:dyDescent="0.25">
      <c r="A6782" s="6" t="str">
        <f>HYPERLINK("proteomic_fractions_linear_files/Yang_linear_img/166998470.jpg", "166998470")</f>
        <v>166998470</v>
      </c>
      <c r="B6782" s="7"/>
      <c r="C6782" s="6" t="str">
        <f>HYPERLINK("http://www.ncbi.nlm.nih.gov/protein/166998470","Shq1")</f>
        <v>Shq1</v>
      </c>
      <c r="D6782" s="8"/>
      <c r="E6782" s="8">
        <v>63327</v>
      </c>
      <c r="F6782" s="8"/>
      <c r="G6782" s="15" t="s">
        <v>10</v>
      </c>
      <c r="H6782" s="15" t="s">
        <v>10</v>
      </c>
      <c r="I6782" s="15" t="s">
        <v>10</v>
      </c>
      <c r="J6782" s="15" t="s">
        <v>10</v>
      </c>
      <c r="K6782" s="15" t="s">
        <v>10</v>
      </c>
      <c r="L6782" s="15" t="s">
        <v>10</v>
      </c>
      <c r="M6782" s="15" t="s">
        <v>10</v>
      </c>
      <c r="N6782" s="15" t="s">
        <v>10</v>
      </c>
      <c r="O6782" s="15">
        <v>1.1656533371695594</v>
      </c>
      <c r="P6782" s="15">
        <v>1.1656533371695594</v>
      </c>
      <c r="Q6782" s="8"/>
      <c r="R6782" s="9" t="s">
        <v>6294</v>
      </c>
    </row>
    <row r="6783" spans="1:18" x14ac:dyDescent="0.25">
      <c r="A6783" s="6" t="str">
        <f>HYPERLINK("proteomic_fractions_linear_files/Yang_linear_img/94818779.jpg", "94818779")</f>
        <v>94818779</v>
      </c>
      <c r="B6783" s="7"/>
      <c r="C6783" s="6" t="str">
        <f>HYPERLINK("http://www.ncbi.nlm.nih.gov/protein/94818779","Shroom4")</f>
        <v>Shroom4</v>
      </c>
      <c r="D6783" s="8"/>
      <c r="E6783" s="8">
        <v>163108</v>
      </c>
      <c r="F6783" s="8"/>
      <c r="G6783" s="15" t="s">
        <v>10</v>
      </c>
      <c r="H6783" s="15" t="s">
        <v>10</v>
      </c>
      <c r="I6783" s="15" t="s">
        <v>10</v>
      </c>
      <c r="J6783" s="15" t="s">
        <v>10</v>
      </c>
      <c r="K6783" s="15">
        <v>1.4316616418886445</v>
      </c>
      <c r="L6783" s="15">
        <v>1.4316616418886445</v>
      </c>
      <c r="M6783" s="15" t="s">
        <v>10</v>
      </c>
      <c r="N6783" s="15" t="s">
        <v>10</v>
      </c>
      <c r="O6783" s="15" t="s">
        <v>10</v>
      </c>
      <c r="P6783" s="15" t="s">
        <v>10</v>
      </c>
      <c r="Q6783" s="8"/>
      <c r="R6783" s="9" t="s">
        <v>6295</v>
      </c>
    </row>
    <row r="6784" spans="1:18" x14ac:dyDescent="0.25">
      <c r="A6784" s="6" t="str">
        <f>HYPERLINK("proteomic_fractions_linear_files/Yang_linear_img/31560532.jpg", "31560532")</f>
        <v>31560532</v>
      </c>
      <c r="B6784" s="7"/>
      <c r="C6784" s="6" t="str">
        <f>HYPERLINK("http://www.ncbi.nlm.nih.gov/protein/31560532","Siae")</f>
        <v>Siae</v>
      </c>
      <c r="D6784" s="8"/>
      <c r="E6784" s="8">
        <v>58582</v>
      </c>
      <c r="F6784" s="8"/>
      <c r="G6784" s="15" t="s">
        <v>10</v>
      </c>
      <c r="H6784" s="15" t="s">
        <v>10</v>
      </c>
      <c r="I6784" s="15">
        <v>0.44322471382076273</v>
      </c>
      <c r="J6784" s="15">
        <v>0.44322471382076273</v>
      </c>
      <c r="K6784" s="15">
        <v>0.47319002199461119</v>
      </c>
      <c r="L6784" s="15">
        <v>0.47319002199461119</v>
      </c>
      <c r="M6784" s="15" t="s">
        <v>10</v>
      </c>
      <c r="N6784" s="15" t="s">
        <v>10</v>
      </c>
      <c r="O6784" s="15">
        <v>0.39168768431724482</v>
      </c>
      <c r="P6784" s="15">
        <v>0.41618340022503247</v>
      </c>
      <c r="Q6784" s="8"/>
      <c r="R6784" s="9" t="s">
        <v>6296</v>
      </c>
    </row>
    <row r="6785" spans="1:18" x14ac:dyDescent="0.25">
      <c r="A6785" s="6" t="str">
        <f>HYPERLINK("proteomic_fractions_linear_files/Yang_linear_img/26986551.jpg", "26986551")</f>
        <v>26986551</v>
      </c>
      <c r="B6785" s="7"/>
      <c r="C6785" s="6" t="str">
        <f>HYPERLINK("http://www.ncbi.nlm.nih.gov/protein/26986551","Sidt2")</f>
        <v>Sidt2</v>
      </c>
      <c r="D6785" s="8"/>
      <c r="E6785" s="8">
        <v>92519</v>
      </c>
      <c r="F6785" s="8"/>
      <c r="G6785" s="15" t="s">
        <v>10</v>
      </c>
      <c r="H6785" s="15" t="s">
        <v>10</v>
      </c>
      <c r="I6785" s="15">
        <v>1.650030872432708</v>
      </c>
      <c r="J6785" s="15">
        <v>1.650030872432708</v>
      </c>
      <c r="K6785" s="15">
        <v>1.650030872432708</v>
      </c>
      <c r="L6785" s="15">
        <v>1.650030872432708</v>
      </c>
      <c r="M6785" s="15" t="s">
        <v>10</v>
      </c>
      <c r="N6785" s="15" t="s">
        <v>10</v>
      </c>
      <c r="O6785" s="15" t="s">
        <v>10</v>
      </c>
      <c r="P6785" s="15" t="s">
        <v>10</v>
      </c>
      <c r="Q6785" s="8"/>
      <c r="R6785" s="9" t="s">
        <v>6297</v>
      </c>
    </row>
    <row r="6786" spans="1:18" x14ac:dyDescent="0.25">
      <c r="A6786" s="6" t="str">
        <f>HYPERLINK("proteomic_fractions_linear_files/Yang_linear_img/134032002.jpg", "134032002")</f>
        <v>134032002</v>
      </c>
      <c r="B6786" s="7"/>
      <c r="C6786" s="6" t="str">
        <f>HYPERLINK("http://www.ncbi.nlm.nih.gov/protein/134032002","Siglece")</f>
        <v>Siglece</v>
      </c>
      <c r="D6786" s="8"/>
      <c r="E6786" s="8">
        <v>49925</v>
      </c>
      <c r="F6786" s="8"/>
      <c r="G6786" s="15" t="s">
        <v>10</v>
      </c>
      <c r="H6786" s="15" t="s">
        <v>10</v>
      </c>
      <c r="I6786" s="15">
        <v>0.64168145711467173</v>
      </c>
      <c r="J6786" s="15">
        <v>0.64168145711467173</v>
      </c>
      <c r="K6786" s="15" t="s">
        <v>10</v>
      </c>
      <c r="L6786" s="15" t="s">
        <v>10</v>
      </c>
      <c r="M6786" s="15" t="s">
        <v>10</v>
      </c>
      <c r="N6786" s="15" t="s">
        <v>10</v>
      </c>
      <c r="O6786" s="15" t="s">
        <v>10</v>
      </c>
      <c r="P6786" s="15" t="s">
        <v>10</v>
      </c>
      <c r="Q6786" s="8"/>
      <c r="R6786" s="9" t="s">
        <v>6298</v>
      </c>
    </row>
    <row r="6787" spans="1:18" x14ac:dyDescent="0.25">
      <c r="A6787" s="6" t="str">
        <f>HYPERLINK("proteomic_fractions_linear_files/Yang_linear_img/13385140.jpg", "13385140")</f>
        <v>13385140</v>
      </c>
      <c r="B6787" s="7"/>
      <c r="C6787" s="6" t="str">
        <f>HYPERLINK("http://www.ncbi.nlm.nih.gov/protein/13385140","Sike1")</f>
        <v>Sike1</v>
      </c>
      <c r="D6787" s="8"/>
      <c r="E6787" s="8">
        <v>23391</v>
      </c>
      <c r="F6787" s="8"/>
      <c r="G6787" s="15" t="s">
        <v>10</v>
      </c>
      <c r="H6787" s="15" t="s">
        <v>10</v>
      </c>
      <c r="I6787" s="15" t="s">
        <v>10</v>
      </c>
      <c r="J6787" s="15" t="s">
        <v>10</v>
      </c>
      <c r="K6787" s="15" t="s">
        <v>10</v>
      </c>
      <c r="L6787" s="15" t="s">
        <v>10</v>
      </c>
      <c r="M6787" s="15" t="s">
        <v>10</v>
      </c>
      <c r="N6787" s="15" t="s">
        <v>10</v>
      </c>
      <c r="O6787" s="15">
        <v>0.89554092115896833</v>
      </c>
      <c r="P6787" s="15">
        <v>0.89554092115896833</v>
      </c>
      <c r="Q6787" s="8"/>
      <c r="R6787" s="9" t="s">
        <v>6299</v>
      </c>
    </row>
    <row r="6788" spans="1:18" x14ac:dyDescent="0.25">
      <c r="A6788" s="6" t="str">
        <f>HYPERLINK("proteomic_fractions_linear_files/Yang_linear_img/257196264.jpg", "257196264")</f>
        <v>257196264</v>
      </c>
      <c r="B6788" s="7"/>
      <c r="C6788" s="6" t="str">
        <f>HYPERLINK("http://www.ncbi.nlm.nih.gov/protein/257196264","Sil1")</f>
        <v>Sil1</v>
      </c>
      <c r="D6788" s="8"/>
      <c r="E6788" s="8">
        <v>49191</v>
      </c>
      <c r="F6788" s="8"/>
      <c r="G6788" s="15" t="s">
        <v>10</v>
      </c>
      <c r="H6788" s="15" t="s">
        <v>10</v>
      </c>
      <c r="I6788" s="15">
        <v>1.0840932577551241</v>
      </c>
      <c r="J6788" s="15">
        <v>1.0840932577551241</v>
      </c>
      <c r="K6788" s="15">
        <v>1.1994532160325275</v>
      </c>
      <c r="L6788" s="15">
        <v>1.1994532160325275</v>
      </c>
      <c r="M6788" s="15" t="s">
        <v>10</v>
      </c>
      <c r="N6788" s="15" t="s">
        <v>10</v>
      </c>
      <c r="O6788" s="15" t="s">
        <v>10</v>
      </c>
      <c r="P6788" s="15" t="s">
        <v>10</v>
      </c>
      <c r="Q6788" s="8"/>
      <c r="R6788" s="9" t="s">
        <v>6300</v>
      </c>
    </row>
    <row r="6789" spans="1:18" x14ac:dyDescent="0.25">
      <c r="A6789" s="6" t="str">
        <f>HYPERLINK("proteomic_fractions_linear_files/Yang_linear_img/160333357.jpg", "160333357")</f>
        <v>160333357</v>
      </c>
      <c r="B6789" s="7"/>
      <c r="C6789" s="6" t="str">
        <f>HYPERLINK("http://www.ncbi.nlm.nih.gov/protein/160333357","Sin3a")</f>
        <v>Sin3a</v>
      </c>
      <c r="D6789" s="8"/>
      <c r="E6789" s="8">
        <v>144957</v>
      </c>
      <c r="F6789" s="8"/>
      <c r="G6789" s="15">
        <v>4.0930538322020977</v>
      </c>
      <c r="H6789" s="15">
        <v>4.0930538322020977</v>
      </c>
      <c r="I6789" s="15" t="s">
        <v>10</v>
      </c>
      <c r="J6789" s="15" t="s">
        <v>10</v>
      </c>
      <c r="K6789" s="15" t="s">
        <v>10</v>
      </c>
      <c r="L6789" s="15" t="s">
        <v>10</v>
      </c>
      <c r="M6789" s="15" t="s">
        <v>10</v>
      </c>
      <c r="N6789" s="15" t="s">
        <v>10</v>
      </c>
      <c r="O6789" s="15" t="s">
        <v>10</v>
      </c>
      <c r="P6789" s="15" t="s">
        <v>10</v>
      </c>
      <c r="Q6789" s="8"/>
      <c r="R6789" s="9" t="s">
        <v>6301</v>
      </c>
    </row>
    <row r="6790" spans="1:18" x14ac:dyDescent="0.25">
      <c r="A6790" s="6" t="str">
        <f>HYPERLINK("proteomic_fractions_linear_files/Yang_linear_img/160333360.jpg", "160333360")</f>
        <v>160333360</v>
      </c>
      <c r="B6790" s="7"/>
      <c r="C6790" s="6" t="str">
        <f>HYPERLINK("http://www.ncbi.nlm.nih.gov/protein/160333360","Sin3a")</f>
        <v>Sin3a</v>
      </c>
      <c r="D6790" s="8"/>
      <c r="E6790" s="8">
        <v>145344</v>
      </c>
      <c r="F6790" s="8"/>
      <c r="G6790" s="15">
        <v>4.0930538322020977</v>
      </c>
      <c r="H6790" s="15">
        <v>4.0930538322020977</v>
      </c>
      <c r="I6790" s="15" t="s">
        <v>10</v>
      </c>
      <c r="J6790" s="15" t="s">
        <v>10</v>
      </c>
      <c r="K6790" s="15" t="s">
        <v>10</v>
      </c>
      <c r="L6790" s="15" t="s">
        <v>10</v>
      </c>
      <c r="M6790" s="15" t="s">
        <v>10</v>
      </c>
      <c r="N6790" s="15" t="s">
        <v>10</v>
      </c>
      <c r="O6790" s="15" t="s">
        <v>10</v>
      </c>
      <c r="P6790" s="15" t="s">
        <v>10</v>
      </c>
      <c r="Q6790" s="8"/>
      <c r="R6790" s="9" t="s">
        <v>6302</v>
      </c>
    </row>
    <row r="6791" spans="1:18" x14ac:dyDescent="0.25">
      <c r="A6791" s="6" t="str">
        <f>HYPERLINK("proteomic_fractions_linear_files/Yang_linear_img/227430309.jpg", "227430309")</f>
        <v>227430309</v>
      </c>
      <c r="B6791" s="7"/>
      <c r="C6791" s="6" t="str">
        <f>HYPERLINK("http://www.ncbi.nlm.nih.gov/protein/227430309","Sirt1")</f>
        <v>Sirt1</v>
      </c>
      <c r="D6791" s="8"/>
      <c r="E6791" s="8">
        <v>75913</v>
      </c>
      <c r="F6791" s="8"/>
      <c r="G6791" s="15" t="s">
        <v>10</v>
      </c>
      <c r="H6791" s="15" t="s">
        <v>10</v>
      </c>
      <c r="I6791" s="15" t="s">
        <v>10</v>
      </c>
      <c r="J6791" s="15" t="s">
        <v>10</v>
      </c>
      <c r="K6791" s="15" t="s">
        <v>10</v>
      </c>
      <c r="L6791" s="15" t="s">
        <v>10</v>
      </c>
      <c r="M6791" s="15" t="s">
        <v>10</v>
      </c>
      <c r="N6791" s="15" t="s">
        <v>10</v>
      </c>
      <c r="O6791" s="15">
        <v>1.6937056334883811</v>
      </c>
      <c r="P6791" s="15">
        <v>1.6937056334883811</v>
      </c>
      <c r="Q6791" s="8"/>
      <c r="R6791" s="9" t="s">
        <v>6303</v>
      </c>
    </row>
    <row r="6792" spans="1:18" x14ac:dyDescent="0.25">
      <c r="A6792" s="6" t="str">
        <f>HYPERLINK("proteomic_fractions_linear_files/Yang_linear_img/9790229.jpg", "9790229")</f>
        <v>9790229</v>
      </c>
      <c r="B6792" s="7"/>
      <c r="C6792" s="6" t="str">
        <f>HYPERLINK("http://www.ncbi.nlm.nih.gov/protein/9790229","Sirt1")</f>
        <v>Sirt1</v>
      </c>
      <c r="D6792" s="8"/>
      <c r="E6792" s="8">
        <v>80241</v>
      </c>
      <c r="F6792" s="8"/>
      <c r="G6792" s="15" t="s">
        <v>10</v>
      </c>
      <c r="H6792" s="15" t="s">
        <v>10</v>
      </c>
      <c r="I6792" s="15" t="s">
        <v>10</v>
      </c>
      <c r="J6792" s="15" t="s">
        <v>10</v>
      </c>
      <c r="K6792" s="15" t="s">
        <v>10</v>
      </c>
      <c r="L6792" s="15" t="s">
        <v>10</v>
      </c>
      <c r="M6792" s="15" t="s">
        <v>10</v>
      </c>
      <c r="N6792" s="15" t="s">
        <v>10</v>
      </c>
      <c r="O6792" s="15">
        <v>1.6090203518139621</v>
      </c>
      <c r="P6792" s="15">
        <v>1.6090203518139621</v>
      </c>
      <c r="Q6792" s="8"/>
      <c r="R6792" s="9" t="s">
        <v>6304</v>
      </c>
    </row>
    <row r="6793" spans="1:18" x14ac:dyDescent="0.25">
      <c r="A6793" s="6" t="str">
        <f>HYPERLINK("proteomic_fractions_linear_files/Yang_linear_img/170650630.jpg", "170650630")</f>
        <v>170650630</v>
      </c>
      <c r="B6793" s="7"/>
      <c r="C6793" s="6" t="str">
        <f>HYPERLINK("http://www.ncbi.nlm.nih.gov/protein/170650630","Sirt2")</f>
        <v>Sirt2</v>
      </c>
      <c r="D6793" s="8"/>
      <c r="E6793" s="8">
        <v>43125</v>
      </c>
      <c r="F6793" s="8"/>
      <c r="G6793" s="15" t="s">
        <v>10</v>
      </c>
      <c r="H6793" s="15" t="s">
        <v>10</v>
      </c>
      <c r="I6793" s="15">
        <v>0.80356689605756237</v>
      </c>
      <c r="J6793" s="15">
        <v>0.80356689605756237</v>
      </c>
      <c r="K6793" s="15">
        <v>0.86840294007266494</v>
      </c>
      <c r="L6793" s="15">
        <v>0.86840294007266494</v>
      </c>
      <c r="M6793" s="15" t="s">
        <v>10</v>
      </c>
      <c r="N6793" s="15" t="s">
        <v>10</v>
      </c>
      <c r="O6793" s="15">
        <v>0.942030655888901</v>
      </c>
      <c r="P6793" s="15">
        <v>0.942030655888901</v>
      </c>
      <c r="Q6793" s="8"/>
      <c r="R6793" s="9" t="s">
        <v>6305</v>
      </c>
    </row>
    <row r="6794" spans="1:18" x14ac:dyDescent="0.25">
      <c r="A6794" s="6" t="str">
        <f>HYPERLINK("proteomic_fractions_linear_files/Yang_linear_img/170650632.jpg", "170650632")</f>
        <v>170650632</v>
      </c>
      <c r="B6794" s="7"/>
      <c r="C6794" s="6" t="str">
        <f>HYPERLINK("http://www.ncbi.nlm.nih.gov/protein/170650632","Sirt2")</f>
        <v>Sirt2</v>
      </c>
      <c r="D6794" s="8"/>
      <c r="E6794" s="8">
        <v>39423</v>
      </c>
      <c r="F6794" s="8"/>
      <c r="G6794" s="15" t="s">
        <v>10</v>
      </c>
      <c r="H6794" s="15" t="s">
        <v>10</v>
      </c>
      <c r="I6794" s="15">
        <v>0.8859840136019278</v>
      </c>
      <c r="J6794" s="15">
        <v>0.8859840136019278</v>
      </c>
      <c r="K6794" s="15">
        <v>0.95746990828524592</v>
      </c>
      <c r="L6794" s="15">
        <v>0.95746990828524592</v>
      </c>
      <c r="M6794" s="15" t="s">
        <v>10</v>
      </c>
      <c r="N6794" s="15" t="s">
        <v>10</v>
      </c>
      <c r="O6794" s="15">
        <v>1.038649184698019</v>
      </c>
      <c r="P6794" s="15">
        <v>1.038649184698019</v>
      </c>
      <c r="Q6794" s="8"/>
      <c r="R6794" s="9" t="s">
        <v>6306</v>
      </c>
    </row>
    <row r="6795" spans="1:18" x14ac:dyDescent="0.25">
      <c r="A6795" s="6" t="str">
        <f>HYPERLINK("proteomic_fractions_linear_files/Yang_linear_img/170650634.jpg", "170650634")</f>
        <v>170650634</v>
      </c>
      <c r="B6795" s="7"/>
      <c r="C6795" s="6" t="str">
        <f>HYPERLINK("http://www.ncbi.nlm.nih.gov/protein/170650634","Sirt2")</f>
        <v>Sirt2</v>
      </c>
      <c r="D6795" s="8"/>
      <c r="E6795" s="8">
        <v>35547</v>
      </c>
      <c r="F6795" s="8"/>
      <c r="G6795" s="15" t="s">
        <v>10</v>
      </c>
      <c r="H6795" s="15" t="s">
        <v>10</v>
      </c>
      <c r="I6795" s="15">
        <v>0.95981601473542177</v>
      </c>
      <c r="J6795" s="15">
        <v>0.95981601473542177</v>
      </c>
      <c r="K6795" s="15">
        <v>1.0372590673090165</v>
      </c>
      <c r="L6795" s="15">
        <v>1.0372590673090165</v>
      </c>
      <c r="M6795" s="15" t="s">
        <v>10</v>
      </c>
      <c r="N6795" s="15" t="s">
        <v>10</v>
      </c>
      <c r="O6795" s="15">
        <v>1.125203283422854</v>
      </c>
      <c r="P6795" s="15">
        <v>1.125203283422854</v>
      </c>
      <c r="Q6795" s="8"/>
      <c r="R6795" s="9" t="s">
        <v>6307</v>
      </c>
    </row>
    <row r="6796" spans="1:18" x14ac:dyDescent="0.25">
      <c r="A6796" s="6" t="str">
        <f>HYPERLINK("proteomic_fractions_linear_files/Yang_linear_img/267844847.jpg", "267844847")</f>
        <v>267844847</v>
      </c>
      <c r="B6796" s="7"/>
      <c r="C6796" s="6" t="str">
        <f>HYPERLINK("http://www.ncbi.nlm.nih.gov/protein/267844847","Sirt4")</f>
        <v>Sirt4</v>
      </c>
      <c r="D6796" s="8"/>
      <c r="E6796" s="8">
        <v>34701</v>
      </c>
      <c r="F6796" s="8"/>
      <c r="G6796" s="15" t="s">
        <v>10</v>
      </c>
      <c r="H6796" s="15" t="s">
        <v>10</v>
      </c>
      <c r="I6796" s="15">
        <v>0.91668779587810256</v>
      </c>
      <c r="J6796" s="15">
        <v>0.91668779587810256</v>
      </c>
      <c r="K6796" s="15" t="s">
        <v>10</v>
      </c>
      <c r="L6796" s="15" t="s">
        <v>10</v>
      </c>
      <c r="M6796" s="15" t="s">
        <v>10</v>
      </c>
      <c r="N6796" s="15" t="s">
        <v>10</v>
      </c>
      <c r="O6796" s="15" t="s">
        <v>10</v>
      </c>
      <c r="P6796" s="15" t="s">
        <v>10</v>
      </c>
      <c r="Q6796" s="8"/>
      <c r="R6796" s="9" t="s">
        <v>6308</v>
      </c>
    </row>
    <row r="6797" spans="1:18" x14ac:dyDescent="0.25">
      <c r="A6797" s="6" t="str">
        <f>HYPERLINK("proteomic_fractions_linear_files/Yang_linear_img/30578432.jpg", "30578432")</f>
        <v>30578432</v>
      </c>
      <c r="B6797" s="7"/>
      <c r="C6797" s="6" t="str">
        <f>HYPERLINK("http://www.ncbi.nlm.nih.gov/protein/30578432","Sirt5")</f>
        <v>Sirt5</v>
      </c>
      <c r="D6797" s="8"/>
      <c r="E6797" s="8">
        <v>30114</v>
      </c>
      <c r="F6797" s="8"/>
      <c r="G6797" s="15" t="s">
        <v>10</v>
      </c>
      <c r="H6797" s="15" t="s">
        <v>10</v>
      </c>
      <c r="I6797" s="15">
        <v>0.87167527051416671</v>
      </c>
      <c r="J6797" s="15">
        <v>0.87167527051416671</v>
      </c>
      <c r="K6797" s="15">
        <v>0.93060704325606869</v>
      </c>
      <c r="L6797" s="15">
        <v>0.93060704325606869</v>
      </c>
      <c r="M6797" s="15" t="s">
        <v>10</v>
      </c>
      <c r="N6797" s="15" t="s">
        <v>10</v>
      </c>
      <c r="O6797" s="15">
        <v>0.81849402044256392</v>
      </c>
      <c r="P6797" s="15">
        <v>0.81849402044256392</v>
      </c>
      <c r="Q6797" s="8"/>
      <c r="R6797" s="9" t="s">
        <v>6309</v>
      </c>
    </row>
    <row r="6798" spans="1:18" x14ac:dyDescent="0.25">
      <c r="A6798" s="6" t="str">
        <f>HYPERLINK("proteomic_fractions_linear_files/Yang_linear_img/254939656.jpg", "254939656")</f>
        <v>254939656</v>
      </c>
      <c r="B6798" s="7"/>
      <c r="C6798" s="6" t="str">
        <f>HYPERLINK("http://www.ncbi.nlm.nih.gov/protein/254939656","Sirt6")</f>
        <v>Sirt6</v>
      </c>
      <c r="D6798" s="8"/>
      <c r="E6798" s="8">
        <v>32312</v>
      </c>
      <c r="F6798" s="8"/>
      <c r="G6798" s="15" t="s">
        <v>10</v>
      </c>
      <c r="H6798" s="15" t="s">
        <v>10</v>
      </c>
      <c r="I6798" s="15" t="s">
        <v>10</v>
      </c>
      <c r="J6798" s="15" t="s">
        <v>10</v>
      </c>
      <c r="K6798" s="15">
        <v>1.1669164507226435</v>
      </c>
      <c r="L6798" s="15">
        <v>1.1669164507226435</v>
      </c>
      <c r="M6798" s="15" t="s">
        <v>10</v>
      </c>
      <c r="N6798" s="15" t="s">
        <v>10</v>
      </c>
      <c r="O6798" s="15" t="s">
        <v>10</v>
      </c>
      <c r="P6798" s="15" t="s">
        <v>10</v>
      </c>
      <c r="Q6798" s="8"/>
      <c r="R6798" s="9" t="s">
        <v>6310</v>
      </c>
    </row>
    <row r="6799" spans="1:18" x14ac:dyDescent="0.25">
      <c r="A6799" s="6" t="str">
        <f>HYPERLINK("proteomic_fractions_linear_files/Yang_linear_img/31712018.jpg", "31712018")</f>
        <v>31712018</v>
      </c>
      <c r="B6799" s="7"/>
      <c r="C6799" s="6" t="str">
        <f>HYPERLINK("http://www.ncbi.nlm.nih.gov/protein/31712018","Sirt6")</f>
        <v>Sirt6</v>
      </c>
      <c r="D6799" s="8"/>
      <c r="E6799" s="8">
        <v>36789</v>
      </c>
      <c r="F6799" s="8"/>
      <c r="G6799" s="15" t="s">
        <v>10</v>
      </c>
      <c r="H6799" s="15" t="s">
        <v>10</v>
      </c>
      <c r="I6799" s="15" t="s">
        <v>10</v>
      </c>
      <c r="J6799" s="15" t="s">
        <v>10</v>
      </c>
      <c r="K6799" s="15">
        <v>1.0092250384628267</v>
      </c>
      <c r="L6799" s="15">
        <v>1.0092250384628267</v>
      </c>
      <c r="M6799" s="15" t="s">
        <v>10</v>
      </c>
      <c r="N6799" s="15" t="s">
        <v>10</v>
      </c>
      <c r="O6799" s="15" t="s">
        <v>10</v>
      </c>
      <c r="P6799" s="15" t="s">
        <v>10</v>
      </c>
      <c r="Q6799" s="8"/>
      <c r="R6799" s="9" t="s">
        <v>6311</v>
      </c>
    </row>
    <row r="6800" spans="1:18" x14ac:dyDescent="0.25">
      <c r="A6800" s="6" t="str">
        <f>HYPERLINK("proteomic_fractions_linear_files/Yang_linear_img/240120126.jpg", "240120126")</f>
        <v>240120126</v>
      </c>
      <c r="B6800" s="7"/>
      <c r="C6800" s="6" t="str">
        <f>HYPERLINK("http://www.ncbi.nlm.nih.gov/protein/240120126","Siva1")</f>
        <v>Siva1</v>
      </c>
      <c r="D6800" s="8"/>
      <c r="E6800" s="8">
        <v>18638</v>
      </c>
      <c r="F6800" s="8"/>
      <c r="G6800" s="15" t="s">
        <v>10</v>
      </c>
      <c r="H6800" s="15" t="s">
        <v>10</v>
      </c>
      <c r="I6800" s="15">
        <v>0.92473367186099831</v>
      </c>
      <c r="J6800" s="15">
        <v>0.92473367186099831</v>
      </c>
      <c r="K6800" s="15" t="s">
        <v>10</v>
      </c>
      <c r="L6800" s="15" t="s">
        <v>10</v>
      </c>
      <c r="M6800" s="15" t="s">
        <v>10</v>
      </c>
      <c r="N6800" s="15" t="s">
        <v>10</v>
      </c>
      <c r="O6800" s="15">
        <v>0.92473367186099831</v>
      </c>
      <c r="P6800" s="15">
        <v>0.92473367186099831</v>
      </c>
      <c r="Q6800" s="8"/>
      <c r="R6800" s="9" t="s">
        <v>6312</v>
      </c>
    </row>
    <row r="6801" spans="1:18" x14ac:dyDescent="0.25">
      <c r="A6801" s="6" t="str">
        <f>HYPERLINK("proteomic_fractions_linear_files/Yang_linear_img/240120128.jpg", "240120128")</f>
        <v>240120128</v>
      </c>
      <c r="B6801" s="7"/>
      <c r="C6801" s="6" t="str">
        <f>HYPERLINK("http://www.ncbi.nlm.nih.gov/protein/240120128","Siva1")</f>
        <v>Siva1</v>
      </c>
      <c r="D6801" s="8"/>
      <c r="E6801" s="8">
        <v>11606</v>
      </c>
      <c r="F6801" s="8"/>
      <c r="G6801" s="15" t="s">
        <v>10</v>
      </c>
      <c r="H6801" s="15" t="s">
        <v>10</v>
      </c>
      <c r="I6801" s="15">
        <v>1.4641616471132473</v>
      </c>
      <c r="J6801" s="15">
        <v>1.4641616471132473</v>
      </c>
      <c r="K6801" s="15" t="s">
        <v>10</v>
      </c>
      <c r="L6801" s="15" t="s">
        <v>10</v>
      </c>
      <c r="M6801" s="15" t="s">
        <v>10</v>
      </c>
      <c r="N6801" s="15" t="s">
        <v>10</v>
      </c>
      <c r="O6801" s="15">
        <v>1.4641616471132473</v>
      </c>
      <c r="P6801" s="15">
        <v>1.4641616471132473</v>
      </c>
      <c r="Q6801" s="8"/>
      <c r="R6801" s="9" t="s">
        <v>6313</v>
      </c>
    </row>
    <row r="6802" spans="1:18" x14ac:dyDescent="0.25">
      <c r="A6802" s="6" t="str">
        <f>HYPERLINK("proteomic_fractions_linear_files/Yang_linear_img/87252727.jpg", "87252727")</f>
        <v>87252727</v>
      </c>
      <c r="B6802" s="7"/>
      <c r="C6802" s="6" t="str">
        <f>HYPERLINK("http://www.ncbi.nlm.nih.gov/protein/87252727","Skiv2l")</f>
        <v>Skiv2l</v>
      </c>
      <c r="D6802" s="8"/>
      <c r="E6802" s="8">
        <v>137393</v>
      </c>
      <c r="F6802" s="8"/>
      <c r="G6802" s="15" t="s">
        <v>10</v>
      </c>
      <c r="H6802" s="15" t="s">
        <v>10</v>
      </c>
      <c r="I6802" s="15" t="s">
        <v>10</v>
      </c>
      <c r="J6802" s="15" t="s">
        <v>10</v>
      </c>
      <c r="K6802" s="15">
        <v>1.36325424554701</v>
      </c>
      <c r="L6802" s="15">
        <v>1.36325424554701</v>
      </c>
      <c r="M6802" s="15">
        <v>1.36325424554701</v>
      </c>
      <c r="N6802" s="15">
        <v>1.36325424554701</v>
      </c>
      <c r="O6802" s="15" t="s">
        <v>10</v>
      </c>
      <c r="P6802" s="15" t="s">
        <v>10</v>
      </c>
      <c r="Q6802" s="8"/>
      <c r="R6802" s="9" t="s">
        <v>6314</v>
      </c>
    </row>
    <row r="6803" spans="1:18" x14ac:dyDescent="0.25">
      <c r="A6803" s="6" t="str">
        <f>HYPERLINK("proteomic_fractions_linear_files/Yang_linear_img/21312352.jpg", "21312352")</f>
        <v>21312352</v>
      </c>
      <c r="B6803" s="7"/>
      <c r="C6803" s="6" t="str">
        <f>HYPERLINK("http://www.ncbi.nlm.nih.gov/protein/21312352","Skiv2l2")</f>
        <v>Skiv2l2</v>
      </c>
      <c r="D6803" s="8"/>
      <c r="E6803" s="8">
        <v>117506</v>
      </c>
      <c r="F6803" s="8"/>
      <c r="G6803" s="15" t="s">
        <v>10</v>
      </c>
      <c r="H6803" s="15" t="s">
        <v>10</v>
      </c>
      <c r="I6803" s="15" t="s">
        <v>10</v>
      </c>
      <c r="J6803" s="15" t="s">
        <v>10</v>
      </c>
      <c r="K6803" s="15">
        <v>1.3004480604766258</v>
      </c>
      <c r="L6803" s="15">
        <v>1.3004480604766258</v>
      </c>
      <c r="M6803" s="15">
        <v>1.0908612554670929</v>
      </c>
      <c r="N6803" s="15">
        <v>1.0908612554670929</v>
      </c>
      <c r="O6803" s="15">
        <v>1.0908612554670929</v>
      </c>
      <c r="P6803" s="15">
        <v>1.0908612554670929</v>
      </c>
      <c r="Q6803" s="8"/>
      <c r="R6803" s="9" t="s">
        <v>6315</v>
      </c>
    </row>
    <row r="6804" spans="1:18" x14ac:dyDescent="0.25">
      <c r="A6804" s="6" t="str">
        <f>HYPERLINK("proteomic_fractions_linear_files/Yang_linear_img/158854016.jpg", "158854016")</f>
        <v>158854016</v>
      </c>
      <c r="B6804" s="7"/>
      <c r="C6804" s="6" t="str">
        <f>HYPERLINK("http://www.ncbi.nlm.nih.gov/protein/158854016","Skp1a")</f>
        <v>Skp1a</v>
      </c>
      <c r="D6804" s="8"/>
      <c r="E6804" s="8">
        <v>18541</v>
      </c>
      <c r="F6804" s="8"/>
      <c r="G6804" s="15">
        <v>1.4693795419832663</v>
      </c>
      <c r="H6804" s="15">
        <v>1.4693795419832663</v>
      </c>
      <c r="I6804" s="15">
        <v>1.0263763067386986</v>
      </c>
      <c r="J6804" s="15">
        <v>1.0263763067386986</v>
      </c>
      <c r="K6804" s="15">
        <v>1.0263763067386986</v>
      </c>
      <c r="L6804" s="15">
        <v>1.0263763067386986</v>
      </c>
      <c r="M6804" s="15">
        <v>1.0263763067386986</v>
      </c>
      <c r="N6804" s="15">
        <v>1.0263763067386986</v>
      </c>
      <c r="O6804" s="15">
        <v>0.97343679813495176</v>
      </c>
      <c r="P6804" s="15">
        <v>0.97343679813495176</v>
      </c>
      <c r="Q6804" s="8"/>
      <c r="R6804" s="9" t="s">
        <v>6316</v>
      </c>
    </row>
    <row r="6805" spans="1:18" x14ac:dyDescent="0.25">
      <c r="A6805" s="6" t="str">
        <f>HYPERLINK("proteomic_fractions_linear_files/Yang_linear_img/371119693.jpg", "371119693")</f>
        <v>371119693</v>
      </c>
      <c r="B6805" s="7"/>
      <c r="C6805" s="6" t="str">
        <f>HYPERLINK("http://www.ncbi.nlm.nih.gov/protein/371119693","Slc10a3")</f>
        <v>Slc10a3</v>
      </c>
      <c r="D6805" s="8"/>
      <c r="E6805" s="8">
        <v>50124</v>
      </c>
      <c r="F6805" s="8"/>
      <c r="G6805" s="15">
        <v>3.7353166327988072</v>
      </c>
      <c r="H6805" s="15">
        <v>3.7353166327988072</v>
      </c>
      <c r="I6805" s="15" t="s">
        <v>10</v>
      </c>
      <c r="J6805" s="15" t="s">
        <v>10</v>
      </c>
      <c r="K6805" s="15" t="s">
        <v>10</v>
      </c>
      <c r="L6805" s="15" t="s">
        <v>10</v>
      </c>
      <c r="M6805" s="15" t="s">
        <v>10</v>
      </c>
      <c r="N6805" s="15" t="s">
        <v>10</v>
      </c>
      <c r="O6805" s="15" t="s">
        <v>10</v>
      </c>
      <c r="P6805" s="15" t="s">
        <v>10</v>
      </c>
      <c r="Q6805" s="8"/>
      <c r="R6805" s="9" t="s">
        <v>6317</v>
      </c>
    </row>
    <row r="6806" spans="1:18" x14ac:dyDescent="0.25">
      <c r="A6806" s="6" t="str">
        <f>HYPERLINK("proteomic_fractions_linear_files/Yang_linear_img/119226231.jpg", "119226231")</f>
        <v>119226231</v>
      </c>
      <c r="B6806" s="7"/>
      <c r="C6806" s="6" t="str">
        <f>HYPERLINK("http://www.ncbi.nlm.nih.gov/protein/119226231","Slc12a1")</f>
        <v>Slc12a1</v>
      </c>
      <c r="D6806" s="8"/>
      <c r="E6806" s="8">
        <v>120238</v>
      </c>
      <c r="F6806" s="8"/>
      <c r="G6806" s="15" t="s">
        <v>10</v>
      </c>
      <c r="H6806" s="15" t="s">
        <v>10</v>
      </c>
      <c r="I6806" s="15" t="s">
        <v>10</v>
      </c>
      <c r="J6806" s="15" t="s">
        <v>10</v>
      </c>
      <c r="K6806" s="15">
        <v>2.5148610386374899</v>
      </c>
      <c r="L6806" s="15">
        <v>2.5148610386374899</v>
      </c>
      <c r="M6806" s="15" t="s">
        <v>10</v>
      </c>
      <c r="N6806" s="15" t="s">
        <v>10</v>
      </c>
      <c r="O6806" s="15" t="s">
        <v>10</v>
      </c>
      <c r="P6806" s="15" t="s">
        <v>10</v>
      </c>
      <c r="Q6806" s="8"/>
      <c r="R6806" s="9" t="s">
        <v>6318</v>
      </c>
    </row>
    <row r="6807" spans="1:18" x14ac:dyDescent="0.25">
      <c r="A6807" s="6" t="str">
        <f>HYPERLINK("proteomic_fractions_linear_files/Yang_linear_img/119226233.jpg", "119226233")</f>
        <v>119226233</v>
      </c>
      <c r="B6807" s="7"/>
      <c r="C6807" s="6" t="str">
        <f>HYPERLINK("http://www.ncbi.nlm.nih.gov/protein/119226233","Slc12a1")</f>
        <v>Slc12a1</v>
      </c>
      <c r="D6807" s="8"/>
      <c r="E6807" s="8">
        <v>120176</v>
      </c>
      <c r="F6807" s="8"/>
      <c r="G6807" s="15" t="s">
        <v>10</v>
      </c>
      <c r="H6807" s="15" t="s">
        <v>10</v>
      </c>
      <c r="I6807" s="15" t="s">
        <v>10</v>
      </c>
      <c r="J6807" s="15" t="s">
        <v>10</v>
      </c>
      <c r="K6807" s="15">
        <v>2.5148610386374899</v>
      </c>
      <c r="L6807" s="15">
        <v>2.5148610386374899</v>
      </c>
      <c r="M6807" s="15" t="s">
        <v>10</v>
      </c>
      <c r="N6807" s="15" t="s">
        <v>10</v>
      </c>
      <c r="O6807" s="15" t="s">
        <v>10</v>
      </c>
      <c r="P6807" s="15" t="s">
        <v>10</v>
      </c>
      <c r="Q6807" s="8"/>
      <c r="R6807" s="9" t="s">
        <v>6319</v>
      </c>
    </row>
    <row r="6808" spans="1:18" x14ac:dyDescent="0.25">
      <c r="A6808" s="6" t="str">
        <f>HYPERLINK("proteomic_fractions_linear_files/Yang_linear_img/124517716.jpg", "124517716")</f>
        <v>124517716</v>
      </c>
      <c r="B6808" s="7"/>
      <c r="C6808" s="6" t="str">
        <f>HYPERLINK("http://www.ncbi.nlm.nih.gov/protein/124517716","Slc12a2")</f>
        <v>Slc12a2</v>
      </c>
      <c r="D6808" s="8"/>
      <c r="E6808" s="8">
        <v>130537</v>
      </c>
      <c r="F6808" s="8"/>
      <c r="G6808" s="15">
        <v>1.7813805162431227</v>
      </c>
      <c r="H6808" s="15">
        <v>1.7813805162431227</v>
      </c>
      <c r="I6808" s="15">
        <v>1.7813805162431227</v>
      </c>
      <c r="J6808" s="15">
        <v>1.7813805162431227</v>
      </c>
      <c r="K6808" s="15">
        <v>1.7813805162431227</v>
      </c>
      <c r="L6808" s="15">
        <v>1.7813805162431227</v>
      </c>
      <c r="M6808" s="15" t="s">
        <v>10</v>
      </c>
      <c r="N6808" s="15" t="s">
        <v>10</v>
      </c>
      <c r="O6808" s="15" t="s">
        <v>10</v>
      </c>
      <c r="P6808" s="15" t="s">
        <v>10</v>
      </c>
      <c r="Q6808" s="8"/>
      <c r="R6808" s="9" t="s">
        <v>6320</v>
      </c>
    </row>
    <row r="6809" spans="1:18" x14ac:dyDescent="0.25">
      <c r="A6809" s="6" t="str">
        <f>HYPERLINK("proteomic_fractions_linear_files/Yang_linear_img/6755534.jpg", "6755534")</f>
        <v>6755534</v>
      </c>
      <c r="B6809" s="7"/>
      <c r="C6809" s="6" t="str">
        <f>HYPERLINK("http://www.ncbi.nlm.nih.gov/protein/6755534","Slc12a7")</f>
        <v>Slc12a7</v>
      </c>
      <c r="D6809" s="8"/>
      <c r="E6809" s="8">
        <v>119351</v>
      </c>
      <c r="F6809" s="8"/>
      <c r="G6809" s="15" t="s">
        <v>10</v>
      </c>
      <c r="H6809" s="15" t="s">
        <v>10</v>
      </c>
      <c r="I6809" s="15">
        <v>1.961015526284446</v>
      </c>
      <c r="J6809" s="15">
        <v>1.961015526284446</v>
      </c>
      <c r="K6809" s="15">
        <v>1.961015526284446</v>
      </c>
      <c r="L6809" s="15">
        <v>1.961015526284446</v>
      </c>
      <c r="M6809" s="15" t="s">
        <v>10</v>
      </c>
      <c r="N6809" s="15" t="s">
        <v>10</v>
      </c>
      <c r="O6809" s="15" t="s">
        <v>10</v>
      </c>
      <c r="P6809" s="15" t="s">
        <v>10</v>
      </c>
      <c r="Q6809" s="8"/>
      <c r="R6809" s="9" t="s">
        <v>6321</v>
      </c>
    </row>
    <row r="6810" spans="1:18" x14ac:dyDescent="0.25">
      <c r="A6810" s="6" t="str">
        <f>HYPERLINK("proteomic_fractions_linear_files/Yang_linear_img/281371456.jpg", "281371456")</f>
        <v>281371456</v>
      </c>
      <c r="B6810" s="7"/>
      <c r="C6810" s="6" t="str">
        <f>HYPERLINK("http://www.ncbi.nlm.nih.gov/protein/281371456","Slc12a9")</f>
        <v>Slc12a9</v>
      </c>
      <c r="D6810" s="8"/>
      <c r="E6810" s="8">
        <v>96199</v>
      </c>
      <c r="F6810" s="8"/>
      <c r="G6810" s="15" t="s">
        <v>10</v>
      </c>
      <c r="H6810" s="15" t="s">
        <v>10</v>
      </c>
      <c r="I6810" s="15">
        <v>1.5984674076691858</v>
      </c>
      <c r="J6810" s="15">
        <v>4.2608703931191645</v>
      </c>
      <c r="K6810" s="15">
        <v>1.3408502931783017</v>
      </c>
      <c r="L6810" s="15">
        <v>1.5984674076691858</v>
      </c>
      <c r="M6810" s="15" t="s">
        <v>10</v>
      </c>
      <c r="N6810" s="15" t="s">
        <v>10</v>
      </c>
      <c r="O6810" s="15" t="s">
        <v>10</v>
      </c>
      <c r="P6810" s="15" t="s">
        <v>10</v>
      </c>
      <c r="Q6810" s="8"/>
      <c r="R6810" s="9" t="s">
        <v>6322</v>
      </c>
    </row>
    <row r="6811" spans="1:18" x14ac:dyDescent="0.25">
      <c r="A6811" s="6" t="str">
        <f>HYPERLINK("proteomic_fractions_linear_files/Yang_linear_img/19527112.jpg", "19527112")</f>
        <v>19527112</v>
      </c>
      <c r="B6811" s="7"/>
      <c r="C6811" s="6" t="str">
        <f>HYPERLINK("http://www.ncbi.nlm.nih.gov/protein/19527112","Slc15a4")</f>
        <v>Slc15a4</v>
      </c>
      <c r="D6811" s="8"/>
      <c r="E6811" s="8">
        <v>62125</v>
      </c>
      <c r="F6811" s="8"/>
      <c r="G6811" s="15" t="s">
        <v>10</v>
      </c>
      <c r="H6811" s="15" t="s">
        <v>10</v>
      </c>
      <c r="I6811" s="15">
        <v>1.7709929648569591</v>
      </c>
      <c r="J6811" s="15">
        <v>1.7709929648569591</v>
      </c>
      <c r="K6811" s="15">
        <v>2.0761552926631768</v>
      </c>
      <c r="L6811" s="15">
        <v>2.0761552926631768</v>
      </c>
      <c r="M6811" s="15" t="s">
        <v>10</v>
      </c>
      <c r="N6811" s="15" t="s">
        <v>10</v>
      </c>
      <c r="O6811" s="15" t="s">
        <v>10</v>
      </c>
      <c r="P6811" s="15" t="s">
        <v>10</v>
      </c>
      <c r="Q6811" s="8"/>
      <c r="R6811" s="9" t="s">
        <v>6323</v>
      </c>
    </row>
    <row r="6812" spans="1:18" x14ac:dyDescent="0.25">
      <c r="A6812" s="6" t="str">
        <f>HYPERLINK("proteomic_fractions_linear_files/Yang_linear_img/6677995.jpg", "6677995")</f>
        <v>6677995</v>
      </c>
      <c r="B6812" s="7"/>
      <c r="C6812" s="6" t="str">
        <f>HYPERLINK("http://www.ncbi.nlm.nih.gov/protein/6677995","Slc16a1")</f>
        <v>Slc16a1</v>
      </c>
      <c r="D6812" s="8"/>
      <c r="E6812" s="8">
        <v>53136</v>
      </c>
      <c r="F6812" s="8"/>
      <c r="G6812" s="15">
        <v>1.0022748986792656</v>
      </c>
      <c r="H6812" s="15">
        <v>1.0022748986792656</v>
      </c>
      <c r="I6812" s="15">
        <v>0.76428902270231591</v>
      </c>
      <c r="J6812" s="15">
        <v>0.76428902270231591</v>
      </c>
      <c r="K6812" s="15">
        <v>0.83255828767859374</v>
      </c>
      <c r="L6812" s="15">
        <v>0.83255828767859374</v>
      </c>
      <c r="M6812" s="15">
        <v>0.70455332873819987</v>
      </c>
      <c r="N6812" s="15">
        <v>0.70455332873819987</v>
      </c>
      <c r="O6812" s="15" t="s">
        <v>10</v>
      </c>
      <c r="P6812" s="15" t="s">
        <v>10</v>
      </c>
      <c r="Q6812" s="8"/>
      <c r="R6812" s="9" t="s">
        <v>6324</v>
      </c>
    </row>
    <row r="6813" spans="1:18" x14ac:dyDescent="0.25">
      <c r="A6813" s="6" t="str">
        <f>HYPERLINK("proteomic_fractions_linear_files/Yang_linear_img/166999494.jpg", "166999494")</f>
        <v>166999494</v>
      </c>
      <c r="B6813" s="7"/>
      <c r="C6813" s="6" t="str">
        <f>HYPERLINK("http://www.ncbi.nlm.nih.gov/protein/166999494","Slc16a10")</f>
        <v>Slc16a10</v>
      </c>
      <c r="D6813" s="8"/>
      <c r="E6813" s="8">
        <v>55189</v>
      </c>
      <c r="F6813" s="8"/>
      <c r="G6813" s="15" t="s">
        <v>10</v>
      </c>
      <c r="H6813" s="15" t="s">
        <v>10</v>
      </c>
      <c r="I6813" s="15">
        <v>0.87799955608027735</v>
      </c>
      <c r="J6813" s="15">
        <v>0.87799955608027735</v>
      </c>
      <c r="K6813" s="15">
        <v>0.87799955608027735</v>
      </c>
      <c r="L6813" s="15">
        <v>0.87799955608027735</v>
      </c>
      <c r="M6813" s="15" t="s">
        <v>10</v>
      </c>
      <c r="N6813" s="15" t="s">
        <v>10</v>
      </c>
      <c r="O6813" s="15" t="s">
        <v>10</v>
      </c>
      <c r="P6813" s="15" t="s">
        <v>10</v>
      </c>
      <c r="Q6813" s="8"/>
      <c r="R6813" s="9" t="s">
        <v>6325</v>
      </c>
    </row>
    <row r="6814" spans="1:18" x14ac:dyDescent="0.25">
      <c r="A6814" s="6" t="str">
        <f>HYPERLINK("proteomic_fractions_linear_files/Yang_linear_img/30794382.jpg", "30794382")</f>
        <v>30794382</v>
      </c>
      <c r="B6814" s="7"/>
      <c r="C6814" s="6" t="str">
        <f>HYPERLINK("http://www.ncbi.nlm.nih.gov/protein/30794382","Slc16a10")</f>
        <v>Slc16a10</v>
      </c>
      <c r="D6814" s="8"/>
      <c r="E6814" s="8">
        <v>34587</v>
      </c>
      <c r="F6814" s="8"/>
      <c r="G6814" s="15" t="s">
        <v>10</v>
      </c>
      <c r="H6814" s="15" t="s">
        <v>10</v>
      </c>
      <c r="I6814" s="15">
        <v>1.2607311213418706</v>
      </c>
      <c r="J6814" s="15">
        <v>1.2607311213418706</v>
      </c>
      <c r="K6814" s="15">
        <v>1.37971358812615</v>
      </c>
      <c r="L6814" s="15">
        <v>1.37971358812615</v>
      </c>
      <c r="M6814" s="15" t="s">
        <v>10</v>
      </c>
      <c r="N6814" s="15" t="s">
        <v>10</v>
      </c>
      <c r="O6814" s="15" t="s">
        <v>10</v>
      </c>
      <c r="P6814" s="15" t="s">
        <v>10</v>
      </c>
      <c r="Q6814" s="8"/>
      <c r="R6814" s="9" t="s">
        <v>6326</v>
      </c>
    </row>
    <row r="6815" spans="1:18" x14ac:dyDescent="0.25">
      <c r="A6815" s="6" t="str">
        <f>HYPERLINK("proteomic_fractions_linear_files/Yang_linear_img/114326474.jpg", "114326474")</f>
        <v>114326474</v>
      </c>
      <c r="B6815" s="7"/>
      <c r="C6815" s="6" t="str">
        <f>HYPERLINK("http://www.ncbi.nlm.nih.gov/protein/114326474","Slc1a5")</f>
        <v>Slc1a5</v>
      </c>
      <c r="D6815" s="8"/>
      <c r="E6815" s="8">
        <v>58292</v>
      </c>
      <c r="F6815" s="8"/>
      <c r="G6815" s="15" t="s">
        <v>10</v>
      </c>
      <c r="H6815" s="15" t="s">
        <v>10</v>
      </c>
      <c r="I6815" s="15">
        <v>1.6373789859066294</v>
      </c>
      <c r="J6815" s="15">
        <v>1.6373789859066294</v>
      </c>
      <c r="K6815" s="15">
        <v>1.6373789859066294</v>
      </c>
      <c r="L6815" s="15">
        <v>1.6373789859066294</v>
      </c>
      <c r="M6815" s="15" t="s">
        <v>10</v>
      </c>
      <c r="N6815" s="15" t="s">
        <v>10</v>
      </c>
      <c r="O6815" s="15" t="s">
        <v>10</v>
      </c>
      <c r="P6815" s="15" t="s">
        <v>10</v>
      </c>
      <c r="Q6815" s="8"/>
      <c r="R6815" s="9" t="s">
        <v>6327</v>
      </c>
    </row>
    <row r="6816" spans="1:18" x14ac:dyDescent="0.25">
      <c r="A6816" s="6" t="str">
        <f>HYPERLINK("proteomic_fractions_linear_files/Yang_linear_img/42741686.jpg", "42741686")</f>
        <v>42741686</v>
      </c>
      <c r="B6816" s="7"/>
      <c r="C6816" s="6" t="str">
        <f>HYPERLINK("http://www.ncbi.nlm.nih.gov/protein/42741686","Slc23a1")</f>
        <v>Slc23a1</v>
      </c>
      <c r="D6816" s="8"/>
      <c r="E6816" s="8">
        <v>65423</v>
      </c>
      <c r="F6816" s="8"/>
      <c r="G6816" s="15" t="s">
        <v>10</v>
      </c>
      <c r="H6816" s="15" t="s">
        <v>10</v>
      </c>
      <c r="I6816" s="15" t="s">
        <v>10</v>
      </c>
      <c r="J6816" s="15" t="s">
        <v>10</v>
      </c>
      <c r="K6816" s="15">
        <v>2.8733204867683133</v>
      </c>
      <c r="L6816" s="15">
        <v>2.8733204867683133</v>
      </c>
      <c r="M6816" s="15" t="s">
        <v>10</v>
      </c>
      <c r="N6816" s="15" t="s">
        <v>10</v>
      </c>
      <c r="O6816" s="15" t="s">
        <v>10</v>
      </c>
      <c r="P6816" s="15" t="s">
        <v>10</v>
      </c>
      <c r="Q6816" s="8"/>
      <c r="R6816" s="9" t="s">
        <v>6328</v>
      </c>
    </row>
    <row r="6817" spans="1:18" x14ac:dyDescent="0.25">
      <c r="A6817" s="6" t="str">
        <f>HYPERLINK("proteomic_fractions_linear_files/Yang_linear_img/23943838.jpg", "23943838")</f>
        <v>23943838</v>
      </c>
      <c r="B6817" s="7"/>
      <c r="C6817" s="6" t="str">
        <f>HYPERLINK("http://www.ncbi.nlm.nih.gov/protein/23943838","Slc25a1")</f>
        <v>Slc25a1</v>
      </c>
      <c r="D6817" s="8"/>
      <c r="E6817" s="8">
        <v>32681</v>
      </c>
      <c r="F6817" s="8"/>
      <c r="G6817" s="15">
        <v>1.098274306562488</v>
      </c>
      <c r="H6817" s="15">
        <v>1.098274306562488</v>
      </c>
      <c r="I6817" s="15">
        <v>0.76912523868897065</v>
      </c>
      <c r="J6817" s="15">
        <v>0.76912523868897065</v>
      </c>
      <c r="K6817" s="15">
        <v>0.82112386169653118</v>
      </c>
      <c r="L6817" s="15">
        <v>0.82112386169653118</v>
      </c>
      <c r="M6817" s="15" t="s">
        <v>10</v>
      </c>
      <c r="N6817" s="15" t="s">
        <v>10</v>
      </c>
      <c r="O6817" s="15" t="s">
        <v>10</v>
      </c>
      <c r="P6817" s="15" t="s">
        <v>10</v>
      </c>
      <c r="Q6817" s="8"/>
      <c r="R6817" s="9" t="s">
        <v>6329</v>
      </c>
    </row>
    <row r="6818" spans="1:18" x14ac:dyDescent="0.25">
      <c r="A6818" s="6" t="str">
        <f>HYPERLINK("proteomic_fractions_linear_files/Yang_linear_img/254826790.jpg", "254826790")</f>
        <v>254826790</v>
      </c>
      <c r="B6818" s="7"/>
      <c r="C6818" s="6" t="str">
        <f>HYPERLINK("http://www.ncbi.nlm.nih.gov/protein/254826790","Slc25a10")</f>
        <v>Slc25a10</v>
      </c>
      <c r="D6818" s="8"/>
      <c r="E6818" s="8">
        <v>31584</v>
      </c>
      <c r="F6818" s="8"/>
      <c r="G6818" s="15">
        <v>1.1669164507226435</v>
      </c>
      <c r="H6818" s="15">
        <v>1.1669164507226435</v>
      </c>
      <c r="I6818" s="15">
        <v>0.76733814416490365</v>
      </c>
      <c r="J6818" s="15">
        <v>0.76733814416490365</v>
      </c>
      <c r="K6818" s="15">
        <v>0.81719556610703126</v>
      </c>
      <c r="L6818" s="15">
        <v>0.81719556610703126</v>
      </c>
      <c r="M6818" s="15" t="s">
        <v>10</v>
      </c>
      <c r="N6818" s="15" t="s">
        <v>10</v>
      </c>
      <c r="O6818" s="15" t="s">
        <v>10</v>
      </c>
      <c r="P6818" s="15" t="s">
        <v>10</v>
      </c>
      <c r="Q6818" s="8"/>
      <c r="R6818" s="9" t="s">
        <v>6330</v>
      </c>
    </row>
    <row r="6819" spans="1:18" x14ac:dyDescent="0.25">
      <c r="A6819" s="6" t="str">
        <f>HYPERLINK("proteomic_fractions_linear_files/Yang_linear_img/21312994.jpg", "21312994")</f>
        <v>21312994</v>
      </c>
      <c r="B6819" s="7"/>
      <c r="C6819" s="6" t="str">
        <f>HYPERLINK("http://www.ncbi.nlm.nih.gov/protein/21312994","Slc25a11")</f>
        <v>Slc25a11</v>
      </c>
      <c r="D6819" s="8"/>
      <c r="E6819" s="8">
        <v>34024</v>
      </c>
      <c r="F6819" s="8"/>
      <c r="G6819" s="15">
        <v>1.098274306562488</v>
      </c>
      <c r="H6819" s="15">
        <v>1.098274306562488</v>
      </c>
      <c r="I6819" s="15">
        <v>0.76912523868897065</v>
      </c>
      <c r="J6819" s="15">
        <v>0.76912523868897065</v>
      </c>
      <c r="K6819" s="15">
        <v>0.82112386169653118</v>
      </c>
      <c r="L6819" s="15">
        <v>0.82112386169653118</v>
      </c>
      <c r="M6819" s="15" t="s">
        <v>10</v>
      </c>
      <c r="N6819" s="15" t="s">
        <v>10</v>
      </c>
      <c r="O6819" s="15" t="s">
        <v>10</v>
      </c>
      <c r="P6819" s="15" t="s">
        <v>10</v>
      </c>
      <c r="Q6819" s="8"/>
      <c r="R6819" s="9" t="s">
        <v>6331</v>
      </c>
    </row>
    <row r="6820" spans="1:18" x14ac:dyDescent="0.25">
      <c r="A6820" s="6" t="str">
        <f>HYPERLINK("proteomic_fractions_linear_files/Yang_linear_img/27369581.jpg", "27369581")</f>
        <v>27369581</v>
      </c>
      <c r="B6820" s="7"/>
      <c r="C6820" s="6" t="str">
        <f>HYPERLINK("http://www.ncbi.nlm.nih.gov/protein/27369581","Slc25a12")</f>
        <v>Slc25a12</v>
      </c>
      <c r="D6820" s="8"/>
      <c r="E6820" s="8">
        <v>74439</v>
      </c>
      <c r="F6820" s="8"/>
      <c r="G6820" s="15">
        <v>1.1229548442316737</v>
      </c>
      <c r="H6820" s="15">
        <v>1.1229548442316737</v>
      </c>
      <c r="I6820" s="15">
        <v>0.99238054380651686</v>
      </c>
      <c r="J6820" s="15">
        <v>0.99238054380651686</v>
      </c>
      <c r="K6820" s="15">
        <v>0.99238054380651686</v>
      </c>
      <c r="L6820" s="15">
        <v>0.99238054380651686</v>
      </c>
      <c r="M6820" s="15" t="s">
        <v>10</v>
      </c>
      <c r="N6820" s="15" t="s">
        <v>10</v>
      </c>
      <c r="O6820" s="15" t="s">
        <v>10</v>
      </c>
      <c r="P6820" s="15" t="s">
        <v>10</v>
      </c>
      <c r="Q6820" s="8"/>
      <c r="R6820" s="9" t="s">
        <v>6332</v>
      </c>
    </row>
    <row r="6821" spans="1:18" x14ac:dyDescent="0.25">
      <c r="A6821" s="6" t="str">
        <f>HYPERLINK("proteomic_fractions_linear_files/Yang_linear_img/294832028.jpg", "294832028")</f>
        <v>294832028</v>
      </c>
      <c r="B6821" s="7"/>
      <c r="C6821" s="6" t="str">
        <f>HYPERLINK("http://www.ncbi.nlm.nih.gov/protein/294832028","Slc25a13")</f>
        <v>Slc25a13</v>
      </c>
      <c r="D6821" s="8"/>
      <c r="E6821" s="8">
        <v>74208</v>
      </c>
      <c r="F6821" s="8"/>
      <c r="G6821" s="15">
        <v>1.1229548442316737</v>
      </c>
      <c r="H6821" s="15">
        <v>1.1229548442316737</v>
      </c>
      <c r="I6821" s="15">
        <v>0.99238054380651686</v>
      </c>
      <c r="J6821" s="15">
        <v>0.99238054380651686</v>
      </c>
      <c r="K6821" s="15">
        <v>0.99238054380651686</v>
      </c>
      <c r="L6821" s="15">
        <v>0.99238054380651686</v>
      </c>
      <c r="M6821" s="15" t="s">
        <v>10</v>
      </c>
      <c r="N6821" s="15" t="s">
        <v>10</v>
      </c>
      <c r="O6821" s="15" t="s">
        <v>10</v>
      </c>
      <c r="P6821" s="15" t="s">
        <v>10</v>
      </c>
      <c r="Q6821" s="8"/>
      <c r="R6821" s="9" t="s">
        <v>6333</v>
      </c>
    </row>
    <row r="6822" spans="1:18" x14ac:dyDescent="0.25">
      <c r="A6822" s="6" t="str">
        <f>HYPERLINK("proteomic_fractions_linear_files/Yang_linear_img/7657583.jpg", "7657583")</f>
        <v>7657583</v>
      </c>
      <c r="B6822" s="7"/>
      <c r="C6822" s="6" t="str">
        <f>HYPERLINK("http://www.ncbi.nlm.nih.gov/protein/7657583","Slc25a13")</f>
        <v>Slc25a13</v>
      </c>
      <c r="D6822" s="8"/>
      <c r="E6822" s="8">
        <v>74336</v>
      </c>
      <c r="F6822" s="8"/>
      <c r="G6822" s="15">
        <v>1.1229548442316737</v>
      </c>
      <c r="H6822" s="15">
        <v>1.1229548442316737</v>
      </c>
      <c r="I6822" s="15">
        <v>0.99238054380651686</v>
      </c>
      <c r="J6822" s="15">
        <v>0.99238054380651686</v>
      </c>
      <c r="K6822" s="15">
        <v>0.99238054380651686</v>
      </c>
      <c r="L6822" s="15">
        <v>0.99238054380651686</v>
      </c>
      <c r="M6822" s="15" t="s">
        <v>10</v>
      </c>
      <c r="N6822" s="15" t="s">
        <v>10</v>
      </c>
      <c r="O6822" s="15" t="s">
        <v>10</v>
      </c>
      <c r="P6822" s="15" t="s">
        <v>10</v>
      </c>
      <c r="Q6822" s="8"/>
      <c r="R6822" s="9" t="s">
        <v>6334</v>
      </c>
    </row>
    <row r="6823" spans="1:18" x14ac:dyDescent="0.25">
      <c r="A6823" s="6" t="str">
        <f>HYPERLINK("proteomic_fractions_linear_files/Yang_linear_img/31044465.jpg", "31044465")</f>
        <v>31044465</v>
      </c>
      <c r="B6823" s="7"/>
      <c r="C6823" s="6" t="str">
        <f>HYPERLINK("http://www.ncbi.nlm.nih.gov/protein/31044465","Slc25a15")</f>
        <v>Slc25a15</v>
      </c>
      <c r="D6823" s="8"/>
      <c r="E6823" s="8">
        <v>32692</v>
      </c>
      <c r="F6823" s="8"/>
      <c r="G6823" s="15" t="s">
        <v>10</v>
      </c>
      <c r="H6823" s="15" t="s">
        <v>10</v>
      </c>
      <c r="I6823" s="15">
        <v>0.79243206410378786</v>
      </c>
      <c r="J6823" s="15">
        <v>0.79243206410378786</v>
      </c>
      <c r="K6823" s="15" t="s">
        <v>10</v>
      </c>
      <c r="L6823" s="15" t="s">
        <v>10</v>
      </c>
      <c r="M6823" s="15" t="s">
        <v>10</v>
      </c>
      <c r="N6823" s="15" t="s">
        <v>10</v>
      </c>
      <c r="O6823" s="15" t="s">
        <v>10</v>
      </c>
      <c r="P6823" s="15" t="s">
        <v>10</v>
      </c>
      <c r="Q6823" s="8"/>
      <c r="R6823" s="9" t="s">
        <v>6335</v>
      </c>
    </row>
    <row r="6824" spans="1:18" x14ac:dyDescent="0.25">
      <c r="A6824" s="6" t="str">
        <f>HYPERLINK("proteomic_fractions_linear_files/Yang_linear_img/30424808.jpg", "30424808")</f>
        <v>30424808</v>
      </c>
      <c r="B6824" s="7"/>
      <c r="C6824" s="6" t="str">
        <f>HYPERLINK("http://www.ncbi.nlm.nih.gov/protein/30424808","Slc25a16")</f>
        <v>Slc25a16</v>
      </c>
      <c r="D6824" s="8"/>
      <c r="E6824" s="8">
        <v>36089</v>
      </c>
      <c r="F6824" s="8"/>
      <c r="G6824" s="15" t="s">
        <v>10</v>
      </c>
      <c r="H6824" s="15" t="s">
        <v>10</v>
      </c>
      <c r="I6824" s="15">
        <v>0.89122424599259964</v>
      </c>
      <c r="J6824" s="15">
        <v>0.89122424599259964</v>
      </c>
      <c r="K6824" s="15" t="s">
        <v>10</v>
      </c>
      <c r="L6824" s="15" t="s">
        <v>10</v>
      </c>
      <c r="M6824" s="15" t="s">
        <v>10</v>
      </c>
      <c r="N6824" s="15" t="s">
        <v>10</v>
      </c>
      <c r="O6824" s="15" t="s">
        <v>10</v>
      </c>
      <c r="P6824" s="15" t="s">
        <v>10</v>
      </c>
      <c r="Q6824" s="8"/>
      <c r="R6824" s="9" t="s">
        <v>6336</v>
      </c>
    </row>
    <row r="6825" spans="1:18" x14ac:dyDescent="0.25">
      <c r="A6825" s="6" t="str">
        <f>HYPERLINK("proteomic_fractions_linear_files/Yang_linear_img/29789024.jpg", "29789024")</f>
        <v>29789024</v>
      </c>
      <c r="B6825" s="7"/>
      <c r="C6825" s="6" t="str">
        <f>HYPERLINK("http://www.ncbi.nlm.nih.gov/protein/29789024","Slc25a17")</f>
        <v>Slc25a17</v>
      </c>
      <c r="D6825" s="8"/>
      <c r="E6825" s="8">
        <v>34282</v>
      </c>
      <c r="F6825" s="8"/>
      <c r="G6825" s="15">
        <v>0.72220060627285054</v>
      </c>
      <c r="H6825" s="15">
        <v>0.72220060627285054</v>
      </c>
      <c r="I6825" s="15">
        <v>0.76912523868897065</v>
      </c>
      <c r="J6825" s="15">
        <v>0.76912523868897065</v>
      </c>
      <c r="K6825" s="15">
        <v>0.76912523868897065</v>
      </c>
      <c r="L6825" s="15">
        <v>0.76912523868897065</v>
      </c>
      <c r="M6825" s="15" t="s">
        <v>10</v>
      </c>
      <c r="N6825" s="15" t="s">
        <v>10</v>
      </c>
      <c r="O6825" s="15" t="s">
        <v>10</v>
      </c>
      <c r="P6825" s="15" t="s">
        <v>10</v>
      </c>
      <c r="Q6825" s="8"/>
      <c r="R6825" s="9" t="s">
        <v>6337</v>
      </c>
    </row>
    <row r="6826" spans="1:18" x14ac:dyDescent="0.25">
      <c r="A6826" s="6" t="str">
        <f>HYPERLINK("proteomic_fractions_linear_files/Yang_linear_img/10048462.jpg", "10048462")</f>
        <v>10048462</v>
      </c>
      <c r="B6826" s="7"/>
      <c r="C6826" s="6" t="str">
        <f>HYPERLINK("http://www.ncbi.nlm.nih.gov/protein/10048462","Slc25a20")</f>
        <v>Slc25a20</v>
      </c>
      <c r="D6826" s="8"/>
      <c r="E6826" s="8">
        <v>32896</v>
      </c>
      <c r="F6826" s="8"/>
      <c r="G6826" s="15">
        <v>0.84600640296006246</v>
      </c>
      <c r="H6826" s="15">
        <v>0.84600640296006246</v>
      </c>
      <c r="I6826" s="15">
        <v>0.90561839065797367</v>
      </c>
      <c r="J6826" s="15">
        <v>0.90561839065797367</v>
      </c>
      <c r="K6826" s="15">
        <v>0.90561839065797367</v>
      </c>
      <c r="L6826" s="15">
        <v>0.90561839065797367</v>
      </c>
      <c r="M6826" s="15" t="s">
        <v>10</v>
      </c>
      <c r="N6826" s="15" t="s">
        <v>10</v>
      </c>
      <c r="O6826" s="15" t="s">
        <v>10</v>
      </c>
      <c r="P6826" s="15" t="s">
        <v>10</v>
      </c>
      <c r="Q6826" s="8"/>
      <c r="R6826" s="9" t="s">
        <v>6338</v>
      </c>
    </row>
    <row r="6827" spans="1:18" x14ac:dyDescent="0.25">
      <c r="A6827" s="6" t="str">
        <f>HYPERLINK("proteomic_fractions_linear_files/Yang_linear_img/294831970.jpg", "294831970")</f>
        <v>294831970</v>
      </c>
      <c r="B6827" s="7"/>
      <c r="C6827" s="6" t="str">
        <f>HYPERLINK("http://www.ncbi.nlm.nih.gov/protein/294831970","Slc25a22")</f>
        <v>Slc25a22</v>
      </c>
      <c r="D6827" s="8"/>
      <c r="E6827" s="8">
        <v>34539</v>
      </c>
      <c r="F6827" s="8"/>
      <c r="G6827" s="15" t="s">
        <v>10</v>
      </c>
      <c r="H6827" s="15" t="s">
        <v>10</v>
      </c>
      <c r="I6827" s="15">
        <v>0.85386876833466085</v>
      </c>
      <c r="J6827" s="15">
        <v>0.85386876833466085</v>
      </c>
      <c r="K6827" s="15" t="s">
        <v>10</v>
      </c>
      <c r="L6827" s="15" t="s">
        <v>10</v>
      </c>
      <c r="M6827" s="15" t="s">
        <v>10</v>
      </c>
      <c r="N6827" s="15" t="s">
        <v>10</v>
      </c>
      <c r="O6827" s="15" t="s">
        <v>10</v>
      </c>
      <c r="P6827" s="15" t="s">
        <v>10</v>
      </c>
      <c r="Q6827" s="8"/>
      <c r="R6827" s="9" t="s">
        <v>6339</v>
      </c>
    </row>
    <row r="6828" spans="1:18" x14ac:dyDescent="0.25">
      <c r="A6828" s="6" t="str">
        <f>HYPERLINK("proteomic_fractions_linear_files/Yang_linear_img/27369998.jpg", "27369998")</f>
        <v>27369998</v>
      </c>
      <c r="B6828" s="7"/>
      <c r="C6828" s="6" t="str">
        <f>HYPERLINK("http://www.ncbi.nlm.nih.gov/protein/27369998","Slc25a24")</f>
        <v>Slc25a24</v>
      </c>
      <c r="D6828" s="8"/>
      <c r="E6828" s="8">
        <v>52771</v>
      </c>
      <c r="F6828" s="8"/>
      <c r="G6828" s="15">
        <v>1.1089284450112047</v>
      </c>
      <c r="H6828" s="15">
        <v>1.1089284450112047</v>
      </c>
      <c r="I6828" s="15">
        <v>0.83255828767859374</v>
      </c>
      <c r="J6828" s="15">
        <v>0.83255828767859374</v>
      </c>
      <c r="K6828" s="15">
        <v>0.83255828767859374</v>
      </c>
      <c r="L6828" s="15">
        <v>0.83255828767859374</v>
      </c>
      <c r="M6828" s="15" t="s">
        <v>10</v>
      </c>
      <c r="N6828" s="15" t="s">
        <v>10</v>
      </c>
      <c r="O6828" s="15" t="s">
        <v>10</v>
      </c>
      <c r="P6828" s="15" t="s">
        <v>10</v>
      </c>
      <c r="Q6828" s="8"/>
      <c r="R6828" s="9" t="s">
        <v>6340</v>
      </c>
    </row>
    <row r="6829" spans="1:18" x14ac:dyDescent="0.25">
      <c r="A6829" s="6" t="str">
        <f>HYPERLINK("proteomic_fractions_linear_files/Yang_linear_img/27754081.jpg", "27754081")</f>
        <v>27754081</v>
      </c>
      <c r="B6829" s="7"/>
      <c r="C6829" s="6" t="str">
        <f>HYPERLINK("http://www.ncbi.nlm.nih.gov/protein/27754081","Slc25a26")</f>
        <v>Slc25a26</v>
      </c>
      <c r="D6829" s="8"/>
      <c r="E6829" s="8">
        <v>28896</v>
      </c>
      <c r="F6829" s="8"/>
      <c r="G6829" s="15">
        <v>1.1914957424301789</v>
      </c>
      <c r="H6829" s="15">
        <v>1.1914957424301789</v>
      </c>
      <c r="I6829" s="15" t="s">
        <v>10</v>
      </c>
      <c r="J6829" s="15" t="s">
        <v>10</v>
      </c>
      <c r="K6829" s="15" t="s">
        <v>10</v>
      </c>
      <c r="L6829" s="15" t="s">
        <v>10</v>
      </c>
      <c r="M6829" s="15" t="s">
        <v>10</v>
      </c>
      <c r="N6829" s="15" t="s">
        <v>10</v>
      </c>
      <c r="O6829" s="15" t="s">
        <v>10</v>
      </c>
      <c r="P6829" s="15" t="s">
        <v>10</v>
      </c>
      <c r="Q6829" s="8"/>
      <c r="R6829" s="9" t="s">
        <v>6341</v>
      </c>
    </row>
    <row r="6830" spans="1:18" x14ac:dyDescent="0.25">
      <c r="A6830" s="6" t="str">
        <f>HYPERLINK("proteomic_fractions_linear_files/Yang_linear_img/21312006.jpg", "21312006")</f>
        <v>21312006</v>
      </c>
      <c r="B6830" s="7"/>
      <c r="C6830" s="6" t="str">
        <f>HYPERLINK("http://www.ncbi.nlm.nih.gov/protein/21312006","Slc25a27")</f>
        <v>Slc25a27</v>
      </c>
      <c r="D6830" s="8"/>
      <c r="E6830" s="8">
        <v>35667</v>
      </c>
      <c r="F6830" s="8"/>
      <c r="G6830" s="15" t="s">
        <v>10</v>
      </c>
      <c r="H6830" s="15" t="s">
        <v>10</v>
      </c>
      <c r="I6830" s="15">
        <v>1.2257108124157075</v>
      </c>
      <c r="J6830" s="15">
        <v>1.2257108124157075</v>
      </c>
      <c r="K6830" s="15">
        <v>1.3413882106782014</v>
      </c>
      <c r="L6830" s="15">
        <v>1.3413882106782014</v>
      </c>
      <c r="M6830" s="15" t="s">
        <v>10</v>
      </c>
      <c r="N6830" s="15" t="s">
        <v>10</v>
      </c>
      <c r="O6830" s="15" t="s">
        <v>10</v>
      </c>
      <c r="P6830" s="15" t="s">
        <v>10</v>
      </c>
      <c r="Q6830" s="8"/>
      <c r="R6830" s="9" t="s">
        <v>6342</v>
      </c>
    </row>
    <row r="6831" spans="1:18" x14ac:dyDescent="0.25">
      <c r="A6831" s="6" t="str">
        <f>HYPERLINK("proteomic_fractions_linear_files/Yang_linear_img/31044469.jpg", "31044469")</f>
        <v>31044469</v>
      </c>
      <c r="B6831" s="7"/>
      <c r="C6831" s="6" t="str">
        <f>HYPERLINK("http://www.ncbi.nlm.nih.gov/protein/31044469","Slc25a29")</f>
        <v>Slc25a29</v>
      </c>
      <c r="D6831" s="8"/>
      <c r="E6831" s="8">
        <v>32541</v>
      </c>
      <c r="F6831" s="8"/>
      <c r="G6831" s="15" t="s">
        <v>10</v>
      </c>
      <c r="H6831" s="15" t="s">
        <v>10</v>
      </c>
      <c r="I6831" s="15">
        <v>0.84600640296006246</v>
      </c>
      <c r="J6831" s="15">
        <v>0.84600640296006246</v>
      </c>
      <c r="K6831" s="15" t="s">
        <v>10</v>
      </c>
      <c r="L6831" s="15" t="s">
        <v>10</v>
      </c>
      <c r="M6831" s="15" t="s">
        <v>10</v>
      </c>
      <c r="N6831" s="15" t="s">
        <v>10</v>
      </c>
      <c r="O6831" s="15" t="s">
        <v>10</v>
      </c>
      <c r="P6831" s="15" t="s">
        <v>10</v>
      </c>
      <c r="Q6831" s="8"/>
      <c r="R6831" s="9" t="s">
        <v>6343</v>
      </c>
    </row>
    <row r="6832" spans="1:18" x14ac:dyDescent="0.25">
      <c r="A6832" s="6" t="str">
        <f>HYPERLINK("proteomic_fractions_linear_files/Yang_linear_img/19526818.jpg", "19526818")</f>
        <v>19526818</v>
      </c>
      <c r="B6832" s="7"/>
      <c r="C6832" s="6" t="str">
        <f>HYPERLINK("http://www.ncbi.nlm.nih.gov/protein/19526818","Slc25a3")</f>
        <v>Slc25a3</v>
      </c>
      <c r="D6832" s="8"/>
      <c r="E6832" s="8">
        <v>34844</v>
      </c>
      <c r="F6832" s="8"/>
      <c r="G6832" s="15">
        <v>1.1573519486635071</v>
      </c>
      <c r="H6832" s="15">
        <v>1.1573519486635071</v>
      </c>
      <c r="I6832" s="15">
        <v>0.79766317993377311</v>
      </c>
      <c r="J6832" s="15">
        <v>0.79766317993377311</v>
      </c>
      <c r="K6832" s="15">
        <v>0.85386876833466085</v>
      </c>
      <c r="L6832" s="15">
        <v>0.85386876833466085</v>
      </c>
      <c r="M6832" s="15">
        <v>0.50199827901025618</v>
      </c>
      <c r="N6832" s="15">
        <v>0.50199827901025618</v>
      </c>
      <c r="O6832" s="15" t="s">
        <v>10</v>
      </c>
      <c r="P6832" s="15" t="s">
        <v>10</v>
      </c>
      <c r="Q6832" s="8"/>
      <c r="R6832" s="9" t="s">
        <v>6344</v>
      </c>
    </row>
    <row r="6833" spans="1:18" x14ac:dyDescent="0.25">
      <c r="A6833" s="6" t="str">
        <f>HYPERLINK("proteomic_fractions_linear_files/Yang_linear_img/13385736.jpg", "13385736")</f>
        <v>13385736</v>
      </c>
      <c r="B6833" s="7"/>
      <c r="C6833" s="6" t="str">
        <f>HYPERLINK("http://www.ncbi.nlm.nih.gov/protein/13385736","Slc25a30")</f>
        <v>Slc25a30</v>
      </c>
      <c r="D6833" s="8"/>
      <c r="E6833" s="8">
        <v>32151</v>
      </c>
      <c r="F6833" s="8"/>
      <c r="G6833" s="15" t="s">
        <v>10</v>
      </c>
      <c r="H6833" s="15" t="s">
        <v>10</v>
      </c>
      <c r="I6833" s="15">
        <v>0.76733814416490365</v>
      </c>
      <c r="J6833" s="15">
        <v>0.76733814416490365</v>
      </c>
      <c r="K6833" s="15" t="s">
        <v>10</v>
      </c>
      <c r="L6833" s="15" t="s">
        <v>10</v>
      </c>
      <c r="M6833" s="15" t="s">
        <v>10</v>
      </c>
      <c r="N6833" s="15" t="s">
        <v>10</v>
      </c>
      <c r="O6833" s="15" t="s">
        <v>10</v>
      </c>
      <c r="P6833" s="15" t="s">
        <v>10</v>
      </c>
      <c r="Q6833" s="8"/>
      <c r="R6833" s="9" t="s">
        <v>6345</v>
      </c>
    </row>
    <row r="6834" spans="1:18" x14ac:dyDescent="0.25">
      <c r="A6834" s="6" t="str">
        <f>HYPERLINK("proteomic_fractions_linear_files/Yang_linear_img/254692892.jpg", "254692892")</f>
        <v>254692892</v>
      </c>
      <c r="B6834" s="7"/>
      <c r="C6834" s="6" t="str">
        <f>HYPERLINK("http://www.ncbi.nlm.nih.gov/protein/254692892","Slc25a31")</f>
        <v>Slc25a31</v>
      </c>
      <c r="D6834" s="8"/>
      <c r="E6834" s="8">
        <v>35127</v>
      </c>
      <c r="F6834" s="8"/>
      <c r="G6834" s="15">
        <v>1.0668950406607027</v>
      </c>
      <c r="H6834" s="15">
        <v>1.0668950406607027</v>
      </c>
      <c r="I6834" s="15">
        <v>0.74715023186928575</v>
      </c>
      <c r="J6834" s="15">
        <v>0.74715023186928575</v>
      </c>
      <c r="K6834" s="15">
        <v>0.79766317993377311</v>
      </c>
      <c r="L6834" s="15">
        <v>0.79766317993377311</v>
      </c>
      <c r="M6834" s="15">
        <v>0.79766317993377311</v>
      </c>
      <c r="N6834" s="15">
        <v>0.79766317993377311</v>
      </c>
      <c r="O6834" s="15" t="s">
        <v>10</v>
      </c>
      <c r="P6834" s="15" t="s">
        <v>10</v>
      </c>
      <c r="Q6834" s="8"/>
      <c r="R6834" s="9" t="s">
        <v>6346</v>
      </c>
    </row>
    <row r="6835" spans="1:18" x14ac:dyDescent="0.25">
      <c r="A6835" s="6" t="str">
        <f>HYPERLINK("proteomic_fractions_linear_files/Yang_linear_img/168480117.jpg", "168480117")</f>
        <v>168480117</v>
      </c>
      <c r="B6835" s="7"/>
      <c r="C6835" s="6" t="str">
        <f>HYPERLINK("http://www.ncbi.nlm.nih.gov/protein/168480117","Slc25a32")</f>
        <v>Slc25a32</v>
      </c>
      <c r="D6835" s="8"/>
      <c r="E6835" s="8">
        <v>34918</v>
      </c>
      <c r="F6835" s="8"/>
      <c r="G6835" s="15" t="s">
        <v>10</v>
      </c>
      <c r="H6835" s="15" t="s">
        <v>10</v>
      </c>
      <c r="I6835" s="15">
        <v>0.91668779587810256</v>
      </c>
      <c r="J6835" s="15">
        <v>0.91668779587810256</v>
      </c>
      <c r="K6835" s="15" t="s">
        <v>10</v>
      </c>
      <c r="L6835" s="15" t="s">
        <v>10</v>
      </c>
      <c r="M6835" s="15" t="s">
        <v>10</v>
      </c>
      <c r="N6835" s="15" t="s">
        <v>10</v>
      </c>
      <c r="O6835" s="15" t="s">
        <v>10</v>
      </c>
      <c r="P6835" s="15" t="s">
        <v>10</v>
      </c>
      <c r="Q6835" s="8"/>
      <c r="R6835" s="9" t="s">
        <v>6347</v>
      </c>
    </row>
    <row r="6836" spans="1:18" x14ac:dyDescent="0.25">
      <c r="A6836" s="6" t="str">
        <f>HYPERLINK("proteomic_fractions_linear_files/Yang_linear_img/148747424.jpg", "148747424")</f>
        <v>148747424</v>
      </c>
      <c r="B6836" s="7"/>
      <c r="C6836" s="6" t="str">
        <f>HYPERLINK("http://www.ncbi.nlm.nih.gov/protein/148747424","Slc25a4")</f>
        <v>Slc25a4</v>
      </c>
      <c r="D6836" s="8"/>
      <c r="E6836" s="8">
        <v>32773</v>
      </c>
      <c r="F6836" s="8"/>
      <c r="G6836" s="15">
        <v>1.1315553461552907</v>
      </c>
      <c r="H6836" s="15">
        <v>1.1315553461552907</v>
      </c>
      <c r="I6836" s="15">
        <v>0.79243206410378786</v>
      </c>
      <c r="J6836" s="15">
        <v>0.79243206410378786</v>
      </c>
      <c r="K6836" s="15">
        <v>0.79243206410378786</v>
      </c>
      <c r="L6836" s="15">
        <v>0.79243206410378786</v>
      </c>
      <c r="M6836" s="15">
        <v>0.79243206410378786</v>
      </c>
      <c r="N6836" s="15">
        <v>0.79243206410378786</v>
      </c>
      <c r="O6836" s="15" t="s">
        <v>10</v>
      </c>
      <c r="P6836" s="15" t="s">
        <v>10</v>
      </c>
      <c r="Q6836" s="8"/>
      <c r="R6836" s="9" t="s">
        <v>6348</v>
      </c>
    </row>
    <row r="6837" spans="1:18" x14ac:dyDescent="0.25">
      <c r="A6837" s="6" t="str">
        <f>HYPERLINK("proteomic_fractions_linear_files/Yang_linear_img/158749545.jpg", "158749545")</f>
        <v>158749545</v>
      </c>
      <c r="B6837" s="7"/>
      <c r="C6837" s="6" t="str">
        <f>HYPERLINK("http://www.ncbi.nlm.nih.gov/protein/158749545","Slc25a40")</f>
        <v>Slc25a40</v>
      </c>
      <c r="D6837" s="8"/>
      <c r="E6837" s="8">
        <v>37833</v>
      </c>
      <c r="F6837" s="8"/>
      <c r="G6837" s="15">
        <v>1.2707888311688225</v>
      </c>
      <c r="H6837" s="15">
        <v>1.2707888311688225</v>
      </c>
      <c r="I6837" s="15">
        <v>0.90929938238092589</v>
      </c>
      <c r="J6837" s="15">
        <v>0.90929938238092589</v>
      </c>
      <c r="K6837" s="15" t="s">
        <v>10</v>
      </c>
      <c r="L6837" s="15" t="s">
        <v>10</v>
      </c>
      <c r="M6837" s="15" t="s">
        <v>10</v>
      </c>
      <c r="N6837" s="15" t="s">
        <v>10</v>
      </c>
      <c r="O6837" s="15" t="s">
        <v>10</v>
      </c>
      <c r="P6837" s="15" t="s">
        <v>10</v>
      </c>
      <c r="Q6837" s="8"/>
      <c r="R6837" s="9" t="s">
        <v>6349</v>
      </c>
    </row>
    <row r="6838" spans="1:18" x14ac:dyDescent="0.25">
      <c r="A6838" s="6" t="str">
        <f>HYPERLINK("proteomic_fractions_linear_files/Yang_linear_img/23956272.jpg", "23956272")</f>
        <v>23956272</v>
      </c>
      <c r="B6838" s="7"/>
      <c r="C6838" s="6" t="str">
        <f>HYPERLINK("http://www.ncbi.nlm.nih.gov/protein/23956272","Slc25a45")</f>
        <v>Slc25a45</v>
      </c>
      <c r="D6838" s="8"/>
      <c r="E6838" s="8">
        <v>31559</v>
      </c>
      <c r="F6838" s="8"/>
      <c r="G6838" s="15" t="s">
        <v>10</v>
      </c>
      <c r="H6838" s="15" t="s">
        <v>10</v>
      </c>
      <c r="I6838" s="15">
        <v>0.87244410305256437</v>
      </c>
      <c r="J6838" s="15">
        <v>0.87244410305256437</v>
      </c>
      <c r="K6838" s="15" t="s">
        <v>10</v>
      </c>
      <c r="L6838" s="15" t="s">
        <v>10</v>
      </c>
      <c r="M6838" s="15" t="s">
        <v>10</v>
      </c>
      <c r="N6838" s="15" t="s">
        <v>10</v>
      </c>
      <c r="O6838" s="15" t="s">
        <v>10</v>
      </c>
      <c r="P6838" s="15" t="s">
        <v>10</v>
      </c>
      <c r="Q6838" s="8"/>
      <c r="R6838" s="9" t="s">
        <v>6350</v>
      </c>
    </row>
    <row r="6839" spans="1:18" x14ac:dyDescent="0.25">
      <c r="A6839" s="6" t="str">
        <f>HYPERLINK("proteomic_fractions_linear_files/Yang_linear_img/254692847.jpg", "254692847")</f>
        <v>254692847</v>
      </c>
      <c r="B6839" s="7"/>
      <c r="C6839" s="6" t="str">
        <f>HYPERLINK("http://www.ncbi.nlm.nih.gov/protein/254692847","Slc25a48")</f>
        <v>Slc25a48</v>
      </c>
      <c r="D6839" s="8"/>
      <c r="E6839" s="8">
        <v>33256</v>
      </c>
      <c r="F6839" s="8"/>
      <c r="G6839" s="15" t="s">
        <v>10</v>
      </c>
      <c r="H6839" s="15" t="s">
        <v>10</v>
      </c>
      <c r="I6839" s="15">
        <v>0.90561839065797367</v>
      </c>
      <c r="J6839" s="15">
        <v>0.90561839065797367</v>
      </c>
      <c r="K6839" s="15" t="s">
        <v>10</v>
      </c>
      <c r="L6839" s="15" t="s">
        <v>10</v>
      </c>
      <c r="M6839" s="15" t="s">
        <v>10</v>
      </c>
      <c r="N6839" s="15" t="s">
        <v>10</v>
      </c>
      <c r="O6839" s="15" t="s">
        <v>10</v>
      </c>
      <c r="P6839" s="15" t="s">
        <v>10</v>
      </c>
      <c r="Q6839" s="8"/>
      <c r="R6839" s="9" t="s">
        <v>6351</v>
      </c>
    </row>
    <row r="6840" spans="1:18" x14ac:dyDescent="0.25">
      <c r="A6840" s="6" t="str">
        <f>HYPERLINK("proteomic_fractions_linear_files/Yang_linear_img/22094075.jpg", "22094075")</f>
        <v>22094075</v>
      </c>
      <c r="B6840" s="7"/>
      <c r="C6840" s="6" t="str">
        <f>HYPERLINK("http://www.ncbi.nlm.nih.gov/protein/22094075","Slc25a5")</f>
        <v>Slc25a5</v>
      </c>
      <c r="D6840" s="8"/>
      <c r="E6840" s="8">
        <v>32800</v>
      </c>
      <c r="F6840" s="8"/>
      <c r="G6840" s="15">
        <v>1.1315553461552907</v>
      </c>
      <c r="H6840" s="15">
        <v>1.1315553461552907</v>
      </c>
      <c r="I6840" s="15">
        <v>0.79243206410378786</v>
      </c>
      <c r="J6840" s="15">
        <v>0.79243206410378786</v>
      </c>
      <c r="K6840" s="15">
        <v>0.84600640296006246</v>
      </c>
      <c r="L6840" s="15">
        <v>0.84600640296006246</v>
      </c>
      <c r="M6840" s="15">
        <v>0.79243206410378786</v>
      </c>
      <c r="N6840" s="15">
        <v>0.79243206410378786</v>
      </c>
      <c r="O6840" s="15" t="s">
        <v>10</v>
      </c>
      <c r="P6840" s="15" t="s">
        <v>10</v>
      </c>
      <c r="Q6840" s="8"/>
      <c r="R6840" s="9" t="s">
        <v>6352</v>
      </c>
    </row>
    <row r="6841" spans="1:18" x14ac:dyDescent="0.25">
      <c r="A6841" s="6" t="str">
        <f>HYPERLINK("proteomic_fractions_linear_files/Yang_linear_img/6755546.jpg", "6755546")</f>
        <v>6755546</v>
      </c>
      <c r="B6841" s="7"/>
      <c r="C6841" s="6" t="str">
        <f>HYPERLINK("http://www.ncbi.nlm.nih.gov/protein/6755546","Slc27a1")</f>
        <v>Slc27a1</v>
      </c>
      <c r="D6841" s="8"/>
      <c r="E6841" s="8">
        <v>71145</v>
      </c>
      <c r="F6841" s="8"/>
      <c r="G6841" s="15" t="s">
        <v>10</v>
      </c>
      <c r="H6841" s="15" t="s">
        <v>10</v>
      </c>
      <c r="I6841" s="15">
        <v>0.92187694831752576</v>
      </c>
      <c r="J6841" s="15">
        <v>0.92187694831752576</v>
      </c>
      <c r="K6841" s="15">
        <v>1.0343121160800317</v>
      </c>
      <c r="L6841" s="15">
        <v>1.0343121160800317</v>
      </c>
      <c r="M6841" s="15" t="s">
        <v>10</v>
      </c>
      <c r="N6841" s="15" t="s">
        <v>10</v>
      </c>
      <c r="O6841" s="15" t="s">
        <v>10</v>
      </c>
      <c r="P6841" s="15" t="s">
        <v>10</v>
      </c>
      <c r="Q6841" s="8"/>
      <c r="R6841" s="9" t="s">
        <v>6353</v>
      </c>
    </row>
    <row r="6842" spans="1:18" x14ac:dyDescent="0.25">
      <c r="A6842" s="6" t="str">
        <f>HYPERLINK("proteomic_fractions_linear_files/Yang_linear_img/45597453.jpg", "45597453")</f>
        <v>45597453</v>
      </c>
      <c r="B6842" s="7"/>
      <c r="C6842" s="6" t="str">
        <f>HYPERLINK("http://www.ncbi.nlm.nih.gov/protein/45597453","Slc27a4")</f>
        <v>Slc27a4</v>
      </c>
      <c r="D6842" s="8"/>
      <c r="E6842" s="8">
        <v>72188</v>
      </c>
      <c r="F6842" s="8"/>
      <c r="G6842" s="15" t="s">
        <v>10</v>
      </c>
      <c r="H6842" s="15" t="s">
        <v>10</v>
      </c>
      <c r="I6842" s="15">
        <v>0.90907310181311574</v>
      </c>
      <c r="J6842" s="15">
        <v>0.90907310181311574</v>
      </c>
      <c r="K6842" s="15">
        <v>1.0199466700233646</v>
      </c>
      <c r="L6842" s="15">
        <v>1.0199466700233646</v>
      </c>
      <c r="M6842" s="15" t="s">
        <v>10</v>
      </c>
      <c r="N6842" s="15" t="s">
        <v>10</v>
      </c>
      <c r="O6842" s="15" t="s">
        <v>10</v>
      </c>
      <c r="P6842" s="15" t="s">
        <v>10</v>
      </c>
      <c r="Q6842" s="8"/>
      <c r="R6842" s="9" t="s">
        <v>6354</v>
      </c>
    </row>
    <row r="6843" spans="1:18" x14ac:dyDescent="0.25">
      <c r="A6843" s="6" t="str">
        <f>HYPERLINK("proteomic_fractions_linear_files/Yang_linear_img/12584968.jpg", "12584968")</f>
        <v>12584968</v>
      </c>
      <c r="B6843" s="7"/>
      <c r="C6843" s="6" t="str">
        <f>HYPERLINK("http://www.ncbi.nlm.nih.gov/protein/12584968","Slc29a1")</f>
        <v>Slc29a1</v>
      </c>
      <c r="D6843" s="8"/>
      <c r="E6843" s="8">
        <v>49945</v>
      </c>
      <c r="F6843" s="8"/>
      <c r="G6843" s="15" t="s">
        <v>10</v>
      </c>
      <c r="H6843" s="15" t="s">
        <v>10</v>
      </c>
      <c r="I6843" s="15">
        <v>1.0624113926000216</v>
      </c>
      <c r="J6843" s="15">
        <v>1.0624113926000216</v>
      </c>
      <c r="K6843" s="15">
        <v>1.1754641517118771</v>
      </c>
      <c r="L6843" s="15">
        <v>1.1754641517118771</v>
      </c>
      <c r="M6843" s="15" t="s">
        <v>10</v>
      </c>
      <c r="N6843" s="15" t="s">
        <v>10</v>
      </c>
      <c r="O6843" s="15" t="s">
        <v>10</v>
      </c>
      <c r="P6843" s="15" t="s">
        <v>10</v>
      </c>
      <c r="Q6843" s="8"/>
      <c r="R6843" s="9" t="s">
        <v>6355</v>
      </c>
    </row>
    <row r="6844" spans="1:18" x14ac:dyDescent="0.25">
      <c r="A6844" s="6" t="str">
        <f>HYPERLINK("proteomic_fractions_linear_files/Yang_linear_img/312283707.jpg", "312283707")</f>
        <v>312283707</v>
      </c>
      <c r="B6844" s="7"/>
      <c r="C6844" s="6" t="str">
        <f>HYPERLINK("http://www.ncbi.nlm.nih.gov/protein/312283707","Slc29a1")</f>
        <v>Slc29a1</v>
      </c>
      <c r="D6844" s="8"/>
      <c r="E6844" s="8">
        <v>50061</v>
      </c>
      <c r="F6844" s="8"/>
      <c r="G6844" s="15" t="s">
        <v>10</v>
      </c>
      <c r="H6844" s="15" t="s">
        <v>10</v>
      </c>
      <c r="I6844" s="15">
        <v>1.0624113926000216</v>
      </c>
      <c r="J6844" s="15">
        <v>1.0624113926000216</v>
      </c>
      <c r="K6844" s="15">
        <v>1.1754641517118771</v>
      </c>
      <c r="L6844" s="15">
        <v>1.1754641517118771</v>
      </c>
      <c r="M6844" s="15" t="s">
        <v>10</v>
      </c>
      <c r="N6844" s="15" t="s">
        <v>10</v>
      </c>
      <c r="O6844" s="15" t="s">
        <v>10</v>
      </c>
      <c r="P6844" s="15" t="s">
        <v>10</v>
      </c>
      <c r="Q6844" s="8"/>
      <c r="R6844" s="9" t="s">
        <v>6356</v>
      </c>
    </row>
    <row r="6845" spans="1:18" x14ac:dyDescent="0.25">
      <c r="A6845" s="6" t="str">
        <f>HYPERLINK("proteomic_fractions_linear_files/Yang_linear_img/165377226.jpg", "165377226")</f>
        <v>165377226</v>
      </c>
      <c r="B6845" s="7"/>
      <c r="C6845" s="6" t="str">
        <f>HYPERLINK("http://www.ncbi.nlm.nih.gov/protein/165377226","Slc2a1")</f>
        <v>Slc2a1</v>
      </c>
      <c r="D6845" s="8"/>
      <c r="E6845" s="8">
        <v>53854</v>
      </c>
      <c r="F6845" s="8"/>
      <c r="G6845" s="15">
        <v>1.359928893364486</v>
      </c>
      <c r="H6845" s="15">
        <v>1.359928893364486</v>
      </c>
      <c r="I6845" s="15">
        <v>1.0883927330665528</v>
      </c>
      <c r="J6845" s="15">
        <v>1.0883927330665528</v>
      </c>
      <c r="K6845" s="15">
        <v>1.0883927330665528</v>
      </c>
      <c r="L6845" s="15">
        <v>1.0883927330665528</v>
      </c>
      <c r="M6845" s="15">
        <v>1.0883927330665528</v>
      </c>
      <c r="N6845" s="15">
        <v>1.0883927330665528</v>
      </c>
      <c r="O6845" s="15" t="s">
        <v>10</v>
      </c>
      <c r="P6845" s="15" t="s">
        <v>10</v>
      </c>
      <c r="Q6845" s="8"/>
      <c r="R6845" s="9" t="s">
        <v>6357</v>
      </c>
    </row>
    <row r="6846" spans="1:18" x14ac:dyDescent="0.25">
      <c r="A6846" s="6" t="str">
        <f>HYPERLINK("proteomic_fractions_linear_files/Yang_linear_img/6678017.jpg", "6678017")</f>
        <v>6678017</v>
      </c>
      <c r="B6846" s="7"/>
      <c r="C6846" s="6" t="str">
        <f>HYPERLINK("http://www.ncbi.nlm.nih.gov/protein/6678017","Slc30a1")</f>
        <v>Slc30a1</v>
      </c>
      <c r="D6846" s="8"/>
      <c r="E6846" s="8">
        <v>54585</v>
      </c>
      <c r="F6846" s="8"/>
      <c r="G6846" s="15" t="s">
        <v>10</v>
      </c>
      <c r="H6846" s="15" t="s">
        <v>10</v>
      </c>
      <c r="I6846" s="15" t="s">
        <v>10</v>
      </c>
      <c r="J6846" s="15" t="s">
        <v>10</v>
      </c>
      <c r="K6846" s="15">
        <v>1.7266905669560819</v>
      </c>
      <c r="L6846" s="15">
        <v>1.7266905669560819</v>
      </c>
      <c r="M6846" s="15" t="s">
        <v>10</v>
      </c>
      <c r="N6846" s="15" t="s">
        <v>10</v>
      </c>
      <c r="O6846" s="15" t="s">
        <v>10</v>
      </c>
      <c r="P6846" s="15" t="s">
        <v>10</v>
      </c>
      <c r="Q6846" s="8"/>
      <c r="R6846" s="9" t="s">
        <v>6358</v>
      </c>
    </row>
    <row r="6847" spans="1:18" x14ac:dyDescent="0.25">
      <c r="A6847" s="6" t="str">
        <f>HYPERLINK("proteomic_fractions_linear_files/Yang_linear_img/12963579.jpg", "12963579")</f>
        <v>12963579</v>
      </c>
      <c r="B6847" s="7"/>
      <c r="C6847" s="6" t="str">
        <f>HYPERLINK("http://www.ncbi.nlm.nih.gov/protein/12963579","Slc30a7")</f>
        <v>Slc30a7</v>
      </c>
      <c r="D6847" s="8"/>
      <c r="E6847" s="8">
        <v>41659</v>
      </c>
      <c r="F6847" s="8"/>
      <c r="G6847" s="15">
        <v>0.71155730694555075</v>
      </c>
      <c r="H6847" s="15">
        <v>0.71155730694555075</v>
      </c>
      <c r="I6847" s="15">
        <v>0.76390649656508547</v>
      </c>
      <c r="J6847" s="15">
        <v>0.76390649656508547</v>
      </c>
      <c r="K6847" s="15">
        <v>0.76390649656508547</v>
      </c>
      <c r="L6847" s="15">
        <v>0.76390649656508547</v>
      </c>
      <c r="M6847" s="15" t="s">
        <v>10</v>
      </c>
      <c r="N6847" s="15" t="s">
        <v>10</v>
      </c>
      <c r="O6847" s="15" t="s">
        <v>10</v>
      </c>
      <c r="P6847" s="15" t="s">
        <v>10</v>
      </c>
      <c r="Q6847" s="8"/>
      <c r="R6847" s="9" t="s">
        <v>6359</v>
      </c>
    </row>
    <row r="6848" spans="1:18" x14ac:dyDescent="0.25">
      <c r="A6848" s="6" t="str">
        <f>HYPERLINK("proteomic_fractions_linear_files/Yang_linear_img/227116313.jpg", "227116313")</f>
        <v>227116313</v>
      </c>
      <c r="B6848" s="7"/>
      <c r="C6848" s="6" t="str">
        <f>HYPERLINK("http://www.ncbi.nlm.nih.gov/protein/227116313","Slc31a1")</f>
        <v>Slc31a1</v>
      </c>
      <c r="D6848" s="8"/>
      <c r="E6848" s="8">
        <v>21830</v>
      </c>
      <c r="F6848" s="8"/>
      <c r="G6848" s="15" t="s">
        <v>10</v>
      </c>
      <c r="H6848" s="15" t="s">
        <v>10</v>
      </c>
      <c r="I6848" s="15" t="s">
        <v>10</v>
      </c>
      <c r="J6848" s="15" t="s">
        <v>10</v>
      </c>
      <c r="K6848" s="15">
        <v>0.7239746265082625</v>
      </c>
      <c r="L6848" s="15">
        <v>0.7239746265082625</v>
      </c>
      <c r="M6848" s="15" t="s">
        <v>10</v>
      </c>
      <c r="N6848" s="15" t="s">
        <v>10</v>
      </c>
      <c r="O6848" s="15" t="s">
        <v>10</v>
      </c>
      <c r="P6848" s="15" t="s">
        <v>10</v>
      </c>
      <c r="Q6848" s="8"/>
      <c r="R6848" s="9" t="s">
        <v>6360</v>
      </c>
    </row>
    <row r="6849" spans="1:18" x14ac:dyDescent="0.25">
      <c r="A6849" s="6" t="str">
        <f>HYPERLINK("proteomic_fractions_linear_files/Yang_linear_img/13384632.jpg", "13384632")</f>
        <v>13384632</v>
      </c>
      <c r="B6849" s="7"/>
      <c r="C6849" s="6" t="str">
        <f>HYPERLINK("http://www.ncbi.nlm.nih.gov/protein/13384632","Slc31a2")</f>
        <v>Slc31a2</v>
      </c>
      <c r="D6849" s="8"/>
      <c r="E6849" s="8">
        <v>15938</v>
      </c>
      <c r="F6849" s="8"/>
      <c r="G6849" s="15" t="s">
        <v>10</v>
      </c>
      <c r="H6849" s="15" t="s">
        <v>10</v>
      </c>
      <c r="I6849" s="15" t="s">
        <v>10</v>
      </c>
      <c r="J6849" s="15" t="s">
        <v>10</v>
      </c>
      <c r="K6849" s="15">
        <v>0.99546511144886096</v>
      </c>
      <c r="L6849" s="15">
        <v>0.99546511144886096</v>
      </c>
      <c r="M6849" s="15" t="s">
        <v>10</v>
      </c>
      <c r="N6849" s="15" t="s">
        <v>10</v>
      </c>
      <c r="O6849" s="15" t="s">
        <v>10</v>
      </c>
      <c r="P6849" s="15" t="s">
        <v>10</v>
      </c>
      <c r="Q6849" s="8"/>
      <c r="R6849" s="9" t="s">
        <v>6361</v>
      </c>
    </row>
    <row r="6850" spans="1:18" x14ac:dyDescent="0.25">
      <c r="A6850" s="6" t="str">
        <f>HYPERLINK("proteomic_fractions_linear_files/Yang_linear_img/31543730.jpg", "31543730")</f>
        <v>31543730</v>
      </c>
      <c r="B6850" s="7"/>
      <c r="C6850" s="6" t="str">
        <f>HYPERLINK("http://www.ncbi.nlm.nih.gov/protein/31543730","Slc33a1")</f>
        <v>Slc33a1</v>
      </c>
      <c r="D6850" s="8"/>
      <c r="E6850" s="8">
        <v>60945</v>
      </c>
      <c r="F6850" s="8"/>
      <c r="G6850" s="15">
        <v>0.96349520632121066</v>
      </c>
      <c r="H6850" s="15">
        <v>0.96349520632121066</v>
      </c>
      <c r="I6850" s="15">
        <v>0.72337031552402409</v>
      </c>
      <c r="J6850" s="15">
        <v>0.72337031552402409</v>
      </c>
      <c r="K6850" s="15">
        <v>0.79163894400680745</v>
      </c>
      <c r="L6850" s="15">
        <v>0.79163894400680745</v>
      </c>
      <c r="M6850" s="15" t="s">
        <v>10</v>
      </c>
      <c r="N6850" s="15" t="s">
        <v>10</v>
      </c>
      <c r="O6850" s="15" t="s">
        <v>10</v>
      </c>
      <c r="P6850" s="15" t="s">
        <v>10</v>
      </c>
      <c r="Q6850" s="8"/>
      <c r="R6850" s="9" t="s">
        <v>6362</v>
      </c>
    </row>
    <row r="6851" spans="1:18" x14ac:dyDescent="0.25">
      <c r="A6851" s="6" t="str">
        <f>HYPERLINK("proteomic_fractions_linear_files/Yang_linear_img/225543514.jpg", "225543514")</f>
        <v>225543514</v>
      </c>
      <c r="B6851" s="7"/>
      <c r="C6851" s="6" t="str">
        <f>HYPERLINK("http://www.ncbi.nlm.nih.gov/protein/225543514","Slc35a1")</f>
        <v>Slc35a1</v>
      </c>
      <c r="D6851" s="8"/>
      <c r="E6851" s="8">
        <v>36322</v>
      </c>
      <c r="F6851" s="8"/>
      <c r="G6851" s="15" t="s">
        <v>10</v>
      </c>
      <c r="H6851" s="15" t="s">
        <v>10</v>
      </c>
      <c r="I6851" s="15">
        <v>0.40326315894084297</v>
      </c>
      <c r="J6851" s="15">
        <v>0.40326315894084297</v>
      </c>
      <c r="K6851" s="15">
        <v>0.68207835036880327</v>
      </c>
      <c r="L6851" s="15">
        <v>0.68207835036880327</v>
      </c>
      <c r="M6851" s="15" t="s">
        <v>10</v>
      </c>
      <c r="N6851" s="15" t="s">
        <v>10</v>
      </c>
      <c r="O6851" s="15" t="s">
        <v>10</v>
      </c>
      <c r="P6851" s="15" t="s">
        <v>10</v>
      </c>
      <c r="Q6851" s="8"/>
      <c r="R6851" s="9" t="s">
        <v>6363</v>
      </c>
    </row>
    <row r="6852" spans="1:18" x14ac:dyDescent="0.25">
      <c r="A6852" s="6" t="str">
        <f>HYPERLINK("proteomic_fractions_linear_files/Yang_linear_img/145279183.jpg", "145279183")</f>
        <v>145279183</v>
      </c>
      <c r="B6852" s="7"/>
      <c r="C6852" s="6" t="str">
        <f>HYPERLINK("http://www.ncbi.nlm.nih.gov/protein/145279183","Slc35a2")</f>
        <v>Slc35a2</v>
      </c>
      <c r="D6852" s="8"/>
      <c r="E6852" s="8">
        <v>40935</v>
      </c>
      <c r="F6852" s="8"/>
      <c r="G6852" s="15" t="s">
        <v>10</v>
      </c>
      <c r="H6852" s="15" t="s">
        <v>10</v>
      </c>
      <c r="I6852" s="15">
        <v>0.7289123632125154</v>
      </c>
      <c r="J6852" s="15">
        <v>0.7289123632125154</v>
      </c>
      <c r="K6852" s="15" t="s">
        <v>10</v>
      </c>
      <c r="L6852" s="15" t="s">
        <v>10</v>
      </c>
      <c r="M6852" s="15" t="s">
        <v>10</v>
      </c>
      <c r="N6852" s="15" t="s">
        <v>10</v>
      </c>
      <c r="O6852" s="15" t="s">
        <v>10</v>
      </c>
      <c r="P6852" s="15" t="s">
        <v>10</v>
      </c>
      <c r="Q6852" s="8"/>
      <c r="R6852" s="9" t="s">
        <v>6364</v>
      </c>
    </row>
    <row r="6853" spans="1:18" x14ac:dyDescent="0.25">
      <c r="A6853" s="6" t="str">
        <f>HYPERLINK("proteomic_fractions_linear_files/Yang_linear_img/145279202.jpg", "145279202")</f>
        <v>145279202</v>
      </c>
      <c r="B6853" s="7"/>
      <c r="C6853" s="6" t="str">
        <f>HYPERLINK("http://www.ncbi.nlm.nih.gov/protein/145279202","Slc35a2")</f>
        <v>Slc35a2</v>
      </c>
      <c r="D6853" s="8"/>
      <c r="E6853" s="8">
        <v>40635</v>
      </c>
      <c r="F6853" s="8"/>
      <c r="G6853" s="15" t="s">
        <v>10</v>
      </c>
      <c r="H6853" s="15" t="s">
        <v>10</v>
      </c>
      <c r="I6853" s="15">
        <v>0.7289123632125154</v>
      </c>
      <c r="J6853" s="15">
        <v>0.7289123632125154</v>
      </c>
      <c r="K6853" s="15" t="s">
        <v>10</v>
      </c>
      <c r="L6853" s="15" t="s">
        <v>10</v>
      </c>
      <c r="M6853" s="15" t="s">
        <v>10</v>
      </c>
      <c r="N6853" s="15" t="s">
        <v>10</v>
      </c>
      <c r="O6853" s="15" t="s">
        <v>10</v>
      </c>
      <c r="P6853" s="15" t="s">
        <v>10</v>
      </c>
      <c r="Q6853" s="8"/>
      <c r="R6853" s="9" t="s">
        <v>6365</v>
      </c>
    </row>
    <row r="6854" spans="1:18" x14ac:dyDescent="0.25">
      <c r="A6854" s="6" t="str">
        <f>HYPERLINK("proteomic_fractions_linear_files/Yang_linear_img/21450281.jpg", "21450281")</f>
        <v>21450281</v>
      </c>
      <c r="B6854" s="7"/>
      <c r="C6854" s="6" t="str">
        <f>HYPERLINK("http://www.ncbi.nlm.nih.gov/protein/21450281","Slc35a3")</f>
        <v>Slc35a3</v>
      </c>
      <c r="D6854" s="8"/>
      <c r="E6854" s="8">
        <v>35845</v>
      </c>
      <c r="F6854" s="8"/>
      <c r="G6854" s="15" t="s">
        <v>10</v>
      </c>
      <c r="H6854" s="15" t="s">
        <v>10</v>
      </c>
      <c r="I6854" s="15">
        <v>0.42212050816150792</v>
      </c>
      <c r="J6854" s="15">
        <v>0.42212050816150792</v>
      </c>
      <c r="K6854" s="15">
        <v>0.68207835036880327</v>
      </c>
      <c r="L6854" s="15">
        <v>0.68207835036880327</v>
      </c>
      <c r="M6854" s="15" t="s">
        <v>10</v>
      </c>
      <c r="N6854" s="15" t="s">
        <v>10</v>
      </c>
      <c r="O6854" s="15" t="s">
        <v>10</v>
      </c>
      <c r="P6854" s="15" t="s">
        <v>10</v>
      </c>
      <c r="Q6854" s="8"/>
      <c r="R6854" s="9" t="s">
        <v>6366</v>
      </c>
    </row>
    <row r="6855" spans="1:18" x14ac:dyDescent="0.25">
      <c r="A6855" s="6" t="str">
        <f>HYPERLINK("proteomic_fractions_linear_files/Yang_linear_img/7949137.jpg", "7949137")</f>
        <v>7949137</v>
      </c>
      <c r="B6855" s="7"/>
      <c r="C6855" s="6" t="str">
        <f>HYPERLINK("http://www.ncbi.nlm.nih.gov/protein/7949137","Slc35b1")</f>
        <v>Slc35b1</v>
      </c>
      <c r="D6855" s="8"/>
      <c r="E6855" s="8">
        <v>35752</v>
      </c>
      <c r="F6855" s="8"/>
      <c r="G6855" s="15" t="s">
        <v>10</v>
      </c>
      <c r="H6855" s="15" t="s">
        <v>10</v>
      </c>
      <c r="I6855" s="15">
        <v>0.64193259374215128</v>
      </c>
      <c r="J6855" s="15">
        <v>0.64193259374215128</v>
      </c>
      <c r="K6855" s="15">
        <v>0.68207835036880327</v>
      </c>
      <c r="L6855" s="15">
        <v>0.68207835036880327</v>
      </c>
      <c r="M6855" s="15" t="s">
        <v>10</v>
      </c>
      <c r="N6855" s="15" t="s">
        <v>10</v>
      </c>
      <c r="O6855" s="15" t="s">
        <v>10</v>
      </c>
      <c r="P6855" s="15" t="s">
        <v>10</v>
      </c>
      <c r="Q6855" s="8"/>
      <c r="R6855" s="9" t="s">
        <v>6367</v>
      </c>
    </row>
    <row r="6856" spans="1:18" x14ac:dyDescent="0.25">
      <c r="A6856" s="6" t="str">
        <f>HYPERLINK("proteomic_fractions_linear_files/Yang_linear_img/110625963.jpg", "110625963")</f>
        <v>110625963</v>
      </c>
      <c r="B6856" s="7"/>
      <c r="C6856" s="6" t="str">
        <f>HYPERLINK("http://www.ncbi.nlm.nih.gov/protein/110625963","Slc35b2")</f>
        <v>Slc35b2</v>
      </c>
      <c r="D6856" s="8"/>
      <c r="E6856" s="8">
        <v>41848</v>
      </c>
      <c r="F6856" s="8"/>
      <c r="G6856" s="15" t="s">
        <v>10</v>
      </c>
      <c r="H6856" s="15" t="s">
        <v>10</v>
      </c>
      <c r="I6856" s="15">
        <v>0.82269944120179006</v>
      </c>
      <c r="J6856" s="15">
        <v>0.76390649656508547</v>
      </c>
      <c r="K6856" s="15">
        <v>0.82269944120179006</v>
      </c>
      <c r="L6856" s="15">
        <v>0.82269944120179006</v>
      </c>
      <c r="M6856" s="15" t="s">
        <v>10</v>
      </c>
      <c r="N6856" s="15" t="s">
        <v>10</v>
      </c>
      <c r="O6856" s="15" t="s">
        <v>10</v>
      </c>
      <c r="P6856" s="15" t="s">
        <v>10</v>
      </c>
      <c r="Q6856" s="8"/>
      <c r="R6856" s="9" t="s">
        <v>6368</v>
      </c>
    </row>
    <row r="6857" spans="1:18" x14ac:dyDescent="0.25">
      <c r="A6857" s="6" t="str">
        <f>HYPERLINK("proteomic_fractions_linear_files/Yang_linear_img/165377022.jpg", "165377022")</f>
        <v>165377022</v>
      </c>
      <c r="B6857" s="7"/>
      <c r="C6857" s="6" t="str">
        <f>HYPERLINK("http://www.ncbi.nlm.nih.gov/protein/165377022","Slc35e1")</f>
        <v>Slc35e1</v>
      </c>
      <c r="D6857" s="8"/>
      <c r="E6857" s="8">
        <v>44194</v>
      </c>
      <c r="F6857" s="8"/>
      <c r="G6857" s="15">
        <v>1.0974994451003466</v>
      </c>
      <c r="H6857" s="15">
        <v>1.0974994451003466</v>
      </c>
      <c r="I6857" s="15">
        <v>0.78530401205625422</v>
      </c>
      <c r="J6857" s="15">
        <v>0.78530401205625422</v>
      </c>
      <c r="K6857" s="15" t="s">
        <v>10</v>
      </c>
      <c r="L6857" s="15" t="s">
        <v>10</v>
      </c>
      <c r="M6857" s="15" t="s">
        <v>10</v>
      </c>
      <c r="N6857" s="15" t="s">
        <v>10</v>
      </c>
      <c r="O6857" s="15" t="s">
        <v>10</v>
      </c>
      <c r="P6857" s="15" t="s">
        <v>10</v>
      </c>
      <c r="Q6857" s="8"/>
      <c r="R6857" s="9" t="s">
        <v>6369</v>
      </c>
    </row>
    <row r="6858" spans="1:18" x14ac:dyDescent="0.25">
      <c r="A6858" s="6" t="str">
        <f>HYPERLINK("proteomic_fractions_linear_files/Yang_linear_img/160333206.jpg", "160333206")</f>
        <v>160333206</v>
      </c>
      <c r="B6858" s="7"/>
      <c r="C6858" s="6" t="str">
        <f>HYPERLINK("http://www.ncbi.nlm.nih.gov/protein/160333206","Slc35f2")</f>
        <v>Slc35f2</v>
      </c>
      <c r="D6858" s="8"/>
      <c r="E6858" s="8">
        <v>41504</v>
      </c>
      <c r="F6858" s="8"/>
      <c r="G6858" s="15" t="s">
        <v>10</v>
      </c>
      <c r="H6858" s="15" t="s">
        <v>10</v>
      </c>
      <c r="I6858" s="15" t="s">
        <v>10</v>
      </c>
      <c r="J6858" s="15" t="s">
        <v>10</v>
      </c>
      <c r="K6858" s="15">
        <v>0.82269944120179006</v>
      </c>
      <c r="L6858" s="15">
        <v>0.82269944120179006</v>
      </c>
      <c r="M6858" s="15" t="s">
        <v>10</v>
      </c>
      <c r="N6858" s="15" t="s">
        <v>10</v>
      </c>
      <c r="O6858" s="15" t="s">
        <v>10</v>
      </c>
      <c r="P6858" s="15" t="s">
        <v>10</v>
      </c>
      <c r="Q6858" s="8"/>
      <c r="R6858" s="9" t="s">
        <v>6370</v>
      </c>
    </row>
    <row r="6859" spans="1:18" x14ac:dyDescent="0.25">
      <c r="A6859" s="6" t="str">
        <f>HYPERLINK("proteomic_fractions_linear_files/Yang_linear_img/188497646.jpg", "188497646")</f>
        <v>188497646</v>
      </c>
      <c r="B6859" s="7"/>
      <c r="C6859" s="6" t="str">
        <f>HYPERLINK("http://www.ncbi.nlm.nih.gov/protein/188497646","Slc35f6")</f>
        <v>Slc35f6</v>
      </c>
      <c r="D6859" s="8"/>
      <c r="E6859" s="8">
        <v>38953</v>
      </c>
      <c r="F6859" s="8"/>
      <c r="G6859" s="15">
        <v>1.038649184698019</v>
      </c>
      <c r="H6859" s="15">
        <v>1.038649184698019</v>
      </c>
      <c r="I6859" s="15">
        <v>0.31366311005977837</v>
      </c>
      <c r="J6859" s="15">
        <v>0.31366311005977837</v>
      </c>
      <c r="K6859" s="15">
        <v>0.76629248440290076</v>
      </c>
      <c r="L6859" s="15">
        <v>0.76629248440290076</v>
      </c>
      <c r="M6859" s="15">
        <v>0.76629248440290076</v>
      </c>
      <c r="N6859" s="15">
        <v>0.76629248440290076</v>
      </c>
      <c r="O6859" s="15" t="s">
        <v>10</v>
      </c>
      <c r="P6859" s="15" t="s">
        <v>10</v>
      </c>
      <c r="Q6859" s="8"/>
      <c r="R6859" s="9" t="s">
        <v>6371</v>
      </c>
    </row>
    <row r="6860" spans="1:18" x14ac:dyDescent="0.25">
      <c r="A6860" s="6" t="str">
        <f>HYPERLINK("proteomic_fractions_linear_files/Yang_linear_img/145207965.jpg", "145207965")</f>
        <v>145207965</v>
      </c>
      <c r="B6860" s="7"/>
      <c r="C6860" s="6" t="str">
        <f>HYPERLINK("http://www.ncbi.nlm.nih.gov/protein/145207965","Slc36a1")</f>
        <v>Slc36a1</v>
      </c>
      <c r="D6860" s="8"/>
      <c r="E6860" s="8">
        <v>52335</v>
      </c>
      <c r="F6860" s="8"/>
      <c r="G6860" s="15" t="s">
        <v>10</v>
      </c>
      <c r="H6860" s="15" t="s">
        <v>10</v>
      </c>
      <c r="I6860" s="15" t="s">
        <v>10</v>
      </c>
      <c r="J6860" s="15" t="s">
        <v>10</v>
      </c>
      <c r="K6860" s="15">
        <v>2.475415925867634</v>
      </c>
      <c r="L6860" s="15">
        <v>2.475415925867634</v>
      </c>
      <c r="M6860" s="15" t="s">
        <v>10</v>
      </c>
      <c r="N6860" s="15" t="s">
        <v>10</v>
      </c>
      <c r="O6860" s="15" t="s">
        <v>10</v>
      </c>
      <c r="P6860" s="15" t="s">
        <v>10</v>
      </c>
      <c r="Q6860" s="8"/>
      <c r="R6860" s="9" t="s">
        <v>6372</v>
      </c>
    </row>
    <row r="6861" spans="1:18" x14ac:dyDescent="0.25">
      <c r="A6861" s="6" t="str">
        <f>HYPERLINK("proteomic_fractions_linear_files/Yang_linear_img/258645131.jpg", "258645131")</f>
        <v>258645131</v>
      </c>
      <c r="B6861" s="7"/>
      <c r="C6861" s="6" t="str">
        <f>HYPERLINK("http://www.ncbi.nlm.nih.gov/protein/258645131","Slc38a10")</f>
        <v>Slc38a10</v>
      </c>
      <c r="D6861" s="8"/>
      <c r="E6861" s="8">
        <v>117063</v>
      </c>
      <c r="F6861" s="8"/>
      <c r="G6861" s="15" t="s">
        <v>10</v>
      </c>
      <c r="H6861" s="15" t="s">
        <v>10</v>
      </c>
      <c r="I6861" s="15">
        <v>1.3115630011644601</v>
      </c>
      <c r="J6861" s="15">
        <v>1.3115630011644601</v>
      </c>
      <c r="K6861" s="15" t="s">
        <v>10</v>
      </c>
      <c r="L6861" s="15" t="s">
        <v>10</v>
      </c>
      <c r="M6861" s="15" t="s">
        <v>10</v>
      </c>
      <c r="N6861" s="15" t="s">
        <v>10</v>
      </c>
      <c r="O6861" s="15" t="s">
        <v>10</v>
      </c>
      <c r="P6861" s="15" t="s">
        <v>10</v>
      </c>
      <c r="Q6861" s="8"/>
      <c r="R6861" s="9" t="s">
        <v>6373</v>
      </c>
    </row>
    <row r="6862" spans="1:18" x14ac:dyDescent="0.25">
      <c r="A6862" s="6" t="str">
        <f>HYPERLINK("proteomic_fractions_linear_files/Yang_linear_img/258645133.jpg", "258645133")</f>
        <v>258645133</v>
      </c>
      <c r="B6862" s="7"/>
      <c r="C6862" s="6" t="str">
        <f>HYPERLINK("http://www.ncbi.nlm.nih.gov/protein/258645133","Slc38a10")</f>
        <v>Slc38a10</v>
      </c>
      <c r="D6862" s="8"/>
      <c r="E6862" s="8">
        <v>116992</v>
      </c>
      <c r="F6862" s="8"/>
      <c r="G6862" s="15" t="s">
        <v>10</v>
      </c>
      <c r="H6862" s="15" t="s">
        <v>10</v>
      </c>
      <c r="I6862" s="15">
        <v>1.3115630011644601</v>
      </c>
      <c r="J6862" s="15">
        <v>1.3115630011644601</v>
      </c>
      <c r="K6862" s="15" t="s">
        <v>10</v>
      </c>
      <c r="L6862" s="15" t="s">
        <v>10</v>
      </c>
      <c r="M6862" s="15" t="s">
        <v>10</v>
      </c>
      <c r="N6862" s="15" t="s">
        <v>10</v>
      </c>
      <c r="O6862" s="15" t="s">
        <v>10</v>
      </c>
      <c r="P6862" s="15" t="s">
        <v>10</v>
      </c>
      <c r="Q6862" s="8"/>
      <c r="R6862" s="9" t="s">
        <v>6374</v>
      </c>
    </row>
    <row r="6863" spans="1:18" x14ac:dyDescent="0.25">
      <c r="A6863" s="6" t="str">
        <f>HYPERLINK("proteomic_fractions_linear_files/Yang_linear_img/258645135.jpg", "258645135")</f>
        <v>258645135</v>
      </c>
      <c r="B6863" s="7"/>
      <c r="C6863" s="6" t="str">
        <f>HYPERLINK("http://www.ncbi.nlm.nih.gov/protein/258645135","Slc38a10")</f>
        <v>Slc38a10</v>
      </c>
      <c r="D6863" s="8"/>
      <c r="E6863" s="8">
        <v>116210</v>
      </c>
      <c r="F6863" s="8"/>
      <c r="G6863" s="15" t="s">
        <v>10</v>
      </c>
      <c r="H6863" s="15" t="s">
        <v>10</v>
      </c>
      <c r="I6863" s="15">
        <v>1.3228695787607054</v>
      </c>
      <c r="J6863" s="15">
        <v>1.3228695787607054</v>
      </c>
      <c r="K6863" s="15" t="s">
        <v>10</v>
      </c>
      <c r="L6863" s="15" t="s">
        <v>10</v>
      </c>
      <c r="M6863" s="15" t="s">
        <v>10</v>
      </c>
      <c r="N6863" s="15" t="s">
        <v>10</v>
      </c>
      <c r="O6863" s="15" t="s">
        <v>10</v>
      </c>
      <c r="P6863" s="15" t="s">
        <v>10</v>
      </c>
      <c r="Q6863" s="8"/>
      <c r="R6863" s="9" t="s">
        <v>6375</v>
      </c>
    </row>
    <row r="6864" spans="1:18" x14ac:dyDescent="0.25">
      <c r="A6864" s="6" t="str">
        <f>HYPERLINK("proteomic_fractions_linear_files/Yang_linear_img/258645137.jpg", "258645137")</f>
        <v>258645137</v>
      </c>
      <c r="B6864" s="7"/>
      <c r="C6864" s="6" t="str">
        <f>HYPERLINK("http://www.ncbi.nlm.nih.gov/protein/258645137","Slc38a10")</f>
        <v>Slc38a10</v>
      </c>
      <c r="D6864" s="8"/>
      <c r="E6864" s="8">
        <v>116139</v>
      </c>
      <c r="F6864" s="8"/>
      <c r="G6864" s="15" t="s">
        <v>10</v>
      </c>
      <c r="H6864" s="15" t="s">
        <v>10</v>
      </c>
      <c r="I6864" s="15">
        <v>1.3228695787607054</v>
      </c>
      <c r="J6864" s="15">
        <v>1.3228695787607054</v>
      </c>
      <c r="K6864" s="15" t="s">
        <v>10</v>
      </c>
      <c r="L6864" s="15" t="s">
        <v>10</v>
      </c>
      <c r="M6864" s="15" t="s">
        <v>10</v>
      </c>
      <c r="N6864" s="15" t="s">
        <v>10</v>
      </c>
      <c r="O6864" s="15" t="s">
        <v>10</v>
      </c>
      <c r="P6864" s="15" t="s">
        <v>10</v>
      </c>
      <c r="Q6864" s="8"/>
      <c r="R6864" s="9" t="s">
        <v>6376</v>
      </c>
    </row>
    <row r="6865" spans="1:18" x14ac:dyDescent="0.25">
      <c r="A6865" s="6" t="str">
        <f>HYPERLINK("proteomic_fractions_linear_files/Yang_linear_img/27370116.jpg", "27370116")</f>
        <v>27370116</v>
      </c>
      <c r="B6865" s="7"/>
      <c r="C6865" s="6" t="str">
        <f>HYPERLINK("http://www.ncbi.nlm.nih.gov/protein/27370116","Slc38a7")</f>
        <v>Slc38a7</v>
      </c>
      <c r="D6865" s="8"/>
      <c r="E6865" s="8">
        <v>49782</v>
      </c>
      <c r="F6865" s="8"/>
      <c r="G6865" s="15" t="s">
        <v>10</v>
      </c>
      <c r="H6865" s="15" t="s">
        <v>10</v>
      </c>
      <c r="I6865" s="15">
        <v>0.69106753060950366</v>
      </c>
      <c r="J6865" s="15">
        <v>0.64168145711467173</v>
      </c>
      <c r="K6865" s="15">
        <v>0.69106753060950366</v>
      </c>
      <c r="L6865" s="15">
        <v>0.69106753060950366</v>
      </c>
      <c r="M6865" s="15" t="s">
        <v>10</v>
      </c>
      <c r="N6865" s="15" t="s">
        <v>10</v>
      </c>
      <c r="O6865" s="15" t="s">
        <v>10</v>
      </c>
      <c r="P6865" s="15" t="s">
        <v>10</v>
      </c>
      <c r="Q6865" s="8"/>
      <c r="R6865" s="9" t="s">
        <v>6377</v>
      </c>
    </row>
    <row r="6866" spans="1:18" x14ac:dyDescent="0.25">
      <c r="A6866" s="6" t="str">
        <f>HYPERLINK("proteomic_fractions_linear_files/Yang_linear_img/262073041.jpg", "262073041")</f>
        <v>262073041</v>
      </c>
      <c r="B6866" s="7"/>
      <c r="C6866" s="6" t="str">
        <f>HYPERLINK("http://www.ncbi.nlm.nih.gov/protein/262073041","Slc39a11")</f>
        <v>Slc39a11</v>
      </c>
      <c r="D6866" s="8"/>
      <c r="E6866" s="8">
        <v>34719</v>
      </c>
      <c r="F6866" s="8"/>
      <c r="G6866" s="15" t="s">
        <v>10</v>
      </c>
      <c r="H6866" s="15" t="s">
        <v>10</v>
      </c>
      <c r="I6866" s="15" t="s">
        <v>10</v>
      </c>
      <c r="J6866" s="15" t="s">
        <v>10</v>
      </c>
      <c r="K6866" s="15">
        <v>0.41478496348200994</v>
      </c>
      <c r="L6866" s="15">
        <v>0.41478496348200994</v>
      </c>
      <c r="M6866" s="15" t="s">
        <v>10</v>
      </c>
      <c r="N6866" s="15" t="s">
        <v>10</v>
      </c>
      <c r="O6866" s="15" t="s">
        <v>10</v>
      </c>
      <c r="P6866" s="15" t="s">
        <v>10</v>
      </c>
      <c r="Q6866" s="8"/>
      <c r="R6866" s="9" t="s">
        <v>6378</v>
      </c>
    </row>
    <row r="6867" spans="1:18" x14ac:dyDescent="0.25">
      <c r="A6867" s="6" t="str">
        <f>HYPERLINK("proteomic_fractions_linear_files/Yang_linear_img/262073043.jpg", "262073043")</f>
        <v>262073043</v>
      </c>
      <c r="B6867" s="7"/>
      <c r="C6867" s="6" t="str">
        <f>HYPERLINK("http://www.ncbi.nlm.nih.gov/protein/262073043","Slc39a11")</f>
        <v>Slc39a11</v>
      </c>
      <c r="D6867" s="8"/>
      <c r="E6867" s="8">
        <v>35335</v>
      </c>
      <c r="F6867" s="8"/>
      <c r="G6867" s="15" t="s">
        <v>10</v>
      </c>
      <c r="H6867" s="15" t="s">
        <v>10</v>
      </c>
      <c r="I6867" s="15" t="s">
        <v>10</v>
      </c>
      <c r="J6867" s="15" t="s">
        <v>10</v>
      </c>
      <c r="K6867" s="15">
        <v>0.41478496348200994</v>
      </c>
      <c r="L6867" s="15">
        <v>0.41478496348200994</v>
      </c>
      <c r="M6867" s="15" t="s">
        <v>10</v>
      </c>
      <c r="N6867" s="15" t="s">
        <v>10</v>
      </c>
      <c r="O6867" s="15" t="s">
        <v>10</v>
      </c>
      <c r="P6867" s="15" t="s">
        <v>10</v>
      </c>
      <c r="Q6867" s="8"/>
      <c r="R6867" s="9" t="s">
        <v>6379</v>
      </c>
    </row>
    <row r="6868" spans="1:18" x14ac:dyDescent="0.25">
      <c r="A6868" s="6" t="str">
        <f>HYPERLINK("proteomic_fractions_linear_files/Yang_linear_img/118150670.jpg", "118150670")</f>
        <v>118150670</v>
      </c>
      <c r="B6868" s="7"/>
      <c r="C6868" s="6" t="str">
        <f>HYPERLINK("http://www.ncbi.nlm.nih.gov/protein/118150670","Slc39a7")</f>
        <v>Slc39a7</v>
      </c>
      <c r="D6868" s="8"/>
      <c r="E6868" s="8">
        <v>47869</v>
      </c>
      <c r="F6868" s="8"/>
      <c r="G6868" s="15">
        <v>1.2244418246998718</v>
      </c>
      <c r="H6868" s="15">
        <v>1.2244418246998718</v>
      </c>
      <c r="I6868" s="15">
        <v>0.91928310931178059</v>
      </c>
      <c r="J6868" s="15">
        <v>0.91928310931178059</v>
      </c>
      <c r="K6868" s="15">
        <v>0.91928310931178059</v>
      </c>
      <c r="L6868" s="15">
        <v>0.91928310931178059</v>
      </c>
      <c r="M6868" s="15" t="s">
        <v>10</v>
      </c>
      <c r="N6868" s="15" t="s">
        <v>10</v>
      </c>
      <c r="O6868" s="15" t="s">
        <v>10</v>
      </c>
      <c r="P6868" s="15" t="s">
        <v>10</v>
      </c>
      <c r="Q6868" s="8"/>
      <c r="R6868" s="9" t="s">
        <v>6380</v>
      </c>
    </row>
    <row r="6869" spans="1:18" x14ac:dyDescent="0.25">
      <c r="A6869" s="6" t="str">
        <f>HYPERLINK("proteomic_fractions_linear_files/Yang_linear_img/238637277.jpg", "238637277")</f>
        <v>238637277</v>
      </c>
      <c r="B6869" s="7"/>
      <c r="C6869" s="6" t="str">
        <f>HYPERLINK("http://www.ncbi.nlm.nih.gov/protein/238637277","Slc3a2")</f>
        <v>Slc3a2</v>
      </c>
      <c r="D6869" s="8"/>
      <c r="E6869" s="8">
        <v>62109</v>
      </c>
      <c r="F6869" s="8"/>
      <c r="G6869" s="15">
        <v>1.7709929648569591</v>
      </c>
      <c r="H6869" s="15">
        <v>1.7709929648569591</v>
      </c>
      <c r="I6869" s="15">
        <v>1.5317416319771695</v>
      </c>
      <c r="J6869" s="15">
        <v>1.5317416319771695</v>
      </c>
      <c r="K6869" s="15">
        <v>1.7709929648569591</v>
      </c>
      <c r="L6869" s="15">
        <v>1.7709929648569591</v>
      </c>
      <c r="M6869" s="15" t="s">
        <v>10</v>
      </c>
      <c r="N6869" s="15" t="s">
        <v>10</v>
      </c>
      <c r="O6869" s="15" t="s">
        <v>10</v>
      </c>
      <c r="P6869" s="15" t="s">
        <v>10</v>
      </c>
      <c r="Q6869" s="8"/>
      <c r="R6869" s="9" t="s">
        <v>6381</v>
      </c>
    </row>
    <row r="6870" spans="1:18" x14ac:dyDescent="0.25">
      <c r="A6870" s="6" t="str">
        <f>HYPERLINK("proteomic_fractions_linear_files/Yang_linear_img/238637279.jpg", "238637279")</f>
        <v>238637279</v>
      </c>
      <c r="B6870" s="7"/>
      <c r="C6870" s="6" t="str">
        <f>HYPERLINK("http://www.ncbi.nlm.nih.gov/protein/238637279","Slc3a2")</f>
        <v>Slc3a2</v>
      </c>
      <c r="D6870" s="8"/>
      <c r="E6870" s="8">
        <v>58206</v>
      </c>
      <c r="F6870" s="8"/>
      <c r="G6870" s="15">
        <v>1.8931304107091633</v>
      </c>
      <c r="H6870" s="15">
        <v>1.8931304107091633</v>
      </c>
      <c r="I6870" s="15">
        <v>1.6373789859066294</v>
      </c>
      <c r="J6870" s="15">
        <v>1.6373789859066294</v>
      </c>
      <c r="K6870" s="15">
        <v>1.8931304107091633</v>
      </c>
      <c r="L6870" s="15">
        <v>1.8931304107091633</v>
      </c>
      <c r="M6870" s="15" t="s">
        <v>10</v>
      </c>
      <c r="N6870" s="15" t="s">
        <v>10</v>
      </c>
      <c r="O6870" s="15" t="s">
        <v>10</v>
      </c>
      <c r="P6870" s="15" t="s">
        <v>10</v>
      </c>
      <c r="Q6870" s="8"/>
      <c r="R6870" s="9" t="s">
        <v>6382</v>
      </c>
    </row>
    <row r="6871" spans="1:18" x14ac:dyDescent="0.25">
      <c r="A6871" s="6" t="str">
        <f>HYPERLINK("proteomic_fractions_linear_files/Yang_linear_img/124248585.jpg", "124248585")</f>
        <v>124248585</v>
      </c>
      <c r="B6871" s="7"/>
      <c r="C6871" s="6" t="str">
        <f>HYPERLINK("http://www.ncbi.nlm.nih.gov/protein/124248585","Slc40a1")</f>
        <v>Slc40a1</v>
      </c>
      <c r="D6871" s="8"/>
      <c r="E6871" s="8">
        <v>62572</v>
      </c>
      <c r="F6871" s="8"/>
      <c r="G6871" s="15" t="s">
        <v>10</v>
      </c>
      <c r="H6871" s="15" t="s">
        <v>10</v>
      </c>
      <c r="I6871" s="15">
        <v>0.25281653624098055</v>
      </c>
      <c r="J6871" s="15">
        <v>0.25281653624098055</v>
      </c>
      <c r="K6871" s="15">
        <v>0.26534086540646068</v>
      </c>
      <c r="L6871" s="15">
        <v>0.25281653624098055</v>
      </c>
      <c r="M6871" s="15" t="s">
        <v>10</v>
      </c>
      <c r="N6871" s="15" t="s">
        <v>10</v>
      </c>
      <c r="O6871" s="15" t="s">
        <v>10</v>
      </c>
      <c r="P6871" s="15" t="s">
        <v>10</v>
      </c>
      <c r="Q6871" s="8"/>
      <c r="R6871" s="9" t="s">
        <v>6383</v>
      </c>
    </row>
    <row r="6872" spans="1:18" x14ac:dyDescent="0.25">
      <c r="A6872" s="6" t="str">
        <f>HYPERLINK("proteomic_fractions_linear_files/Yang_linear_img/313482803.jpg", "313482803")</f>
        <v>313482803</v>
      </c>
      <c r="B6872" s="7"/>
      <c r="C6872" s="6" t="str">
        <f>HYPERLINK("http://www.ncbi.nlm.nih.gov/protein/313482803","Slc43a2")</f>
        <v>Slc43a2</v>
      </c>
      <c r="D6872" s="8"/>
      <c r="E6872" s="8">
        <v>62300</v>
      </c>
      <c r="F6872" s="8"/>
      <c r="G6872" s="15" t="s">
        <v>10</v>
      </c>
      <c r="H6872" s="15" t="s">
        <v>10</v>
      </c>
      <c r="I6872" s="15" t="s">
        <v>10</v>
      </c>
      <c r="J6872" s="15" t="s">
        <v>10</v>
      </c>
      <c r="K6872" s="15">
        <v>1.3403009431152235</v>
      </c>
      <c r="L6872" s="15">
        <v>1.3403009431152235</v>
      </c>
      <c r="M6872" s="15" t="s">
        <v>10</v>
      </c>
      <c r="N6872" s="15" t="s">
        <v>10</v>
      </c>
      <c r="O6872" s="15" t="s">
        <v>10</v>
      </c>
      <c r="P6872" s="15" t="s">
        <v>10</v>
      </c>
      <c r="Q6872" s="8"/>
      <c r="R6872" s="9" t="s">
        <v>6384</v>
      </c>
    </row>
    <row r="6873" spans="1:18" x14ac:dyDescent="0.25">
      <c r="A6873" s="6" t="str">
        <f>HYPERLINK("proteomic_fractions_linear_files/Yang_linear_img/227499980.jpg", "227499980")</f>
        <v>227499980</v>
      </c>
      <c r="B6873" s="7"/>
      <c r="C6873" s="6" t="str">
        <f>HYPERLINK("http://www.ncbi.nlm.nih.gov/protein/227499980","Slc44a1")</f>
        <v>Slc44a1</v>
      </c>
      <c r="D6873" s="8"/>
      <c r="E6873" s="8">
        <v>72936</v>
      </c>
      <c r="F6873" s="8"/>
      <c r="G6873" s="15" t="s">
        <v>10</v>
      </c>
      <c r="H6873" s="15" t="s">
        <v>10</v>
      </c>
      <c r="I6873" s="15">
        <v>0.80511243267936783</v>
      </c>
      <c r="J6873" s="15">
        <v>0.80511243267936783</v>
      </c>
      <c r="K6873" s="15">
        <v>0.89662004562389497</v>
      </c>
      <c r="L6873" s="15">
        <v>0.89662004562389497</v>
      </c>
      <c r="M6873" s="15">
        <v>0.80511243267936783</v>
      </c>
      <c r="N6873" s="15">
        <v>0.80511243267936783</v>
      </c>
      <c r="O6873" s="15" t="s">
        <v>10</v>
      </c>
      <c r="P6873" s="15" t="s">
        <v>10</v>
      </c>
      <c r="Q6873" s="8"/>
      <c r="R6873" s="9" t="s">
        <v>6385</v>
      </c>
    </row>
    <row r="6874" spans="1:18" x14ac:dyDescent="0.25">
      <c r="A6874" s="6" t="str">
        <f>HYPERLINK("proteomic_fractions_linear_files/Yang_linear_img/227499988.jpg", "227499988")</f>
        <v>227499988</v>
      </c>
      <c r="B6874" s="7"/>
      <c r="C6874" s="6" t="str">
        <f>HYPERLINK("http://www.ncbi.nlm.nih.gov/protein/227499988","Slc44a1")</f>
        <v>Slc44a1</v>
      </c>
      <c r="D6874" s="8"/>
      <c r="E6874" s="8">
        <v>58987</v>
      </c>
      <c r="F6874" s="8"/>
      <c r="G6874" s="15" t="s">
        <v>10</v>
      </c>
      <c r="H6874" s="15" t="s">
        <v>10</v>
      </c>
      <c r="I6874" s="15">
        <v>0.99615606077277719</v>
      </c>
      <c r="J6874" s="15">
        <v>0.99615606077277719</v>
      </c>
      <c r="K6874" s="15">
        <v>1.1093773445854971</v>
      </c>
      <c r="L6874" s="15">
        <v>1.1093773445854971</v>
      </c>
      <c r="M6874" s="15">
        <v>0.99615606077277719</v>
      </c>
      <c r="N6874" s="15">
        <v>0.99615606077277719</v>
      </c>
      <c r="O6874" s="15" t="s">
        <v>10</v>
      </c>
      <c r="P6874" s="15" t="s">
        <v>10</v>
      </c>
      <c r="Q6874" s="8"/>
      <c r="R6874" s="9" t="s">
        <v>6386</v>
      </c>
    </row>
    <row r="6875" spans="1:18" x14ac:dyDescent="0.25">
      <c r="A6875" s="6" t="str">
        <f>HYPERLINK("proteomic_fractions_linear_files/Yang_linear_img/22779895.jpg", "22779895")</f>
        <v>22779895</v>
      </c>
      <c r="B6875" s="7"/>
      <c r="C6875" s="6" t="str">
        <f>HYPERLINK("http://www.ncbi.nlm.nih.gov/protein/22779895","Slc44a2")</f>
        <v>Slc44a2</v>
      </c>
      <c r="D6875" s="8"/>
      <c r="E6875" s="8">
        <v>79979</v>
      </c>
      <c r="F6875" s="8"/>
      <c r="G6875" s="15" t="s">
        <v>10</v>
      </c>
      <c r="H6875" s="15" t="s">
        <v>10</v>
      </c>
      <c r="I6875" s="15">
        <v>1.1870997647823063</v>
      </c>
      <c r="J6875" s="15">
        <v>1.1870997647823063</v>
      </c>
      <c r="K6875" s="15">
        <v>1.1870997647823063</v>
      </c>
      <c r="L6875" s="15">
        <v>1.1870997647823063</v>
      </c>
      <c r="M6875" s="15">
        <v>1.1870997647823063</v>
      </c>
      <c r="N6875" s="15">
        <v>1.1870997647823063</v>
      </c>
      <c r="O6875" s="15" t="s">
        <v>10</v>
      </c>
      <c r="P6875" s="15" t="s">
        <v>10</v>
      </c>
      <c r="Q6875" s="8"/>
      <c r="R6875" s="9" t="s">
        <v>6387</v>
      </c>
    </row>
    <row r="6876" spans="1:18" x14ac:dyDescent="0.25">
      <c r="A6876" s="6" t="str">
        <f>HYPERLINK("proteomic_fractions_linear_files/Yang_linear_img/312596932.jpg", "312596932")</f>
        <v>312596932</v>
      </c>
      <c r="B6876" s="7"/>
      <c r="C6876" s="6" t="str">
        <f>HYPERLINK("http://www.ncbi.nlm.nih.gov/protein/312596932","Slc44a2")</f>
        <v>Slc44a2</v>
      </c>
      <c r="D6876" s="8"/>
      <c r="E6876" s="8">
        <v>79793</v>
      </c>
      <c r="F6876" s="8"/>
      <c r="G6876" s="15" t="s">
        <v>10</v>
      </c>
      <c r="H6876" s="15" t="s">
        <v>10</v>
      </c>
      <c r="I6876" s="15">
        <v>1.1870997647823063</v>
      </c>
      <c r="J6876" s="15">
        <v>1.1870997647823063</v>
      </c>
      <c r="K6876" s="15">
        <v>1.1870997647823063</v>
      </c>
      <c r="L6876" s="15">
        <v>1.1870997647823063</v>
      </c>
      <c r="M6876" s="15">
        <v>1.1870997647823063</v>
      </c>
      <c r="N6876" s="15">
        <v>1.1870997647823063</v>
      </c>
      <c r="O6876" s="15" t="s">
        <v>10</v>
      </c>
      <c r="P6876" s="15" t="s">
        <v>10</v>
      </c>
      <c r="Q6876" s="8"/>
      <c r="R6876" s="9" t="s">
        <v>6388</v>
      </c>
    </row>
    <row r="6877" spans="1:18" x14ac:dyDescent="0.25">
      <c r="A6877" s="6" t="str">
        <f>HYPERLINK("proteomic_fractions_linear_files/Yang_linear_img/225579159.jpg", "225579159")</f>
        <v>225579159</v>
      </c>
      <c r="B6877" s="7"/>
      <c r="C6877" s="6" t="str">
        <f>HYPERLINK("http://www.ncbi.nlm.nih.gov/protein/225579159","Slc44a3")</f>
        <v>Slc44a3</v>
      </c>
      <c r="D6877" s="8"/>
      <c r="E6877" s="8">
        <v>73283</v>
      </c>
      <c r="F6877" s="8"/>
      <c r="G6877" s="15" t="s">
        <v>10</v>
      </c>
      <c r="H6877" s="15" t="s">
        <v>10</v>
      </c>
      <c r="I6877" s="15">
        <v>1.0059747978312636</v>
      </c>
      <c r="J6877" s="15">
        <v>1.0059747978312636</v>
      </c>
      <c r="K6877" s="15">
        <v>1.0059747978312636</v>
      </c>
      <c r="L6877" s="15">
        <v>1.0059747978312636</v>
      </c>
      <c r="M6877" s="15" t="s">
        <v>10</v>
      </c>
      <c r="N6877" s="15" t="s">
        <v>10</v>
      </c>
      <c r="O6877" s="15" t="s">
        <v>10</v>
      </c>
      <c r="P6877" s="15" t="s">
        <v>10</v>
      </c>
      <c r="Q6877" s="8"/>
      <c r="R6877" s="9" t="s">
        <v>6389</v>
      </c>
    </row>
    <row r="6878" spans="1:18" x14ac:dyDescent="0.25">
      <c r="A6878" s="6" t="str">
        <f>HYPERLINK("proteomic_fractions_linear_files/Yang_linear_img/12963733.jpg", "12963733")</f>
        <v>12963733</v>
      </c>
      <c r="B6878" s="7"/>
      <c r="C6878" s="6" t="str">
        <f>HYPERLINK("http://www.ncbi.nlm.nih.gov/protein/12963733","Slc44a4")</f>
        <v>Slc44a4</v>
      </c>
      <c r="D6878" s="8"/>
      <c r="E6878" s="8">
        <v>78592</v>
      </c>
      <c r="F6878" s="8"/>
      <c r="G6878" s="15" t="s">
        <v>10</v>
      </c>
      <c r="H6878" s="15" t="s">
        <v>10</v>
      </c>
      <c r="I6878" s="15">
        <v>0.21160094329882306</v>
      </c>
      <c r="J6878" s="15">
        <v>0.21160094329882306</v>
      </c>
      <c r="K6878" s="15">
        <v>1.6293876980394553</v>
      </c>
      <c r="L6878" s="15">
        <v>1.6293876980394553</v>
      </c>
      <c r="M6878" s="15" t="s">
        <v>10</v>
      </c>
      <c r="N6878" s="15" t="s">
        <v>10</v>
      </c>
      <c r="O6878" s="15" t="s">
        <v>10</v>
      </c>
      <c r="P6878" s="15" t="s">
        <v>10</v>
      </c>
      <c r="Q6878" s="8"/>
      <c r="R6878" s="9" t="s">
        <v>6390</v>
      </c>
    </row>
    <row r="6879" spans="1:18" x14ac:dyDescent="0.25">
      <c r="A6879" s="6" t="str">
        <f>HYPERLINK("proteomic_fractions_linear_files/Yang_linear_img/225543517.jpg", "225543517")</f>
        <v>225543517</v>
      </c>
      <c r="B6879" s="7"/>
      <c r="C6879" s="6" t="str">
        <f>HYPERLINK("http://www.ncbi.nlm.nih.gov/protein/225543517","Slc46a2")</f>
        <v>Slc46a2</v>
      </c>
      <c r="D6879" s="8"/>
      <c r="E6879" s="8">
        <v>51952</v>
      </c>
      <c r="F6879" s="8"/>
      <c r="G6879" s="15" t="s">
        <v>10</v>
      </c>
      <c r="H6879" s="15" t="s">
        <v>10</v>
      </c>
      <c r="I6879" s="15" t="s">
        <v>10</v>
      </c>
      <c r="J6879" s="15" t="s">
        <v>10</v>
      </c>
      <c r="K6879" s="15">
        <v>3.5916506084603914</v>
      </c>
      <c r="L6879" s="15">
        <v>3.5916506084603914</v>
      </c>
      <c r="M6879" s="15" t="s">
        <v>10</v>
      </c>
      <c r="N6879" s="15" t="s">
        <v>10</v>
      </c>
      <c r="O6879" s="15" t="s">
        <v>10</v>
      </c>
      <c r="P6879" s="15" t="s">
        <v>10</v>
      </c>
      <c r="Q6879" s="8"/>
      <c r="R6879" s="9" t="s">
        <v>6391</v>
      </c>
    </row>
    <row r="6880" spans="1:18" x14ac:dyDescent="0.25">
      <c r="A6880" s="6" t="str">
        <f>HYPERLINK("proteomic_fractions_linear_files/Yang_linear_img/85702045.jpg", "85702045")</f>
        <v>85702045</v>
      </c>
      <c r="B6880" s="7"/>
      <c r="C6880" s="6" t="str">
        <f>HYPERLINK("http://www.ncbi.nlm.nih.gov/protein/85702045","Slc47a2")</f>
        <v>Slc47a2</v>
      </c>
      <c r="D6880" s="8"/>
      <c r="E6880" s="8">
        <v>61658</v>
      </c>
      <c r="F6880" s="8"/>
      <c r="G6880" s="15">
        <v>3.7638846391588561</v>
      </c>
      <c r="H6880" s="15">
        <v>3.7638846391588561</v>
      </c>
      <c r="I6880" s="15" t="s">
        <v>10</v>
      </c>
      <c r="J6880" s="15" t="s">
        <v>10</v>
      </c>
      <c r="K6880" s="15">
        <v>4.8674729780080446</v>
      </c>
      <c r="L6880" s="15">
        <v>4.8674729780080446</v>
      </c>
      <c r="M6880" s="15">
        <v>4.8674729780080446</v>
      </c>
      <c r="N6880" s="15">
        <v>4.8674729780080446</v>
      </c>
      <c r="O6880" s="15" t="s">
        <v>10</v>
      </c>
      <c r="P6880" s="15" t="s">
        <v>10</v>
      </c>
      <c r="Q6880" s="8"/>
      <c r="R6880" s="9" t="s">
        <v>6392</v>
      </c>
    </row>
    <row r="6881" spans="1:18" x14ac:dyDescent="0.25">
      <c r="A6881" s="6" t="str">
        <f>HYPERLINK("proteomic_fractions_linear_files/Yang_linear_img/155722992.jpg", "155722992")</f>
        <v>155722992</v>
      </c>
      <c r="B6881" s="7"/>
      <c r="C6881" s="6" t="str">
        <f>HYPERLINK("http://www.ncbi.nlm.nih.gov/protein/155722992","Slc4a1ap")</f>
        <v>Slc4a1ap</v>
      </c>
      <c r="D6881" s="8"/>
      <c r="E6881" s="8">
        <v>79541</v>
      </c>
      <c r="F6881" s="8"/>
      <c r="G6881" s="15" t="s">
        <v>10</v>
      </c>
      <c r="H6881" s="15" t="s">
        <v>10</v>
      </c>
      <c r="I6881" s="15" t="s">
        <v>10</v>
      </c>
      <c r="J6881" s="15" t="s">
        <v>10</v>
      </c>
      <c r="K6881" s="15">
        <v>1.6090203518139621</v>
      </c>
      <c r="L6881" s="15">
        <v>1.6090203518139621</v>
      </c>
      <c r="M6881" s="15">
        <v>1.6090203518139621</v>
      </c>
      <c r="N6881" s="15">
        <v>1.6090203518139621</v>
      </c>
      <c r="O6881" s="15">
        <v>1.6090203518139621</v>
      </c>
      <c r="P6881" s="15">
        <v>1.6090203518139621</v>
      </c>
      <c r="Q6881" s="8"/>
      <c r="R6881" s="9" t="s">
        <v>6393</v>
      </c>
    </row>
    <row r="6882" spans="1:18" x14ac:dyDescent="0.25">
      <c r="A6882" s="6" t="str">
        <f>HYPERLINK("proteomic_fractions_linear_files/Yang_linear_img/359751389.jpg", "359751389")</f>
        <v>359751389</v>
      </c>
      <c r="B6882" s="7"/>
      <c r="C6882" s="6" t="str">
        <f>HYPERLINK("http://www.ncbi.nlm.nih.gov/protein/359751389","Slc4a2")</f>
        <v>Slc4a2</v>
      </c>
      <c r="D6882" s="8"/>
      <c r="E6882" s="8">
        <v>136670</v>
      </c>
      <c r="F6882" s="8"/>
      <c r="G6882" s="15" t="s">
        <v>10</v>
      </c>
      <c r="H6882" s="15" t="s">
        <v>10</v>
      </c>
      <c r="I6882" s="15">
        <v>1.7033638512981684</v>
      </c>
      <c r="J6882" s="15">
        <v>1.7033638512981684</v>
      </c>
      <c r="K6882" s="15" t="s">
        <v>10</v>
      </c>
      <c r="L6882" s="15" t="s">
        <v>10</v>
      </c>
      <c r="M6882" s="15" t="s">
        <v>10</v>
      </c>
      <c r="N6882" s="15" t="s">
        <v>10</v>
      </c>
      <c r="O6882" s="15" t="s">
        <v>10</v>
      </c>
      <c r="P6882" s="15" t="s">
        <v>10</v>
      </c>
      <c r="Q6882" s="8"/>
      <c r="R6882" s="9" t="s">
        <v>6394</v>
      </c>
    </row>
    <row r="6883" spans="1:18" x14ac:dyDescent="0.25">
      <c r="A6883" s="6" t="str">
        <f>HYPERLINK("proteomic_fractions_linear_files/Yang_linear_img/161169001;359751389.jpg", "161169001;359751389")</f>
        <v>161169001;359751389</v>
      </c>
      <c r="B6883" s="8"/>
      <c r="C6883" s="6" t="str">
        <f>HYPERLINK("http://www.ncbi.nlm.nih.gov/protein/161169001;359751389","Slc4a2")</f>
        <v>Slc4a2</v>
      </c>
      <c r="D6883" s="8"/>
      <c r="E6883" s="8">
        <v>136670</v>
      </c>
      <c r="F6883" s="8"/>
      <c r="G6883" s="15" t="s">
        <v>10</v>
      </c>
      <c r="H6883" s="15" t="s">
        <v>10</v>
      </c>
      <c r="I6883" s="15" t="s">
        <v>10</v>
      </c>
      <c r="J6883" s="15" t="s">
        <v>10</v>
      </c>
      <c r="K6883" s="15">
        <v>1.7033638512981684</v>
      </c>
      <c r="L6883" s="15">
        <v>1.7033638512981684</v>
      </c>
      <c r="M6883" s="15" t="s">
        <v>10</v>
      </c>
      <c r="N6883" s="15" t="s">
        <v>10</v>
      </c>
      <c r="O6883" s="15" t="s">
        <v>10</v>
      </c>
      <c r="P6883" s="15" t="s">
        <v>10</v>
      </c>
      <c r="Q6883" s="8"/>
      <c r="R6883" s="9" t="s">
        <v>6394</v>
      </c>
    </row>
    <row r="6884" spans="1:18" x14ac:dyDescent="0.25">
      <c r="A6884" s="6" t="str">
        <f>HYPERLINK("proteomic_fractions_linear_files/Yang_linear_img/165377246.jpg", "165377246")</f>
        <v>165377246</v>
      </c>
      <c r="B6884" s="7"/>
      <c r="C6884" s="6" t="str">
        <f>HYPERLINK("http://www.ncbi.nlm.nih.gov/protein/165377246","Slc4a3")</f>
        <v>Slc4a3</v>
      </c>
      <c r="D6884" s="8"/>
      <c r="E6884" s="8">
        <v>135242</v>
      </c>
      <c r="F6884" s="8"/>
      <c r="G6884" s="15" t="s">
        <v>10</v>
      </c>
      <c r="H6884" s="15" t="s">
        <v>10</v>
      </c>
      <c r="I6884" s="15">
        <v>1.7285988713174005</v>
      </c>
      <c r="J6884" s="15">
        <v>1.7285988713174005</v>
      </c>
      <c r="K6884" s="15">
        <v>1.7285988713174005</v>
      </c>
      <c r="L6884" s="15">
        <v>1.7285988713174005</v>
      </c>
      <c r="M6884" s="15" t="s">
        <v>10</v>
      </c>
      <c r="N6884" s="15" t="s">
        <v>10</v>
      </c>
      <c r="O6884" s="15" t="s">
        <v>10</v>
      </c>
      <c r="P6884" s="15" t="s">
        <v>10</v>
      </c>
      <c r="Q6884" s="8"/>
      <c r="R6884" s="9" t="s">
        <v>6395</v>
      </c>
    </row>
    <row r="6885" spans="1:18" x14ac:dyDescent="0.25">
      <c r="A6885" s="6" t="str">
        <f>HYPERLINK("proteomic_fractions_linear_files/Yang_linear_img/133922580.jpg", "133922580")</f>
        <v>133922580</v>
      </c>
      <c r="B6885" s="7"/>
      <c r="C6885" s="6" t="str">
        <f>HYPERLINK("http://www.ncbi.nlm.nih.gov/protein/133922580","Slc4a4")</f>
        <v>Slc4a4</v>
      </c>
      <c r="D6885" s="8"/>
      <c r="E6885" s="8">
        <v>121353</v>
      </c>
      <c r="F6885" s="8"/>
      <c r="G6885" s="15" t="s">
        <v>10</v>
      </c>
      <c r="H6885" s="15" t="s">
        <v>10</v>
      </c>
      <c r="I6885" s="15">
        <v>3.3805252705738824</v>
      </c>
      <c r="J6885" s="15">
        <v>3.3805252705738824</v>
      </c>
      <c r="K6885" s="15">
        <v>1.5435192697515732</v>
      </c>
      <c r="L6885" s="15">
        <v>1.5435192697515732</v>
      </c>
      <c r="M6885" s="15" t="s">
        <v>10</v>
      </c>
      <c r="N6885" s="15" t="s">
        <v>10</v>
      </c>
      <c r="O6885" s="15" t="s">
        <v>10</v>
      </c>
      <c r="P6885" s="15" t="s">
        <v>10</v>
      </c>
      <c r="Q6885" s="8"/>
      <c r="R6885" s="9" t="s">
        <v>6396</v>
      </c>
    </row>
    <row r="6886" spans="1:18" x14ac:dyDescent="0.25">
      <c r="A6886" s="6" t="str">
        <f>HYPERLINK("proteomic_fractions_linear_files/Yang_linear_img/210147430.jpg", "210147430")</f>
        <v>210147430</v>
      </c>
      <c r="B6886" s="7"/>
      <c r="C6886" s="6" t="str">
        <f>HYPERLINK("http://www.ncbi.nlm.nih.gov/protein/210147430","Slc4a4")</f>
        <v>Slc4a4</v>
      </c>
      <c r="D6886" s="8"/>
      <c r="E6886" s="8">
        <v>122956</v>
      </c>
      <c r="F6886" s="8"/>
      <c r="G6886" s="15" t="s">
        <v>10</v>
      </c>
      <c r="H6886" s="15" t="s">
        <v>10</v>
      </c>
      <c r="I6886" s="15">
        <v>3.3255573799954457</v>
      </c>
      <c r="J6886" s="15">
        <v>3.3255573799954457</v>
      </c>
      <c r="K6886" s="15">
        <v>1.5184213954466697</v>
      </c>
      <c r="L6886" s="15">
        <v>1.5184213954466697</v>
      </c>
      <c r="M6886" s="15" t="s">
        <v>10</v>
      </c>
      <c r="N6886" s="15" t="s">
        <v>10</v>
      </c>
      <c r="O6886" s="15" t="s">
        <v>10</v>
      </c>
      <c r="P6886" s="15" t="s">
        <v>10</v>
      </c>
      <c r="Q6886" s="8"/>
      <c r="R6886" s="9" t="s">
        <v>6397</v>
      </c>
    </row>
    <row r="6887" spans="1:18" x14ac:dyDescent="0.25">
      <c r="A6887" s="6" t="str">
        <f>HYPERLINK("proteomic_fractions_linear_files/Yang_linear_img/308210768.jpg", "308210768")</f>
        <v>308210768</v>
      </c>
      <c r="B6887" s="7"/>
      <c r="C6887" s="6" t="str">
        <f>HYPERLINK("http://www.ncbi.nlm.nih.gov/protein/308210768","Slc4a4")</f>
        <v>Slc4a4</v>
      </c>
      <c r="D6887" s="8"/>
      <c r="E6887" s="8">
        <v>120334</v>
      </c>
      <c r="F6887" s="8"/>
      <c r="G6887" s="15" t="s">
        <v>10</v>
      </c>
      <c r="H6887" s="15" t="s">
        <v>10</v>
      </c>
      <c r="I6887" s="15">
        <v>3.4086963144953315</v>
      </c>
      <c r="J6887" s="15">
        <v>3.4086963144953315</v>
      </c>
      <c r="K6887" s="15">
        <v>1.5563819303328363</v>
      </c>
      <c r="L6887" s="15">
        <v>1.5563819303328363</v>
      </c>
      <c r="M6887" s="15" t="s">
        <v>10</v>
      </c>
      <c r="N6887" s="15" t="s">
        <v>10</v>
      </c>
      <c r="O6887" s="15" t="s">
        <v>10</v>
      </c>
      <c r="P6887" s="15" t="s">
        <v>10</v>
      </c>
      <c r="Q6887" s="8"/>
      <c r="R6887" s="9" t="s">
        <v>6398</v>
      </c>
    </row>
    <row r="6888" spans="1:18" x14ac:dyDescent="0.25">
      <c r="A6888" s="6" t="str">
        <f>HYPERLINK("proteomic_fractions_linear_files/Yang_linear_img/117320529.jpg", "117320529")</f>
        <v>117320529</v>
      </c>
      <c r="B6888" s="7"/>
      <c r="C6888" s="6" t="str">
        <f>HYPERLINK("http://www.ncbi.nlm.nih.gov/protein/117320529","Slc4a7")</f>
        <v>Slc4a7</v>
      </c>
      <c r="D6888" s="8"/>
      <c r="E6888" s="8">
        <v>127091</v>
      </c>
      <c r="F6888" s="8"/>
      <c r="G6888" s="15" t="s">
        <v>10</v>
      </c>
      <c r="H6888" s="15" t="s">
        <v>10</v>
      </c>
      <c r="I6888" s="15">
        <v>1.837486989195662</v>
      </c>
      <c r="J6888" s="15">
        <v>1.837486989195662</v>
      </c>
      <c r="K6888" s="15">
        <v>1.837486989195662</v>
      </c>
      <c r="L6888" s="15">
        <v>1.837486989195662</v>
      </c>
      <c r="M6888" s="15" t="s">
        <v>10</v>
      </c>
      <c r="N6888" s="15" t="s">
        <v>10</v>
      </c>
      <c r="O6888" s="15" t="s">
        <v>10</v>
      </c>
      <c r="P6888" s="15" t="s">
        <v>10</v>
      </c>
      <c r="Q6888" s="8"/>
      <c r="R6888" s="9" t="s">
        <v>6399</v>
      </c>
    </row>
    <row r="6889" spans="1:18" x14ac:dyDescent="0.25">
      <c r="A6889" s="6" t="str">
        <f>HYPERLINK("proteomic_fractions_linear_files/Yang_linear_img/22122353.jpg", "22122353")</f>
        <v>22122353</v>
      </c>
      <c r="B6889" s="7"/>
      <c r="C6889" s="6" t="str">
        <f>HYPERLINK("http://www.ncbi.nlm.nih.gov/protein/22122353","Slc51a")</f>
        <v>Slc51a</v>
      </c>
      <c r="D6889" s="8"/>
      <c r="E6889" s="8">
        <v>37628</v>
      </c>
      <c r="F6889" s="8"/>
      <c r="G6889" s="15" t="s">
        <v>10</v>
      </c>
      <c r="H6889" s="15" t="s">
        <v>10</v>
      </c>
      <c r="I6889" s="15">
        <v>1.0659820579795458</v>
      </c>
      <c r="J6889" s="15">
        <v>1.0659820579795458</v>
      </c>
      <c r="K6889" s="15" t="s">
        <v>10</v>
      </c>
      <c r="L6889" s="15" t="s">
        <v>10</v>
      </c>
      <c r="M6889" s="15" t="s">
        <v>10</v>
      </c>
      <c r="N6889" s="15" t="s">
        <v>10</v>
      </c>
      <c r="O6889" s="15" t="s">
        <v>10</v>
      </c>
      <c r="P6889" s="15" t="s">
        <v>10</v>
      </c>
      <c r="Q6889" s="8"/>
      <c r="R6889" s="9" t="s">
        <v>6400</v>
      </c>
    </row>
    <row r="6890" spans="1:18" x14ac:dyDescent="0.25">
      <c r="A6890" s="6" t="str">
        <f>HYPERLINK("proteomic_fractions_linear_files/Yang_linear_img/148536859.jpg", "148536859")</f>
        <v>148536859</v>
      </c>
      <c r="B6890" s="7"/>
      <c r="C6890" s="6" t="str">
        <f>HYPERLINK("http://www.ncbi.nlm.nih.gov/protein/148536859","Slc5a3")</f>
        <v>Slc5a3</v>
      </c>
      <c r="D6890" s="8"/>
      <c r="E6890" s="8">
        <v>79452</v>
      </c>
      <c r="F6890" s="8"/>
      <c r="G6890" s="15" t="s">
        <v>10</v>
      </c>
      <c r="H6890" s="15" t="s">
        <v>10</v>
      </c>
      <c r="I6890" s="15">
        <v>1.2021263440833483</v>
      </c>
      <c r="J6890" s="15">
        <v>1.2021263440833483</v>
      </c>
      <c r="K6890" s="15">
        <v>1.3898932129257147</v>
      </c>
      <c r="L6890" s="15">
        <v>1.3898932129257147</v>
      </c>
      <c r="M6890" s="15" t="s">
        <v>10</v>
      </c>
      <c r="N6890" s="15" t="s">
        <v>10</v>
      </c>
      <c r="O6890" s="15" t="s">
        <v>10</v>
      </c>
      <c r="P6890" s="15" t="s">
        <v>10</v>
      </c>
      <c r="Q6890" s="8"/>
      <c r="R6890" s="9" t="s">
        <v>6401</v>
      </c>
    </row>
    <row r="6891" spans="1:18" x14ac:dyDescent="0.25">
      <c r="A6891" s="6" t="str">
        <f>HYPERLINK("proteomic_fractions_linear_files/Yang_linear_img/31982828.jpg", "31982828")</f>
        <v>31982828</v>
      </c>
      <c r="B6891" s="7"/>
      <c r="C6891" s="6" t="str">
        <f>HYPERLINK("http://www.ncbi.nlm.nih.gov/protein/31982828","Slc6a6")</f>
        <v>Slc6a6</v>
      </c>
      <c r="D6891" s="8"/>
      <c r="E6891" s="8">
        <v>69725</v>
      </c>
      <c r="F6891" s="8"/>
      <c r="G6891" s="15">
        <v>2.6680833091420051</v>
      </c>
      <c r="H6891" s="15">
        <v>2.6680833091420051</v>
      </c>
      <c r="I6891" s="15">
        <v>2.1921838733748835</v>
      </c>
      <c r="J6891" s="15">
        <v>2.1921838733748835</v>
      </c>
      <c r="K6891" s="15">
        <v>3.3337263946835582</v>
      </c>
      <c r="L6891" s="15">
        <v>3.3337263946835582</v>
      </c>
      <c r="M6891" s="15" t="s">
        <v>10</v>
      </c>
      <c r="N6891" s="15" t="s">
        <v>10</v>
      </c>
      <c r="O6891" s="15" t="s">
        <v>10</v>
      </c>
      <c r="P6891" s="15" t="s">
        <v>10</v>
      </c>
      <c r="Q6891" s="8"/>
      <c r="R6891" s="9" t="s">
        <v>6402</v>
      </c>
    </row>
    <row r="6892" spans="1:18" x14ac:dyDescent="0.25">
      <c r="A6892" s="6" t="str">
        <f>HYPERLINK("proteomic_fractions_linear_files/Yang_linear_img/161016790.jpg", "161016790")</f>
        <v>161016790</v>
      </c>
      <c r="B6892" s="7"/>
      <c r="C6892" s="6" t="str">
        <f>HYPERLINK("http://www.ncbi.nlm.nih.gov/protein/161016790","Slc7a1")</f>
        <v>Slc7a1</v>
      </c>
      <c r="D6892" s="8"/>
      <c r="E6892" s="8">
        <v>66961</v>
      </c>
      <c r="F6892" s="8"/>
      <c r="G6892" s="15">
        <v>1.6388293107631562</v>
      </c>
      <c r="H6892" s="15">
        <v>1.6388293107631562</v>
      </c>
      <c r="I6892" s="15">
        <v>1.4174325549639479</v>
      </c>
      <c r="J6892" s="15">
        <v>1.4174325549639479</v>
      </c>
      <c r="K6892" s="15">
        <v>1.9212183305241339</v>
      </c>
      <c r="L6892" s="15">
        <v>1.9212183305241339</v>
      </c>
      <c r="M6892" s="15" t="s">
        <v>10</v>
      </c>
      <c r="N6892" s="15" t="s">
        <v>10</v>
      </c>
      <c r="O6892" s="15" t="s">
        <v>10</v>
      </c>
      <c r="P6892" s="15" t="s">
        <v>10</v>
      </c>
      <c r="Q6892" s="8"/>
      <c r="R6892" s="9" t="s">
        <v>6403</v>
      </c>
    </row>
    <row r="6893" spans="1:18" x14ac:dyDescent="0.25">
      <c r="A6893" s="6" t="str">
        <f>HYPERLINK("proteomic_fractions_linear_files/Yang_linear_img/6756011.jpg", "6756011")</f>
        <v>6756011</v>
      </c>
      <c r="B6893" s="7"/>
      <c r="C6893" s="6" t="str">
        <f>HYPERLINK("http://www.ncbi.nlm.nih.gov/protein/6756011","Slc7a11")</f>
        <v>Slc7a11</v>
      </c>
      <c r="D6893" s="8"/>
      <c r="E6893" s="8">
        <v>55325</v>
      </c>
      <c r="F6893" s="8"/>
      <c r="G6893" s="15" t="s">
        <v>10</v>
      </c>
      <c r="H6893" s="15" t="s">
        <v>10</v>
      </c>
      <c r="I6893" s="15" t="s">
        <v>10</v>
      </c>
      <c r="J6893" s="15" t="s">
        <v>10</v>
      </c>
      <c r="K6893" s="15">
        <v>0.5833467791951561</v>
      </c>
      <c r="L6893" s="15">
        <v>0.5833467791951561</v>
      </c>
      <c r="M6893" s="15" t="s">
        <v>10</v>
      </c>
      <c r="N6893" s="15" t="s">
        <v>10</v>
      </c>
      <c r="O6893" s="15" t="s">
        <v>10</v>
      </c>
      <c r="P6893" s="15" t="s">
        <v>10</v>
      </c>
      <c r="Q6893" s="8"/>
      <c r="R6893" s="9" t="s">
        <v>6404</v>
      </c>
    </row>
    <row r="6894" spans="1:18" x14ac:dyDescent="0.25">
      <c r="A6894" s="6" t="str">
        <f>HYPERLINK("proteomic_fractions_linear_files/Yang_linear_img/113680233.jpg", "113680233")</f>
        <v>113680233</v>
      </c>
      <c r="B6894" s="7"/>
      <c r="C6894" s="6" t="str">
        <f>HYPERLINK("http://www.ncbi.nlm.nih.gov/protein/113680233","Slc7a2")</f>
        <v>Slc7a2</v>
      </c>
      <c r="D6894" s="8"/>
      <c r="E6894" s="8">
        <v>71655</v>
      </c>
      <c r="F6894" s="8"/>
      <c r="G6894" s="15" t="s">
        <v>10</v>
      </c>
      <c r="H6894" s="15" t="s">
        <v>10</v>
      </c>
      <c r="I6894" s="15">
        <v>1.1541480343492203</v>
      </c>
      <c r="J6894" s="15">
        <v>1.1541480343492203</v>
      </c>
      <c r="K6894" s="15">
        <v>1.7878003909044022</v>
      </c>
      <c r="L6894" s="15">
        <v>1.7878003909044022</v>
      </c>
      <c r="M6894" s="15" t="s">
        <v>10</v>
      </c>
      <c r="N6894" s="15" t="s">
        <v>10</v>
      </c>
      <c r="O6894" s="15" t="s">
        <v>10</v>
      </c>
      <c r="P6894" s="15" t="s">
        <v>10</v>
      </c>
      <c r="Q6894" s="8"/>
      <c r="R6894" s="9" t="s">
        <v>6405</v>
      </c>
    </row>
    <row r="6895" spans="1:18" x14ac:dyDescent="0.25">
      <c r="A6895" s="6" t="str">
        <f>HYPERLINK("proteomic_fractions_linear_files/Yang_linear_img/31982764.jpg", "31982764")</f>
        <v>31982764</v>
      </c>
      <c r="B6895" s="7"/>
      <c r="C6895" s="6" t="str">
        <f>HYPERLINK("http://www.ncbi.nlm.nih.gov/protein/31982764","Slc7a5")</f>
        <v>Slc7a5</v>
      </c>
      <c r="D6895" s="8"/>
      <c r="E6895" s="8">
        <v>55741</v>
      </c>
      <c r="F6895" s="8"/>
      <c r="G6895" s="15" t="s">
        <v>10</v>
      </c>
      <c r="H6895" s="15" t="s">
        <v>10</v>
      </c>
      <c r="I6895" s="15">
        <v>0.6170245809013426</v>
      </c>
      <c r="J6895" s="15">
        <v>0.6170245809013426</v>
      </c>
      <c r="K6895" s="15">
        <v>0.66680940041293912</v>
      </c>
      <c r="L6895" s="15">
        <v>0.66680940041293912</v>
      </c>
      <c r="M6895" s="15" t="s">
        <v>10</v>
      </c>
      <c r="N6895" s="15" t="s">
        <v>10</v>
      </c>
      <c r="O6895" s="15" t="s">
        <v>10</v>
      </c>
      <c r="P6895" s="15" t="s">
        <v>10</v>
      </c>
      <c r="Q6895" s="8"/>
      <c r="R6895" s="9" t="s">
        <v>6406</v>
      </c>
    </row>
    <row r="6896" spans="1:18" x14ac:dyDescent="0.25">
      <c r="A6896" s="6" t="str">
        <f>HYPERLINK("proteomic_fractions_linear_files/Yang_linear_img/57222272.jpg", "57222272")</f>
        <v>57222272</v>
      </c>
      <c r="B6896" s="7"/>
      <c r="C6896" s="6" t="str">
        <f>HYPERLINK("http://www.ncbi.nlm.nih.gov/protein/57222272","Slc7a6os")</f>
        <v>Slc7a6os</v>
      </c>
      <c r="D6896" s="8"/>
      <c r="E6896" s="8">
        <v>34910</v>
      </c>
      <c r="F6896" s="8"/>
      <c r="G6896" s="15" t="s">
        <v>10</v>
      </c>
      <c r="H6896" s="15" t="s">
        <v>10</v>
      </c>
      <c r="I6896" s="15" t="s">
        <v>10</v>
      </c>
      <c r="J6896" s="15" t="s">
        <v>10</v>
      </c>
      <c r="K6896" s="15" t="s">
        <v>10</v>
      </c>
      <c r="L6896" s="15" t="s">
        <v>10</v>
      </c>
      <c r="M6896" s="15" t="s">
        <v>10</v>
      </c>
      <c r="N6896" s="15" t="s">
        <v>10</v>
      </c>
      <c r="O6896" s="15">
        <v>1.2607311213418706</v>
      </c>
      <c r="P6896" s="15">
        <v>1.2607311213418706</v>
      </c>
      <c r="Q6896" s="8"/>
      <c r="R6896" s="9" t="s">
        <v>6407</v>
      </c>
    </row>
    <row r="6897" spans="1:18" x14ac:dyDescent="0.25">
      <c r="A6897" s="6" t="str">
        <f>HYPERLINK("proteomic_fractions_linear_files/Yang_linear_img/8567404.jpg", "8567404")</f>
        <v>8567404</v>
      </c>
      <c r="B6897" s="7"/>
      <c r="C6897" s="6" t="str">
        <f>HYPERLINK("http://www.ncbi.nlm.nih.gov/protein/8567404","Slc9a1")</f>
        <v>Slc9a1</v>
      </c>
      <c r="D6897" s="8"/>
      <c r="E6897" s="8">
        <v>91337</v>
      </c>
      <c r="F6897" s="8"/>
      <c r="G6897" s="15" t="s">
        <v>10</v>
      </c>
      <c r="H6897" s="15" t="s">
        <v>10</v>
      </c>
      <c r="I6897" s="15">
        <v>4.4949841509828552</v>
      </c>
      <c r="J6897" s="15">
        <v>4.4949841509828552</v>
      </c>
      <c r="K6897" s="15">
        <v>1.6862952872114487</v>
      </c>
      <c r="L6897" s="15">
        <v>1.6862952872114487</v>
      </c>
      <c r="M6897" s="15" t="s">
        <v>10</v>
      </c>
      <c r="N6897" s="15" t="s">
        <v>10</v>
      </c>
      <c r="O6897" s="15" t="s">
        <v>10</v>
      </c>
      <c r="P6897" s="15" t="s">
        <v>10</v>
      </c>
      <c r="Q6897" s="8"/>
      <c r="R6897" s="9" t="s">
        <v>6408</v>
      </c>
    </row>
    <row r="6898" spans="1:18" x14ac:dyDescent="0.25">
      <c r="A6898" s="6" t="str">
        <f>HYPERLINK("proteomic_fractions_linear_files/Yang_linear_img/6755566.jpg", "6755566")</f>
        <v>6755566</v>
      </c>
      <c r="B6898" s="7"/>
      <c r="C6898" s="6" t="str">
        <f>HYPERLINK("http://www.ncbi.nlm.nih.gov/protein/6755566","Slc9a3r1")</f>
        <v>Slc9a3r1</v>
      </c>
      <c r="D6898" s="8"/>
      <c r="E6898" s="8">
        <v>38469</v>
      </c>
      <c r="F6898" s="8"/>
      <c r="G6898" s="15">
        <v>1.3979097271052916</v>
      </c>
      <c r="H6898" s="15">
        <v>1.3979097271052916</v>
      </c>
      <c r="I6898" s="15">
        <v>1.2707888311688225</v>
      </c>
      <c r="J6898" s="15">
        <v>1.2707888311688225</v>
      </c>
      <c r="K6898" s="15">
        <v>1.3979097271052916</v>
      </c>
      <c r="L6898" s="15">
        <v>1.3979097271052916</v>
      </c>
      <c r="M6898" s="15">
        <v>1.2707888311688225</v>
      </c>
      <c r="N6898" s="15">
        <v>1.2707888311688225</v>
      </c>
      <c r="O6898" s="15">
        <v>1.2707888311688225</v>
      </c>
      <c r="P6898" s="15">
        <v>1.2707888311688225</v>
      </c>
      <c r="Q6898" s="8"/>
      <c r="R6898" s="9" t="s">
        <v>6409</v>
      </c>
    </row>
    <row r="6899" spans="1:18" x14ac:dyDescent="0.25">
      <c r="A6899" s="6" t="str">
        <f>HYPERLINK("proteomic_fractions_linear_files/Yang_linear_img/84490391.jpg", "84490391")</f>
        <v>84490391</v>
      </c>
      <c r="B6899" s="7"/>
      <c r="C6899" s="6" t="str">
        <f>HYPERLINK("http://www.ncbi.nlm.nih.gov/protein/84490391","Slfn4")</f>
        <v>Slfn4</v>
      </c>
      <c r="D6899" s="8"/>
      <c r="E6899" s="8">
        <v>67833</v>
      </c>
      <c r="F6899" s="8"/>
      <c r="G6899" s="15" t="s">
        <v>10</v>
      </c>
      <c r="H6899" s="15" t="s">
        <v>10</v>
      </c>
      <c r="I6899" s="15">
        <v>3.4317771709977802</v>
      </c>
      <c r="J6899" s="15">
        <v>3.4317771709977802</v>
      </c>
      <c r="K6899" s="15">
        <v>3.4317771709977802</v>
      </c>
      <c r="L6899" s="15">
        <v>3.4317771709977802</v>
      </c>
      <c r="M6899" s="15">
        <v>2.7465563476461816</v>
      </c>
      <c r="N6899" s="15">
        <v>2.7465563476461816</v>
      </c>
      <c r="O6899" s="15" t="s">
        <v>10</v>
      </c>
      <c r="P6899" s="15" t="s">
        <v>10</v>
      </c>
      <c r="Q6899" s="8"/>
      <c r="R6899" s="9" t="s">
        <v>6410</v>
      </c>
    </row>
    <row r="6900" spans="1:18" x14ac:dyDescent="0.25">
      <c r="A6900" s="6" t="str">
        <f>HYPERLINK("proteomic_fractions_linear_files/Yang_linear_img/268370030.jpg", "268370030")</f>
        <v>268370030</v>
      </c>
      <c r="B6900" s="7"/>
      <c r="C6900" s="6" t="str">
        <f>HYPERLINK("http://www.ncbi.nlm.nih.gov/protein/268370030","Slfn8")</f>
        <v>Slfn8</v>
      </c>
      <c r="D6900" s="8"/>
      <c r="E6900" s="8">
        <v>104133</v>
      </c>
      <c r="F6900" s="8"/>
      <c r="G6900" s="15" t="s">
        <v>10</v>
      </c>
      <c r="H6900" s="15" t="s">
        <v>10</v>
      </c>
      <c r="I6900" s="15" t="s">
        <v>10</v>
      </c>
      <c r="J6900" s="15" t="s">
        <v>10</v>
      </c>
      <c r="K6900" s="15" t="s">
        <v>10</v>
      </c>
      <c r="L6900" s="15" t="s">
        <v>10</v>
      </c>
      <c r="M6900" s="15" t="s">
        <v>10</v>
      </c>
      <c r="N6900" s="15" t="s">
        <v>10</v>
      </c>
      <c r="O6900" s="15">
        <v>1.0557842675108795</v>
      </c>
      <c r="P6900" s="15">
        <v>1.0557842675108795</v>
      </c>
      <c r="Q6900" s="8"/>
      <c r="R6900" s="9" t="s">
        <v>6411</v>
      </c>
    </row>
    <row r="6901" spans="1:18" x14ac:dyDescent="0.25">
      <c r="A6901" s="6" t="str">
        <f>HYPERLINK("proteomic_fractions_linear_files/Yang_linear_img/116089296.jpg", "116089296")</f>
        <v>116089296</v>
      </c>
      <c r="B6901" s="7"/>
      <c r="C6901" s="6" t="str">
        <f>HYPERLINK("http://www.ncbi.nlm.nih.gov/protein/116089296","Slfn9")</f>
        <v>Slfn9</v>
      </c>
      <c r="D6901" s="8"/>
      <c r="E6901" s="8">
        <v>103862</v>
      </c>
      <c r="F6901" s="8"/>
      <c r="G6901" s="15" t="s">
        <v>10</v>
      </c>
      <c r="H6901" s="15" t="s">
        <v>10</v>
      </c>
      <c r="I6901" s="15" t="s">
        <v>10</v>
      </c>
      <c r="J6901" s="15" t="s">
        <v>10</v>
      </c>
      <c r="K6901" s="15" t="s">
        <v>10</v>
      </c>
      <c r="L6901" s="15" t="s">
        <v>10</v>
      </c>
      <c r="M6901" s="15" t="s">
        <v>10</v>
      </c>
      <c r="N6901" s="15" t="s">
        <v>10</v>
      </c>
      <c r="O6901" s="15">
        <v>1.0557842675108795</v>
      </c>
      <c r="P6901" s="15">
        <v>1.0557842675108795</v>
      </c>
      <c r="Q6901" s="8"/>
      <c r="R6901" s="9" t="s">
        <v>6412</v>
      </c>
    </row>
    <row r="6902" spans="1:18" x14ac:dyDescent="0.25">
      <c r="A6902" s="6" t="str">
        <f>HYPERLINK("proteomic_fractions_linear_files/Yang_linear_img/283046784.jpg", "283046784")</f>
        <v>283046784</v>
      </c>
      <c r="B6902" s="7"/>
      <c r="C6902" s="6" t="str">
        <f>HYPERLINK("http://www.ncbi.nlm.nih.gov/protein/283046784","Slirp")</f>
        <v>Slirp</v>
      </c>
      <c r="D6902" s="8"/>
      <c r="E6902" s="8">
        <v>12474</v>
      </c>
      <c r="F6902" s="8"/>
      <c r="G6902" s="15">
        <v>1.1080886685834612</v>
      </c>
      <c r="H6902" s="15">
        <v>1.1080886685834612</v>
      </c>
      <c r="I6902" s="15">
        <v>1.1571542083280542</v>
      </c>
      <c r="J6902" s="15">
        <v>1.1080886685834612</v>
      </c>
      <c r="K6902" s="15">
        <v>1.1571542083280542</v>
      </c>
      <c r="L6902" s="15">
        <v>1.1571542083280542</v>
      </c>
      <c r="M6902" s="15" t="s">
        <v>10</v>
      </c>
      <c r="N6902" s="15" t="s">
        <v>10</v>
      </c>
      <c r="O6902" s="15" t="s">
        <v>10</v>
      </c>
      <c r="P6902" s="15" t="s">
        <v>10</v>
      </c>
      <c r="Q6902" s="8"/>
      <c r="R6902" s="9" t="s">
        <v>6413</v>
      </c>
    </row>
    <row r="6903" spans="1:18" x14ac:dyDescent="0.25">
      <c r="A6903" s="6" t="str">
        <f>HYPERLINK("proteomic_fractions_linear_files/Yang_linear_img/257467552.jpg", "257467552")</f>
        <v>257467552</v>
      </c>
      <c r="B6903" s="7"/>
      <c r="C6903" s="6" t="str">
        <f>HYPERLINK("http://www.ncbi.nlm.nih.gov/protein/257467552","Slk")</f>
        <v>Slk</v>
      </c>
      <c r="D6903" s="8"/>
      <c r="E6903" s="8">
        <v>141326</v>
      </c>
      <c r="F6903" s="8"/>
      <c r="G6903" s="15" t="s">
        <v>10</v>
      </c>
      <c r="H6903" s="15" t="s">
        <v>10</v>
      </c>
      <c r="I6903" s="15">
        <v>1.6550414725379368</v>
      </c>
      <c r="J6903" s="15">
        <v>1.6550414725379368</v>
      </c>
      <c r="K6903" s="15">
        <v>2.1403072669255234</v>
      </c>
      <c r="L6903" s="15">
        <v>2.1403072669255234</v>
      </c>
      <c r="M6903" s="15">
        <v>2.1403072669255234</v>
      </c>
      <c r="N6903" s="15">
        <v>2.1403072669255234</v>
      </c>
      <c r="O6903" s="15">
        <v>1.6550414725379368</v>
      </c>
      <c r="P6903" s="15">
        <v>1.6550414725379368</v>
      </c>
      <c r="Q6903" s="8"/>
      <c r="R6903" s="9" t="s">
        <v>6414</v>
      </c>
    </row>
    <row r="6904" spans="1:18" x14ac:dyDescent="0.25">
      <c r="A6904" s="6" t="str">
        <f>HYPERLINK("proteomic_fractions_linear_files/Yang_linear_img/257467554.jpg", "257467554")</f>
        <v>257467554</v>
      </c>
      <c r="B6904" s="7"/>
      <c r="C6904" s="6" t="str">
        <f>HYPERLINK("http://www.ncbi.nlm.nih.gov/protein/257467554","Slk")</f>
        <v>Slk</v>
      </c>
      <c r="D6904" s="8"/>
      <c r="E6904" s="8">
        <v>137583</v>
      </c>
      <c r="F6904" s="8"/>
      <c r="G6904" s="15" t="s">
        <v>10</v>
      </c>
      <c r="H6904" s="15" t="s">
        <v>10</v>
      </c>
      <c r="I6904" s="15">
        <v>1.6910206349844135</v>
      </c>
      <c r="J6904" s="15">
        <v>1.6910206349844135</v>
      </c>
      <c r="K6904" s="15">
        <v>2.1868356857717304</v>
      </c>
      <c r="L6904" s="15">
        <v>2.1868356857717304</v>
      </c>
      <c r="M6904" s="15">
        <v>2.1868356857717304</v>
      </c>
      <c r="N6904" s="15">
        <v>2.1868356857717304</v>
      </c>
      <c r="O6904" s="15">
        <v>1.6910206349844135</v>
      </c>
      <c r="P6904" s="15">
        <v>1.6910206349844135</v>
      </c>
      <c r="Q6904" s="8"/>
      <c r="R6904" s="9" t="s">
        <v>6415</v>
      </c>
    </row>
    <row r="6905" spans="1:18" x14ac:dyDescent="0.25">
      <c r="A6905" s="6" t="str">
        <f>HYPERLINK("proteomic_fractions_linear_files/Yang_linear_img/13384954.jpg", "13384954")</f>
        <v>13384954</v>
      </c>
      <c r="B6905" s="7"/>
      <c r="C6905" s="6" t="str">
        <f>HYPERLINK("http://www.ncbi.nlm.nih.gov/protein/13384954","Slmo2")</f>
        <v>Slmo2</v>
      </c>
      <c r="D6905" s="8"/>
      <c r="E6905" s="8">
        <v>21361</v>
      </c>
      <c r="F6905" s="8"/>
      <c r="G6905" s="15" t="s">
        <v>10</v>
      </c>
      <c r="H6905" s="15" t="s">
        <v>10</v>
      </c>
      <c r="I6905" s="15">
        <v>1.0378924890799406</v>
      </c>
      <c r="J6905" s="15">
        <v>1.0378924890799406</v>
      </c>
      <c r="K6905" s="15" t="s">
        <v>10</v>
      </c>
      <c r="L6905" s="15" t="s">
        <v>10</v>
      </c>
      <c r="M6905" s="15" t="s">
        <v>10</v>
      </c>
      <c r="N6905" s="15" t="s">
        <v>10</v>
      </c>
      <c r="O6905" s="15" t="s">
        <v>10</v>
      </c>
      <c r="P6905" s="15" t="s">
        <v>10</v>
      </c>
      <c r="Q6905" s="8"/>
      <c r="R6905" s="9" t="s">
        <v>6416</v>
      </c>
    </row>
    <row r="6906" spans="1:18" x14ac:dyDescent="0.25">
      <c r="A6906" s="6" t="str">
        <f>HYPERLINK("proteomic_fractions_linear_files/Yang_linear_img/31543220.jpg", "31543220")</f>
        <v>31543220</v>
      </c>
      <c r="B6906" s="7"/>
      <c r="C6906" s="6" t="str">
        <f>HYPERLINK("http://www.ncbi.nlm.nih.gov/protein/31543220","Smad1")</f>
        <v>Smad1</v>
      </c>
      <c r="D6906" s="8"/>
      <c r="E6906" s="8">
        <v>52026</v>
      </c>
      <c r="F6906" s="8"/>
      <c r="G6906" s="15" t="s">
        <v>10</v>
      </c>
      <c r="H6906" s="15" t="s">
        <v>10</v>
      </c>
      <c r="I6906" s="15" t="s">
        <v>10</v>
      </c>
      <c r="J6906" s="15" t="s">
        <v>10</v>
      </c>
      <c r="K6906" s="15">
        <v>1.1302539920306509</v>
      </c>
      <c r="L6906" s="15">
        <v>1.1302539920306509</v>
      </c>
      <c r="M6906" s="15">
        <v>1.2587166025104679</v>
      </c>
      <c r="N6906" s="15">
        <v>1.2587166025104679</v>
      </c>
      <c r="O6906" s="15" t="s">
        <v>10</v>
      </c>
      <c r="P6906" s="15" t="s">
        <v>10</v>
      </c>
      <c r="Q6906" s="8"/>
      <c r="R6906" s="9" t="s">
        <v>6417</v>
      </c>
    </row>
    <row r="6907" spans="1:18" x14ac:dyDescent="0.25">
      <c r="A6907" s="6" t="str">
        <f>HYPERLINK("proteomic_fractions_linear_files/Yang_linear_img/31560568.jpg", "31560568")</f>
        <v>31560568</v>
      </c>
      <c r="B6907" s="7"/>
      <c r="C6907" s="6" t="str">
        <f>HYPERLINK("http://www.ncbi.nlm.nih.gov/protein/31560568","Smad2")</f>
        <v>Smad2</v>
      </c>
      <c r="D6907" s="8"/>
      <c r="E6907" s="8">
        <v>52135</v>
      </c>
      <c r="F6907" s="8"/>
      <c r="G6907" s="15" t="s">
        <v>10</v>
      </c>
      <c r="H6907" s="15" t="s">
        <v>10</v>
      </c>
      <c r="I6907" s="15">
        <v>1.1302539920306509</v>
      </c>
      <c r="J6907" s="15">
        <v>1.1302539920306509</v>
      </c>
      <c r="K6907" s="15">
        <v>1.2587166025104679</v>
      </c>
      <c r="L6907" s="15">
        <v>1.2587166025104679</v>
      </c>
      <c r="M6907" s="15">
        <v>1.2587166025104679</v>
      </c>
      <c r="N6907" s="15">
        <v>1.2587166025104679</v>
      </c>
      <c r="O6907" s="15">
        <v>1.1302539920306509</v>
      </c>
      <c r="P6907" s="15">
        <v>1.1302539920306509</v>
      </c>
      <c r="Q6907" s="8"/>
      <c r="R6907" s="9" t="s">
        <v>6418</v>
      </c>
    </row>
    <row r="6908" spans="1:18" x14ac:dyDescent="0.25">
      <c r="A6908" s="6" t="str">
        <f>HYPERLINK("proteomic_fractions_linear_files/Yang_linear_img/254675249.jpg", "254675249")</f>
        <v>254675249</v>
      </c>
      <c r="B6908" s="7"/>
      <c r="C6908" s="6" t="str">
        <f>HYPERLINK("http://www.ncbi.nlm.nih.gov/protein/254675249","Smad3")</f>
        <v>Smad3</v>
      </c>
      <c r="D6908" s="8"/>
      <c r="E6908" s="8">
        <v>47950</v>
      </c>
      <c r="F6908" s="8"/>
      <c r="G6908" s="15" t="s">
        <v>10</v>
      </c>
      <c r="H6908" s="15" t="s">
        <v>10</v>
      </c>
      <c r="I6908" s="15">
        <v>1.2244418246998718</v>
      </c>
      <c r="J6908" s="15">
        <v>1.2244418246998718</v>
      </c>
      <c r="K6908" s="15">
        <v>1.2244418246998718</v>
      </c>
      <c r="L6908" s="15">
        <v>1.2244418246998718</v>
      </c>
      <c r="M6908" s="15">
        <v>1.3636096527196735</v>
      </c>
      <c r="N6908" s="15">
        <v>1.3636096527196735</v>
      </c>
      <c r="O6908" s="15" t="s">
        <v>10</v>
      </c>
      <c r="P6908" s="15" t="s">
        <v>10</v>
      </c>
      <c r="Q6908" s="8"/>
      <c r="R6908" s="9" t="s">
        <v>6419</v>
      </c>
    </row>
    <row r="6909" spans="1:18" x14ac:dyDescent="0.25">
      <c r="A6909" s="6" t="str">
        <f>HYPERLINK("proteomic_fractions_linear_files/Yang_linear_img/255708405.jpg", "255708405")</f>
        <v>255708405</v>
      </c>
      <c r="B6909" s="7"/>
      <c r="C6909" s="6" t="str">
        <f>HYPERLINK("http://www.ncbi.nlm.nih.gov/protein/255708405","Smad5")</f>
        <v>Smad5</v>
      </c>
      <c r="D6909" s="8"/>
      <c r="E6909" s="8">
        <v>52041</v>
      </c>
      <c r="F6909" s="8"/>
      <c r="G6909" s="15" t="s">
        <v>10</v>
      </c>
      <c r="H6909" s="15" t="s">
        <v>10</v>
      </c>
      <c r="I6909" s="15" t="s">
        <v>10</v>
      </c>
      <c r="J6909" s="15" t="s">
        <v>10</v>
      </c>
      <c r="K6909" s="15">
        <v>1.1302539920306509</v>
      </c>
      <c r="L6909" s="15">
        <v>1.1302539920306509</v>
      </c>
      <c r="M6909" s="15">
        <v>1.2587166025104679</v>
      </c>
      <c r="N6909" s="15">
        <v>1.2587166025104679</v>
      </c>
      <c r="O6909" s="15" t="s">
        <v>10</v>
      </c>
      <c r="P6909" s="15" t="s">
        <v>10</v>
      </c>
      <c r="Q6909" s="8"/>
      <c r="R6909" s="9" t="s">
        <v>6420</v>
      </c>
    </row>
    <row r="6910" spans="1:18" x14ac:dyDescent="0.25">
      <c r="A6910" s="6" t="str">
        <f>HYPERLINK("proteomic_fractions_linear_files/Yang_linear_img/84490384.jpg", "84490384")</f>
        <v>84490384</v>
      </c>
      <c r="B6910" s="7"/>
      <c r="C6910" s="6" t="str">
        <f>HYPERLINK("http://www.ncbi.nlm.nih.gov/protein/84490384","Smad9")</f>
        <v>Smad9</v>
      </c>
      <c r="D6910" s="8"/>
      <c r="E6910" s="8">
        <v>48505</v>
      </c>
      <c r="F6910" s="8"/>
      <c r="G6910" s="15" t="s">
        <v>10</v>
      </c>
      <c r="H6910" s="15" t="s">
        <v>10</v>
      </c>
      <c r="I6910" s="15">
        <v>1.1994532160325275</v>
      </c>
      <c r="J6910" s="15">
        <v>1.1994532160325275</v>
      </c>
      <c r="K6910" s="15">
        <v>1.1994532160325275</v>
      </c>
      <c r="L6910" s="15">
        <v>1.1994532160325275</v>
      </c>
      <c r="M6910" s="15">
        <v>1.3357808842968231</v>
      </c>
      <c r="N6910" s="15">
        <v>1.3357808842968231</v>
      </c>
      <c r="O6910" s="15" t="s">
        <v>10</v>
      </c>
      <c r="P6910" s="15" t="s">
        <v>10</v>
      </c>
      <c r="Q6910" s="8"/>
      <c r="R6910" s="9" t="s">
        <v>6421</v>
      </c>
    </row>
    <row r="6911" spans="1:18" x14ac:dyDescent="0.25">
      <c r="A6911" s="6" t="str">
        <f>HYPERLINK("proteomic_fractions_linear_files/Yang_linear_img/262050608.jpg", "262050608")</f>
        <v>262050608</v>
      </c>
      <c r="B6911" s="7"/>
      <c r="C6911" s="6" t="str">
        <f>HYPERLINK("http://www.ncbi.nlm.nih.gov/protein/262050608","Smarca1")</f>
        <v>Smarca1</v>
      </c>
      <c r="D6911" s="8"/>
      <c r="E6911" s="8">
        <v>121584</v>
      </c>
      <c r="F6911" s="8"/>
      <c r="G6911" s="15">
        <v>1.5308674724585276</v>
      </c>
      <c r="H6911" s="15">
        <v>1.5308674724585276</v>
      </c>
      <c r="I6911" s="15" t="s">
        <v>10</v>
      </c>
      <c r="J6911" s="15" t="s">
        <v>10</v>
      </c>
      <c r="K6911" s="15" t="s">
        <v>10</v>
      </c>
      <c r="L6911" s="15" t="s">
        <v>10</v>
      </c>
      <c r="M6911" s="15" t="s">
        <v>10</v>
      </c>
      <c r="N6911" s="15" t="s">
        <v>10</v>
      </c>
      <c r="O6911" s="15" t="s">
        <v>10</v>
      </c>
      <c r="P6911" s="15" t="s">
        <v>10</v>
      </c>
      <c r="Q6911" s="8"/>
      <c r="R6911" s="9" t="s">
        <v>6422</v>
      </c>
    </row>
    <row r="6912" spans="1:18" x14ac:dyDescent="0.25">
      <c r="A6912" s="6" t="str">
        <f>HYPERLINK("proteomic_fractions_linear_files/Yang_linear_img/21313112.jpg", "21313112")</f>
        <v>21313112</v>
      </c>
      <c r="B6912" s="7"/>
      <c r="C6912" s="6" t="str">
        <f>HYPERLINK("http://www.ncbi.nlm.nih.gov/protein/21313112","Smarca2")</f>
        <v>Smarca2</v>
      </c>
      <c r="D6912" s="8"/>
      <c r="E6912" s="8">
        <v>27363</v>
      </c>
      <c r="F6912" s="8"/>
      <c r="G6912" s="15" t="s">
        <v>10</v>
      </c>
      <c r="H6912" s="15" t="s">
        <v>10</v>
      </c>
      <c r="I6912" s="15" t="s">
        <v>10</v>
      </c>
      <c r="J6912" s="15" t="s">
        <v>10</v>
      </c>
      <c r="K6912" s="15" t="s">
        <v>10</v>
      </c>
      <c r="L6912" s="15" t="s">
        <v>10</v>
      </c>
      <c r="M6912" s="15" t="s">
        <v>10</v>
      </c>
      <c r="N6912" s="15" t="s">
        <v>10</v>
      </c>
      <c r="O6912" s="15">
        <v>1.2797546863138958</v>
      </c>
      <c r="P6912" s="15">
        <v>1.2797546863138958</v>
      </c>
      <c r="Q6912" s="8"/>
      <c r="R6912" s="9" t="s">
        <v>6423</v>
      </c>
    </row>
    <row r="6913" spans="1:18" x14ac:dyDescent="0.25">
      <c r="A6913" s="6" t="str">
        <f>HYPERLINK("proteomic_fractions_linear_files/Yang_linear_img/51593084.jpg", "51593084")</f>
        <v>51593084</v>
      </c>
      <c r="B6913" s="7"/>
      <c r="C6913" s="6" t="str">
        <f>HYPERLINK("http://www.ncbi.nlm.nih.gov/protein/51593084","Smarca2")</f>
        <v>Smarca2</v>
      </c>
      <c r="D6913" s="8"/>
      <c r="E6913" s="8">
        <v>180591</v>
      </c>
      <c r="F6913" s="8"/>
      <c r="G6913" s="15">
        <v>1.2892864509825916</v>
      </c>
      <c r="H6913" s="15">
        <v>1.2892864509825916</v>
      </c>
      <c r="I6913" s="15" t="s">
        <v>10</v>
      </c>
      <c r="J6913" s="15" t="s">
        <v>10</v>
      </c>
      <c r="K6913" s="15" t="s">
        <v>10</v>
      </c>
      <c r="L6913" s="15" t="s">
        <v>10</v>
      </c>
      <c r="M6913" s="15" t="s">
        <v>10</v>
      </c>
      <c r="N6913" s="15" t="s">
        <v>10</v>
      </c>
      <c r="O6913" s="15">
        <v>0.19090263276505626</v>
      </c>
      <c r="P6913" s="15">
        <v>0.19090263276505626</v>
      </c>
      <c r="Q6913" s="8"/>
      <c r="R6913" s="9" t="s">
        <v>6424</v>
      </c>
    </row>
    <row r="6914" spans="1:18" x14ac:dyDescent="0.25">
      <c r="A6914" s="6" t="str">
        <f>HYPERLINK("proteomic_fractions_linear_files/Yang_linear_img/291463269.jpg", "291463269")</f>
        <v>291463269</v>
      </c>
      <c r="B6914" s="7"/>
      <c r="C6914" s="6" t="str">
        <f>HYPERLINK("http://www.ncbi.nlm.nih.gov/protein/291463269","Smarca4")</f>
        <v>Smarca4</v>
      </c>
      <c r="D6914" s="8"/>
      <c r="E6914" s="8">
        <v>181726</v>
      </c>
      <c r="F6914" s="8"/>
      <c r="G6914" s="15">
        <v>1.2822024594936763</v>
      </c>
      <c r="H6914" s="15">
        <v>1.2822024594936763</v>
      </c>
      <c r="I6914" s="15" t="s">
        <v>10</v>
      </c>
      <c r="J6914" s="15" t="s">
        <v>10</v>
      </c>
      <c r="K6914" s="15" t="s">
        <v>10</v>
      </c>
      <c r="L6914" s="15" t="s">
        <v>10</v>
      </c>
      <c r="M6914" s="15" t="s">
        <v>10</v>
      </c>
      <c r="N6914" s="15" t="s">
        <v>10</v>
      </c>
      <c r="O6914" s="15">
        <v>0.18985371720041311</v>
      </c>
      <c r="P6914" s="15">
        <v>0.18985371720041311</v>
      </c>
      <c r="Q6914" s="8"/>
      <c r="R6914" s="9" t="s">
        <v>6425</v>
      </c>
    </row>
    <row r="6915" spans="1:18" x14ac:dyDescent="0.25">
      <c r="A6915" s="6" t="str">
        <f>HYPERLINK("proteomic_fractions_linear_files/Yang_linear_img/291463271.jpg", "291463271")</f>
        <v>291463271</v>
      </c>
      <c r="B6915" s="7"/>
      <c r="C6915" s="6" t="str">
        <f>HYPERLINK("http://www.ncbi.nlm.nih.gov/protein/291463271","Smarca4")</f>
        <v>Smarca4</v>
      </c>
      <c r="D6915" s="8"/>
      <c r="E6915" s="8">
        <v>181297</v>
      </c>
      <c r="F6915" s="8"/>
      <c r="G6915" s="15">
        <v>1.2892864509825916</v>
      </c>
      <c r="H6915" s="15">
        <v>1.2892864509825916</v>
      </c>
      <c r="I6915" s="15" t="s">
        <v>10</v>
      </c>
      <c r="J6915" s="15" t="s">
        <v>10</v>
      </c>
      <c r="K6915" s="15" t="s">
        <v>10</v>
      </c>
      <c r="L6915" s="15" t="s">
        <v>10</v>
      </c>
      <c r="M6915" s="15" t="s">
        <v>10</v>
      </c>
      <c r="N6915" s="15" t="s">
        <v>10</v>
      </c>
      <c r="O6915" s="15">
        <v>0.19090263276505626</v>
      </c>
      <c r="P6915" s="15">
        <v>0.19090263276505626</v>
      </c>
      <c r="Q6915" s="8"/>
      <c r="R6915" s="9" t="s">
        <v>6426</v>
      </c>
    </row>
    <row r="6916" spans="1:18" x14ac:dyDescent="0.25">
      <c r="A6916" s="6" t="str">
        <f>HYPERLINK("proteomic_fractions_linear_files/Yang_linear_img/76253779.jpg", "76253779")</f>
        <v>76253779</v>
      </c>
      <c r="B6916" s="7"/>
      <c r="C6916" s="6" t="str">
        <f>HYPERLINK("http://www.ncbi.nlm.nih.gov/protein/76253779","Smarca4")</f>
        <v>Smarca4</v>
      </c>
      <c r="D6916" s="8"/>
      <c r="E6916" s="8">
        <v>181384</v>
      </c>
      <c r="F6916" s="8"/>
      <c r="G6916" s="15">
        <v>1.2892864509825916</v>
      </c>
      <c r="H6916" s="15">
        <v>1.2892864509825916</v>
      </c>
      <c r="I6916" s="15" t="s">
        <v>10</v>
      </c>
      <c r="J6916" s="15" t="s">
        <v>10</v>
      </c>
      <c r="K6916" s="15" t="s">
        <v>10</v>
      </c>
      <c r="L6916" s="15" t="s">
        <v>10</v>
      </c>
      <c r="M6916" s="15" t="s">
        <v>10</v>
      </c>
      <c r="N6916" s="15" t="s">
        <v>10</v>
      </c>
      <c r="O6916" s="15">
        <v>0.19090263276505626</v>
      </c>
      <c r="P6916" s="15">
        <v>0.19090263276505626</v>
      </c>
      <c r="Q6916" s="8"/>
      <c r="R6916" s="9" t="s">
        <v>6427</v>
      </c>
    </row>
    <row r="6917" spans="1:18" x14ac:dyDescent="0.25">
      <c r="A6917" s="6" t="str">
        <f>HYPERLINK("proteomic_fractions_linear_files/Yang_linear_img/40254124.jpg", "40254124")</f>
        <v>40254124</v>
      </c>
      <c r="B6917" s="7"/>
      <c r="C6917" s="6" t="str">
        <f>HYPERLINK("http://www.ncbi.nlm.nih.gov/protein/40254124","Smarca5")</f>
        <v>Smarca5</v>
      </c>
      <c r="D6917" s="8"/>
      <c r="E6917" s="8">
        <v>121497</v>
      </c>
      <c r="F6917" s="8"/>
      <c r="G6917" s="15">
        <v>1.2682055465805111</v>
      </c>
      <c r="H6917" s="15">
        <v>1.2682055465805111</v>
      </c>
      <c r="I6917" s="15">
        <v>1.2682055465805111</v>
      </c>
      <c r="J6917" s="15">
        <v>1.2682055465805111</v>
      </c>
      <c r="K6917" s="15" t="s">
        <v>10</v>
      </c>
      <c r="L6917" s="15" t="s">
        <v>10</v>
      </c>
      <c r="M6917" s="15" t="s">
        <v>10</v>
      </c>
      <c r="N6917" s="15" t="s">
        <v>10</v>
      </c>
      <c r="O6917" s="15" t="s">
        <v>10</v>
      </c>
      <c r="P6917" s="15" t="s">
        <v>10</v>
      </c>
      <c r="Q6917" s="8"/>
      <c r="R6917" s="9" t="s">
        <v>6428</v>
      </c>
    </row>
    <row r="6918" spans="1:18" x14ac:dyDescent="0.25">
      <c r="A6918" s="6" t="str">
        <f>HYPERLINK("proteomic_fractions_linear_files/Yang_linear_img/358438428.jpg", "358438428")</f>
        <v>358438428</v>
      </c>
      <c r="B6918" s="7"/>
      <c r="C6918" s="6" t="str">
        <f>HYPERLINK("http://www.ncbi.nlm.nih.gov/protein/358438428","Smarcad1")</f>
        <v>Smarcad1</v>
      </c>
      <c r="D6918" s="8"/>
      <c r="E6918" s="8">
        <v>95656</v>
      </c>
      <c r="F6918" s="8"/>
      <c r="G6918" s="15" t="s">
        <v>10</v>
      </c>
      <c r="H6918" s="15" t="s">
        <v>10</v>
      </c>
      <c r="I6918" s="15" t="s">
        <v>10</v>
      </c>
      <c r="J6918" s="15" t="s">
        <v>10</v>
      </c>
      <c r="K6918" s="15" t="s">
        <v>10</v>
      </c>
      <c r="L6918" s="15" t="s">
        <v>10</v>
      </c>
      <c r="M6918" s="15">
        <v>1.9454774129160455</v>
      </c>
      <c r="N6918" s="15">
        <v>1.9454774129160455</v>
      </c>
      <c r="O6918" s="15">
        <v>1.9454774129160455</v>
      </c>
      <c r="P6918" s="15">
        <v>1.9454774129160455</v>
      </c>
      <c r="Q6918" s="8"/>
      <c r="R6918" s="9" t="s">
        <v>6429</v>
      </c>
    </row>
    <row r="6919" spans="1:18" x14ac:dyDescent="0.25">
      <c r="A6919" s="6" t="str">
        <f>HYPERLINK("proteomic_fractions_linear_files/Yang_linear_img/62543565.jpg", "62543565")</f>
        <v>62543565</v>
      </c>
      <c r="B6919" s="7"/>
      <c r="C6919" s="6" t="str">
        <f>HYPERLINK("http://www.ncbi.nlm.nih.gov/protein/62543565","Smarcad1")</f>
        <v>Smarcad1</v>
      </c>
      <c r="D6919" s="8"/>
      <c r="E6919" s="8">
        <v>116321</v>
      </c>
      <c r="F6919" s="8"/>
      <c r="G6919" s="15" t="s">
        <v>10</v>
      </c>
      <c r="H6919" s="15" t="s">
        <v>10</v>
      </c>
      <c r="I6919" s="15" t="s">
        <v>10</v>
      </c>
      <c r="J6919" s="15" t="s">
        <v>10</v>
      </c>
      <c r="K6919" s="15" t="s">
        <v>10</v>
      </c>
      <c r="L6919" s="15" t="s">
        <v>10</v>
      </c>
      <c r="M6919" s="15">
        <v>1.6100502727581065</v>
      </c>
      <c r="N6919" s="15">
        <v>1.6100502727581065</v>
      </c>
      <c r="O6919" s="15">
        <v>1.6100502727581065</v>
      </c>
      <c r="P6919" s="15">
        <v>1.6100502727581065</v>
      </c>
      <c r="Q6919" s="8"/>
      <c r="R6919" s="9" t="s">
        <v>6429</v>
      </c>
    </row>
    <row r="6920" spans="1:18" x14ac:dyDescent="0.25">
      <c r="A6920" s="6" t="str">
        <f>HYPERLINK("proteomic_fractions_linear_files/Yang_linear_img/229577278.jpg", "229577278")</f>
        <v>229577278</v>
      </c>
      <c r="B6920" s="7"/>
      <c r="C6920" s="6" t="str">
        <f>HYPERLINK("http://www.ncbi.nlm.nih.gov/protein/229577278","Smarcal1")</f>
        <v>Smarcal1</v>
      </c>
      <c r="D6920" s="8"/>
      <c r="E6920" s="8">
        <v>100710</v>
      </c>
      <c r="F6920" s="8"/>
      <c r="G6920" s="15" t="s">
        <v>10</v>
      </c>
      <c r="H6920" s="15" t="s">
        <v>10</v>
      </c>
      <c r="I6920" s="15" t="s">
        <v>10</v>
      </c>
      <c r="J6920" s="15" t="s">
        <v>10</v>
      </c>
      <c r="K6920" s="15">
        <v>1.2744715657932373</v>
      </c>
      <c r="L6920" s="15">
        <v>1.2744715657932373</v>
      </c>
      <c r="M6920" s="15">
        <v>1.2744715657932373</v>
      </c>
      <c r="N6920" s="15">
        <v>1.2744715657932373</v>
      </c>
      <c r="O6920" s="15" t="s">
        <v>10</v>
      </c>
      <c r="P6920" s="15" t="s">
        <v>10</v>
      </c>
      <c r="Q6920" s="8"/>
      <c r="R6920" s="9" t="s">
        <v>6430</v>
      </c>
    </row>
    <row r="6921" spans="1:18" x14ac:dyDescent="0.25">
      <c r="A6921" s="6" t="str">
        <f>HYPERLINK("proteomic_fractions_linear_files/Yang_linear_img/112421097.jpg", "112421097")</f>
        <v>112421097</v>
      </c>
      <c r="B6921" s="7"/>
      <c r="C6921" s="6" t="str">
        <f>HYPERLINK("http://www.ncbi.nlm.nih.gov/protein/112421097","Smarcc1")</f>
        <v>Smarcc1</v>
      </c>
      <c r="D6921" s="8"/>
      <c r="E6921" s="8">
        <v>122759</v>
      </c>
      <c r="F6921" s="8"/>
      <c r="G6921" s="15">
        <v>1.5184213954466697</v>
      </c>
      <c r="H6921" s="15">
        <v>1.5184213954466697</v>
      </c>
      <c r="I6921" s="15" t="s">
        <v>10</v>
      </c>
      <c r="J6921" s="15" t="s">
        <v>10</v>
      </c>
      <c r="K6921" s="15" t="s">
        <v>10</v>
      </c>
      <c r="L6921" s="15" t="s">
        <v>10</v>
      </c>
      <c r="M6921" s="15">
        <v>0.28092176041036737</v>
      </c>
      <c r="N6921" s="15">
        <v>0.28092176041036737</v>
      </c>
      <c r="O6921" s="15">
        <v>0.26084612077832187</v>
      </c>
      <c r="P6921" s="15">
        <v>0.26084612077832187</v>
      </c>
      <c r="Q6921" s="8"/>
      <c r="R6921" s="9" t="s">
        <v>6431</v>
      </c>
    </row>
    <row r="6922" spans="1:18" x14ac:dyDescent="0.25">
      <c r="A6922" s="6" t="str">
        <f>HYPERLINK("proteomic_fractions_linear_files/Yang_linear_img/166235123.jpg", "166235123")</f>
        <v>166235123</v>
      </c>
      <c r="B6922" s="7"/>
      <c r="C6922" s="6" t="str">
        <f>HYPERLINK("http://www.ncbi.nlm.nih.gov/protein/166235123","Smarcc2")</f>
        <v>Smarcc2</v>
      </c>
      <c r="D6922" s="8"/>
      <c r="E6922" s="8">
        <v>124546</v>
      </c>
      <c r="F6922" s="8"/>
      <c r="G6922" s="15">
        <v>1.494126653119523</v>
      </c>
      <c r="H6922" s="15">
        <v>1.494126653119523</v>
      </c>
      <c r="I6922" s="15" t="s">
        <v>10</v>
      </c>
      <c r="J6922" s="15" t="s">
        <v>10</v>
      </c>
      <c r="K6922" s="15" t="s">
        <v>10</v>
      </c>
      <c r="L6922" s="15" t="s">
        <v>10</v>
      </c>
      <c r="M6922" s="15" t="s">
        <v>10</v>
      </c>
      <c r="N6922" s="15" t="s">
        <v>10</v>
      </c>
      <c r="O6922" s="15" t="s">
        <v>10</v>
      </c>
      <c r="P6922" s="15" t="s">
        <v>10</v>
      </c>
      <c r="Q6922" s="8"/>
      <c r="R6922" s="9" t="s">
        <v>6432</v>
      </c>
    </row>
    <row r="6923" spans="1:18" x14ac:dyDescent="0.25">
      <c r="A6923" s="6" t="str">
        <f>HYPERLINK("proteomic_fractions_linear_files/Yang_linear_img/166235125.jpg", "166235125")</f>
        <v>166235125</v>
      </c>
      <c r="B6923" s="7"/>
      <c r="C6923" s="6" t="str">
        <f>HYPERLINK("http://www.ncbi.nlm.nih.gov/protein/166235125","Smarcc2")</f>
        <v>Smarcc2</v>
      </c>
      <c r="D6923" s="8"/>
      <c r="E6923" s="8">
        <v>132474</v>
      </c>
      <c r="F6923" s="8"/>
      <c r="G6923" s="15">
        <v>1.4148926639389421</v>
      </c>
      <c r="H6923" s="15">
        <v>1.4148926639389421</v>
      </c>
      <c r="I6923" s="15" t="s">
        <v>10</v>
      </c>
      <c r="J6923" s="15" t="s">
        <v>10</v>
      </c>
      <c r="K6923" s="15" t="s">
        <v>10</v>
      </c>
      <c r="L6923" s="15" t="s">
        <v>10</v>
      </c>
      <c r="M6923" s="15" t="s">
        <v>10</v>
      </c>
      <c r="N6923" s="15" t="s">
        <v>10</v>
      </c>
      <c r="O6923" s="15" t="s">
        <v>10</v>
      </c>
      <c r="P6923" s="15" t="s">
        <v>10</v>
      </c>
      <c r="Q6923" s="8"/>
      <c r="R6923" s="9" t="s">
        <v>6433</v>
      </c>
    </row>
    <row r="6924" spans="1:18" x14ac:dyDescent="0.25">
      <c r="A6924" s="6" t="str">
        <f>HYPERLINK("proteomic_fractions_linear_files/Yang_linear_img/37718972.jpg", "37718972")</f>
        <v>37718972</v>
      </c>
      <c r="B6924" s="7"/>
      <c r="C6924" s="6" t="str">
        <f>HYPERLINK("http://www.ncbi.nlm.nih.gov/protein/37718972","Smarcc2")</f>
        <v>Smarcc2</v>
      </c>
      <c r="D6924" s="8"/>
      <c r="E6924" s="8">
        <v>121241</v>
      </c>
      <c r="F6924" s="8"/>
      <c r="G6924" s="15">
        <v>1.5435192697515732</v>
      </c>
      <c r="H6924" s="15">
        <v>1.5435192697515732</v>
      </c>
      <c r="I6924" s="15" t="s">
        <v>10</v>
      </c>
      <c r="J6924" s="15" t="s">
        <v>10</v>
      </c>
      <c r="K6924" s="15" t="s">
        <v>10</v>
      </c>
      <c r="L6924" s="15" t="s">
        <v>10</v>
      </c>
      <c r="M6924" s="15" t="s">
        <v>10</v>
      </c>
      <c r="N6924" s="15" t="s">
        <v>10</v>
      </c>
      <c r="O6924" s="15" t="s">
        <v>10</v>
      </c>
      <c r="P6924" s="15" t="s">
        <v>10</v>
      </c>
      <c r="Q6924" s="8"/>
      <c r="R6924" s="9" t="s">
        <v>6434</v>
      </c>
    </row>
    <row r="6925" spans="1:18" x14ac:dyDescent="0.25">
      <c r="A6925" s="6" t="str">
        <f>HYPERLINK("proteomic_fractions_linear_files/Yang_linear_img/125347396.jpg", "125347396")</f>
        <v>125347396</v>
      </c>
      <c r="B6925" s="7"/>
      <c r="C6925" s="6" t="str">
        <f>HYPERLINK("http://www.ncbi.nlm.nih.gov/protein/125347396","Smarcd1")</f>
        <v>Smarcd1</v>
      </c>
      <c r="D6925" s="8"/>
      <c r="E6925" s="8">
        <v>58114</v>
      </c>
      <c r="F6925" s="8"/>
      <c r="G6925" s="15">
        <v>1.2661406938221076</v>
      </c>
      <c r="H6925" s="15">
        <v>1.2661406938221076</v>
      </c>
      <c r="I6925" s="15" t="s">
        <v>10</v>
      </c>
      <c r="J6925" s="15" t="s">
        <v>10</v>
      </c>
      <c r="K6925" s="15" t="s">
        <v>10</v>
      </c>
      <c r="L6925" s="15" t="s">
        <v>10</v>
      </c>
      <c r="M6925" s="15" t="s">
        <v>10</v>
      </c>
      <c r="N6925" s="15" t="s">
        <v>10</v>
      </c>
      <c r="O6925" s="15" t="s">
        <v>10</v>
      </c>
      <c r="P6925" s="15" t="s">
        <v>10</v>
      </c>
      <c r="Q6925" s="8"/>
      <c r="R6925" s="9" t="s">
        <v>6435</v>
      </c>
    </row>
    <row r="6926" spans="1:18" x14ac:dyDescent="0.25">
      <c r="A6926" s="6" t="str">
        <f>HYPERLINK("proteomic_fractions_linear_files/Yang_linear_img/194328771.jpg", "194328771")</f>
        <v>194328771</v>
      </c>
      <c r="B6926" s="7"/>
      <c r="C6926" s="6" t="str">
        <f>HYPERLINK("http://www.ncbi.nlm.nih.gov/protein/194328771","Smarcd2")</f>
        <v>Smarcd2</v>
      </c>
      <c r="D6926" s="8"/>
      <c r="E6926" s="8">
        <v>55243</v>
      </c>
      <c r="F6926" s="8"/>
      <c r="G6926" s="15">
        <v>1.3352029134851318</v>
      </c>
      <c r="H6926" s="15">
        <v>1.3352029134851318</v>
      </c>
      <c r="I6926" s="15" t="s">
        <v>10</v>
      </c>
      <c r="J6926" s="15" t="s">
        <v>10</v>
      </c>
      <c r="K6926" s="15">
        <v>1.1900593332826241</v>
      </c>
      <c r="L6926" s="15">
        <v>1.1900593332826241</v>
      </c>
      <c r="M6926" s="15" t="s">
        <v>10</v>
      </c>
      <c r="N6926" s="15" t="s">
        <v>10</v>
      </c>
      <c r="O6926" s="15" t="s">
        <v>10</v>
      </c>
      <c r="P6926" s="15" t="s">
        <v>10</v>
      </c>
      <c r="Q6926" s="8"/>
      <c r="R6926" s="9" t="s">
        <v>6436</v>
      </c>
    </row>
    <row r="6927" spans="1:18" x14ac:dyDescent="0.25">
      <c r="A6927" s="6" t="str">
        <f>HYPERLINK("proteomic_fractions_linear_files/Yang_linear_img/194328773.jpg", "194328773")</f>
        <v>194328773</v>
      </c>
      <c r="B6927" s="7"/>
      <c r="C6927" s="6" t="str">
        <f>HYPERLINK("http://www.ncbi.nlm.nih.gov/protein/194328773","Smarcd2")</f>
        <v>Smarcd2</v>
      </c>
      <c r="D6927" s="8"/>
      <c r="E6927" s="8">
        <v>58954</v>
      </c>
      <c r="F6927" s="8"/>
      <c r="G6927" s="15">
        <v>1.244680682062411</v>
      </c>
      <c r="H6927" s="15">
        <v>1.244680682062411</v>
      </c>
      <c r="I6927" s="15" t="s">
        <v>10</v>
      </c>
      <c r="J6927" s="15" t="s">
        <v>10</v>
      </c>
      <c r="K6927" s="15">
        <v>1.1093773445854971</v>
      </c>
      <c r="L6927" s="15">
        <v>1.1093773445854971</v>
      </c>
      <c r="M6927" s="15" t="s">
        <v>10</v>
      </c>
      <c r="N6927" s="15" t="s">
        <v>10</v>
      </c>
      <c r="O6927" s="15" t="s">
        <v>10</v>
      </c>
      <c r="P6927" s="15" t="s">
        <v>10</v>
      </c>
      <c r="Q6927" s="8"/>
      <c r="R6927" s="9" t="s">
        <v>6437</v>
      </c>
    </row>
    <row r="6928" spans="1:18" x14ac:dyDescent="0.25">
      <c r="A6928" s="6" t="str">
        <f>HYPERLINK("proteomic_fractions_linear_files/Yang_linear_img/77404373.jpg", "77404373")</f>
        <v>77404373</v>
      </c>
      <c r="B6928" s="7"/>
      <c r="C6928" s="6" t="str">
        <f>HYPERLINK("http://www.ncbi.nlm.nih.gov/protein/77404373","Smarcd3")</f>
        <v>Smarcd3</v>
      </c>
      <c r="D6928" s="8"/>
      <c r="E6928" s="8">
        <v>54855</v>
      </c>
      <c r="F6928" s="8"/>
      <c r="G6928" s="15">
        <v>1.3352029134851318</v>
      </c>
      <c r="H6928" s="15">
        <v>1.3352029134851318</v>
      </c>
      <c r="I6928" s="15" t="s">
        <v>10</v>
      </c>
      <c r="J6928" s="15" t="s">
        <v>10</v>
      </c>
      <c r="K6928" s="15" t="s">
        <v>10</v>
      </c>
      <c r="L6928" s="15" t="s">
        <v>10</v>
      </c>
      <c r="M6928" s="15" t="s">
        <v>10</v>
      </c>
      <c r="N6928" s="15" t="s">
        <v>10</v>
      </c>
      <c r="O6928" s="15" t="s">
        <v>10</v>
      </c>
      <c r="P6928" s="15" t="s">
        <v>10</v>
      </c>
      <c r="Q6928" s="8"/>
      <c r="R6928" s="9" t="s">
        <v>6438</v>
      </c>
    </row>
    <row r="6929" spans="1:18" x14ac:dyDescent="0.25">
      <c r="A6929" s="6" t="str">
        <f>HYPERLINK("proteomic_fractions_linear_files/Yang_linear_img/10181166.jpg", "10181166")</f>
        <v>10181166</v>
      </c>
      <c r="B6929" s="7"/>
      <c r="C6929" s="6" t="str">
        <f>HYPERLINK("http://www.ncbi.nlm.nih.gov/protein/10181166","Smarce1")</f>
        <v>Smarce1</v>
      </c>
      <c r="D6929" s="8"/>
      <c r="E6929" s="8">
        <v>46507</v>
      </c>
      <c r="F6929" s="8"/>
      <c r="G6929" s="15">
        <v>1.3926226240541346</v>
      </c>
      <c r="H6929" s="15">
        <v>1.3926226240541346</v>
      </c>
      <c r="I6929" s="15">
        <v>1.1302248857447037</v>
      </c>
      <c r="J6929" s="15">
        <v>1.1302248857447037</v>
      </c>
      <c r="K6929" s="15" t="s">
        <v>10</v>
      </c>
      <c r="L6929" s="15" t="s">
        <v>10</v>
      </c>
      <c r="M6929" s="15">
        <v>0.59400449569536296</v>
      </c>
      <c r="N6929" s="15">
        <v>0.59400449569536296</v>
      </c>
      <c r="O6929" s="15" t="s">
        <v>10</v>
      </c>
      <c r="P6929" s="15" t="s">
        <v>10</v>
      </c>
      <c r="Q6929" s="8"/>
      <c r="R6929" s="9" t="s">
        <v>6439</v>
      </c>
    </row>
    <row r="6930" spans="1:18" x14ac:dyDescent="0.25">
      <c r="A6930" s="6" t="str">
        <f>HYPERLINK("proteomic_fractions_linear_files/Yang_linear_img/258613892.jpg", "258613892")</f>
        <v>258613892</v>
      </c>
      <c r="B6930" s="7"/>
      <c r="C6930" s="6" t="str">
        <f>HYPERLINK("http://www.ncbi.nlm.nih.gov/protein/258613892","Smc1a")</f>
        <v>Smc1a</v>
      </c>
      <c r="D6930" s="8"/>
      <c r="E6930" s="8">
        <v>143104</v>
      </c>
      <c r="F6930" s="8"/>
      <c r="G6930" s="15">
        <v>1.3060547667128697</v>
      </c>
      <c r="H6930" s="15">
        <v>1.3060547667128697</v>
      </c>
      <c r="I6930" s="15">
        <v>1.0730970009527401</v>
      </c>
      <c r="J6930" s="15">
        <v>1.0730970009527401</v>
      </c>
      <c r="K6930" s="15">
        <v>1.3060547667128697</v>
      </c>
      <c r="L6930" s="15">
        <v>1.3060547667128697</v>
      </c>
      <c r="M6930" s="15">
        <v>1.3060547667128697</v>
      </c>
      <c r="N6930" s="15">
        <v>1.3060547667128697</v>
      </c>
      <c r="O6930" s="15" t="s">
        <v>10</v>
      </c>
      <c r="P6930" s="15" t="s">
        <v>10</v>
      </c>
      <c r="Q6930" s="8"/>
      <c r="R6930" s="9" t="s">
        <v>6440</v>
      </c>
    </row>
    <row r="6931" spans="1:18" x14ac:dyDescent="0.25">
      <c r="A6931" s="6" t="str">
        <f>HYPERLINK("proteomic_fractions_linear_files/Yang_linear_img/62990166.jpg", "62990166")</f>
        <v>62990166</v>
      </c>
      <c r="B6931" s="7"/>
      <c r="C6931" s="6" t="str">
        <f>HYPERLINK("http://www.ncbi.nlm.nih.gov/protein/62990166","Smc2")</f>
        <v>Smc2</v>
      </c>
      <c r="D6931" s="8"/>
      <c r="E6931" s="8">
        <v>134109</v>
      </c>
      <c r="F6931" s="8"/>
      <c r="G6931" s="15" t="s">
        <v>10</v>
      </c>
      <c r="H6931" s="15" t="s">
        <v>10</v>
      </c>
      <c r="I6931" s="15">
        <v>1.1451706801212078</v>
      </c>
      <c r="J6931" s="15">
        <v>1.1451706801212078</v>
      </c>
      <c r="K6931" s="15">
        <v>1.3937748629846296</v>
      </c>
      <c r="L6931" s="15">
        <v>1.3937748629846296</v>
      </c>
      <c r="M6931" s="15">
        <v>1.1451706801212078</v>
      </c>
      <c r="N6931" s="15">
        <v>1.1451706801212078</v>
      </c>
      <c r="O6931" s="15">
        <v>1.1451706801212078</v>
      </c>
      <c r="P6931" s="15">
        <v>1.1451706801212078</v>
      </c>
      <c r="Q6931" s="8"/>
      <c r="R6931" s="9" t="s">
        <v>6441</v>
      </c>
    </row>
    <row r="6932" spans="1:18" x14ac:dyDescent="0.25">
      <c r="A6932" s="6" t="str">
        <f>HYPERLINK("proteomic_fractions_linear_files/Yang_linear_img/36031035.jpg", "36031035")</f>
        <v>36031035</v>
      </c>
      <c r="B6932" s="7"/>
      <c r="C6932" s="6" t="str">
        <f>HYPERLINK("http://www.ncbi.nlm.nih.gov/protein/36031035","Smc3")</f>
        <v>Smc3</v>
      </c>
      <c r="D6932" s="8"/>
      <c r="E6932" s="8">
        <v>141425</v>
      </c>
      <c r="F6932" s="8"/>
      <c r="G6932" s="15">
        <v>1.3245803662407118</v>
      </c>
      <c r="H6932" s="15">
        <v>1.3245803662407118</v>
      </c>
      <c r="I6932" s="15">
        <v>1.0883182350088074</v>
      </c>
      <c r="J6932" s="15">
        <v>1.0883182350088074</v>
      </c>
      <c r="K6932" s="15">
        <v>1.3245803662407118</v>
      </c>
      <c r="L6932" s="15">
        <v>1.3245803662407118</v>
      </c>
      <c r="M6932" s="15">
        <v>1.0883182350088074</v>
      </c>
      <c r="N6932" s="15">
        <v>1.0883182350088074</v>
      </c>
      <c r="O6932" s="15">
        <v>1.0883182350088074</v>
      </c>
      <c r="P6932" s="15">
        <v>1.0883182350088074</v>
      </c>
      <c r="Q6932" s="8"/>
      <c r="R6932" s="9" t="s">
        <v>6442</v>
      </c>
    </row>
    <row r="6933" spans="1:18" x14ac:dyDescent="0.25">
      <c r="A6933" s="6" t="str">
        <f>HYPERLINK("proteomic_fractions_linear_files/Yang_linear_img/29789347.jpg", "29789347")</f>
        <v>29789347</v>
      </c>
      <c r="B6933" s="7"/>
      <c r="C6933" s="6" t="str">
        <f>HYPERLINK("http://www.ncbi.nlm.nih.gov/protein/29789347","Smc4")</f>
        <v>Smc4</v>
      </c>
      <c r="D6933" s="8"/>
      <c r="E6933" s="8">
        <v>146764</v>
      </c>
      <c r="F6933" s="8"/>
      <c r="G6933" s="15" t="s">
        <v>10</v>
      </c>
      <c r="H6933" s="15" t="s">
        <v>10</v>
      </c>
      <c r="I6933" s="15" t="s">
        <v>10</v>
      </c>
      <c r="J6933" s="15" t="s">
        <v>10</v>
      </c>
      <c r="K6933" s="15">
        <v>1.2705158614961929</v>
      </c>
      <c r="L6933" s="15">
        <v>1.2705158614961929</v>
      </c>
      <c r="M6933" s="15">
        <v>1.2705158614961929</v>
      </c>
      <c r="N6933" s="15">
        <v>1.2705158614961929</v>
      </c>
      <c r="O6933" s="15">
        <v>1.2705158614961929</v>
      </c>
      <c r="P6933" s="15">
        <v>1.2705158614961929</v>
      </c>
      <c r="Q6933" s="8"/>
      <c r="R6933" s="9" t="s">
        <v>6443</v>
      </c>
    </row>
    <row r="6934" spans="1:18" x14ac:dyDescent="0.25">
      <c r="A6934" s="6" t="str">
        <f>HYPERLINK("proteomic_fractions_linear_files/Yang_linear_img/148839318.jpg", "148839318")</f>
        <v>148839318</v>
      </c>
      <c r="B6934" s="7"/>
      <c r="C6934" s="6" t="str">
        <f>HYPERLINK("http://www.ncbi.nlm.nih.gov/protein/148839318","Smchd1")</f>
        <v>Smchd1</v>
      </c>
      <c r="D6934" s="8"/>
      <c r="E6934" s="8">
        <v>225518</v>
      </c>
      <c r="F6934" s="8"/>
      <c r="G6934" s="15">
        <v>1.0325701222471197</v>
      </c>
      <c r="H6934" s="15">
        <v>1.0325701222471197</v>
      </c>
      <c r="I6934" s="15">
        <v>0.15289104659502295</v>
      </c>
      <c r="J6934" s="15">
        <v>0.15289104659502295</v>
      </c>
      <c r="K6934" s="15">
        <v>1.0325701222471197</v>
      </c>
      <c r="L6934" s="15">
        <v>1.0325701222471197</v>
      </c>
      <c r="M6934" s="15">
        <v>0.15289104659502295</v>
      </c>
      <c r="N6934" s="15">
        <v>0.15289104659502295</v>
      </c>
      <c r="O6934" s="15" t="s">
        <v>10</v>
      </c>
      <c r="P6934" s="15" t="s">
        <v>10</v>
      </c>
      <c r="Q6934" s="8"/>
      <c r="R6934" s="9" t="s">
        <v>6444</v>
      </c>
    </row>
    <row r="6935" spans="1:18" x14ac:dyDescent="0.25">
      <c r="A6935" s="6" t="str">
        <f>HYPERLINK("proteomic_fractions_linear_files/Yang_linear_img/281427239.jpg", "281427239")</f>
        <v>281427239</v>
      </c>
      <c r="B6935" s="7"/>
      <c r="C6935" s="6" t="str">
        <f>HYPERLINK("http://www.ncbi.nlm.nih.gov/protein/281427239","Smco1")</f>
        <v>Smco1</v>
      </c>
      <c r="D6935" s="8"/>
      <c r="E6935" s="8">
        <v>24385</v>
      </c>
      <c r="F6935" s="8"/>
      <c r="G6935" s="15" t="s">
        <v>10</v>
      </c>
      <c r="H6935" s="15" t="s">
        <v>10</v>
      </c>
      <c r="I6935" s="15" t="s">
        <v>10</v>
      </c>
      <c r="J6935" s="15" t="s">
        <v>10</v>
      </c>
      <c r="K6935" s="15" t="s">
        <v>10</v>
      </c>
      <c r="L6935" s="15" t="s">
        <v>10</v>
      </c>
      <c r="M6935" s="15">
        <v>249.71250000000001</v>
      </c>
      <c r="N6935" s="15">
        <v>249.71250000000001</v>
      </c>
      <c r="O6935" s="15" t="s">
        <v>10</v>
      </c>
      <c r="P6935" s="15" t="s">
        <v>10</v>
      </c>
      <c r="Q6935" s="8"/>
      <c r="R6935" s="9" t="s">
        <v>6445</v>
      </c>
    </row>
    <row r="6936" spans="1:18" x14ac:dyDescent="0.25">
      <c r="A6936" s="6" t="str">
        <f>HYPERLINK("proteomic_fractions_linear_files/Yang_linear_img/58037137.jpg", "58037137")</f>
        <v>58037137</v>
      </c>
      <c r="B6936" s="7"/>
      <c r="C6936" s="6" t="str">
        <f>HYPERLINK("http://www.ncbi.nlm.nih.gov/protein/58037137","Smdt1")</f>
        <v>Smdt1</v>
      </c>
      <c r="D6936" s="8"/>
      <c r="E6936" s="8">
        <v>6678</v>
      </c>
      <c r="F6936" s="8"/>
      <c r="G6936" s="15" t="s">
        <v>10</v>
      </c>
      <c r="H6936" s="15" t="s">
        <v>10</v>
      </c>
      <c r="I6936" s="15">
        <v>1.821031334562518</v>
      </c>
      <c r="J6936" s="15">
        <v>1.821031334562518</v>
      </c>
      <c r="K6936" s="15" t="s">
        <v>10</v>
      </c>
      <c r="L6936" s="15" t="s">
        <v>10</v>
      </c>
      <c r="M6936" s="15" t="s">
        <v>10</v>
      </c>
      <c r="N6936" s="15" t="s">
        <v>10</v>
      </c>
      <c r="O6936" s="15" t="s">
        <v>10</v>
      </c>
      <c r="P6936" s="15" t="s">
        <v>10</v>
      </c>
      <c r="Q6936" s="8"/>
      <c r="R6936" s="9" t="s">
        <v>6446</v>
      </c>
    </row>
    <row r="6937" spans="1:18" x14ac:dyDescent="0.25">
      <c r="A6937" s="6" t="str">
        <f>HYPERLINK("proteomic_fractions_linear_files/Yang_linear_img/237649040.jpg", "237649040")</f>
        <v>237649040</v>
      </c>
      <c r="B6937" s="7"/>
      <c r="C6937" s="6" t="str">
        <f>HYPERLINK("http://www.ncbi.nlm.nih.gov/protein/237649040","Smek1")</f>
        <v>Smek1</v>
      </c>
      <c r="D6937" s="8"/>
      <c r="E6937" s="8">
        <v>95184</v>
      </c>
      <c r="F6937" s="8"/>
      <c r="G6937" s="15" t="s">
        <v>10</v>
      </c>
      <c r="H6937" s="15" t="s">
        <v>10</v>
      </c>
      <c r="I6937" s="15" t="s">
        <v>10</v>
      </c>
      <c r="J6937" s="15" t="s">
        <v>10</v>
      </c>
      <c r="K6937" s="15">
        <v>1.1558059349592786</v>
      </c>
      <c r="L6937" s="15">
        <v>1.1558059349592786</v>
      </c>
      <c r="M6937" s="15">
        <v>1.1558059349592786</v>
      </c>
      <c r="N6937" s="15">
        <v>1.1558059349592786</v>
      </c>
      <c r="O6937" s="15">
        <v>1.1558059349592786</v>
      </c>
      <c r="P6937" s="15">
        <v>1.1558059349592786</v>
      </c>
      <c r="Q6937" s="8"/>
      <c r="R6937" s="9" t="s">
        <v>6447</v>
      </c>
    </row>
    <row r="6938" spans="1:18" x14ac:dyDescent="0.25">
      <c r="A6938" s="6" t="str">
        <f>HYPERLINK("proteomic_fractions_linear_files/Yang_linear_img/46849745.jpg", "46849745")</f>
        <v>46849745</v>
      </c>
      <c r="B6938" s="7"/>
      <c r="C6938" s="6" t="str">
        <f>HYPERLINK("http://www.ncbi.nlm.nih.gov/protein/46849745","Smek1")</f>
        <v>Smek1</v>
      </c>
      <c r="D6938" s="8"/>
      <c r="E6938" s="8">
        <v>93712</v>
      </c>
      <c r="F6938" s="8"/>
      <c r="G6938" s="15" t="s">
        <v>10</v>
      </c>
      <c r="H6938" s="15" t="s">
        <v>10</v>
      </c>
      <c r="I6938" s="15" t="s">
        <v>10</v>
      </c>
      <c r="J6938" s="15" t="s">
        <v>10</v>
      </c>
      <c r="K6938" s="15">
        <v>1.1681017427779943</v>
      </c>
      <c r="L6938" s="15">
        <v>1.1681017427779943</v>
      </c>
      <c r="M6938" s="15">
        <v>1.1681017427779943</v>
      </c>
      <c r="N6938" s="15">
        <v>1.1681017427779943</v>
      </c>
      <c r="O6938" s="15">
        <v>1.1681017427779943</v>
      </c>
      <c r="P6938" s="15">
        <v>1.1681017427779943</v>
      </c>
      <c r="Q6938" s="8"/>
      <c r="R6938" s="9" t="s">
        <v>6448</v>
      </c>
    </row>
    <row r="6939" spans="1:18" x14ac:dyDescent="0.25">
      <c r="A6939" s="6" t="str">
        <f>HYPERLINK("proteomic_fractions_linear_files/Yang_linear_img/262231766.jpg", "262231766")</f>
        <v>262231766</v>
      </c>
      <c r="B6939" s="7"/>
      <c r="C6939" s="6" t="str">
        <f>HYPERLINK("http://www.ncbi.nlm.nih.gov/protein/262231766","Smek2")</f>
        <v>Smek2</v>
      </c>
      <c r="D6939" s="8"/>
      <c r="E6939" s="8">
        <v>93804</v>
      </c>
      <c r="F6939" s="8"/>
      <c r="G6939" s="15" t="s">
        <v>10</v>
      </c>
      <c r="H6939" s="15" t="s">
        <v>10</v>
      </c>
      <c r="I6939" s="15" t="s">
        <v>10</v>
      </c>
      <c r="J6939" s="15" t="s">
        <v>10</v>
      </c>
      <c r="K6939" s="15" t="s">
        <v>10</v>
      </c>
      <c r="L6939" s="15" t="s">
        <v>10</v>
      </c>
      <c r="M6939" s="15">
        <v>1.1681017427779943</v>
      </c>
      <c r="N6939" s="15">
        <v>1.1681017427779943</v>
      </c>
      <c r="O6939" s="15">
        <v>1.1681017427779943</v>
      </c>
      <c r="P6939" s="15">
        <v>1.1681017427779943</v>
      </c>
      <c r="Q6939" s="8"/>
      <c r="R6939" s="9" t="s">
        <v>6449</v>
      </c>
    </row>
    <row r="6940" spans="1:18" x14ac:dyDescent="0.25">
      <c r="A6940" s="6" t="str">
        <f>HYPERLINK("proteomic_fractions_linear_files/Yang_linear_img/73532758.jpg", "73532758")</f>
        <v>73532758</v>
      </c>
      <c r="B6940" s="7"/>
      <c r="C6940" s="6" t="str">
        <f>HYPERLINK("http://www.ncbi.nlm.nih.gov/protein/73532758","Smg1")</f>
        <v>Smg1</v>
      </c>
      <c r="D6940" s="8"/>
      <c r="E6940" s="8">
        <v>409640</v>
      </c>
      <c r="F6940" s="8"/>
      <c r="G6940" s="15" t="s">
        <v>10</v>
      </c>
      <c r="H6940" s="15" t="s">
        <v>10</v>
      </c>
      <c r="I6940" s="15">
        <v>0.73605688935731406</v>
      </c>
      <c r="J6940" s="15">
        <v>0.73605688935731406</v>
      </c>
      <c r="K6940" s="15">
        <v>0.99766721399863367</v>
      </c>
      <c r="L6940" s="15">
        <v>0.99766721399863367</v>
      </c>
      <c r="M6940" s="15">
        <v>6.3781117354695119E-2</v>
      </c>
      <c r="N6940" s="15">
        <v>6.3781117354695119E-2</v>
      </c>
      <c r="O6940" s="15" t="s">
        <v>10</v>
      </c>
      <c r="P6940" s="15" t="s">
        <v>10</v>
      </c>
      <c r="Q6940" s="8"/>
      <c r="R6940" s="9" t="s">
        <v>6450</v>
      </c>
    </row>
    <row r="6941" spans="1:18" x14ac:dyDescent="0.25">
      <c r="A6941" s="6" t="str">
        <f>HYPERLINK("proteomic_fractions_linear_files/Yang_linear_img/112807193.jpg", "112807193")</f>
        <v>112807193</v>
      </c>
      <c r="B6941" s="7"/>
      <c r="C6941" s="6" t="str">
        <f>HYPERLINK("http://www.ncbi.nlm.nih.gov/protein/112807193","Smg5")</f>
        <v>Smg5</v>
      </c>
      <c r="D6941" s="8"/>
      <c r="E6941" s="8">
        <v>113940</v>
      </c>
      <c r="F6941" s="8"/>
      <c r="G6941" s="15" t="s">
        <v>10</v>
      </c>
      <c r="H6941" s="15" t="s">
        <v>10</v>
      </c>
      <c r="I6941" s="15" t="s">
        <v>10</v>
      </c>
      <c r="J6941" s="15" t="s">
        <v>10</v>
      </c>
      <c r="K6941" s="15">
        <v>1.6382967687714067</v>
      </c>
      <c r="L6941" s="15">
        <v>1.6382967687714067</v>
      </c>
      <c r="M6941" s="15" t="s">
        <v>10</v>
      </c>
      <c r="N6941" s="15" t="s">
        <v>10</v>
      </c>
      <c r="O6941" s="15" t="s">
        <v>10</v>
      </c>
      <c r="P6941" s="15" t="s">
        <v>10</v>
      </c>
      <c r="Q6941" s="8"/>
      <c r="R6941" s="9" t="s">
        <v>6451</v>
      </c>
    </row>
    <row r="6942" spans="1:18" x14ac:dyDescent="0.25">
      <c r="A6942" s="6" t="str">
        <f>HYPERLINK("proteomic_fractions_linear_files/Yang_linear_img/50582545.jpg", "50582545")</f>
        <v>50582545</v>
      </c>
      <c r="B6942" s="7"/>
      <c r="C6942" s="6" t="str">
        <f>HYPERLINK("http://www.ncbi.nlm.nih.gov/protein/50582545","Smg6")</f>
        <v>Smg6</v>
      </c>
      <c r="D6942" s="8"/>
      <c r="E6942" s="8">
        <v>160365</v>
      </c>
      <c r="F6942" s="8"/>
      <c r="G6942" s="15" t="s">
        <v>10</v>
      </c>
      <c r="H6942" s="15" t="s">
        <v>10</v>
      </c>
      <c r="I6942" s="15" t="s">
        <v>10</v>
      </c>
      <c r="J6942" s="15" t="s">
        <v>10</v>
      </c>
      <c r="K6942" s="15">
        <v>1.4585052976740567</v>
      </c>
      <c r="L6942" s="15">
        <v>1.4585052976740567</v>
      </c>
      <c r="M6942" s="15" t="s">
        <v>10</v>
      </c>
      <c r="N6942" s="15" t="s">
        <v>10</v>
      </c>
      <c r="O6942" s="15" t="s">
        <v>10</v>
      </c>
      <c r="P6942" s="15" t="s">
        <v>10</v>
      </c>
      <c r="Q6942" s="8"/>
      <c r="R6942" s="9" t="s">
        <v>6452</v>
      </c>
    </row>
    <row r="6943" spans="1:18" x14ac:dyDescent="0.25">
      <c r="A6943" s="6" t="str">
        <f>HYPERLINK("proteomic_fractions_linear_files/Yang_linear_img/23956216.jpg", "23956216")</f>
        <v>23956216</v>
      </c>
      <c r="B6943" s="7"/>
      <c r="C6943" s="6" t="str">
        <f>HYPERLINK("http://www.ncbi.nlm.nih.gov/protein/23956216","Smg8")</f>
        <v>Smg8</v>
      </c>
      <c r="D6943" s="8"/>
      <c r="E6943" s="8">
        <v>109536</v>
      </c>
      <c r="F6943" s="8"/>
      <c r="G6943" s="15" t="s">
        <v>10</v>
      </c>
      <c r="H6943" s="15" t="s">
        <v>10</v>
      </c>
      <c r="I6943" s="15" t="s">
        <v>10</v>
      </c>
      <c r="J6943" s="15" t="s">
        <v>10</v>
      </c>
      <c r="K6943" s="15">
        <v>1.3950261012385621</v>
      </c>
      <c r="L6943" s="15">
        <v>1.3950261012385621</v>
      </c>
      <c r="M6943" s="15" t="s">
        <v>10</v>
      </c>
      <c r="N6943" s="15" t="s">
        <v>10</v>
      </c>
      <c r="O6943" s="15" t="s">
        <v>10</v>
      </c>
      <c r="P6943" s="15" t="s">
        <v>10</v>
      </c>
      <c r="Q6943" s="8"/>
      <c r="R6943" s="9" t="s">
        <v>6453</v>
      </c>
    </row>
    <row r="6944" spans="1:18" x14ac:dyDescent="0.25">
      <c r="A6944" s="6" t="str">
        <f>HYPERLINK("proteomic_fractions_linear_files/Yang_linear_img/21312548.jpg", "21312548")</f>
        <v>21312548</v>
      </c>
      <c r="B6944" s="7"/>
      <c r="C6944" s="6" t="str">
        <f>HYPERLINK("http://www.ncbi.nlm.nih.gov/protein/21312548","Smg9")</f>
        <v>Smg9</v>
      </c>
      <c r="D6944" s="8"/>
      <c r="E6944" s="8">
        <v>57490</v>
      </c>
      <c r="F6944" s="8"/>
      <c r="G6944" s="15" t="s">
        <v>10</v>
      </c>
      <c r="H6944" s="15" t="s">
        <v>10</v>
      </c>
      <c r="I6944" s="15" t="s">
        <v>10</v>
      </c>
      <c r="J6944" s="15" t="s">
        <v>10</v>
      </c>
      <c r="K6944" s="15">
        <v>1.1483028654481462</v>
      </c>
      <c r="L6944" s="15">
        <v>1.1483028654481462</v>
      </c>
      <c r="M6944" s="15">
        <v>1.1483028654481462</v>
      </c>
      <c r="N6944" s="15">
        <v>1.1483028654481462</v>
      </c>
      <c r="O6944" s="15" t="s">
        <v>10</v>
      </c>
      <c r="P6944" s="15" t="s">
        <v>10</v>
      </c>
      <c r="Q6944" s="8"/>
      <c r="R6944" s="9" t="s">
        <v>6454</v>
      </c>
    </row>
    <row r="6945" spans="1:18" x14ac:dyDescent="0.25">
      <c r="A6945" s="6" t="str">
        <f>HYPERLINK("proteomic_fractions_linear_files/Yang_linear_img/254910949.jpg", "254910949")</f>
        <v>254910949</v>
      </c>
      <c r="B6945" s="7"/>
      <c r="C6945" s="6" t="str">
        <f>HYPERLINK("http://www.ncbi.nlm.nih.gov/protein/254910949","Smim1")</f>
        <v>Smim1</v>
      </c>
      <c r="D6945" s="8"/>
      <c r="E6945" s="8">
        <v>8633</v>
      </c>
      <c r="F6945" s="8"/>
      <c r="G6945" s="15" t="s">
        <v>10</v>
      </c>
      <c r="H6945" s="15" t="s">
        <v>10</v>
      </c>
      <c r="I6945" s="15">
        <v>1.6130526357633719</v>
      </c>
      <c r="J6945" s="15">
        <v>1.6130526357633719</v>
      </c>
      <c r="K6945" s="15">
        <v>2.1667944253372529</v>
      </c>
      <c r="L6945" s="15">
        <v>1.769715753686864</v>
      </c>
      <c r="M6945" s="15">
        <v>1.6130526357633719</v>
      </c>
      <c r="N6945" s="15">
        <v>1.6130526357633719</v>
      </c>
      <c r="O6945" s="15" t="s">
        <v>10</v>
      </c>
      <c r="P6945" s="15" t="s">
        <v>10</v>
      </c>
      <c r="Q6945" s="8"/>
      <c r="R6945" s="9" t="s">
        <v>6455</v>
      </c>
    </row>
    <row r="6946" spans="1:18" x14ac:dyDescent="0.25">
      <c r="A6946" s="6" t="str">
        <f>HYPERLINK("proteomic_fractions_linear_files/Yang_linear_img/13384892.jpg", "13384892")</f>
        <v>13384892</v>
      </c>
      <c r="B6946" s="7"/>
      <c r="C6946" s="6" t="str">
        <f>HYPERLINK("http://www.ncbi.nlm.nih.gov/protein/13384892","Smim12")</f>
        <v>Smim12</v>
      </c>
      <c r="D6946" s="8"/>
      <c r="E6946" s="8">
        <v>10664</v>
      </c>
      <c r="F6946" s="8"/>
      <c r="G6946" s="15" t="s">
        <v>10</v>
      </c>
      <c r="H6946" s="15" t="s">
        <v>10</v>
      </c>
      <c r="I6946" s="15" t="s">
        <v>10</v>
      </c>
      <c r="J6946" s="15" t="s">
        <v>10</v>
      </c>
      <c r="K6946" s="15">
        <v>1.2623500454487864</v>
      </c>
      <c r="L6946" s="15">
        <v>1.2623500454487864</v>
      </c>
      <c r="M6946" s="15" t="s">
        <v>10</v>
      </c>
      <c r="N6946" s="15" t="s">
        <v>10</v>
      </c>
      <c r="O6946" s="15" t="s">
        <v>10</v>
      </c>
      <c r="P6946" s="15" t="s">
        <v>10</v>
      </c>
      <c r="Q6946" s="8"/>
      <c r="R6946" s="9" t="s">
        <v>6456</v>
      </c>
    </row>
    <row r="6947" spans="1:18" x14ac:dyDescent="0.25">
      <c r="A6947" s="6" t="str">
        <f>HYPERLINK("proteomic_fractions_linear_files/Yang_linear_img/224177530.jpg", "224177530")</f>
        <v>224177530</v>
      </c>
      <c r="B6947" s="7"/>
      <c r="C6947" s="6" t="str">
        <f>HYPERLINK("http://www.ncbi.nlm.nih.gov/protein/224177530","Smim20")</f>
        <v>Smim20</v>
      </c>
      <c r="D6947" s="8"/>
      <c r="E6947" s="8">
        <v>7687</v>
      </c>
      <c r="F6947" s="8"/>
      <c r="G6947" s="15">
        <v>1.5934024177422033</v>
      </c>
      <c r="H6947" s="15">
        <v>1.5934024177422033</v>
      </c>
      <c r="I6947" s="15">
        <v>1.5934024177422033</v>
      </c>
      <c r="J6947" s="15">
        <v>1.5934024177422033</v>
      </c>
      <c r="K6947" s="15">
        <v>1.5291076615414196</v>
      </c>
      <c r="L6947" s="15">
        <v>1.5291076615414196</v>
      </c>
      <c r="M6947" s="15" t="s">
        <v>10</v>
      </c>
      <c r="N6947" s="15" t="s">
        <v>10</v>
      </c>
      <c r="O6947" s="15" t="s">
        <v>10</v>
      </c>
      <c r="P6947" s="15" t="s">
        <v>10</v>
      </c>
      <c r="Q6947" s="8"/>
      <c r="R6947" s="9" t="s">
        <v>6457</v>
      </c>
    </row>
    <row r="6948" spans="1:18" x14ac:dyDescent="0.25">
      <c r="A6948" s="6" t="str">
        <f>HYPERLINK("proteomic_fractions_linear_files/Yang_linear_img/359374252.jpg", "359374252")</f>
        <v>359374252</v>
      </c>
      <c r="B6948" s="7"/>
      <c r="C6948" s="6" t="str">
        <f>HYPERLINK("http://www.ncbi.nlm.nih.gov/protein/359374252","Smim22")</f>
        <v>Smim22</v>
      </c>
      <c r="D6948" s="8"/>
      <c r="E6948" s="8">
        <v>9599</v>
      </c>
      <c r="F6948" s="8"/>
      <c r="G6948" s="15" t="s">
        <v>10</v>
      </c>
      <c r="H6948" s="15" t="s">
        <v>10</v>
      </c>
      <c r="I6948" s="15" t="s">
        <v>10</v>
      </c>
      <c r="J6948" s="15" t="s">
        <v>10</v>
      </c>
      <c r="K6948" s="15">
        <v>1.4517473721870346</v>
      </c>
      <c r="L6948" s="15">
        <v>1.5196338293814287</v>
      </c>
      <c r="M6948" s="15">
        <v>1.5196338293814287</v>
      </c>
      <c r="N6948" s="15">
        <v>1.5196338293814287</v>
      </c>
      <c r="O6948" s="15" t="s">
        <v>10</v>
      </c>
      <c r="P6948" s="15" t="s">
        <v>10</v>
      </c>
      <c r="Q6948" s="8"/>
      <c r="R6948" s="9" t="s">
        <v>6458</v>
      </c>
    </row>
    <row r="6949" spans="1:18" x14ac:dyDescent="0.25">
      <c r="A6949" s="6" t="str">
        <f>HYPERLINK("proteomic_fractions_linear_files/Yang_linear_img/359374254.jpg", "359374254")</f>
        <v>359374254</v>
      </c>
      <c r="B6949" s="7"/>
      <c r="C6949" s="6" t="str">
        <f>HYPERLINK("http://www.ncbi.nlm.nih.gov/protein/359374254","Smim22")</f>
        <v>Smim22</v>
      </c>
      <c r="D6949" s="8"/>
      <c r="E6949" s="8">
        <v>10068</v>
      </c>
      <c r="F6949" s="8"/>
      <c r="G6949" s="15" t="s">
        <v>10</v>
      </c>
      <c r="H6949" s="15" t="s">
        <v>10</v>
      </c>
      <c r="I6949" s="15" t="s">
        <v>10</v>
      </c>
      <c r="J6949" s="15" t="s">
        <v>10</v>
      </c>
      <c r="K6949" s="15">
        <v>1.4517473721870346</v>
      </c>
      <c r="L6949" s="15">
        <v>1.5196338293814287</v>
      </c>
      <c r="M6949" s="15">
        <v>1.5196338293814287</v>
      </c>
      <c r="N6949" s="15">
        <v>1.5196338293814287</v>
      </c>
      <c r="O6949" s="15" t="s">
        <v>10</v>
      </c>
      <c r="P6949" s="15" t="s">
        <v>10</v>
      </c>
      <c r="Q6949" s="8"/>
      <c r="R6949" s="9" t="s">
        <v>6459</v>
      </c>
    </row>
    <row r="6950" spans="1:18" x14ac:dyDescent="0.25">
      <c r="A6950" s="6" t="str">
        <f>HYPERLINK("proteomic_fractions_linear_files/Yang_linear_img/27369485.jpg", "27369485")</f>
        <v>27369485</v>
      </c>
      <c r="B6950" s="7"/>
      <c r="C6950" s="6" t="str">
        <f>HYPERLINK("http://www.ncbi.nlm.nih.gov/protein/27369485","Smim7")</f>
        <v>Smim7</v>
      </c>
      <c r="D6950" s="8"/>
      <c r="E6950" s="8">
        <v>6823</v>
      </c>
      <c r="F6950" s="8"/>
      <c r="G6950" s="15">
        <v>1.821031334562518</v>
      </c>
      <c r="H6950" s="15">
        <v>1.821031334562518</v>
      </c>
      <c r="I6950" s="15">
        <v>1.821031334562518</v>
      </c>
      <c r="J6950" s="15">
        <v>1.821031334562518</v>
      </c>
      <c r="K6950" s="15">
        <v>1.9836929285623786</v>
      </c>
      <c r="L6950" s="15">
        <v>1.9836929285623786</v>
      </c>
      <c r="M6950" s="15">
        <v>1.8995805747145049</v>
      </c>
      <c r="N6950" s="15">
        <v>1.8995805747145049</v>
      </c>
      <c r="O6950" s="15" t="s">
        <v>10</v>
      </c>
      <c r="P6950" s="15" t="s">
        <v>10</v>
      </c>
      <c r="Q6950" s="8"/>
      <c r="R6950" s="9" t="s">
        <v>6460</v>
      </c>
    </row>
    <row r="6951" spans="1:18" x14ac:dyDescent="0.25">
      <c r="A6951" s="6" t="str">
        <f>HYPERLINK("proteomic_fractions_linear_files/Yang_linear_img/6755580.jpg", "6755580")</f>
        <v>6755580</v>
      </c>
      <c r="B6951" s="7"/>
      <c r="C6951" s="6" t="str">
        <f>HYPERLINK("http://www.ncbi.nlm.nih.gov/protein/6755580","Smn1")</f>
        <v>Smn1</v>
      </c>
      <c r="D6951" s="8"/>
      <c r="E6951" s="8">
        <v>31123</v>
      </c>
      <c r="F6951" s="8"/>
      <c r="G6951" s="15" t="s">
        <v>10</v>
      </c>
      <c r="H6951" s="15" t="s">
        <v>10</v>
      </c>
      <c r="I6951" s="15">
        <v>1.0349700921204383</v>
      </c>
      <c r="J6951" s="15">
        <v>1.0349700921204383</v>
      </c>
      <c r="K6951" s="15">
        <v>1.1146250493701673</v>
      </c>
      <c r="L6951" s="15">
        <v>1.1146250493701673</v>
      </c>
      <c r="M6951" s="15">
        <v>1.0349700921204383</v>
      </c>
      <c r="N6951" s="15">
        <v>1.0349700921204383</v>
      </c>
      <c r="O6951" s="15" t="s">
        <v>10</v>
      </c>
      <c r="P6951" s="15" t="s">
        <v>10</v>
      </c>
      <c r="Q6951" s="8"/>
      <c r="R6951" s="9" t="s">
        <v>6461</v>
      </c>
    </row>
    <row r="6952" spans="1:18" x14ac:dyDescent="0.25">
      <c r="A6952" s="6" t="str">
        <f>HYPERLINK("proteomic_fractions_linear_files/Yang_linear_img/27369569.jpg", "27369569")</f>
        <v>27369569</v>
      </c>
      <c r="B6952" s="7"/>
      <c r="C6952" s="6" t="str">
        <f>HYPERLINK("http://www.ncbi.nlm.nih.gov/protein/27369569","Smndc1")</f>
        <v>Smndc1</v>
      </c>
      <c r="D6952" s="8"/>
      <c r="E6952" s="8">
        <v>26622</v>
      </c>
      <c r="F6952" s="8"/>
      <c r="G6952" s="15" t="s">
        <v>10</v>
      </c>
      <c r="H6952" s="15" t="s">
        <v>10</v>
      </c>
      <c r="I6952" s="15" t="s">
        <v>10</v>
      </c>
      <c r="J6952" s="15" t="s">
        <v>10</v>
      </c>
      <c r="K6952" s="15">
        <v>0.96852807834907406</v>
      </c>
      <c r="L6952" s="15">
        <v>0.96852807834907406</v>
      </c>
      <c r="M6952" s="15">
        <v>0.56282734421534386</v>
      </c>
      <c r="N6952" s="15">
        <v>0.56282734421534386</v>
      </c>
      <c r="O6952" s="15" t="s">
        <v>10</v>
      </c>
      <c r="P6952" s="15" t="s">
        <v>10</v>
      </c>
      <c r="Q6952" s="8"/>
      <c r="R6952" s="9" t="s">
        <v>6462</v>
      </c>
    </row>
    <row r="6953" spans="1:18" x14ac:dyDescent="0.25">
      <c r="A6953" s="6" t="str">
        <f>HYPERLINK("proteomic_fractions_linear_files/Yang_linear_img/6678031.jpg", "6678031")</f>
        <v>6678031</v>
      </c>
      <c r="B6953" s="7"/>
      <c r="C6953" s="6" t="str">
        <f>HYPERLINK("http://www.ncbi.nlm.nih.gov/protein/6678031","Smpd2")</f>
        <v>Smpd2</v>
      </c>
      <c r="D6953" s="8"/>
      <c r="E6953" s="8">
        <v>47336</v>
      </c>
      <c r="F6953" s="8"/>
      <c r="G6953" s="15">
        <v>1.1302248857447037</v>
      </c>
      <c r="H6953" s="15">
        <v>1.1302248857447037</v>
      </c>
      <c r="I6953" s="15" t="s">
        <v>10</v>
      </c>
      <c r="J6953" s="15" t="s">
        <v>10</v>
      </c>
      <c r="K6953" s="15">
        <v>0.86185783411112227</v>
      </c>
      <c r="L6953" s="15">
        <v>0.86185783411112227</v>
      </c>
      <c r="M6953" s="15" t="s">
        <v>10</v>
      </c>
      <c r="N6953" s="15" t="s">
        <v>10</v>
      </c>
      <c r="O6953" s="15" t="s">
        <v>10</v>
      </c>
      <c r="P6953" s="15" t="s">
        <v>10</v>
      </c>
      <c r="Q6953" s="8"/>
      <c r="R6953" s="9" t="s">
        <v>6463</v>
      </c>
    </row>
    <row r="6954" spans="1:18" x14ac:dyDescent="0.25">
      <c r="A6954" s="6" t="str">
        <f>HYPERLINK("proteomic_fractions_linear_files/Yang_linear_img/257196240.jpg", "257196240")</f>
        <v>257196240</v>
      </c>
      <c r="B6954" s="7"/>
      <c r="C6954" s="6" t="str">
        <f>HYPERLINK("http://www.ncbi.nlm.nih.gov/protein/257196240","Smpd4")</f>
        <v>Smpd4</v>
      </c>
      <c r="D6954" s="8"/>
      <c r="E6954" s="8">
        <v>93145</v>
      </c>
      <c r="F6954" s="8"/>
      <c r="G6954" s="15">
        <v>1.180661976571306</v>
      </c>
      <c r="H6954" s="15">
        <v>1.180661976571306</v>
      </c>
      <c r="I6954" s="15">
        <v>1.0211610879847797</v>
      </c>
      <c r="J6954" s="15">
        <v>1.0211610879847797</v>
      </c>
      <c r="K6954" s="15">
        <v>1.0211610879847797</v>
      </c>
      <c r="L6954" s="15">
        <v>1.0211610879847797</v>
      </c>
      <c r="M6954" s="15" t="s">
        <v>10</v>
      </c>
      <c r="N6954" s="15" t="s">
        <v>10</v>
      </c>
      <c r="O6954" s="15" t="s">
        <v>10</v>
      </c>
      <c r="P6954" s="15" t="s">
        <v>10</v>
      </c>
      <c r="Q6954" s="8"/>
      <c r="R6954" s="9" t="s">
        <v>6464</v>
      </c>
    </row>
    <row r="6955" spans="1:18" x14ac:dyDescent="0.25">
      <c r="A6955" s="6" t="str">
        <f>HYPERLINK("proteomic_fractions_linear_files/Yang_linear_img/257196243.jpg", "257196243")</f>
        <v>257196243</v>
      </c>
      <c r="B6955" s="7"/>
      <c r="C6955" s="6" t="str">
        <f>HYPERLINK("http://www.ncbi.nlm.nih.gov/protein/257196243","Smpd4")</f>
        <v>Smpd4</v>
      </c>
      <c r="D6955" s="8"/>
      <c r="E6955" s="8">
        <v>91412</v>
      </c>
      <c r="F6955" s="8"/>
      <c r="G6955" s="15">
        <v>1.206610591441005</v>
      </c>
      <c r="H6955" s="15">
        <v>1.206610591441005</v>
      </c>
      <c r="I6955" s="15">
        <v>1.0436041888196099</v>
      </c>
      <c r="J6955" s="15">
        <v>1.0436041888196099</v>
      </c>
      <c r="K6955" s="15">
        <v>1.0436041888196099</v>
      </c>
      <c r="L6955" s="15">
        <v>1.0436041888196099</v>
      </c>
      <c r="M6955" s="15" t="s">
        <v>10</v>
      </c>
      <c r="N6955" s="15" t="s">
        <v>10</v>
      </c>
      <c r="O6955" s="15" t="s">
        <v>10</v>
      </c>
      <c r="P6955" s="15" t="s">
        <v>10</v>
      </c>
      <c r="Q6955" s="8"/>
      <c r="R6955" s="9" t="s">
        <v>6465</v>
      </c>
    </row>
    <row r="6956" spans="1:18" x14ac:dyDescent="0.25">
      <c r="A6956" s="6" t="str">
        <f>HYPERLINK("proteomic_fractions_linear_files/Yang_linear_img/257196245.jpg", "257196245")</f>
        <v>257196245</v>
      </c>
      <c r="B6956" s="7"/>
      <c r="C6956" s="6" t="str">
        <f>HYPERLINK("http://www.ncbi.nlm.nih.gov/protein/257196245","Smpd4")</f>
        <v>Smpd4</v>
      </c>
      <c r="D6956" s="8"/>
      <c r="E6956" s="8">
        <v>89932</v>
      </c>
      <c r="F6956" s="8"/>
      <c r="G6956" s="15">
        <v>1.2200173757903496</v>
      </c>
      <c r="H6956" s="15">
        <v>1.2200173757903496</v>
      </c>
      <c r="I6956" s="15">
        <v>1.0551997909176056</v>
      </c>
      <c r="J6956" s="15">
        <v>1.0551997909176056</v>
      </c>
      <c r="K6956" s="15">
        <v>1.0551997909176056</v>
      </c>
      <c r="L6956" s="15">
        <v>1.0551997909176056</v>
      </c>
      <c r="M6956" s="15" t="s">
        <v>10</v>
      </c>
      <c r="N6956" s="15" t="s">
        <v>10</v>
      </c>
      <c r="O6956" s="15" t="s">
        <v>10</v>
      </c>
      <c r="P6956" s="15" t="s">
        <v>10</v>
      </c>
      <c r="Q6956" s="8"/>
      <c r="R6956" s="9" t="s">
        <v>6466</v>
      </c>
    </row>
    <row r="6957" spans="1:18" x14ac:dyDescent="0.25">
      <c r="A6957" s="6" t="str">
        <f>HYPERLINK("proteomic_fractions_linear_files/Yang_linear_img/257196247.jpg", "257196247")</f>
        <v>257196247</v>
      </c>
      <c r="B6957" s="7"/>
      <c r="C6957" s="6" t="str">
        <f>HYPERLINK("http://www.ncbi.nlm.nih.gov/protein/257196247","Smpd4")</f>
        <v>Smpd4</v>
      </c>
      <c r="D6957" s="8"/>
      <c r="E6957" s="8">
        <v>89746</v>
      </c>
      <c r="F6957" s="8"/>
      <c r="G6957" s="15">
        <v>1.2200173757903496</v>
      </c>
      <c r="H6957" s="15">
        <v>1.2200173757903496</v>
      </c>
      <c r="I6957" s="15">
        <v>1.0551997909176056</v>
      </c>
      <c r="J6957" s="15">
        <v>1.0551997909176056</v>
      </c>
      <c r="K6957" s="15">
        <v>1.0551997909176056</v>
      </c>
      <c r="L6957" s="15">
        <v>1.0551997909176056</v>
      </c>
      <c r="M6957" s="15" t="s">
        <v>10</v>
      </c>
      <c r="N6957" s="15" t="s">
        <v>10</v>
      </c>
      <c r="O6957" s="15" t="s">
        <v>10</v>
      </c>
      <c r="P6957" s="15" t="s">
        <v>10</v>
      </c>
      <c r="Q6957" s="8"/>
      <c r="R6957" s="9" t="s">
        <v>6467</v>
      </c>
    </row>
    <row r="6958" spans="1:18" x14ac:dyDescent="0.25">
      <c r="A6958" s="6" t="str">
        <f>HYPERLINK("proteomic_fractions_linear_files/Yang_linear_img/19527104.jpg", "19527104")</f>
        <v>19527104</v>
      </c>
      <c r="B6958" s="7"/>
      <c r="C6958" s="6" t="str">
        <f>HYPERLINK("http://www.ncbi.nlm.nih.gov/protein/19527104","Smpdl3b")</f>
        <v>Smpdl3b</v>
      </c>
      <c r="D6958" s="8"/>
      <c r="E6958" s="8">
        <v>49702</v>
      </c>
      <c r="F6958" s="8"/>
      <c r="G6958" s="15" t="s">
        <v>10</v>
      </c>
      <c r="H6958" s="15" t="s">
        <v>10</v>
      </c>
      <c r="I6958" s="15" t="s">
        <v>10</v>
      </c>
      <c r="J6958" s="15" t="s">
        <v>10</v>
      </c>
      <c r="K6958" s="15">
        <v>1.3090652666108866</v>
      </c>
      <c r="L6958" s="15">
        <v>1.3090652666108866</v>
      </c>
      <c r="M6958" s="15" t="s">
        <v>10</v>
      </c>
      <c r="N6958" s="15" t="s">
        <v>10</v>
      </c>
      <c r="O6958" s="15" t="s">
        <v>10</v>
      </c>
      <c r="P6958" s="15" t="s">
        <v>10</v>
      </c>
      <c r="Q6958" s="8"/>
      <c r="R6958" s="9" t="s">
        <v>6468</v>
      </c>
    </row>
    <row r="6959" spans="1:18" x14ac:dyDescent="0.25">
      <c r="A6959" s="6" t="str">
        <f>HYPERLINK("proteomic_fractions_linear_files/Yang_linear_img/226529455.jpg", "226529455")</f>
        <v>226529455</v>
      </c>
      <c r="B6959" s="7"/>
      <c r="C6959" s="6" t="str">
        <f>HYPERLINK("http://www.ncbi.nlm.nih.gov/protein/226529455","Smtn")</f>
        <v>Smtn</v>
      </c>
      <c r="D6959" s="8"/>
      <c r="E6959" s="8">
        <v>100005</v>
      </c>
      <c r="F6959" s="8"/>
      <c r="G6959" s="15" t="s">
        <v>10</v>
      </c>
      <c r="H6959" s="15" t="s">
        <v>10</v>
      </c>
      <c r="I6959" s="15" t="s">
        <v>10</v>
      </c>
      <c r="J6959" s="15" t="s">
        <v>10</v>
      </c>
      <c r="K6959" s="15" t="s">
        <v>10</v>
      </c>
      <c r="L6959" s="15" t="s">
        <v>10</v>
      </c>
      <c r="M6959" s="15">
        <v>0.48289975584415251</v>
      </c>
      <c r="N6959" s="15">
        <v>0.48289975584415251</v>
      </c>
      <c r="O6959" s="15" t="s">
        <v>10</v>
      </c>
      <c r="P6959" s="15" t="s">
        <v>10</v>
      </c>
      <c r="Q6959" s="8"/>
      <c r="R6959" s="9" t="s">
        <v>6469</v>
      </c>
    </row>
    <row r="6960" spans="1:18" x14ac:dyDescent="0.25">
      <c r="A6960" s="6" t="str">
        <f>HYPERLINK("proteomic_fractions_linear_files/Yang_linear_img/227430367.jpg", "227430367")</f>
        <v>227430367</v>
      </c>
      <c r="B6960" s="7"/>
      <c r="C6960" s="6" t="str">
        <f>HYPERLINK("http://www.ncbi.nlm.nih.gov/protein/227430367","Smu1")</f>
        <v>Smu1</v>
      </c>
      <c r="D6960" s="8"/>
      <c r="E6960" s="8">
        <v>57413</v>
      </c>
      <c r="F6960" s="8"/>
      <c r="G6960" s="15">
        <v>1.1483028654481462</v>
      </c>
      <c r="H6960" s="15">
        <v>1.1483028654481462</v>
      </c>
      <c r="I6960" s="15" t="s">
        <v>10</v>
      </c>
      <c r="J6960" s="15" t="s">
        <v>10</v>
      </c>
      <c r="K6960" s="15">
        <v>1.0311089050104185</v>
      </c>
      <c r="L6960" s="15">
        <v>1.0311089050104185</v>
      </c>
      <c r="M6960" s="15" t="s">
        <v>10</v>
      </c>
      <c r="N6960" s="15" t="s">
        <v>10</v>
      </c>
      <c r="O6960" s="15" t="s">
        <v>10</v>
      </c>
      <c r="P6960" s="15" t="s">
        <v>10</v>
      </c>
      <c r="Q6960" s="8"/>
      <c r="R6960" s="9" t="s">
        <v>6470</v>
      </c>
    </row>
    <row r="6961" spans="1:18" x14ac:dyDescent="0.25">
      <c r="A6961" s="6" t="str">
        <f>HYPERLINK("proteomic_fractions_linear_files/Yang_linear_img/40254179.jpg", "40254179")</f>
        <v>40254179</v>
      </c>
      <c r="B6961" s="7"/>
      <c r="C6961" s="6" t="str">
        <f>HYPERLINK("http://www.ncbi.nlm.nih.gov/protein/40254179","Smug1")</f>
        <v>Smug1</v>
      </c>
      <c r="D6961" s="8"/>
      <c r="E6961" s="8">
        <v>30523</v>
      </c>
      <c r="F6961" s="8"/>
      <c r="G6961" s="15" t="s">
        <v>10</v>
      </c>
      <c r="H6961" s="15" t="s">
        <v>10</v>
      </c>
      <c r="I6961" s="15" t="s">
        <v>10</v>
      </c>
      <c r="J6961" s="15" t="s">
        <v>10</v>
      </c>
      <c r="K6961" s="15" t="s">
        <v>10</v>
      </c>
      <c r="L6961" s="15" t="s">
        <v>10</v>
      </c>
      <c r="M6961" s="15" t="s">
        <v>10</v>
      </c>
      <c r="N6961" s="15" t="s">
        <v>10</v>
      </c>
      <c r="O6961" s="15">
        <v>0.7920909875250618</v>
      </c>
      <c r="P6961" s="15">
        <v>0.7920909875250618</v>
      </c>
      <c r="Q6961" s="8"/>
      <c r="R6961" s="9" t="s">
        <v>6471</v>
      </c>
    </row>
    <row r="6962" spans="1:18" x14ac:dyDescent="0.25">
      <c r="A6962" s="6" t="str">
        <f>HYPERLINK("proteomic_fractions_linear_files/Yang_linear_img/254939680.jpg", "254939680")</f>
        <v>254939680</v>
      </c>
      <c r="B6962" s="7"/>
      <c r="C6962" s="6" t="str">
        <f>HYPERLINK("http://www.ncbi.nlm.nih.gov/protein/254939680","Smurf2")</f>
        <v>Smurf2</v>
      </c>
      <c r="D6962" s="8"/>
      <c r="E6962" s="8">
        <v>86044</v>
      </c>
      <c r="F6962" s="8"/>
      <c r="G6962" s="15" t="s">
        <v>10</v>
      </c>
      <c r="H6962" s="15" t="s">
        <v>10</v>
      </c>
      <c r="I6962" s="15" t="s">
        <v>10</v>
      </c>
      <c r="J6962" s="15" t="s">
        <v>10</v>
      </c>
      <c r="K6962" s="15">
        <v>1.104278850960285</v>
      </c>
      <c r="L6962" s="15">
        <v>1.104278850960285</v>
      </c>
      <c r="M6962" s="15" t="s">
        <v>10</v>
      </c>
      <c r="N6962" s="15" t="s">
        <v>10</v>
      </c>
      <c r="O6962" s="15" t="s">
        <v>10</v>
      </c>
      <c r="P6962" s="15" t="s">
        <v>10</v>
      </c>
      <c r="Q6962" s="8"/>
      <c r="R6962" s="9" t="s">
        <v>6472</v>
      </c>
    </row>
    <row r="6963" spans="1:18" x14ac:dyDescent="0.25">
      <c r="A6963" s="6" t="str">
        <f>HYPERLINK("proteomic_fractions_linear_files/Yang_linear_img/21312378.jpg", "21312378")</f>
        <v>21312378</v>
      </c>
      <c r="B6963" s="7"/>
      <c r="C6963" s="6" t="str">
        <f>HYPERLINK("http://www.ncbi.nlm.nih.gov/protein/21312378","Smyd3")</f>
        <v>Smyd3</v>
      </c>
      <c r="D6963" s="8"/>
      <c r="E6963" s="8">
        <v>48995</v>
      </c>
      <c r="F6963" s="8"/>
      <c r="G6963" s="15" t="s">
        <v>10</v>
      </c>
      <c r="H6963" s="15" t="s">
        <v>10</v>
      </c>
      <c r="I6963" s="15">
        <v>0.90052222952990757</v>
      </c>
      <c r="J6963" s="15">
        <v>0.90052222952990757</v>
      </c>
      <c r="K6963" s="15">
        <v>0.90052222952990757</v>
      </c>
      <c r="L6963" s="15">
        <v>0.90052222952990757</v>
      </c>
      <c r="M6963" s="15" t="s">
        <v>10</v>
      </c>
      <c r="N6963" s="15" t="s">
        <v>10</v>
      </c>
      <c r="O6963" s="15">
        <v>0.82667996333107641</v>
      </c>
      <c r="P6963" s="15">
        <v>0.82667996333107641</v>
      </c>
      <c r="Q6963" s="8"/>
      <c r="R6963" s="9" t="s">
        <v>6473</v>
      </c>
    </row>
    <row r="6964" spans="1:18" x14ac:dyDescent="0.25">
      <c r="A6964" s="6" t="str">
        <f>HYPERLINK("proteomic_fractions_linear_files/Yang_linear_img/154689581.jpg", "154689581")</f>
        <v>154689581</v>
      </c>
      <c r="B6964" s="7"/>
      <c r="C6964" s="6" t="str">
        <f>HYPERLINK("http://www.ncbi.nlm.nih.gov/protein/154689581","Smyd5")</f>
        <v>Smyd5</v>
      </c>
      <c r="D6964" s="8"/>
      <c r="E6964" s="8">
        <v>46964</v>
      </c>
      <c r="F6964" s="8"/>
      <c r="G6964" s="15" t="s">
        <v>10</v>
      </c>
      <c r="H6964" s="15" t="s">
        <v>10</v>
      </c>
      <c r="I6964" s="15" t="s">
        <v>10</v>
      </c>
      <c r="J6964" s="15" t="s">
        <v>10</v>
      </c>
      <c r="K6964" s="15">
        <v>1.1302248857447037</v>
      </c>
      <c r="L6964" s="15">
        <v>1.1302248857447037</v>
      </c>
      <c r="M6964" s="15" t="s">
        <v>10</v>
      </c>
      <c r="N6964" s="15" t="s">
        <v>10</v>
      </c>
      <c r="O6964" s="15">
        <v>0.93884232440352056</v>
      </c>
      <c r="P6964" s="15">
        <v>0.93884232440352056</v>
      </c>
      <c r="Q6964" s="8"/>
      <c r="R6964" s="9" t="s">
        <v>6474</v>
      </c>
    </row>
    <row r="6965" spans="1:18" x14ac:dyDescent="0.25">
      <c r="A6965" s="6" t="str">
        <f>HYPERLINK("proteomic_fractions_linear_files/Yang_linear_img/295317330;6678049.jpg", "295317330;6678049")</f>
        <v>295317330;6678049</v>
      </c>
      <c r="B6965" s="8"/>
      <c r="C6965" s="6" t="str">
        <f>HYPERLINK("http://www.ncbi.nlm.nih.gov/protein/295317330;6678049","Snap23")</f>
        <v>Snap23</v>
      </c>
      <c r="D6965" s="8"/>
      <c r="E6965" s="8">
        <v>23130</v>
      </c>
      <c r="F6965" s="8"/>
      <c r="G6965" s="15" t="s">
        <v>10</v>
      </c>
      <c r="H6965" s="15" t="s">
        <v>10</v>
      </c>
      <c r="I6965" s="15" t="s">
        <v>10</v>
      </c>
      <c r="J6965" s="15" t="s">
        <v>10</v>
      </c>
      <c r="K6965" s="15">
        <v>1.0676008962294312</v>
      </c>
      <c r="L6965" s="15">
        <v>1.0676008962294312</v>
      </c>
      <c r="M6965" s="15" t="s">
        <v>10</v>
      </c>
      <c r="N6965" s="15" t="s">
        <v>10</v>
      </c>
      <c r="O6965" s="15" t="s">
        <v>10</v>
      </c>
      <c r="P6965" s="15" t="s">
        <v>10</v>
      </c>
      <c r="Q6965" s="8"/>
      <c r="R6965" s="9" t="s">
        <v>6475</v>
      </c>
    </row>
    <row r="6966" spans="1:18" x14ac:dyDescent="0.25">
      <c r="A6966" s="6" t="str">
        <f>HYPERLINK("proteomic_fractions_linear_files/Yang_linear_img/6678049.jpg", "6678049")</f>
        <v>6678049</v>
      </c>
      <c r="B6966" s="7"/>
      <c r="C6966" s="6" t="str">
        <f>HYPERLINK("http://www.ncbi.nlm.nih.gov/protein/6678049","Snap23")</f>
        <v>Snap23</v>
      </c>
      <c r="D6966" s="8"/>
      <c r="E6966" s="8">
        <v>23130</v>
      </c>
      <c r="F6966" s="8"/>
      <c r="G6966" s="15">
        <v>0.94764096829038047</v>
      </c>
      <c r="H6966" s="15">
        <v>0.94764096829038047</v>
      </c>
      <c r="I6966" s="15">
        <v>1.0676008962294312</v>
      </c>
      <c r="J6966" s="15">
        <v>1.0676008962294312</v>
      </c>
      <c r="K6966" s="15" t="s">
        <v>10</v>
      </c>
      <c r="L6966" s="15" t="s">
        <v>10</v>
      </c>
      <c r="M6966" s="15">
        <v>1.0676008962294312</v>
      </c>
      <c r="N6966" s="15">
        <v>1.0676008962294312</v>
      </c>
      <c r="O6966" s="15" t="s">
        <v>10</v>
      </c>
      <c r="P6966" s="15" t="s">
        <v>10</v>
      </c>
      <c r="Q6966" s="8"/>
      <c r="R6966" s="9" t="s">
        <v>6475</v>
      </c>
    </row>
    <row r="6967" spans="1:18" x14ac:dyDescent="0.25">
      <c r="A6967" s="6" t="str">
        <f>HYPERLINK("proteomic_fractions_linear_files/Yang_linear_img/295317325.jpg", "295317325")</f>
        <v>295317325</v>
      </c>
      <c r="B6967" s="7"/>
      <c r="C6967" s="6" t="str">
        <f>HYPERLINK("http://www.ncbi.nlm.nih.gov/protein/295317325","Snap23")</f>
        <v>Snap23</v>
      </c>
      <c r="D6967" s="8"/>
      <c r="E6967" s="8">
        <v>24419</v>
      </c>
      <c r="F6967" s="8"/>
      <c r="G6967" s="15">
        <v>0.90815592794494793</v>
      </c>
      <c r="H6967" s="15">
        <v>0.90815592794494793</v>
      </c>
      <c r="I6967" s="15">
        <v>1.0231175255532048</v>
      </c>
      <c r="J6967" s="15">
        <v>1.0231175255532048</v>
      </c>
      <c r="K6967" s="15">
        <v>1.0231175255532048</v>
      </c>
      <c r="L6967" s="15">
        <v>1.0231175255532048</v>
      </c>
      <c r="M6967" s="15">
        <v>1.0231175255532048</v>
      </c>
      <c r="N6967" s="15">
        <v>1.0231175255532048</v>
      </c>
      <c r="O6967" s="15" t="s">
        <v>10</v>
      </c>
      <c r="P6967" s="15" t="s">
        <v>10</v>
      </c>
      <c r="Q6967" s="8"/>
      <c r="R6967" s="9" t="s">
        <v>6476</v>
      </c>
    </row>
    <row r="6968" spans="1:18" x14ac:dyDescent="0.25">
      <c r="A6968" s="6" t="str">
        <f>HYPERLINK("proteomic_fractions_linear_files/Yang_linear_img/6755588.jpg", "6755588")</f>
        <v>6755588</v>
      </c>
      <c r="B6968" s="7"/>
      <c r="C6968" s="6" t="str">
        <f>HYPERLINK("http://www.ncbi.nlm.nih.gov/protein/6755588","Snap25")</f>
        <v>Snap25</v>
      </c>
      <c r="D6968" s="8"/>
      <c r="E6968" s="8">
        <v>23184</v>
      </c>
      <c r="F6968" s="8"/>
      <c r="G6968" s="15" t="s">
        <v>10</v>
      </c>
      <c r="H6968" s="15" t="s">
        <v>10</v>
      </c>
      <c r="I6968" s="15">
        <v>1.0676008962294312</v>
      </c>
      <c r="J6968" s="15">
        <v>1.0676008962294312</v>
      </c>
      <c r="K6968" s="15">
        <v>1.0676008962294312</v>
      </c>
      <c r="L6968" s="15">
        <v>1.0676008962294312</v>
      </c>
      <c r="M6968" s="15" t="s">
        <v>10</v>
      </c>
      <c r="N6968" s="15" t="s">
        <v>10</v>
      </c>
      <c r="O6968" s="15" t="s">
        <v>10</v>
      </c>
      <c r="P6968" s="15" t="s">
        <v>10</v>
      </c>
      <c r="Q6968" s="8"/>
      <c r="R6968" s="9" t="s">
        <v>6477</v>
      </c>
    </row>
    <row r="6969" spans="1:18" x14ac:dyDescent="0.25">
      <c r="A6969" s="6" t="str">
        <f>HYPERLINK("proteomic_fractions_linear_files/Yang_linear_img/139948568.jpg", "139948568")</f>
        <v>139948568</v>
      </c>
      <c r="B6969" s="7"/>
      <c r="C6969" s="6" t="str">
        <f>HYPERLINK("http://www.ncbi.nlm.nih.gov/protein/139948568","Snap29")</f>
        <v>Snap29</v>
      </c>
      <c r="D6969" s="8"/>
      <c r="E6969" s="8">
        <v>29441</v>
      </c>
      <c r="F6969" s="8"/>
      <c r="G6969" s="15" t="s">
        <v>10</v>
      </c>
      <c r="H6969" s="15" t="s">
        <v>10</v>
      </c>
      <c r="I6969" s="15">
        <v>1.0305312721280391</v>
      </c>
      <c r="J6969" s="15">
        <v>1.0305312721280391</v>
      </c>
      <c r="K6969" s="15">
        <v>1.0305312721280391</v>
      </c>
      <c r="L6969" s="15">
        <v>1.0305312721280391</v>
      </c>
      <c r="M6969" s="15">
        <v>0.50060254213346023</v>
      </c>
      <c r="N6969" s="15">
        <v>0.50060254213346023</v>
      </c>
      <c r="O6969" s="15">
        <v>0.90173303846293107</v>
      </c>
      <c r="P6969" s="15">
        <v>0.90173303846293107</v>
      </c>
      <c r="Q6969" s="8"/>
      <c r="R6969" s="9" t="s">
        <v>6478</v>
      </c>
    </row>
    <row r="6970" spans="1:18" x14ac:dyDescent="0.25">
      <c r="A6970" s="6" t="str">
        <f>HYPERLINK("proteomic_fractions_linear_files/Yang_linear_img/21362303.jpg", "21362303")</f>
        <v>21362303</v>
      </c>
      <c r="B6970" s="7"/>
      <c r="C6970" s="6" t="str">
        <f>HYPERLINK("http://www.ncbi.nlm.nih.gov/protein/21362303","Snap47")</f>
        <v>Snap47</v>
      </c>
      <c r="D6970" s="8"/>
      <c r="E6970" s="8">
        <v>46393</v>
      </c>
      <c r="F6970" s="8"/>
      <c r="G6970" s="15" t="s">
        <v>10</v>
      </c>
      <c r="H6970" s="15" t="s">
        <v>10</v>
      </c>
      <c r="I6970" s="15">
        <v>0.95925194015142323</v>
      </c>
      <c r="J6970" s="15">
        <v>0.95925194015142323</v>
      </c>
      <c r="K6970" s="15" t="s">
        <v>10</v>
      </c>
      <c r="L6970" s="15" t="s">
        <v>10</v>
      </c>
      <c r="M6970" s="15" t="s">
        <v>10</v>
      </c>
      <c r="N6970" s="15" t="s">
        <v>10</v>
      </c>
      <c r="O6970" s="15">
        <v>0.88059387398310318</v>
      </c>
      <c r="P6970" s="15">
        <v>0.88059387398310318</v>
      </c>
      <c r="Q6970" s="8"/>
      <c r="R6970" s="9" t="s">
        <v>6479</v>
      </c>
    </row>
    <row r="6971" spans="1:18" x14ac:dyDescent="0.25">
      <c r="A6971" s="6" t="str">
        <f>HYPERLINK("proteomic_fractions_linear_files/Yang_linear_img/7305507.jpg", "7305507")</f>
        <v>7305507</v>
      </c>
      <c r="B6971" s="7"/>
      <c r="C6971" s="6" t="str">
        <f>HYPERLINK("http://www.ncbi.nlm.nih.gov/protein/7305507","Snap91")</f>
        <v>Snap91</v>
      </c>
      <c r="D6971" s="8"/>
      <c r="E6971" s="8">
        <v>91721</v>
      </c>
      <c r="F6971" s="8"/>
      <c r="G6971" s="15" t="s">
        <v>10</v>
      </c>
      <c r="H6971" s="15" t="s">
        <v>10</v>
      </c>
      <c r="I6971" s="15">
        <v>0.79821913306176351</v>
      </c>
      <c r="J6971" s="15">
        <v>0.79821913306176351</v>
      </c>
      <c r="K6971" s="15">
        <v>0.79821913306176351</v>
      </c>
      <c r="L6971" s="15">
        <v>0.79821913306176351</v>
      </c>
      <c r="M6971" s="15" t="s">
        <v>10</v>
      </c>
      <c r="N6971" s="15" t="s">
        <v>10</v>
      </c>
      <c r="O6971" s="15">
        <v>0.37558017967907809</v>
      </c>
      <c r="P6971" s="15">
        <v>0.37558017967907809</v>
      </c>
      <c r="Q6971" s="8"/>
      <c r="R6971" s="9" t="s">
        <v>6480</v>
      </c>
    </row>
    <row r="6972" spans="1:18" x14ac:dyDescent="0.25">
      <c r="A6972" s="6" t="str">
        <f>HYPERLINK("proteomic_fractions_linear_files/Yang_linear_img/19923056.jpg", "19923056")</f>
        <v>19923056</v>
      </c>
      <c r="B6972" s="7"/>
      <c r="C6972" s="6" t="str">
        <f>HYPERLINK("http://www.ncbi.nlm.nih.gov/protein/19923056","Snapin")</f>
        <v>Snapin</v>
      </c>
      <c r="D6972" s="8"/>
      <c r="E6972" s="8">
        <v>14773</v>
      </c>
      <c r="F6972" s="8"/>
      <c r="G6972" s="15" t="s">
        <v>10</v>
      </c>
      <c r="H6972" s="15" t="s">
        <v>10</v>
      </c>
      <c r="I6972" s="15">
        <v>1.0618294522121183</v>
      </c>
      <c r="J6972" s="15">
        <v>1.0618294522121183</v>
      </c>
      <c r="K6972" s="15">
        <v>1.1144316347071348</v>
      </c>
      <c r="L6972" s="15">
        <v>1.1144316347071348</v>
      </c>
      <c r="M6972" s="15">
        <v>1.1144316347071348</v>
      </c>
      <c r="N6972" s="15">
        <v>1.1144316347071348</v>
      </c>
      <c r="O6972" s="15">
        <v>1.0130892195876191</v>
      </c>
      <c r="P6972" s="15">
        <v>1.0130892195876191</v>
      </c>
      <c r="Q6972" s="8"/>
      <c r="R6972" s="9" t="s">
        <v>6481</v>
      </c>
    </row>
    <row r="6973" spans="1:18" x14ac:dyDescent="0.25">
      <c r="A6973" s="6" t="str">
        <f>HYPERLINK("proteomic_fractions_linear_files/Yang_linear_img/77404392.jpg", "77404392")</f>
        <v>77404392</v>
      </c>
      <c r="B6973" s="7"/>
      <c r="C6973" s="6" t="str">
        <f>HYPERLINK("http://www.ncbi.nlm.nih.gov/protein/77404392","Snd1")</f>
        <v>Snd1</v>
      </c>
      <c r="D6973" s="8"/>
      <c r="E6973" s="8">
        <v>101957</v>
      </c>
      <c r="F6973" s="8"/>
      <c r="G6973" s="15">
        <v>1.2619767465207545</v>
      </c>
      <c r="H6973" s="15">
        <v>1.2619767465207545</v>
      </c>
      <c r="I6973" s="15">
        <v>1.0764859198150143</v>
      </c>
      <c r="J6973" s="15">
        <v>1.0764859198150143</v>
      </c>
      <c r="K6973" s="15">
        <v>1.2619767465207545</v>
      </c>
      <c r="L6973" s="15">
        <v>1.2619767465207545</v>
      </c>
      <c r="M6973" s="15">
        <v>1.2619767465207545</v>
      </c>
      <c r="N6973" s="15">
        <v>1.2619767465207545</v>
      </c>
      <c r="O6973" s="15">
        <v>1.2619767465207545</v>
      </c>
      <c r="P6973" s="15">
        <v>1.2619767465207545</v>
      </c>
      <c r="Q6973" s="8"/>
      <c r="R6973" s="9" t="s">
        <v>6482</v>
      </c>
    </row>
    <row r="6974" spans="1:18" x14ac:dyDescent="0.25">
      <c r="A6974" s="6" t="str">
        <f>HYPERLINK("proteomic_fractions_linear_files/Yang_linear_img/15809002.jpg", "15809002")</f>
        <v>15809002</v>
      </c>
      <c r="B6974" s="7"/>
      <c r="C6974" s="6" t="str">
        <f>HYPERLINK("http://www.ncbi.nlm.nih.gov/protein/15809002","Snf8")</f>
        <v>Snf8</v>
      </c>
      <c r="D6974" s="8"/>
      <c r="E6974" s="8">
        <v>28755</v>
      </c>
      <c r="F6974" s="8"/>
      <c r="G6974" s="15" t="s">
        <v>10</v>
      </c>
      <c r="H6974" s="15" t="s">
        <v>10</v>
      </c>
      <c r="I6974" s="15">
        <v>0.84671795218196266</v>
      </c>
      <c r="J6974" s="15">
        <v>0.84671795218196266</v>
      </c>
      <c r="K6974" s="15">
        <v>0.90173303846293107</v>
      </c>
      <c r="L6974" s="15">
        <v>0.90173303846293107</v>
      </c>
      <c r="M6974" s="15">
        <v>0.84671795218196266</v>
      </c>
      <c r="N6974" s="15">
        <v>0.84671795218196266</v>
      </c>
      <c r="O6974" s="15">
        <v>0.79688184050749811</v>
      </c>
      <c r="P6974" s="15">
        <v>0.79688184050749811</v>
      </c>
      <c r="Q6974" s="8"/>
      <c r="R6974" s="9" t="s">
        <v>6483</v>
      </c>
    </row>
    <row r="6975" spans="1:18" x14ac:dyDescent="0.25">
      <c r="A6975" s="6" t="str">
        <f>HYPERLINK("proteomic_fractions_linear_files/Yang_linear_img/40018610.jpg", "40018610")</f>
        <v>40018610</v>
      </c>
      <c r="B6975" s="7"/>
      <c r="C6975" s="6" t="str">
        <f>HYPERLINK("http://www.ncbi.nlm.nih.gov/protein/40018610","Snrnp200")</f>
        <v>Snrnp200</v>
      </c>
      <c r="D6975" s="8"/>
      <c r="E6975" s="8">
        <v>244417</v>
      </c>
      <c r="F6975" s="8"/>
      <c r="G6975" s="15">
        <v>0.95639691650757819</v>
      </c>
      <c r="H6975" s="15">
        <v>0.95639691650757819</v>
      </c>
      <c r="I6975" s="15">
        <v>0.95639691650757819</v>
      </c>
      <c r="J6975" s="15">
        <v>0.95639691650757819</v>
      </c>
      <c r="K6975" s="15">
        <v>1.2368169042479458</v>
      </c>
      <c r="L6975" s="15">
        <v>1.2368169042479458</v>
      </c>
      <c r="M6975" s="15">
        <v>1.2368169042479458</v>
      </c>
      <c r="N6975" s="15">
        <v>1.2368169042479458</v>
      </c>
      <c r="O6975" s="15">
        <v>0.95639691650757819</v>
      </c>
      <c r="P6975" s="15">
        <v>0.95639691650757819</v>
      </c>
      <c r="Q6975" s="8"/>
      <c r="R6975" s="9" t="s">
        <v>6484</v>
      </c>
    </row>
    <row r="6976" spans="1:18" x14ac:dyDescent="0.25">
      <c r="A6976" s="6" t="str">
        <f>HYPERLINK("proteomic_fractions_linear_files/Yang_linear_img/27228990.jpg", "27228990")</f>
        <v>27228990</v>
      </c>
      <c r="B6976" s="7"/>
      <c r="C6976" s="6" t="str">
        <f>HYPERLINK("http://www.ncbi.nlm.nih.gov/protein/27228990","Snrnp27")</f>
        <v>Snrnp27</v>
      </c>
      <c r="D6976" s="8"/>
      <c r="E6976" s="8">
        <v>18754</v>
      </c>
      <c r="F6976" s="8"/>
      <c r="G6976" s="15" t="s">
        <v>10</v>
      </c>
      <c r="H6976" s="15" t="s">
        <v>10</v>
      </c>
      <c r="I6976" s="15" t="s">
        <v>10</v>
      </c>
      <c r="J6976" s="15" t="s">
        <v>10</v>
      </c>
      <c r="K6976" s="15">
        <v>315.42631578947368</v>
      </c>
      <c r="L6976" s="15">
        <v>315.42631578947368</v>
      </c>
      <c r="M6976" s="15" t="s">
        <v>10</v>
      </c>
      <c r="N6976" s="15" t="s">
        <v>10</v>
      </c>
      <c r="O6976" s="15" t="s">
        <v>10</v>
      </c>
      <c r="P6976" s="15" t="s">
        <v>10</v>
      </c>
      <c r="Q6976" s="8"/>
      <c r="R6976" s="9" t="s">
        <v>6485</v>
      </c>
    </row>
    <row r="6977" spans="1:18" x14ac:dyDescent="0.25">
      <c r="A6977" s="6" t="str">
        <f>HYPERLINK("proteomic_fractions_linear_files/Yang_linear_img/115298670.jpg", "115298670")</f>
        <v>115298670</v>
      </c>
      <c r="B6977" s="7"/>
      <c r="C6977" s="6" t="str">
        <f>HYPERLINK("http://www.ncbi.nlm.nih.gov/protein/115298670","Snrnp40")</f>
        <v>Snrnp40</v>
      </c>
      <c r="D6977" s="8"/>
      <c r="E6977" s="8">
        <v>39145</v>
      </c>
      <c r="F6977" s="8"/>
      <c r="G6977" s="15">
        <v>1.2382045021644936</v>
      </c>
      <c r="H6977" s="15">
        <v>1.2382045021644936</v>
      </c>
      <c r="I6977" s="15" t="s">
        <v>10</v>
      </c>
      <c r="J6977" s="15" t="s">
        <v>10</v>
      </c>
      <c r="K6977" s="15">
        <v>0.95746990828524592</v>
      </c>
      <c r="L6977" s="15">
        <v>0.95746990828524592</v>
      </c>
      <c r="M6977" s="15">
        <v>0.95746990828524592</v>
      </c>
      <c r="N6977" s="15">
        <v>0.95746990828524592</v>
      </c>
      <c r="O6977" s="15" t="s">
        <v>10</v>
      </c>
      <c r="P6977" s="15" t="s">
        <v>10</v>
      </c>
      <c r="Q6977" s="8"/>
      <c r="R6977" s="9" t="s">
        <v>6486</v>
      </c>
    </row>
    <row r="6978" spans="1:18" x14ac:dyDescent="0.25">
      <c r="A6978" s="6" t="str">
        <f>HYPERLINK("proteomic_fractions_linear_files/Yang_linear_img/67846113.jpg", "67846113")</f>
        <v>67846113</v>
      </c>
      <c r="B6978" s="7"/>
      <c r="C6978" s="6" t="str">
        <f>HYPERLINK("http://www.ncbi.nlm.nih.gov/protein/67846113","Snrnp70")</f>
        <v>Snrnp70</v>
      </c>
      <c r="D6978" s="8"/>
      <c r="E6978" s="8">
        <v>51861</v>
      </c>
      <c r="F6978" s="8"/>
      <c r="G6978" s="15">
        <v>1.5980511244835358</v>
      </c>
      <c r="H6978" s="15">
        <v>1.5980511244835358</v>
      </c>
      <c r="I6978" s="15" t="s">
        <v>10</v>
      </c>
      <c r="J6978" s="15" t="s">
        <v>10</v>
      </c>
      <c r="K6978" s="15">
        <v>1.4122338508015817</v>
      </c>
      <c r="L6978" s="15">
        <v>1.4122338508015817</v>
      </c>
      <c r="M6978" s="15">
        <v>1.4122338508015817</v>
      </c>
      <c r="N6978" s="15">
        <v>1.4122338508015817</v>
      </c>
      <c r="O6978" s="15" t="s">
        <v>10</v>
      </c>
      <c r="P6978" s="15" t="s">
        <v>10</v>
      </c>
      <c r="Q6978" s="8"/>
      <c r="R6978" s="9" t="s">
        <v>6487</v>
      </c>
    </row>
    <row r="6979" spans="1:18" x14ac:dyDescent="0.25">
      <c r="A6979" s="6" t="str">
        <f>HYPERLINK("proteomic_fractions_linear_files/Yang_linear_img/114052106.jpg", "114052106")</f>
        <v>114052106</v>
      </c>
      <c r="B6979" s="7"/>
      <c r="C6979" s="6" t="str">
        <f>HYPERLINK("http://www.ncbi.nlm.nih.gov/protein/114052106","Snrpa")</f>
        <v>Snrpa</v>
      </c>
      <c r="D6979" s="8"/>
      <c r="E6979" s="8">
        <v>31704</v>
      </c>
      <c r="F6979" s="8"/>
      <c r="G6979" s="15">
        <v>0.87244410305256437</v>
      </c>
      <c r="H6979" s="15">
        <v>0.87244410305256437</v>
      </c>
      <c r="I6979" s="15" t="s">
        <v>10</v>
      </c>
      <c r="J6979" s="15" t="s">
        <v>10</v>
      </c>
      <c r="K6979" s="15">
        <v>0.93391896536603536</v>
      </c>
      <c r="L6979" s="15">
        <v>0.93391896536603536</v>
      </c>
      <c r="M6979" s="15">
        <v>0.93391896536603536</v>
      </c>
      <c r="N6979" s="15">
        <v>0.93391896536603536</v>
      </c>
      <c r="O6979" s="15">
        <v>0.87244410305256437</v>
      </c>
      <c r="P6979" s="15">
        <v>0.87244410305256437</v>
      </c>
      <c r="Q6979" s="8"/>
      <c r="R6979" s="9" t="s">
        <v>6488</v>
      </c>
    </row>
    <row r="6980" spans="1:18" x14ac:dyDescent="0.25">
      <c r="A6980" s="6" t="str">
        <f>HYPERLINK("proteomic_fractions_linear_files/Yang_linear_img/228480232.jpg", "228480232")</f>
        <v>228480232</v>
      </c>
      <c r="B6980" s="7"/>
      <c r="C6980" s="6" t="str">
        <f>HYPERLINK("http://www.ncbi.nlm.nih.gov/protein/228480232","Snrpa1")</f>
        <v>Snrpa1</v>
      </c>
      <c r="D6980" s="8"/>
      <c r="E6980" s="8">
        <v>28226</v>
      </c>
      <c r="F6980" s="8"/>
      <c r="G6980" s="15">
        <v>1.3336188008258782</v>
      </c>
      <c r="H6980" s="15">
        <v>1.3336188008258782</v>
      </c>
      <c r="I6980" s="15">
        <v>0.93393778983660714</v>
      </c>
      <c r="J6980" s="15">
        <v>0.93393778983660714</v>
      </c>
      <c r="K6980" s="15">
        <v>0.93393778983660714</v>
      </c>
      <c r="L6980" s="15">
        <v>0.93393778983660714</v>
      </c>
      <c r="M6980" s="15">
        <v>0.93393778983660714</v>
      </c>
      <c r="N6980" s="15">
        <v>0.93393778983660714</v>
      </c>
      <c r="O6980" s="15">
        <v>0.82534190623990877</v>
      </c>
      <c r="P6980" s="15">
        <v>0.82534190623990877</v>
      </c>
      <c r="Q6980" s="8"/>
      <c r="R6980" s="9" t="s">
        <v>6489</v>
      </c>
    </row>
    <row r="6981" spans="1:18" x14ac:dyDescent="0.25">
      <c r="A6981" s="6" t="str">
        <f>HYPERLINK("proteomic_fractions_linear_files/Yang_linear_img/6678053.jpg", "6678053")</f>
        <v>6678053</v>
      </c>
      <c r="B6981" s="7"/>
      <c r="C6981" s="6" t="str">
        <f>HYPERLINK("http://www.ncbi.nlm.nih.gov/protein/6678053","Snrpb")</f>
        <v>Snrpb</v>
      </c>
      <c r="D6981" s="8"/>
      <c r="E6981" s="8">
        <v>23525</v>
      </c>
      <c r="F6981" s="8"/>
      <c r="G6981" s="15">
        <v>1.4397240221031327</v>
      </c>
      <c r="H6981" s="15">
        <v>1.4397240221031327</v>
      </c>
      <c r="I6981" s="15">
        <v>1.0231175255532048</v>
      </c>
      <c r="J6981" s="15">
        <v>1.0231175255532048</v>
      </c>
      <c r="K6981" s="15">
        <v>1.0231175255532048</v>
      </c>
      <c r="L6981" s="15">
        <v>1.0231175255532048</v>
      </c>
      <c r="M6981" s="15">
        <v>0.69651977169195922</v>
      </c>
      <c r="N6981" s="15">
        <v>0.69651977169195922</v>
      </c>
      <c r="O6981" s="15">
        <v>0.90815592794494793</v>
      </c>
      <c r="P6981" s="15">
        <v>0.90815592794494793</v>
      </c>
      <c r="Q6981" s="8"/>
      <c r="R6981" s="9" t="s">
        <v>6490</v>
      </c>
    </row>
    <row r="6982" spans="1:18" x14ac:dyDescent="0.25">
      <c r="A6982" s="6" t="str">
        <f>HYPERLINK("proteomic_fractions_linear_files/Yang_linear_img/23956110.jpg", "23956110")</f>
        <v>23956110</v>
      </c>
      <c r="B6982" s="7"/>
      <c r="C6982" s="6" t="str">
        <f>HYPERLINK("http://www.ncbi.nlm.nih.gov/protein/23956110","Snrpb2")</f>
        <v>Snrpb2</v>
      </c>
      <c r="D6982" s="8"/>
      <c r="E6982" s="8">
        <v>25192</v>
      </c>
      <c r="F6982" s="8"/>
      <c r="G6982" s="15">
        <v>1.3821350612190073</v>
      </c>
      <c r="H6982" s="15">
        <v>1.3821350612190073</v>
      </c>
      <c r="I6982" s="15" t="s">
        <v>10</v>
      </c>
      <c r="J6982" s="15" t="s">
        <v>10</v>
      </c>
      <c r="K6982" s="15">
        <v>1.0460103246170001</v>
      </c>
      <c r="L6982" s="15">
        <v>1.0460103246170001</v>
      </c>
      <c r="M6982" s="15">
        <v>1.1954162756685252</v>
      </c>
      <c r="N6982" s="15">
        <v>1.1954162756685252</v>
      </c>
      <c r="O6982" s="15" t="s">
        <v>10</v>
      </c>
      <c r="P6982" s="15" t="s">
        <v>10</v>
      </c>
      <c r="Q6982" s="8"/>
      <c r="R6982" s="9" t="s">
        <v>6491</v>
      </c>
    </row>
    <row r="6983" spans="1:18" x14ac:dyDescent="0.25">
      <c r="A6983" s="6" t="str">
        <f>HYPERLINK("proteomic_fractions_linear_files/Yang_linear_img/6755596.jpg", "6755596")</f>
        <v>6755596</v>
      </c>
      <c r="B6983" s="7"/>
      <c r="C6983" s="6" t="str">
        <f>HYPERLINK("http://www.ncbi.nlm.nih.gov/protein/6755596","Snrpc")</f>
        <v>Snrpc</v>
      </c>
      <c r="D6983" s="8"/>
      <c r="E6983" s="8">
        <v>17233</v>
      </c>
      <c r="F6983" s="8"/>
      <c r="G6983" s="15">
        <v>0.69123033093080211</v>
      </c>
      <c r="H6983" s="15">
        <v>0.69123033093080211</v>
      </c>
      <c r="I6983" s="15">
        <v>0.71958007601949159</v>
      </c>
      <c r="J6983" s="15">
        <v>0.71958007601949159</v>
      </c>
      <c r="K6983" s="15">
        <v>0.69123033093080211</v>
      </c>
      <c r="L6983" s="15">
        <v>0.69123033093080211</v>
      </c>
      <c r="M6983" s="15" t="s">
        <v>10</v>
      </c>
      <c r="N6983" s="15" t="s">
        <v>10</v>
      </c>
      <c r="O6983" s="15">
        <v>1.1471264604726632</v>
      </c>
      <c r="P6983" s="15">
        <v>1.1471264604726632</v>
      </c>
      <c r="Q6983" s="8"/>
      <c r="R6983" s="9" t="s">
        <v>6492</v>
      </c>
    </row>
    <row r="6984" spans="1:18" x14ac:dyDescent="0.25">
      <c r="A6984" s="6" t="str">
        <f>HYPERLINK("proteomic_fractions_linear_files/Yang_linear_img/6678055.jpg", "6678055")</f>
        <v>6678055</v>
      </c>
      <c r="B6984" s="7"/>
      <c r="C6984" s="6" t="str">
        <f>HYPERLINK("http://www.ncbi.nlm.nih.gov/protein/6678055","Snrpd1")</f>
        <v>Snrpd1</v>
      </c>
      <c r="D6984" s="8"/>
      <c r="E6984" s="8">
        <v>13150</v>
      </c>
      <c r="F6984" s="8"/>
      <c r="G6984" s="15">
        <v>1.6765955592829809</v>
      </c>
      <c r="H6984" s="15">
        <v>1.6765955592829809</v>
      </c>
      <c r="I6984" s="15">
        <v>1.1167287478361805</v>
      </c>
      <c r="J6984" s="15">
        <v>1.1167287478361805</v>
      </c>
      <c r="K6984" s="15">
        <v>1.1689490995241758</v>
      </c>
      <c r="L6984" s="15">
        <v>1.1689490995241758</v>
      </c>
      <c r="M6984" s="15">
        <v>1.1689490995241758</v>
      </c>
      <c r="N6984" s="15">
        <v>1.1689490995241758</v>
      </c>
      <c r="O6984" s="15">
        <v>0.94098933017933517</v>
      </c>
      <c r="P6984" s="15">
        <v>0.94098933017933517</v>
      </c>
      <c r="Q6984" s="8"/>
      <c r="R6984" s="9" t="s">
        <v>6493</v>
      </c>
    </row>
    <row r="6985" spans="1:18" x14ac:dyDescent="0.25">
      <c r="A6985" s="6" t="str">
        <f>HYPERLINK("proteomic_fractions_linear_files/Yang_linear_img/58037145.jpg", "58037145")</f>
        <v>58037145</v>
      </c>
      <c r="B6985" s="7"/>
      <c r="C6985" s="6" t="str">
        <f>HYPERLINK("http://www.ncbi.nlm.nih.gov/protein/58037145","Snrpd2")</f>
        <v>Snrpd2</v>
      </c>
      <c r="D6985" s="8"/>
      <c r="E6985" s="8">
        <v>13396</v>
      </c>
      <c r="F6985" s="8"/>
      <c r="G6985" s="15">
        <v>1.7776594903628804</v>
      </c>
      <c r="H6985" s="15">
        <v>1.7776594903628804</v>
      </c>
      <c r="I6985" s="15">
        <v>1.1689490995241758</v>
      </c>
      <c r="J6985" s="15">
        <v>1.1689490995241758</v>
      </c>
      <c r="K6985" s="15">
        <v>1.2251878294755212</v>
      </c>
      <c r="L6985" s="15">
        <v>1.2251878294755212</v>
      </c>
      <c r="M6985" s="15">
        <v>1.1689490995241758</v>
      </c>
      <c r="N6985" s="15">
        <v>1.1689490995241758</v>
      </c>
      <c r="O6985" s="15">
        <v>1.1167287478361805</v>
      </c>
      <c r="P6985" s="15">
        <v>1.1167287478361805</v>
      </c>
      <c r="Q6985" s="8"/>
      <c r="R6985" s="9" t="s">
        <v>6494</v>
      </c>
    </row>
    <row r="6986" spans="1:18" x14ac:dyDescent="0.25">
      <c r="A6986" s="6" t="str">
        <f>HYPERLINK("proteomic_fractions_linear_files/Yang_linear_img/13385598.jpg", "13385598")</f>
        <v>13385598</v>
      </c>
      <c r="B6986" s="7"/>
      <c r="C6986" s="6" t="str">
        <f>HYPERLINK("http://www.ncbi.nlm.nih.gov/protein/13385598","Snrpd3")</f>
        <v>Snrpd3</v>
      </c>
      <c r="D6986" s="8"/>
      <c r="E6986" s="8">
        <v>13785</v>
      </c>
      <c r="F6986" s="8"/>
      <c r="G6986" s="15">
        <v>1.5568387336199108</v>
      </c>
      <c r="H6986" s="15">
        <v>1.5568387336199108</v>
      </c>
      <c r="I6986" s="15">
        <v>1.085452735272449</v>
      </c>
      <c r="J6986" s="15">
        <v>1.085452735272449</v>
      </c>
      <c r="K6986" s="15">
        <v>1.085452735272449</v>
      </c>
      <c r="L6986" s="15">
        <v>1.085452735272449</v>
      </c>
      <c r="M6986" s="15">
        <v>1.085452735272449</v>
      </c>
      <c r="N6986" s="15">
        <v>1.085452735272449</v>
      </c>
      <c r="O6986" s="15">
        <v>1.0369624087050249</v>
      </c>
      <c r="P6986" s="15">
        <v>1.0369624087050249</v>
      </c>
      <c r="Q6986" s="8"/>
      <c r="R6986" s="9" t="s">
        <v>6495</v>
      </c>
    </row>
    <row r="6987" spans="1:18" x14ac:dyDescent="0.25">
      <c r="A6987" s="6" t="str">
        <f>HYPERLINK("proteomic_fractions_linear_files/Yang_linear_img/27883844.jpg", "27883844")</f>
        <v>27883844</v>
      </c>
      <c r="B6987" s="7"/>
      <c r="C6987" s="6" t="str">
        <f>HYPERLINK("http://www.ncbi.nlm.nih.gov/protein/27883844","Snrpe")</f>
        <v>Snrpe</v>
      </c>
      <c r="D6987" s="8"/>
      <c r="E6987" s="8">
        <v>10672</v>
      </c>
      <c r="F6987" s="8"/>
      <c r="G6987" s="15">
        <v>1.1120782993028506</v>
      </c>
      <c r="H6987" s="15">
        <v>1.1120782993028506</v>
      </c>
      <c r="I6987" s="15">
        <v>1.1588381219943296</v>
      </c>
      <c r="J6987" s="15">
        <v>1.1588381219943296</v>
      </c>
      <c r="K6987" s="15">
        <v>1.2088240020910486</v>
      </c>
      <c r="L6987" s="15">
        <v>1.2088240020910486</v>
      </c>
      <c r="M6987" s="15">
        <v>1.1588381219943296</v>
      </c>
      <c r="N6987" s="15">
        <v>1.1588381219943296</v>
      </c>
      <c r="O6987" s="15">
        <v>1.1120782993028506</v>
      </c>
      <c r="P6987" s="15">
        <v>1.1120782993028506</v>
      </c>
      <c r="Q6987" s="8"/>
      <c r="R6987" s="9" t="s">
        <v>6496</v>
      </c>
    </row>
    <row r="6988" spans="1:18" x14ac:dyDescent="0.25">
      <c r="A6988" s="6" t="str">
        <f>HYPERLINK("proteomic_fractions_linear_files/Yang_linear_img/254028189.jpg", "254028189")</f>
        <v>254028189</v>
      </c>
      <c r="B6988" s="7"/>
      <c r="C6988" s="6" t="str">
        <f>HYPERLINK("http://www.ncbi.nlm.nih.gov/protein/254028189","Snrpf")</f>
        <v>Snrpf</v>
      </c>
      <c r="D6988" s="8"/>
      <c r="E6988" s="8">
        <v>9594</v>
      </c>
      <c r="F6988" s="8"/>
      <c r="G6988" s="15">
        <v>1.9501149828035274</v>
      </c>
      <c r="H6988" s="15">
        <v>1.9501149828035274</v>
      </c>
      <c r="I6988" s="15">
        <v>1.2747219341937626</v>
      </c>
      <c r="J6988" s="15">
        <v>1.2747219341937626</v>
      </c>
      <c r="K6988" s="15">
        <v>1.3297064023001535</v>
      </c>
      <c r="L6988" s="15">
        <v>1.3297064023001535</v>
      </c>
      <c r="M6988" s="15">
        <v>1.2747219341937626</v>
      </c>
      <c r="N6988" s="15">
        <v>1.2747219341937626</v>
      </c>
      <c r="O6988" s="15">
        <v>1.2747219341937626</v>
      </c>
      <c r="P6988" s="15">
        <v>1.2747219341937626</v>
      </c>
      <c r="Q6988" s="8"/>
      <c r="R6988" s="9" t="s">
        <v>6497</v>
      </c>
    </row>
    <row r="6989" spans="1:18" x14ac:dyDescent="0.25">
      <c r="A6989" s="6" t="str">
        <f>HYPERLINK("proteomic_fractions_linear_files/Yang_linear_img/13385994.jpg", "13385994")</f>
        <v>13385994</v>
      </c>
      <c r="B6989" s="7"/>
      <c r="C6989" s="6" t="str">
        <f>HYPERLINK("http://www.ncbi.nlm.nih.gov/protein/13385994","Snrpg")</f>
        <v>Snrpg</v>
      </c>
      <c r="D6989" s="8"/>
      <c r="E6989" s="8">
        <v>8365</v>
      </c>
      <c r="F6989" s="8"/>
      <c r="G6989" s="15">
        <v>1.5291076615414196</v>
      </c>
      <c r="H6989" s="15">
        <v>1.5291076615414196</v>
      </c>
      <c r="I6989" s="15">
        <v>1.5291076615414196</v>
      </c>
      <c r="J6989" s="15">
        <v>1.5291076615414196</v>
      </c>
      <c r="K6989" s="15">
        <v>1.5291076615414196</v>
      </c>
      <c r="L6989" s="15">
        <v>1.5291076615414196</v>
      </c>
      <c r="M6989" s="15">
        <v>1.5934024177422033</v>
      </c>
      <c r="N6989" s="15">
        <v>1.5934024177422033</v>
      </c>
      <c r="O6989" s="15">
        <v>1.5291076615414196</v>
      </c>
      <c r="P6989" s="15">
        <v>1.5291076615414196</v>
      </c>
      <c r="Q6989" s="8"/>
      <c r="R6989" s="9" t="s">
        <v>6498</v>
      </c>
    </row>
    <row r="6990" spans="1:18" x14ac:dyDescent="0.25">
      <c r="A6990" s="6" t="str">
        <f>HYPERLINK("proteomic_fractions_linear_files/Yang_linear_img/7305509.jpg", "7305509")</f>
        <v>7305509</v>
      </c>
      <c r="B6990" s="7"/>
      <c r="C6990" s="6" t="str">
        <f>HYPERLINK("http://www.ncbi.nlm.nih.gov/protein/7305509","Snrpn")</f>
        <v>Snrpn</v>
      </c>
      <c r="D6990" s="8"/>
      <c r="E6990" s="8">
        <v>24483</v>
      </c>
      <c r="F6990" s="8"/>
      <c r="G6990" s="15">
        <v>1.4397240221031327</v>
      </c>
      <c r="H6990" s="15">
        <v>1.4397240221031327</v>
      </c>
      <c r="I6990" s="15">
        <v>1.0231175255532048</v>
      </c>
      <c r="J6990" s="15">
        <v>1.0231175255532048</v>
      </c>
      <c r="K6990" s="15">
        <v>1.0231175255532048</v>
      </c>
      <c r="L6990" s="15">
        <v>1.0231175255532048</v>
      </c>
      <c r="M6990" s="15">
        <v>0.69651977169195922</v>
      </c>
      <c r="N6990" s="15">
        <v>0.69651977169195922</v>
      </c>
      <c r="O6990" s="15">
        <v>0.90815592794494793</v>
      </c>
      <c r="P6990" s="15">
        <v>0.90815592794494793</v>
      </c>
      <c r="Q6990" s="8"/>
      <c r="R6990" s="9" t="s">
        <v>6499</v>
      </c>
    </row>
    <row r="6991" spans="1:18" x14ac:dyDescent="0.25">
      <c r="A6991" s="6" t="str">
        <f>HYPERLINK("proteomic_fractions_linear_files/Yang_linear_img/160333722.jpg", "160333722")</f>
        <v>160333722</v>
      </c>
      <c r="B6991" s="7"/>
      <c r="C6991" s="6" t="str">
        <f>HYPERLINK("http://www.ncbi.nlm.nih.gov/protein/160333722","Snta1")</f>
        <v>Snta1</v>
      </c>
      <c r="D6991" s="8"/>
      <c r="E6991" s="8">
        <v>53152</v>
      </c>
      <c r="F6991" s="8"/>
      <c r="G6991" s="15" t="s">
        <v>10</v>
      </c>
      <c r="H6991" s="15" t="s">
        <v>10</v>
      </c>
      <c r="I6991" s="15" t="s">
        <v>10</v>
      </c>
      <c r="J6991" s="15" t="s">
        <v>10</v>
      </c>
      <c r="K6991" s="15">
        <v>1.1089284450112047</v>
      </c>
      <c r="L6991" s="15">
        <v>1.1089284450112047</v>
      </c>
      <c r="M6991" s="15" t="s">
        <v>10</v>
      </c>
      <c r="N6991" s="15" t="s">
        <v>10</v>
      </c>
      <c r="O6991" s="15" t="s">
        <v>10</v>
      </c>
      <c r="P6991" s="15" t="s">
        <v>10</v>
      </c>
      <c r="Q6991" s="8"/>
      <c r="R6991" s="9" t="s">
        <v>6500</v>
      </c>
    </row>
    <row r="6992" spans="1:18" x14ac:dyDescent="0.25">
      <c r="A6992" s="6" t="str">
        <f>HYPERLINK("proteomic_fractions_linear_files/Yang_linear_img/6678059.jpg", "6678059")</f>
        <v>6678059</v>
      </c>
      <c r="B6992" s="7"/>
      <c r="C6992" s="6" t="str">
        <f>HYPERLINK("http://www.ncbi.nlm.nih.gov/protein/6678059","Sntb2")</f>
        <v>Sntb2</v>
      </c>
      <c r="D6992" s="8"/>
      <c r="E6992" s="8">
        <v>56251</v>
      </c>
      <c r="F6992" s="8"/>
      <c r="G6992" s="15" t="s">
        <v>10</v>
      </c>
      <c r="H6992" s="15" t="s">
        <v>10</v>
      </c>
      <c r="I6992" s="15">
        <v>1.0495215640284616</v>
      </c>
      <c r="J6992" s="15">
        <v>1.0495215640284616</v>
      </c>
      <c r="K6992" s="15">
        <v>1.0495215640284616</v>
      </c>
      <c r="L6992" s="15">
        <v>1.0495215640284616</v>
      </c>
      <c r="M6992" s="15" t="s">
        <v>10</v>
      </c>
      <c r="N6992" s="15" t="s">
        <v>10</v>
      </c>
      <c r="O6992" s="15" t="s">
        <v>10</v>
      </c>
      <c r="P6992" s="15" t="s">
        <v>10</v>
      </c>
      <c r="Q6992" s="8"/>
      <c r="R6992" s="9" t="s">
        <v>6501</v>
      </c>
    </row>
    <row r="6993" spans="1:18" x14ac:dyDescent="0.25">
      <c r="A6993" s="6" t="str">
        <f>HYPERLINK("proteomic_fractions_linear_files/Yang_linear_img/146149191.jpg", "146149191")</f>
        <v>146149191</v>
      </c>
      <c r="B6993" s="7"/>
      <c r="C6993" s="6" t="str">
        <f>HYPERLINK("http://www.ncbi.nlm.nih.gov/protein/146149191","Snw1")</f>
        <v>Snw1</v>
      </c>
      <c r="D6993" s="8"/>
      <c r="E6993" s="8">
        <v>61331</v>
      </c>
      <c r="F6993" s="8"/>
      <c r="G6993" s="15">
        <v>1.3622730897236699</v>
      </c>
      <c r="H6993" s="15">
        <v>1.3622730897236699</v>
      </c>
      <c r="I6993" s="15">
        <v>1.0730043168941694</v>
      </c>
      <c r="J6993" s="15">
        <v>1.0730043168941694</v>
      </c>
      <c r="K6993" s="15">
        <v>1.2038714793718401</v>
      </c>
      <c r="L6993" s="15">
        <v>1.2038714793718401</v>
      </c>
      <c r="M6993" s="15" t="s">
        <v>10</v>
      </c>
      <c r="N6993" s="15" t="s">
        <v>10</v>
      </c>
      <c r="O6993" s="15">
        <v>1.0730043168941694</v>
      </c>
      <c r="P6993" s="15">
        <v>1.0730043168941694</v>
      </c>
      <c r="Q6993" s="8"/>
      <c r="R6993" s="9" t="s">
        <v>6502</v>
      </c>
    </row>
    <row r="6994" spans="1:18" x14ac:dyDescent="0.25">
      <c r="A6994" s="6" t="str">
        <f>HYPERLINK("proteomic_fractions_linear_files/Yang_linear_img/71043944.jpg", "71043944")</f>
        <v>71043944</v>
      </c>
      <c r="B6994" s="7"/>
      <c r="C6994" s="6" t="str">
        <f>HYPERLINK("http://www.ncbi.nlm.nih.gov/protein/71043944","Snx1")</f>
        <v>Snx1</v>
      </c>
      <c r="D6994" s="8"/>
      <c r="E6994" s="8">
        <v>58748</v>
      </c>
      <c r="F6994" s="8"/>
      <c r="G6994" s="15">
        <v>1.1093773445854971</v>
      </c>
      <c r="H6994" s="15">
        <v>1.1093773445854971</v>
      </c>
      <c r="I6994" s="15">
        <v>1.244680682062411</v>
      </c>
      <c r="J6994" s="15">
        <v>1.244680682062411</v>
      </c>
      <c r="K6994" s="15">
        <v>1.4084518385278619</v>
      </c>
      <c r="L6994" s="15">
        <v>1.4084518385278619</v>
      </c>
      <c r="M6994" s="15">
        <v>1.4084518385278619</v>
      </c>
      <c r="N6994" s="15">
        <v>1.4084518385278619</v>
      </c>
      <c r="O6994" s="15">
        <v>1.244680682062411</v>
      </c>
      <c r="P6994" s="15">
        <v>1.244680682062411</v>
      </c>
      <c r="Q6994" s="8"/>
      <c r="R6994" s="9" t="s">
        <v>6503</v>
      </c>
    </row>
    <row r="6995" spans="1:18" x14ac:dyDescent="0.25">
      <c r="A6995" s="6" t="str">
        <f>HYPERLINK("proteomic_fractions_linear_files/Yang_linear_img/160333829.jpg", "160333829")</f>
        <v>160333829</v>
      </c>
      <c r="B6995" s="7"/>
      <c r="C6995" s="6" t="str">
        <f>HYPERLINK("http://www.ncbi.nlm.nih.gov/protein/160333829","Snx12")</f>
        <v>Snx12</v>
      </c>
      <c r="D6995" s="8"/>
      <c r="E6995" s="8">
        <v>19115</v>
      </c>
      <c r="F6995" s="8"/>
      <c r="G6995" s="15">
        <v>1.2923589796461534</v>
      </c>
      <c r="H6995" s="15">
        <v>1.2923589796461534</v>
      </c>
      <c r="I6995" s="15">
        <v>0.87981444845300116</v>
      </c>
      <c r="J6995" s="15">
        <v>0.87981444845300116</v>
      </c>
      <c r="K6995" s="15">
        <v>0.92473367186099831</v>
      </c>
      <c r="L6995" s="15">
        <v>0.92473367186099831</v>
      </c>
      <c r="M6995" s="15">
        <v>0.92473367186099831</v>
      </c>
      <c r="N6995" s="15">
        <v>0.92473367186099831</v>
      </c>
      <c r="O6995" s="15">
        <v>0.87981444845300116</v>
      </c>
      <c r="P6995" s="15">
        <v>0.87981444845300116</v>
      </c>
      <c r="Q6995" s="8"/>
      <c r="R6995" s="9" t="s">
        <v>6504</v>
      </c>
    </row>
    <row r="6996" spans="1:18" x14ac:dyDescent="0.25">
      <c r="A6996" s="6" t="str">
        <f>HYPERLINK("proteomic_fractions_linear_files/Yang_linear_img/160333832.jpg", "160333832")</f>
        <v>160333832</v>
      </c>
      <c r="B6996" s="7"/>
      <c r="C6996" s="6" t="str">
        <f>HYPERLINK("http://www.ncbi.nlm.nih.gov/protein/160333832","Snx12")</f>
        <v>Snx12</v>
      </c>
      <c r="D6996" s="8"/>
      <c r="E6996" s="8">
        <v>18753</v>
      </c>
      <c r="F6996" s="8"/>
      <c r="G6996" s="15">
        <v>1.2923589796461534</v>
      </c>
      <c r="H6996" s="15">
        <v>1.2923589796461534</v>
      </c>
      <c r="I6996" s="15">
        <v>0.87981444845300116</v>
      </c>
      <c r="J6996" s="15">
        <v>0.87981444845300116</v>
      </c>
      <c r="K6996" s="15">
        <v>0.92473367186099831</v>
      </c>
      <c r="L6996" s="15">
        <v>0.92473367186099831</v>
      </c>
      <c r="M6996" s="15">
        <v>0.92473367186099831</v>
      </c>
      <c r="N6996" s="15">
        <v>0.92473367186099831</v>
      </c>
      <c r="O6996" s="15">
        <v>0.87981444845300116</v>
      </c>
      <c r="P6996" s="15">
        <v>0.87981444845300116</v>
      </c>
      <c r="Q6996" s="8"/>
      <c r="R6996" s="9" t="s">
        <v>6505</v>
      </c>
    </row>
    <row r="6997" spans="1:18" x14ac:dyDescent="0.25">
      <c r="A6997" s="6" t="str">
        <f>HYPERLINK("proteomic_fractions_linear_files/Yang_linear_img/160333835.jpg", "160333835")</f>
        <v>160333835</v>
      </c>
      <c r="B6997" s="7"/>
      <c r="C6997" s="6" t="str">
        <f>HYPERLINK("http://www.ncbi.nlm.nih.gov/protein/160333835","Snx12")</f>
        <v>Snx12</v>
      </c>
      <c r="D6997" s="8"/>
      <c r="E6997" s="8">
        <v>19677</v>
      </c>
      <c r="F6997" s="8"/>
      <c r="G6997" s="15">
        <v>1.2277410306638459</v>
      </c>
      <c r="H6997" s="15">
        <v>1.2277410306638459</v>
      </c>
      <c r="I6997" s="15">
        <v>0.83582372603035116</v>
      </c>
      <c r="J6997" s="15">
        <v>0.83582372603035116</v>
      </c>
      <c r="K6997" s="15">
        <v>0.87849698826794831</v>
      </c>
      <c r="L6997" s="15">
        <v>0.87849698826794831</v>
      </c>
      <c r="M6997" s="15">
        <v>0.87849698826794831</v>
      </c>
      <c r="N6997" s="15">
        <v>0.87849698826794831</v>
      </c>
      <c r="O6997" s="15">
        <v>0.83582372603035116</v>
      </c>
      <c r="P6997" s="15">
        <v>0.83582372603035116</v>
      </c>
      <c r="Q6997" s="8"/>
      <c r="R6997" s="9" t="s">
        <v>6506</v>
      </c>
    </row>
    <row r="6998" spans="1:18" x14ac:dyDescent="0.25">
      <c r="A6998" s="6" t="str">
        <f>HYPERLINK("proteomic_fractions_linear_files/Yang_linear_img/238814328.jpg", "238814328")</f>
        <v>238814328</v>
      </c>
      <c r="B6998" s="7"/>
      <c r="C6998" s="6" t="str">
        <f>HYPERLINK("http://www.ncbi.nlm.nih.gov/protein/238814328","Snx14")</f>
        <v>Snx14</v>
      </c>
      <c r="D6998" s="8"/>
      <c r="E6998" s="8">
        <v>111735</v>
      </c>
      <c r="F6998" s="8"/>
      <c r="G6998" s="15" t="s">
        <v>10</v>
      </c>
      <c r="H6998" s="15" t="s">
        <v>10</v>
      </c>
      <c r="I6998" s="15">
        <v>0.98037110554581663</v>
      </c>
      <c r="J6998" s="15">
        <v>0.98037110554581663</v>
      </c>
      <c r="K6998" s="15">
        <v>1.1493002512956871</v>
      </c>
      <c r="L6998" s="15">
        <v>1.1493002512956871</v>
      </c>
      <c r="M6998" s="15" t="s">
        <v>10</v>
      </c>
      <c r="N6998" s="15" t="s">
        <v>10</v>
      </c>
      <c r="O6998" s="15" t="s">
        <v>10</v>
      </c>
      <c r="P6998" s="15" t="s">
        <v>10</v>
      </c>
      <c r="Q6998" s="8"/>
      <c r="R6998" s="9" t="s">
        <v>6507</v>
      </c>
    </row>
    <row r="6999" spans="1:18" x14ac:dyDescent="0.25">
      <c r="A6999" s="6" t="str">
        <f>HYPERLINK("proteomic_fractions_linear_files/Yang_linear_img/24211031.jpg", "24211031")</f>
        <v>24211031</v>
      </c>
      <c r="B6999" s="7"/>
      <c r="C6999" s="6" t="str">
        <f>HYPERLINK("http://www.ncbi.nlm.nih.gov/protein/24211031","Snx17")</f>
        <v>Snx17</v>
      </c>
      <c r="D6999" s="8"/>
      <c r="E6999" s="8">
        <v>52666</v>
      </c>
      <c r="F6999" s="8"/>
      <c r="G6999" s="15" t="s">
        <v>10</v>
      </c>
      <c r="H6999" s="15" t="s">
        <v>10</v>
      </c>
      <c r="I6999" s="15">
        <v>1.0022748986792656</v>
      </c>
      <c r="J6999" s="15">
        <v>1.0022748986792656</v>
      </c>
      <c r="K6999" s="15" t="s">
        <v>10</v>
      </c>
      <c r="L6999" s="15" t="s">
        <v>10</v>
      </c>
      <c r="M6999" s="15" t="s">
        <v>10</v>
      </c>
      <c r="N6999" s="15" t="s">
        <v>10</v>
      </c>
      <c r="O6999" s="15" t="s">
        <v>10</v>
      </c>
      <c r="P6999" s="15" t="s">
        <v>10</v>
      </c>
      <c r="Q6999" s="8"/>
      <c r="R6999" s="9" t="s">
        <v>6508</v>
      </c>
    </row>
    <row r="7000" spans="1:18" x14ac:dyDescent="0.25">
      <c r="A7000" s="6" t="str">
        <f>HYPERLINK("proteomic_fractions_linear_files/Yang_linear_img/91598596.jpg", "91598596")</f>
        <v>91598596</v>
      </c>
      <c r="B7000" s="7"/>
      <c r="C7000" s="6" t="str">
        <f>HYPERLINK("http://www.ncbi.nlm.nih.gov/protein/91598596","Snx18")</f>
        <v>Snx18</v>
      </c>
      <c r="D7000" s="8"/>
      <c r="E7000" s="8">
        <v>67659</v>
      </c>
      <c r="F7000" s="8"/>
      <c r="G7000" s="15" t="s">
        <v>10</v>
      </c>
      <c r="H7000" s="15" t="s">
        <v>10</v>
      </c>
      <c r="I7000" s="15">
        <v>1.0799435329659153</v>
      </c>
      <c r="J7000" s="15">
        <v>1.0799435329659153</v>
      </c>
      <c r="K7000" s="15" t="s">
        <v>10</v>
      </c>
      <c r="L7000" s="15" t="s">
        <v>10</v>
      </c>
      <c r="M7000" s="15">
        <v>1.222039095193292</v>
      </c>
      <c r="N7000" s="15">
        <v>1.222039095193292</v>
      </c>
      <c r="O7000" s="15" t="s">
        <v>10</v>
      </c>
      <c r="P7000" s="15" t="s">
        <v>10</v>
      </c>
      <c r="Q7000" s="8"/>
      <c r="R7000" s="9" t="s">
        <v>6509</v>
      </c>
    </row>
    <row r="7001" spans="1:18" x14ac:dyDescent="0.25">
      <c r="A7001" s="6" t="str">
        <f>HYPERLINK("proteomic_fractions_linear_files/Yang_linear_img/13385878.jpg", "13385878")</f>
        <v>13385878</v>
      </c>
      <c r="B7001" s="7"/>
      <c r="C7001" s="6" t="str">
        <f>HYPERLINK("http://www.ncbi.nlm.nih.gov/protein/13385878","Snx2")</f>
        <v>Snx2</v>
      </c>
      <c r="D7001" s="8"/>
      <c r="E7001" s="8">
        <v>58340</v>
      </c>
      <c r="F7001" s="8"/>
      <c r="G7001" s="15" t="s">
        <v>10</v>
      </c>
      <c r="H7001" s="15" t="s">
        <v>10</v>
      </c>
      <c r="I7001" s="15">
        <v>1.2661406938221076</v>
      </c>
      <c r="J7001" s="15">
        <v>1.2661406938221076</v>
      </c>
      <c r="K7001" s="15">
        <v>1.4327354909162735</v>
      </c>
      <c r="L7001" s="15">
        <v>1.4327354909162735</v>
      </c>
      <c r="M7001" s="15">
        <v>1.4327354909162735</v>
      </c>
      <c r="N7001" s="15">
        <v>1.4327354909162735</v>
      </c>
      <c r="O7001" s="15">
        <v>1.2661406938221076</v>
      </c>
      <c r="P7001" s="15">
        <v>1.2661406938221076</v>
      </c>
      <c r="Q7001" s="8"/>
      <c r="R7001" s="9" t="s">
        <v>6510</v>
      </c>
    </row>
    <row r="7002" spans="1:18" x14ac:dyDescent="0.25">
      <c r="A7002" s="6" t="str">
        <f>HYPERLINK("proteomic_fractions_linear_files/Yang_linear_img/110625874.jpg", "110625874")</f>
        <v>110625874</v>
      </c>
      <c r="B7002" s="7"/>
      <c r="C7002" s="6" t="str">
        <f>HYPERLINK("http://www.ncbi.nlm.nih.gov/protein/110625874","Snx21")</f>
        <v>Snx21</v>
      </c>
      <c r="D7002" s="8"/>
      <c r="E7002" s="8">
        <v>40177</v>
      </c>
      <c r="F7002" s="8"/>
      <c r="G7002" s="15" t="s">
        <v>10</v>
      </c>
      <c r="H7002" s="15" t="s">
        <v>10</v>
      </c>
      <c r="I7002" s="15" t="s">
        <v>10</v>
      </c>
      <c r="J7002" s="15" t="s">
        <v>10</v>
      </c>
      <c r="K7002" s="15" t="s">
        <v>10</v>
      </c>
      <c r="L7002" s="15" t="s">
        <v>10</v>
      </c>
      <c r="M7002" s="15">
        <v>1.3280142407500271</v>
      </c>
      <c r="N7002" s="15">
        <v>1.3280142407500271</v>
      </c>
      <c r="O7002" s="15" t="s">
        <v>10</v>
      </c>
      <c r="P7002" s="15" t="s">
        <v>10</v>
      </c>
      <c r="Q7002" s="8"/>
      <c r="R7002" s="9" t="s">
        <v>6511</v>
      </c>
    </row>
    <row r="7003" spans="1:18" x14ac:dyDescent="0.25">
      <c r="A7003" s="6" t="str">
        <f>HYPERLINK("proteomic_fractions_linear_files/Yang_linear_img/21313014.jpg", "21313014")</f>
        <v>21313014</v>
      </c>
      <c r="B7003" s="7"/>
      <c r="C7003" s="6" t="str">
        <f>HYPERLINK("http://www.ncbi.nlm.nih.gov/protein/21313014","Snx24")</f>
        <v>Snx24</v>
      </c>
      <c r="D7003" s="8"/>
      <c r="E7003" s="8">
        <v>19522</v>
      </c>
      <c r="F7003" s="8"/>
      <c r="G7003" s="15" t="s">
        <v>10</v>
      </c>
      <c r="H7003" s="15" t="s">
        <v>10</v>
      </c>
      <c r="I7003" s="15" t="s">
        <v>10</v>
      </c>
      <c r="J7003" s="15" t="s">
        <v>10</v>
      </c>
      <c r="K7003" s="15">
        <v>1.0298720593328137</v>
      </c>
      <c r="L7003" s="15">
        <v>1.0298720593328137</v>
      </c>
      <c r="M7003" s="15">
        <v>1.0298720593328137</v>
      </c>
      <c r="N7003" s="15">
        <v>1.0298720593328137</v>
      </c>
      <c r="O7003" s="15" t="s">
        <v>10</v>
      </c>
      <c r="P7003" s="15" t="s">
        <v>10</v>
      </c>
      <c r="Q7003" s="8"/>
      <c r="R7003" s="9" t="s">
        <v>6512</v>
      </c>
    </row>
    <row r="7004" spans="1:18" x14ac:dyDescent="0.25">
      <c r="A7004" s="6" t="str">
        <f>HYPERLINK("proteomic_fractions_linear_files/Yang_linear_img/126722910.jpg", "126722910")</f>
        <v>126722910</v>
      </c>
      <c r="B7004" s="7"/>
      <c r="C7004" s="6" t="str">
        <f>HYPERLINK("http://www.ncbi.nlm.nih.gov/protein/126722910","Snx27")</f>
        <v>Snx27</v>
      </c>
      <c r="D7004" s="8"/>
      <c r="E7004" s="8">
        <v>59403</v>
      </c>
      <c r="F7004" s="8"/>
      <c r="G7004" s="15" t="s">
        <v>10</v>
      </c>
      <c r="H7004" s="15" t="s">
        <v>10</v>
      </c>
      <c r="I7004" s="15">
        <v>1.1093773445854971</v>
      </c>
      <c r="J7004" s="15">
        <v>1.1093773445854971</v>
      </c>
      <c r="K7004" s="15">
        <v>1.1093773445854971</v>
      </c>
      <c r="L7004" s="15">
        <v>1.1093773445854971</v>
      </c>
      <c r="M7004" s="15" t="s">
        <v>10</v>
      </c>
      <c r="N7004" s="15" t="s">
        <v>10</v>
      </c>
      <c r="O7004" s="15" t="s">
        <v>10</v>
      </c>
      <c r="P7004" s="15" t="s">
        <v>10</v>
      </c>
      <c r="Q7004" s="8"/>
      <c r="R7004" s="9" t="s">
        <v>6513</v>
      </c>
    </row>
    <row r="7005" spans="1:18" x14ac:dyDescent="0.25">
      <c r="A7005" s="6" t="str">
        <f>HYPERLINK("proteomic_fractions_linear_files/Yang_linear_img/126723792.jpg", "126723792")</f>
        <v>126723792</v>
      </c>
      <c r="B7005" s="7"/>
      <c r="C7005" s="6" t="str">
        <f>HYPERLINK("http://www.ncbi.nlm.nih.gov/protein/126723792","Snx27")</f>
        <v>Snx27</v>
      </c>
      <c r="D7005" s="8"/>
      <c r="E7005" s="8">
        <v>60858</v>
      </c>
      <c r="F7005" s="8"/>
      <c r="G7005" s="15" t="s">
        <v>10</v>
      </c>
      <c r="H7005" s="15" t="s">
        <v>10</v>
      </c>
      <c r="I7005" s="15">
        <v>1.0730043168941694</v>
      </c>
      <c r="J7005" s="15">
        <v>1.0730043168941694</v>
      </c>
      <c r="K7005" s="15">
        <v>1.0730043168941694</v>
      </c>
      <c r="L7005" s="15">
        <v>1.0730043168941694</v>
      </c>
      <c r="M7005" s="15" t="s">
        <v>10</v>
      </c>
      <c r="N7005" s="15" t="s">
        <v>10</v>
      </c>
      <c r="O7005" s="15" t="s">
        <v>10</v>
      </c>
      <c r="P7005" s="15" t="s">
        <v>10</v>
      </c>
      <c r="Q7005" s="8"/>
      <c r="R7005" s="9" t="s">
        <v>6514</v>
      </c>
    </row>
    <row r="7006" spans="1:18" x14ac:dyDescent="0.25">
      <c r="A7006" s="6" t="str">
        <f>HYPERLINK("proteomic_fractions_linear_files/Yang_linear_img/343790938.jpg", "343790938")</f>
        <v>343790938</v>
      </c>
      <c r="B7006" s="7"/>
      <c r="C7006" s="6" t="str">
        <f>HYPERLINK("http://www.ncbi.nlm.nih.gov/protein/343790938","Snx29")</f>
        <v>Snx29</v>
      </c>
      <c r="D7006" s="8"/>
      <c r="E7006" s="8">
        <v>91256</v>
      </c>
      <c r="F7006" s="8"/>
      <c r="G7006" s="15" t="s">
        <v>10</v>
      </c>
      <c r="H7006" s="15" t="s">
        <v>10</v>
      </c>
      <c r="I7006" s="15" t="s">
        <v>10</v>
      </c>
      <c r="J7006" s="15" t="s">
        <v>10</v>
      </c>
      <c r="K7006" s="15" t="s">
        <v>10</v>
      </c>
      <c r="L7006" s="15" t="s">
        <v>10</v>
      </c>
      <c r="M7006" s="15" t="s">
        <v>10</v>
      </c>
      <c r="N7006" s="15" t="s">
        <v>10</v>
      </c>
      <c r="O7006" s="15">
        <v>2.0523717762630809</v>
      </c>
      <c r="P7006" s="15">
        <v>2.0523717762630809</v>
      </c>
      <c r="Q7006" s="8"/>
      <c r="R7006" s="9" t="s">
        <v>6515</v>
      </c>
    </row>
    <row r="7007" spans="1:18" x14ac:dyDescent="0.25">
      <c r="A7007" s="6" t="str">
        <f>HYPERLINK("proteomic_fractions_linear_files/Yang_linear_img/31560433.jpg", "31560433")</f>
        <v>31560433</v>
      </c>
      <c r="B7007" s="7"/>
      <c r="C7007" s="6" t="str">
        <f>HYPERLINK("http://www.ncbi.nlm.nih.gov/protein/31560433","Snx3")</f>
        <v>Snx3</v>
      </c>
      <c r="D7007" s="8"/>
      <c r="E7007" s="8">
        <v>18631</v>
      </c>
      <c r="F7007" s="8"/>
      <c r="G7007" s="15">
        <v>1.2923589796461534</v>
      </c>
      <c r="H7007" s="15">
        <v>1.2923589796461534</v>
      </c>
      <c r="I7007" s="15">
        <v>0.87981444845300116</v>
      </c>
      <c r="J7007" s="15">
        <v>0.87981444845300116</v>
      </c>
      <c r="K7007" s="15">
        <v>0.87981444845300116</v>
      </c>
      <c r="L7007" s="15">
        <v>0.87981444845300116</v>
      </c>
      <c r="M7007" s="15">
        <v>0.92473367186099831</v>
      </c>
      <c r="N7007" s="15">
        <v>0.92473367186099831</v>
      </c>
      <c r="O7007" s="15">
        <v>0.87981444845300116</v>
      </c>
      <c r="P7007" s="15">
        <v>0.87981444845300116</v>
      </c>
      <c r="Q7007" s="8"/>
      <c r="R7007" s="9" t="s">
        <v>6516</v>
      </c>
    </row>
    <row r="7008" spans="1:18" x14ac:dyDescent="0.25">
      <c r="A7008" s="6" t="str">
        <f>HYPERLINK("proteomic_fractions_linear_files/Yang_linear_img/66792896.jpg", "66792896")</f>
        <v>66792896</v>
      </c>
      <c r="B7008" s="7"/>
      <c r="C7008" s="6" t="str">
        <f>HYPERLINK("http://www.ncbi.nlm.nih.gov/protein/66792896","Snx32")</f>
        <v>Snx32</v>
      </c>
      <c r="D7008" s="8"/>
      <c r="E7008" s="8">
        <v>46516</v>
      </c>
      <c r="F7008" s="8"/>
      <c r="G7008" s="15" t="s">
        <v>10</v>
      </c>
      <c r="H7008" s="15" t="s">
        <v>10</v>
      </c>
      <c r="I7008" s="15" t="s">
        <v>10</v>
      </c>
      <c r="J7008" s="15" t="s">
        <v>10</v>
      </c>
      <c r="K7008" s="15" t="s">
        <v>10</v>
      </c>
      <c r="L7008" s="15" t="s">
        <v>10</v>
      </c>
      <c r="M7008" s="15">
        <v>1.0274462890301117</v>
      </c>
      <c r="N7008" s="15">
        <v>1.0274462890301117</v>
      </c>
      <c r="O7008" s="15" t="s">
        <v>10</v>
      </c>
      <c r="P7008" s="15" t="s">
        <v>10</v>
      </c>
      <c r="Q7008" s="8"/>
      <c r="R7008" s="9" t="s">
        <v>6517</v>
      </c>
    </row>
    <row r="7009" spans="1:18" x14ac:dyDescent="0.25">
      <c r="A7009" s="6" t="str">
        <f>HYPERLINK("proteomic_fractions_linear_files/Yang_linear_img/18017596.jpg", "18017596")</f>
        <v>18017596</v>
      </c>
      <c r="B7009" s="7"/>
      <c r="C7009" s="6" t="str">
        <f>HYPERLINK("http://www.ncbi.nlm.nih.gov/protein/18017596","Snx4")</f>
        <v>Snx4</v>
      </c>
      <c r="D7009" s="8"/>
      <c r="E7009" s="8">
        <v>51647</v>
      </c>
      <c r="F7009" s="8"/>
      <c r="G7009" s="15" t="s">
        <v>10</v>
      </c>
      <c r="H7009" s="15" t="s">
        <v>10</v>
      </c>
      <c r="I7009" s="15">
        <v>1.0215494159615592</v>
      </c>
      <c r="J7009" s="15">
        <v>1.0215494159615592</v>
      </c>
      <c r="K7009" s="15">
        <v>1.1302539920306509</v>
      </c>
      <c r="L7009" s="15">
        <v>1.1302539920306509</v>
      </c>
      <c r="M7009" s="15">
        <v>1.1302539920306509</v>
      </c>
      <c r="N7009" s="15">
        <v>1.1302539920306509</v>
      </c>
      <c r="O7009" s="15">
        <v>1.0215494159615592</v>
      </c>
      <c r="P7009" s="15">
        <v>1.0215494159615592</v>
      </c>
      <c r="Q7009" s="8"/>
      <c r="R7009" s="9" t="s">
        <v>6518</v>
      </c>
    </row>
    <row r="7010" spans="1:18" x14ac:dyDescent="0.25">
      <c r="A7010" s="6" t="str">
        <f>HYPERLINK("proteomic_fractions_linear_files/Yang_linear_img/18034769.jpg", "18034769")</f>
        <v>18034769</v>
      </c>
      <c r="B7010" s="7"/>
      <c r="C7010" s="6" t="str">
        <f>HYPERLINK("http://www.ncbi.nlm.nih.gov/protein/18034769","Snx5")</f>
        <v>Snx5</v>
      </c>
      <c r="D7010" s="8"/>
      <c r="E7010" s="8">
        <v>46666</v>
      </c>
      <c r="F7010" s="8"/>
      <c r="G7010" s="15" t="s">
        <v>10</v>
      </c>
      <c r="H7010" s="15" t="s">
        <v>10</v>
      </c>
      <c r="I7010" s="15">
        <v>1.0274462890301117</v>
      </c>
      <c r="J7010" s="15">
        <v>1.0274462890301117</v>
      </c>
      <c r="K7010" s="15">
        <v>1.0274462890301117</v>
      </c>
      <c r="L7010" s="15">
        <v>1.0274462890301117</v>
      </c>
      <c r="M7010" s="15">
        <v>1.0274462890301117</v>
      </c>
      <c r="N7010" s="15">
        <v>1.0274462890301117</v>
      </c>
      <c r="O7010" s="15">
        <v>0.93884232440352056</v>
      </c>
      <c r="P7010" s="15">
        <v>0.93884232440352056</v>
      </c>
      <c r="Q7010" s="8"/>
      <c r="R7010" s="9" t="s">
        <v>6519</v>
      </c>
    </row>
    <row r="7011" spans="1:18" x14ac:dyDescent="0.25">
      <c r="A7011" s="6" t="str">
        <f>HYPERLINK("proteomic_fractions_linear_files/Yang_linear_img/27754031.jpg", "27754031")</f>
        <v>27754031</v>
      </c>
      <c r="B7011" s="7"/>
      <c r="C7011" s="6" t="str">
        <f>HYPERLINK("http://www.ncbi.nlm.nih.gov/protein/27754031","Snx6")</f>
        <v>Snx6</v>
      </c>
      <c r="D7011" s="8"/>
      <c r="E7011" s="8">
        <v>46518</v>
      </c>
      <c r="F7011" s="8"/>
      <c r="G7011" s="15" t="s">
        <v>10</v>
      </c>
      <c r="H7011" s="15" t="s">
        <v>10</v>
      </c>
      <c r="I7011" s="15">
        <v>1.0274462890301117</v>
      </c>
      <c r="J7011" s="15">
        <v>1.0274462890301117</v>
      </c>
      <c r="K7011" s="15">
        <v>1.0274462890301117</v>
      </c>
      <c r="L7011" s="15">
        <v>1.0274462890301117</v>
      </c>
      <c r="M7011" s="15">
        <v>1.0274462890301117</v>
      </c>
      <c r="N7011" s="15">
        <v>1.0274462890301117</v>
      </c>
      <c r="O7011" s="15">
        <v>0.93884232440352056</v>
      </c>
      <c r="P7011" s="15">
        <v>0.93884232440352056</v>
      </c>
      <c r="Q7011" s="8"/>
      <c r="R7011" s="9" t="s">
        <v>6520</v>
      </c>
    </row>
    <row r="7012" spans="1:18" x14ac:dyDescent="0.25">
      <c r="A7012" s="6" t="str">
        <f>HYPERLINK("proteomic_fractions_linear_files/Yang_linear_img/297747313.jpg", "297747313")</f>
        <v>297747313</v>
      </c>
      <c r="B7012" s="7"/>
      <c r="C7012" s="6" t="str">
        <f>HYPERLINK("http://www.ncbi.nlm.nih.gov/protein/297747313","Snx7")</f>
        <v>Snx7</v>
      </c>
      <c r="D7012" s="8"/>
      <c r="E7012" s="8">
        <v>44658</v>
      </c>
      <c r="F7012" s="8"/>
      <c r="G7012" s="15" t="s">
        <v>10</v>
      </c>
      <c r="H7012" s="15" t="s">
        <v>10</v>
      </c>
      <c r="I7012" s="15" t="s">
        <v>10</v>
      </c>
      <c r="J7012" s="15" t="s">
        <v>10</v>
      </c>
      <c r="K7012" s="15">
        <v>1.3060712796798635</v>
      </c>
      <c r="L7012" s="15">
        <v>1.3060712796798635</v>
      </c>
      <c r="M7012" s="15">
        <v>1.3060712796798635</v>
      </c>
      <c r="N7012" s="15">
        <v>1.3060712796798635</v>
      </c>
      <c r="O7012" s="15" t="s">
        <v>10</v>
      </c>
      <c r="P7012" s="15" t="s">
        <v>10</v>
      </c>
      <c r="Q7012" s="8"/>
      <c r="R7012" s="9" t="s">
        <v>6521</v>
      </c>
    </row>
    <row r="7013" spans="1:18" x14ac:dyDescent="0.25">
      <c r="A7013" s="6" t="str">
        <f>HYPERLINK("proteomic_fractions_linear_files/Yang_linear_img/297747317.jpg", "297747317")</f>
        <v>297747317</v>
      </c>
      <c r="B7013" s="7"/>
      <c r="C7013" s="6" t="str">
        <f>HYPERLINK("http://www.ncbi.nlm.nih.gov/protein/297747317","Snx7")</f>
        <v>Snx7</v>
      </c>
      <c r="D7013" s="8"/>
      <c r="E7013" s="8">
        <v>50748</v>
      </c>
      <c r="F7013" s="8"/>
      <c r="G7013" s="15" t="s">
        <v>10</v>
      </c>
      <c r="H7013" s="15" t="s">
        <v>10</v>
      </c>
      <c r="I7013" s="15" t="s">
        <v>10</v>
      </c>
      <c r="J7013" s="15" t="s">
        <v>10</v>
      </c>
      <c r="K7013" s="15">
        <v>1.1524158350116442</v>
      </c>
      <c r="L7013" s="15">
        <v>1.1524158350116442</v>
      </c>
      <c r="M7013" s="15">
        <v>1.1524158350116442</v>
      </c>
      <c r="N7013" s="15">
        <v>1.1524158350116442</v>
      </c>
      <c r="O7013" s="15" t="s">
        <v>10</v>
      </c>
      <c r="P7013" s="15" t="s">
        <v>10</v>
      </c>
      <c r="Q7013" s="8"/>
      <c r="R7013" s="9" t="s">
        <v>6522</v>
      </c>
    </row>
    <row r="7014" spans="1:18" x14ac:dyDescent="0.25">
      <c r="A7014" s="6" t="str">
        <f>HYPERLINK("proteomic_fractions_linear_files/Yang_linear_img/26986581.jpg", "26986581")</f>
        <v>26986581</v>
      </c>
      <c r="B7014" s="7"/>
      <c r="C7014" s="6" t="str">
        <f>HYPERLINK("http://www.ncbi.nlm.nih.gov/protein/26986581","Snx8")</f>
        <v>Snx8</v>
      </c>
      <c r="D7014" s="8"/>
      <c r="E7014" s="8">
        <v>51928</v>
      </c>
      <c r="F7014" s="8"/>
      <c r="G7014" s="15" t="s">
        <v>10</v>
      </c>
      <c r="H7014" s="15" t="s">
        <v>10</v>
      </c>
      <c r="I7014" s="15">
        <v>1.1302539920306509</v>
      </c>
      <c r="J7014" s="15">
        <v>1.1302539920306509</v>
      </c>
      <c r="K7014" s="15">
        <v>1.1302539920306509</v>
      </c>
      <c r="L7014" s="15">
        <v>1.1302539920306509</v>
      </c>
      <c r="M7014" s="15" t="s">
        <v>10</v>
      </c>
      <c r="N7014" s="15" t="s">
        <v>10</v>
      </c>
      <c r="O7014" s="15" t="s">
        <v>10</v>
      </c>
      <c r="P7014" s="15" t="s">
        <v>10</v>
      </c>
      <c r="Q7014" s="8"/>
      <c r="R7014" s="9" t="s">
        <v>6523</v>
      </c>
    </row>
    <row r="7015" spans="1:18" x14ac:dyDescent="0.25">
      <c r="A7015" s="6" t="str">
        <f>HYPERLINK("proteomic_fractions_linear_files/Yang_linear_img/29568084.jpg", "29568084")</f>
        <v>29568084</v>
      </c>
      <c r="B7015" s="7"/>
      <c r="C7015" s="6" t="str">
        <f>HYPERLINK("http://www.ncbi.nlm.nih.gov/protein/29568084","Snx9")</f>
        <v>Snx9</v>
      </c>
      <c r="D7015" s="8"/>
      <c r="E7015" s="8">
        <v>66415</v>
      </c>
      <c r="F7015" s="8"/>
      <c r="G7015" s="15" t="s">
        <v>10</v>
      </c>
      <c r="H7015" s="15" t="s">
        <v>10</v>
      </c>
      <c r="I7015" s="15">
        <v>0.73166629673356443</v>
      </c>
      <c r="J7015" s="15">
        <v>1.2590705829264222</v>
      </c>
      <c r="K7015" s="15">
        <v>1.2590705829264222</v>
      </c>
      <c r="L7015" s="15">
        <v>1.2590705829264222</v>
      </c>
      <c r="M7015" s="15">
        <v>0.73166629673356443</v>
      </c>
      <c r="N7015" s="15">
        <v>1.2590705829264222</v>
      </c>
      <c r="O7015" s="15">
        <v>1.1126690945709432</v>
      </c>
      <c r="P7015" s="15">
        <v>1.1126690945709432</v>
      </c>
      <c r="Q7015" s="8"/>
      <c r="R7015" s="9" t="s">
        <v>6524</v>
      </c>
    </row>
    <row r="7016" spans="1:18" x14ac:dyDescent="0.25">
      <c r="A7016" s="6" t="str">
        <f>HYPERLINK("proteomic_fractions_linear_files/Yang_linear_img/84619697.jpg", "84619697")</f>
        <v>84619697</v>
      </c>
      <c r="B7016" s="7"/>
      <c r="C7016" s="6" t="str">
        <f>HYPERLINK("http://www.ncbi.nlm.nih.gov/protein/84619697","Soat1")</f>
        <v>Soat1</v>
      </c>
      <c r="D7016" s="8"/>
      <c r="E7016" s="8">
        <v>63668</v>
      </c>
      <c r="F7016" s="8"/>
      <c r="G7016" s="15">
        <v>0.63292684692535539</v>
      </c>
      <c r="H7016" s="15">
        <v>0.63292684692535539</v>
      </c>
      <c r="I7016" s="15">
        <v>0.68946233198383544</v>
      </c>
      <c r="J7016" s="15">
        <v>0.68946233198383544</v>
      </c>
      <c r="K7016" s="15">
        <v>0.68946233198383544</v>
      </c>
      <c r="L7016" s="15">
        <v>0.68946233198383544</v>
      </c>
      <c r="M7016" s="15" t="s">
        <v>10</v>
      </c>
      <c r="N7016" s="15" t="s">
        <v>10</v>
      </c>
      <c r="O7016" s="15" t="s">
        <v>10</v>
      </c>
      <c r="P7016" s="15" t="s">
        <v>10</v>
      </c>
      <c r="Q7016" s="8"/>
      <c r="R7016" s="9" t="s">
        <v>6525</v>
      </c>
    </row>
    <row r="7017" spans="1:18" x14ac:dyDescent="0.25">
      <c r="A7017" s="6" t="str">
        <f>HYPERLINK("proteomic_fractions_linear_files/Yang_linear_img/45597447.jpg", "45597447")</f>
        <v>45597447</v>
      </c>
      <c r="B7017" s="7"/>
      <c r="C7017" s="6" t="str">
        <f>HYPERLINK("http://www.ncbi.nlm.nih.gov/protein/45597447","Sod1")</f>
        <v>Sod1</v>
      </c>
      <c r="D7017" s="8"/>
      <c r="E7017" s="8">
        <v>15812</v>
      </c>
      <c r="F7017" s="8"/>
      <c r="G7017" s="15">
        <v>1.4443483359198404</v>
      </c>
      <c r="H7017" s="15">
        <v>1.4443483359198404</v>
      </c>
      <c r="I7017" s="15">
        <v>1.0447796575379389</v>
      </c>
      <c r="J7017" s="15">
        <v>1.0447796575379389</v>
      </c>
      <c r="K7017" s="15">
        <v>1.0447796575379389</v>
      </c>
      <c r="L7017" s="15">
        <v>1.0447796575379389</v>
      </c>
      <c r="M7017" s="15">
        <v>1.0447796575379389</v>
      </c>
      <c r="N7017" s="15">
        <v>1.0447796575379389</v>
      </c>
      <c r="O7017" s="15">
        <v>0.99546511144886096</v>
      </c>
      <c r="P7017" s="15">
        <v>0.99546511144886096</v>
      </c>
      <c r="Q7017" s="8"/>
      <c r="R7017" s="9" t="s">
        <v>6526</v>
      </c>
    </row>
    <row r="7018" spans="1:18" x14ac:dyDescent="0.25">
      <c r="A7018" s="6" t="str">
        <f>HYPERLINK("proteomic_fractions_linear_files/Yang_linear_img/31980762.jpg", "31980762")</f>
        <v>31980762</v>
      </c>
      <c r="B7018" s="7"/>
      <c r="C7018" s="6" t="str">
        <f>HYPERLINK("http://www.ncbi.nlm.nih.gov/protein/31980762","Sod2")</f>
        <v>Sod2</v>
      </c>
      <c r="D7018" s="8"/>
      <c r="E7018" s="8">
        <v>22222</v>
      </c>
      <c r="F7018" s="8"/>
      <c r="G7018" s="15">
        <v>1.4583669479878905</v>
      </c>
      <c r="H7018" s="15">
        <v>1.4583669479878905</v>
      </c>
      <c r="I7018" s="15">
        <v>0.99071555775812503</v>
      </c>
      <c r="J7018" s="15">
        <v>0.99071555775812503</v>
      </c>
      <c r="K7018" s="15">
        <v>0.99071555775812503</v>
      </c>
      <c r="L7018" s="15">
        <v>0.99071555775812503</v>
      </c>
      <c r="M7018" s="15" t="s">
        <v>10</v>
      </c>
      <c r="N7018" s="15" t="s">
        <v>10</v>
      </c>
      <c r="O7018" s="15">
        <v>0.99071555775812503</v>
      </c>
      <c r="P7018" s="15">
        <v>0.99071555775812503</v>
      </c>
      <c r="Q7018" s="8"/>
      <c r="R7018" s="9" t="s">
        <v>6527</v>
      </c>
    </row>
    <row r="7019" spans="1:18" x14ac:dyDescent="0.25">
      <c r="A7019" s="6" t="str">
        <f>HYPERLINK("proteomic_fractions_linear_files/Yang_linear_img/124358955.jpg", "124358955")</f>
        <v>124358955</v>
      </c>
      <c r="B7019" s="7"/>
      <c r="C7019" s="6" t="str">
        <f>HYPERLINK("http://www.ncbi.nlm.nih.gov/protein/124358955","Son")</f>
        <v>Son</v>
      </c>
      <c r="D7019" s="8"/>
      <c r="E7019" s="8">
        <v>265522</v>
      </c>
      <c r="F7019" s="8"/>
      <c r="G7019" s="15" t="s">
        <v>10</v>
      </c>
      <c r="H7019" s="15" t="s">
        <v>10</v>
      </c>
      <c r="I7019" s="15">
        <v>22.53045112781955</v>
      </c>
      <c r="J7019" s="15">
        <v>22.53045112781955</v>
      </c>
      <c r="K7019" s="15">
        <v>22.53045112781955</v>
      </c>
      <c r="L7019" s="15">
        <v>22.53045112781955</v>
      </c>
      <c r="M7019" s="15" t="s">
        <v>10</v>
      </c>
      <c r="N7019" s="15" t="s">
        <v>10</v>
      </c>
      <c r="O7019" s="15" t="s">
        <v>10</v>
      </c>
      <c r="P7019" s="15" t="s">
        <v>10</v>
      </c>
      <c r="Q7019" s="8"/>
      <c r="R7019" s="9" t="s">
        <v>6528</v>
      </c>
    </row>
    <row r="7020" spans="1:18" x14ac:dyDescent="0.25">
      <c r="A7020" s="6" t="str">
        <f>HYPERLINK("proteomic_fractions_linear_files/Yang_linear_img/124378037.jpg", "124378037")</f>
        <v>124378037</v>
      </c>
      <c r="B7020" s="7"/>
      <c r="C7020" s="6" t="str">
        <f>HYPERLINK("http://www.ncbi.nlm.nih.gov/protein/124378037","Son")</f>
        <v>Son</v>
      </c>
      <c r="D7020" s="8"/>
      <c r="E7020" s="8">
        <v>229892</v>
      </c>
      <c r="F7020" s="8"/>
      <c r="G7020" s="15" t="s">
        <v>10</v>
      </c>
      <c r="H7020" s="15" t="s">
        <v>10</v>
      </c>
      <c r="I7020" s="15">
        <v>26.056956521739131</v>
      </c>
      <c r="J7020" s="15">
        <v>26.056956521739131</v>
      </c>
      <c r="K7020" s="15">
        <v>26.056956521739131</v>
      </c>
      <c r="L7020" s="15">
        <v>26.056956521739131</v>
      </c>
      <c r="M7020" s="15" t="s">
        <v>10</v>
      </c>
      <c r="N7020" s="15" t="s">
        <v>10</v>
      </c>
      <c r="O7020" s="15" t="s">
        <v>10</v>
      </c>
      <c r="P7020" s="15" t="s">
        <v>10</v>
      </c>
      <c r="Q7020" s="8"/>
      <c r="R7020" s="9" t="s">
        <v>6529</v>
      </c>
    </row>
    <row r="7021" spans="1:18" x14ac:dyDescent="0.25">
      <c r="A7021" s="6" t="str">
        <f>HYPERLINK("proteomic_fractions_linear_files/Yang_linear_img/78000154.jpg", "78000154")</f>
        <v>78000154</v>
      </c>
      <c r="B7021" s="7"/>
      <c r="C7021" s="6" t="str">
        <f>HYPERLINK("http://www.ncbi.nlm.nih.gov/protein/78000154","Sorbs1")</f>
        <v>Sorbs1</v>
      </c>
      <c r="D7021" s="8"/>
      <c r="E7021" s="8">
        <v>82744</v>
      </c>
      <c r="F7021" s="8"/>
      <c r="G7021" s="15" t="s">
        <v>10</v>
      </c>
      <c r="H7021" s="15" t="s">
        <v>10</v>
      </c>
      <c r="I7021" s="15" t="s">
        <v>10</v>
      </c>
      <c r="J7021" s="15" t="s">
        <v>10</v>
      </c>
      <c r="K7021" s="15">
        <v>0.38655509464739263</v>
      </c>
      <c r="L7021" s="15">
        <v>0.38655509464739263</v>
      </c>
      <c r="M7021" s="15" t="s">
        <v>10</v>
      </c>
      <c r="N7021" s="15" t="s">
        <v>10</v>
      </c>
      <c r="O7021" s="15">
        <v>0.23495361238596715</v>
      </c>
      <c r="P7021" s="15">
        <v>0.23495361238596715</v>
      </c>
      <c r="Q7021" s="8"/>
      <c r="R7021" s="9" t="s">
        <v>6530</v>
      </c>
    </row>
    <row r="7022" spans="1:18" x14ac:dyDescent="0.25">
      <c r="A7022" s="6" t="str">
        <f>HYPERLINK("proteomic_fractions_linear_files/Yang_linear_img/78000173.jpg", "78000173")</f>
        <v>78000173</v>
      </c>
      <c r="B7022" s="7"/>
      <c r="C7022" s="6" t="str">
        <f>HYPERLINK("http://www.ncbi.nlm.nih.gov/protein/78000173","Sorbs1")</f>
        <v>Sorbs1</v>
      </c>
      <c r="D7022" s="8"/>
      <c r="E7022" s="8">
        <v>103847</v>
      </c>
      <c r="F7022" s="8"/>
      <c r="G7022" s="15" t="s">
        <v>10</v>
      </c>
      <c r="H7022" s="15" t="s">
        <v>10</v>
      </c>
      <c r="I7022" s="15" t="s">
        <v>10</v>
      </c>
      <c r="J7022" s="15" t="s">
        <v>10</v>
      </c>
      <c r="K7022" s="15">
        <v>0.3085007005358999</v>
      </c>
      <c r="L7022" s="15">
        <v>0.3085007005358999</v>
      </c>
      <c r="M7022" s="15" t="s">
        <v>10</v>
      </c>
      <c r="N7022" s="15" t="s">
        <v>10</v>
      </c>
      <c r="O7022" s="15">
        <v>0.18751105603880072</v>
      </c>
      <c r="P7022" s="15">
        <v>0.18751105603880072</v>
      </c>
      <c r="Q7022" s="8"/>
      <c r="R7022" s="9" t="s">
        <v>6531</v>
      </c>
    </row>
    <row r="7023" spans="1:18" x14ac:dyDescent="0.25">
      <c r="A7023" s="6" t="str">
        <f>HYPERLINK("proteomic_fractions_linear_files/Yang_linear_img/78000175.jpg", "78000175")</f>
        <v>78000175</v>
      </c>
      <c r="B7023" s="7"/>
      <c r="C7023" s="6" t="str">
        <f>HYPERLINK("http://www.ncbi.nlm.nih.gov/protein/78000175","Sorbs1")</f>
        <v>Sorbs1</v>
      </c>
      <c r="D7023" s="8"/>
      <c r="E7023" s="8">
        <v>76253</v>
      </c>
      <c r="F7023" s="8"/>
      <c r="G7023" s="15" t="s">
        <v>10</v>
      </c>
      <c r="H7023" s="15" t="s">
        <v>10</v>
      </c>
      <c r="I7023" s="15" t="s">
        <v>10</v>
      </c>
      <c r="J7023" s="15" t="s">
        <v>10</v>
      </c>
      <c r="K7023" s="15">
        <v>0.42215885336491565</v>
      </c>
      <c r="L7023" s="15">
        <v>0.42215885336491565</v>
      </c>
      <c r="M7023" s="15" t="s">
        <v>10</v>
      </c>
      <c r="N7023" s="15" t="s">
        <v>10</v>
      </c>
      <c r="O7023" s="15">
        <v>0.25659407668467465</v>
      </c>
      <c r="P7023" s="15">
        <v>0.25659407668467465</v>
      </c>
      <c r="Q7023" s="8"/>
      <c r="R7023" s="9" t="s">
        <v>6532</v>
      </c>
    </row>
    <row r="7024" spans="1:18" x14ac:dyDescent="0.25">
      <c r="A7024" s="6" t="str">
        <f>HYPERLINK("proteomic_fractions_linear_files/Yang_linear_img/78000177.jpg", "78000177")</f>
        <v>78000177</v>
      </c>
      <c r="B7024" s="7"/>
      <c r="C7024" s="6" t="str">
        <f>HYPERLINK("http://www.ncbi.nlm.nih.gov/protein/78000177","Sorbs1")</f>
        <v>Sorbs1</v>
      </c>
      <c r="D7024" s="8"/>
      <c r="E7024" s="8">
        <v>81104</v>
      </c>
      <c r="F7024" s="8"/>
      <c r="G7024" s="15" t="s">
        <v>10</v>
      </c>
      <c r="H7024" s="15" t="s">
        <v>10</v>
      </c>
      <c r="I7024" s="15" t="s">
        <v>10</v>
      </c>
      <c r="J7024" s="15" t="s">
        <v>10</v>
      </c>
      <c r="K7024" s="15">
        <v>0.39609966488559983</v>
      </c>
      <c r="L7024" s="15">
        <v>0.39609966488559983</v>
      </c>
      <c r="M7024" s="15" t="s">
        <v>10</v>
      </c>
      <c r="N7024" s="15" t="s">
        <v>10</v>
      </c>
      <c r="O7024" s="15">
        <v>0.24075493614858362</v>
      </c>
      <c r="P7024" s="15">
        <v>0.24075493614858362</v>
      </c>
      <c r="Q7024" s="8"/>
      <c r="R7024" s="9" t="s">
        <v>6533</v>
      </c>
    </row>
    <row r="7025" spans="1:18" x14ac:dyDescent="0.25">
      <c r="A7025" s="6" t="str">
        <f>HYPERLINK("proteomic_fractions_linear_files/Yang_linear_img/78000179.jpg", "78000179")</f>
        <v>78000179</v>
      </c>
      <c r="B7025" s="7"/>
      <c r="C7025" s="6" t="str">
        <f>HYPERLINK("http://www.ncbi.nlm.nih.gov/protein/78000179","Sorbs1")</f>
        <v>Sorbs1</v>
      </c>
      <c r="D7025" s="8"/>
      <c r="E7025" s="8">
        <v>79380</v>
      </c>
      <c r="F7025" s="8"/>
      <c r="G7025" s="15" t="s">
        <v>10</v>
      </c>
      <c r="H7025" s="15" t="s">
        <v>10</v>
      </c>
      <c r="I7025" s="15" t="s">
        <v>10</v>
      </c>
      <c r="J7025" s="15" t="s">
        <v>10</v>
      </c>
      <c r="K7025" s="15">
        <v>0.40612750450295682</v>
      </c>
      <c r="L7025" s="15">
        <v>0.40612750450295682</v>
      </c>
      <c r="M7025" s="15" t="s">
        <v>10</v>
      </c>
      <c r="N7025" s="15" t="s">
        <v>10</v>
      </c>
      <c r="O7025" s="15">
        <v>0.2468499978232313</v>
      </c>
      <c r="P7025" s="15">
        <v>0.2468499978232313</v>
      </c>
      <c r="Q7025" s="8"/>
      <c r="R7025" s="9" t="s">
        <v>6534</v>
      </c>
    </row>
    <row r="7026" spans="1:18" x14ac:dyDescent="0.25">
      <c r="A7026" s="6" t="str">
        <f>HYPERLINK("proteomic_fractions_linear_files/Yang_linear_img/327315368.jpg", "327315368")</f>
        <v>327315368</v>
      </c>
      <c r="B7026" s="7"/>
      <c r="C7026" s="6" t="str">
        <f>HYPERLINK("http://www.ncbi.nlm.nih.gov/protein/327315368","Sorbs2")</f>
        <v>Sorbs2</v>
      </c>
      <c r="D7026" s="8"/>
      <c r="E7026" s="8">
        <v>136066</v>
      </c>
      <c r="F7026" s="8"/>
      <c r="G7026" s="15" t="s">
        <v>10</v>
      </c>
      <c r="H7026" s="15" t="s">
        <v>10</v>
      </c>
      <c r="I7026" s="15">
        <v>0.61101954759664601</v>
      </c>
      <c r="J7026" s="15">
        <v>0.61101954759664601</v>
      </c>
      <c r="K7026" s="15">
        <v>1.3732781738230908</v>
      </c>
      <c r="L7026" s="15">
        <v>1.3732781738230908</v>
      </c>
      <c r="M7026" s="15" t="s">
        <v>10</v>
      </c>
      <c r="N7026" s="15" t="s">
        <v>10</v>
      </c>
      <c r="O7026" s="15" t="s">
        <v>10</v>
      </c>
      <c r="P7026" s="15" t="s">
        <v>10</v>
      </c>
      <c r="Q7026" s="8"/>
      <c r="R7026" s="9" t="s">
        <v>6535</v>
      </c>
    </row>
    <row r="7027" spans="1:18" x14ac:dyDescent="0.25">
      <c r="A7027" s="6" t="str">
        <f>HYPERLINK("proteomic_fractions_linear_files/Yang_linear_img/327315370.jpg", "327315370")</f>
        <v>327315370</v>
      </c>
      <c r="B7027" s="7"/>
      <c r="C7027" s="6" t="str">
        <f>HYPERLINK("http://www.ncbi.nlm.nih.gov/protein/327315370","Sorbs2")</f>
        <v>Sorbs2</v>
      </c>
      <c r="D7027" s="8"/>
      <c r="E7027" s="8">
        <v>134112</v>
      </c>
      <c r="F7027" s="8"/>
      <c r="G7027" s="15" t="s">
        <v>10</v>
      </c>
      <c r="H7027" s="15" t="s">
        <v>10</v>
      </c>
      <c r="I7027" s="15">
        <v>0.62013924233689444</v>
      </c>
      <c r="J7027" s="15">
        <v>0.62013924233689444</v>
      </c>
      <c r="K7027" s="15">
        <v>1.3937748629846296</v>
      </c>
      <c r="L7027" s="15">
        <v>1.3937748629846296</v>
      </c>
      <c r="M7027" s="15" t="s">
        <v>10</v>
      </c>
      <c r="N7027" s="15" t="s">
        <v>10</v>
      </c>
      <c r="O7027" s="15" t="s">
        <v>10</v>
      </c>
      <c r="P7027" s="15" t="s">
        <v>10</v>
      </c>
      <c r="Q7027" s="8"/>
      <c r="R7027" s="9" t="s">
        <v>6536</v>
      </c>
    </row>
    <row r="7028" spans="1:18" x14ac:dyDescent="0.25">
      <c r="A7028" s="6" t="str">
        <f>HYPERLINK("proteomic_fractions_linear_files/Yang_linear_img/406719571.jpg", "406719571")</f>
        <v>406719571</v>
      </c>
      <c r="B7028" s="7"/>
      <c r="C7028" s="6" t="str">
        <f>HYPERLINK("http://www.ncbi.nlm.nih.gov/protein/406719571","Sorbs3")</f>
        <v>Sorbs3</v>
      </c>
      <c r="D7028" s="8"/>
      <c r="E7028" s="8">
        <v>76581</v>
      </c>
      <c r="F7028" s="8"/>
      <c r="G7028" s="15">
        <v>0.44874514974643098</v>
      </c>
      <c r="H7028" s="15">
        <v>0.44874514974643098</v>
      </c>
      <c r="I7028" s="15" t="s">
        <v>10</v>
      </c>
      <c r="J7028" s="15" t="s">
        <v>10</v>
      </c>
      <c r="K7028" s="15">
        <v>0.52606906757432137</v>
      </c>
      <c r="L7028" s="15">
        <v>0.52606906757432137</v>
      </c>
      <c r="M7028" s="15">
        <v>0.4849522912094103</v>
      </c>
      <c r="N7028" s="15">
        <v>0.4849522912094103</v>
      </c>
      <c r="O7028" s="15">
        <v>0.44874514974643098</v>
      </c>
      <c r="P7028" s="15">
        <v>0.44874514974643098</v>
      </c>
      <c r="Q7028" s="8"/>
      <c r="R7028" s="9" t="s">
        <v>6537</v>
      </c>
    </row>
    <row r="7029" spans="1:18" x14ac:dyDescent="0.25">
      <c r="A7029" s="6" t="str">
        <f>HYPERLINK("proteomic_fractions_linear_files/Yang_linear_img/406719575.jpg", "406719575")</f>
        <v>406719575</v>
      </c>
      <c r="B7029" s="7"/>
      <c r="C7029" s="6" t="str">
        <f>HYPERLINK("http://www.ncbi.nlm.nih.gov/protein/406719575","Sorbs3")</f>
        <v>Sorbs3</v>
      </c>
      <c r="D7029" s="8"/>
      <c r="E7029" s="8">
        <v>36850</v>
      </c>
      <c r="F7029" s="8"/>
      <c r="G7029" s="15">
        <v>0.93387504136419419</v>
      </c>
      <c r="H7029" s="15">
        <v>0.93387504136419419</v>
      </c>
      <c r="I7029" s="15" t="s">
        <v>10</v>
      </c>
      <c r="J7029" s="15" t="s">
        <v>10</v>
      </c>
      <c r="K7029" s="15">
        <v>1.0947923838708851</v>
      </c>
      <c r="L7029" s="15">
        <v>1.0947923838708851</v>
      </c>
      <c r="M7029" s="15">
        <v>1.0092250384628267</v>
      </c>
      <c r="N7029" s="15">
        <v>1.0092250384628267</v>
      </c>
      <c r="O7029" s="15">
        <v>0.93387504136419419</v>
      </c>
      <c r="P7029" s="15">
        <v>0.93387504136419419</v>
      </c>
      <c r="Q7029" s="8"/>
      <c r="R7029" s="9" t="s">
        <v>6538</v>
      </c>
    </row>
    <row r="7030" spans="1:18" x14ac:dyDescent="0.25">
      <c r="A7030" s="6" t="str">
        <f>HYPERLINK("proteomic_fractions_linear_files/Yang_linear_img/6755504.jpg", "6755504")</f>
        <v>6755504</v>
      </c>
      <c r="B7030" s="7"/>
      <c r="C7030" s="6" t="str">
        <f>HYPERLINK("http://www.ncbi.nlm.nih.gov/protein/6755504","Sorbs3")</f>
        <v>Sorbs3</v>
      </c>
      <c r="D7030" s="8"/>
      <c r="E7030" s="8">
        <v>82218</v>
      </c>
      <c r="F7030" s="8"/>
      <c r="G7030" s="15">
        <v>0.42138264061555103</v>
      </c>
      <c r="H7030" s="15">
        <v>0.42138264061555103</v>
      </c>
      <c r="I7030" s="15" t="s">
        <v>10</v>
      </c>
      <c r="J7030" s="15" t="s">
        <v>10</v>
      </c>
      <c r="K7030" s="15">
        <v>0.49399168540515542</v>
      </c>
      <c r="L7030" s="15">
        <v>0.49399168540515542</v>
      </c>
      <c r="M7030" s="15">
        <v>0.45538202955029988</v>
      </c>
      <c r="N7030" s="15">
        <v>0.45538202955029988</v>
      </c>
      <c r="O7030" s="15">
        <v>0.42138264061555103</v>
      </c>
      <c r="P7030" s="15">
        <v>0.42138264061555103</v>
      </c>
      <c r="Q7030" s="8"/>
      <c r="R7030" s="9" t="s">
        <v>6539</v>
      </c>
    </row>
    <row r="7031" spans="1:18" x14ac:dyDescent="0.25">
      <c r="A7031" s="6" t="str">
        <f>HYPERLINK("proteomic_fractions_linear_files/Yang_linear_img/22128627.jpg", "22128627")</f>
        <v>22128627</v>
      </c>
      <c r="B7031" s="7"/>
      <c r="C7031" s="6" t="str">
        <f>HYPERLINK("http://www.ncbi.nlm.nih.gov/protein/22128627","Sord")</f>
        <v>Sord</v>
      </c>
      <c r="D7031" s="8"/>
      <c r="E7031" s="8">
        <v>38118</v>
      </c>
      <c r="F7031" s="8"/>
      <c r="G7031" s="15" t="s">
        <v>10</v>
      </c>
      <c r="H7031" s="15" t="s">
        <v>10</v>
      </c>
      <c r="I7031" s="15" t="s">
        <v>10</v>
      </c>
      <c r="J7031" s="15" t="s">
        <v>10</v>
      </c>
      <c r="K7031" s="15">
        <v>1.0659820579795458</v>
      </c>
      <c r="L7031" s="15">
        <v>1.0659820579795458</v>
      </c>
      <c r="M7031" s="15">
        <v>0.98266648481906815</v>
      </c>
      <c r="N7031" s="15">
        <v>0.98266648481906815</v>
      </c>
      <c r="O7031" s="15">
        <v>0.90929938238092589</v>
      </c>
      <c r="P7031" s="15">
        <v>0.90929938238092589</v>
      </c>
      <c r="Q7031" s="8"/>
      <c r="R7031" s="9" t="s">
        <v>6540</v>
      </c>
    </row>
    <row r="7032" spans="1:18" x14ac:dyDescent="0.25">
      <c r="A7032" s="6" t="str">
        <f>HYPERLINK("proteomic_fractions_linear_files/Yang_linear_img/110625645.jpg", "110625645")</f>
        <v>110625645</v>
      </c>
      <c r="B7032" s="7"/>
      <c r="C7032" s="6" t="str">
        <f>HYPERLINK("http://www.ncbi.nlm.nih.gov/protein/110625645","Sorl1")</f>
        <v>Sorl1</v>
      </c>
      <c r="D7032" s="8"/>
      <c r="E7032" s="8">
        <v>238339</v>
      </c>
      <c r="F7032" s="8"/>
      <c r="G7032" s="15" t="s">
        <v>10</v>
      </c>
      <c r="H7032" s="15" t="s">
        <v>10</v>
      </c>
      <c r="I7032" s="15">
        <v>1.2679971623382302</v>
      </c>
      <c r="J7032" s="15">
        <v>1.2679971623382302</v>
      </c>
      <c r="K7032" s="15">
        <v>1.7186704106699151</v>
      </c>
      <c r="L7032" s="15">
        <v>1.7186704106699151</v>
      </c>
      <c r="M7032" s="15">
        <v>1.7186704106699151</v>
      </c>
      <c r="N7032" s="15">
        <v>1.7186704106699151</v>
      </c>
      <c r="O7032" s="15">
        <v>1.2679971623382302</v>
      </c>
      <c r="P7032" s="15">
        <v>1.2679971623382302</v>
      </c>
      <c r="Q7032" s="8"/>
      <c r="R7032" s="9" t="s">
        <v>6541</v>
      </c>
    </row>
    <row r="7033" spans="1:18" x14ac:dyDescent="0.25">
      <c r="A7033" s="6" t="str">
        <f>HYPERLINK("proteomic_fractions_linear_files/Yang_linear_img/34610211.jpg", "34610211")</f>
        <v>34610211</v>
      </c>
      <c r="B7033" s="7"/>
      <c r="C7033" s="6" t="str">
        <f>HYPERLINK("http://www.ncbi.nlm.nih.gov/protein/34610211","Sort1")</f>
        <v>Sort1</v>
      </c>
      <c r="D7033" s="8"/>
      <c r="E7033" s="8">
        <v>83252</v>
      </c>
      <c r="F7033" s="8"/>
      <c r="G7033" s="15" t="s">
        <v>10</v>
      </c>
      <c r="H7033" s="15" t="s">
        <v>10</v>
      </c>
      <c r="I7033" s="15" t="s">
        <v>10</v>
      </c>
      <c r="J7033" s="15" t="s">
        <v>10</v>
      </c>
      <c r="K7033" s="15">
        <v>1.5508629897002044</v>
      </c>
      <c r="L7033" s="15">
        <v>1.5508629897002044</v>
      </c>
      <c r="M7033" s="15" t="s">
        <v>10</v>
      </c>
      <c r="N7033" s="15" t="s">
        <v>10</v>
      </c>
      <c r="O7033" s="15" t="s">
        <v>10</v>
      </c>
      <c r="P7033" s="15" t="s">
        <v>10</v>
      </c>
      <c r="Q7033" s="8"/>
      <c r="R7033" s="9" t="s">
        <v>6542</v>
      </c>
    </row>
    <row r="7034" spans="1:18" x14ac:dyDescent="0.25">
      <c r="A7034" s="6" t="str">
        <f>HYPERLINK("proteomic_fractions_linear_files/Yang_linear_img/409264681.jpg", "409264681")</f>
        <v>409264681</v>
      </c>
      <c r="B7034" s="7"/>
      <c r="C7034" s="6" t="str">
        <f>HYPERLINK("http://www.ncbi.nlm.nih.gov/protein/409264681","Sort1")</f>
        <v>Sort1</v>
      </c>
      <c r="D7034" s="8"/>
      <c r="E7034" s="8">
        <v>91523</v>
      </c>
      <c r="F7034" s="8"/>
      <c r="G7034" s="15" t="s">
        <v>10</v>
      </c>
      <c r="H7034" s="15" t="s">
        <v>10</v>
      </c>
      <c r="I7034" s="15" t="s">
        <v>10</v>
      </c>
      <c r="J7034" s="15" t="s">
        <v>10</v>
      </c>
      <c r="K7034" s="15">
        <v>1.3991481320121408</v>
      </c>
      <c r="L7034" s="15">
        <v>1.3991481320121408</v>
      </c>
      <c r="M7034" s="15" t="s">
        <v>10</v>
      </c>
      <c r="N7034" s="15" t="s">
        <v>10</v>
      </c>
      <c r="O7034" s="15" t="s">
        <v>10</v>
      </c>
      <c r="P7034" s="15" t="s">
        <v>10</v>
      </c>
      <c r="Q7034" s="8"/>
      <c r="R7034" s="9" t="s">
        <v>6543</v>
      </c>
    </row>
    <row r="7035" spans="1:18" x14ac:dyDescent="0.25">
      <c r="A7035" s="6" t="str">
        <f>HYPERLINK("proteomic_fractions_linear_files/Yang_linear_img/117414170.jpg", "117414170")</f>
        <v>117414170</v>
      </c>
      <c r="B7035" s="7"/>
      <c r="C7035" s="6" t="str">
        <f>HYPERLINK("http://www.ncbi.nlm.nih.gov/protein/117414170","Sos1")</f>
        <v>Sos1</v>
      </c>
      <c r="D7035" s="8"/>
      <c r="E7035" s="8">
        <v>150753</v>
      </c>
      <c r="F7035" s="8"/>
      <c r="G7035" s="15" t="s">
        <v>10</v>
      </c>
      <c r="H7035" s="15" t="s">
        <v>10</v>
      </c>
      <c r="I7035" s="15" t="s">
        <v>10</v>
      </c>
      <c r="J7035" s="15" t="s">
        <v>10</v>
      </c>
      <c r="K7035" s="15" t="s">
        <v>10</v>
      </c>
      <c r="L7035" s="15" t="s">
        <v>10</v>
      </c>
      <c r="M7035" s="15" t="s">
        <v>10</v>
      </c>
      <c r="N7035" s="15" t="s">
        <v>10</v>
      </c>
      <c r="O7035" s="15">
        <v>1.2368598121850354</v>
      </c>
      <c r="P7035" s="15">
        <v>1.2368598121850354</v>
      </c>
      <c r="Q7035" s="8"/>
      <c r="R7035" s="9" t="s">
        <v>6544</v>
      </c>
    </row>
    <row r="7036" spans="1:18" x14ac:dyDescent="0.25">
      <c r="A7036" s="6" t="str">
        <f>HYPERLINK("proteomic_fractions_linear_files/Yang_linear_img/30424924.jpg", "30424924")</f>
        <v>30424924</v>
      </c>
      <c r="B7036" s="7"/>
      <c r="C7036" s="6" t="str">
        <f>HYPERLINK("http://www.ncbi.nlm.nih.gov/protein/30424924","Sowahb")</f>
        <v>Sowahb</v>
      </c>
      <c r="D7036" s="8"/>
      <c r="E7036" s="8">
        <v>83411</v>
      </c>
      <c r="F7036" s="8"/>
      <c r="G7036" s="15" t="s">
        <v>10</v>
      </c>
      <c r="H7036" s="15" t="s">
        <v>10</v>
      </c>
      <c r="I7036" s="15" t="s">
        <v>10</v>
      </c>
      <c r="J7036" s="15" t="s">
        <v>10</v>
      </c>
      <c r="K7036" s="15" t="s">
        <v>10</v>
      </c>
      <c r="L7036" s="15" t="s">
        <v>10</v>
      </c>
      <c r="M7036" s="15" t="s">
        <v>10</v>
      </c>
      <c r="N7036" s="15" t="s">
        <v>10</v>
      </c>
      <c r="O7036" s="15">
        <v>1.3229104074835116</v>
      </c>
      <c r="P7036" s="15">
        <v>1.3229104074835116</v>
      </c>
      <c r="Q7036" s="8"/>
      <c r="R7036" s="9" t="s">
        <v>6545</v>
      </c>
    </row>
    <row r="7037" spans="1:18" x14ac:dyDescent="0.25">
      <c r="A7037" s="6" t="str">
        <f>HYPERLINK("proteomic_fractions_linear_files/Yang_linear_img/187173282.jpg", "187173282")</f>
        <v>187173282</v>
      </c>
      <c r="B7037" s="7"/>
      <c r="C7037" s="6" t="str">
        <f>HYPERLINK("http://www.ncbi.nlm.nih.gov/protein/187173282","Sowahc")</f>
        <v>Sowahc</v>
      </c>
      <c r="D7037" s="8"/>
      <c r="E7037" s="8">
        <v>54807</v>
      </c>
      <c r="F7037" s="8"/>
      <c r="G7037" s="15" t="s">
        <v>10</v>
      </c>
      <c r="H7037" s="15" t="s">
        <v>10</v>
      </c>
      <c r="I7037" s="15" t="s">
        <v>10</v>
      </c>
      <c r="J7037" s="15" t="s">
        <v>10</v>
      </c>
      <c r="K7037" s="15" t="s">
        <v>10</v>
      </c>
      <c r="L7037" s="15" t="s">
        <v>10</v>
      </c>
      <c r="M7037" s="15">
        <v>1.3352029134851318</v>
      </c>
      <c r="N7037" s="15">
        <v>1.3352029134851318</v>
      </c>
      <c r="O7037" s="15" t="s">
        <v>10</v>
      </c>
      <c r="P7037" s="15" t="s">
        <v>10</v>
      </c>
      <c r="Q7037" s="8"/>
      <c r="R7037" s="9" t="s">
        <v>6546</v>
      </c>
    </row>
    <row r="7038" spans="1:18" x14ac:dyDescent="0.25">
      <c r="A7038" s="6" t="str">
        <f>HYPERLINK("proteomic_fractions_linear_files/Yang_linear_img/119226255.jpg", "119226255")</f>
        <v>119226255</v>
      </c>
      <c r="B7038" s="7"/>
      <c r="C7038" s="6" t="str">
        <f>HYPERLINK("http://www.ncbi.nlm.nih.gov/protein/119226255","Sp1")</f>
        <v>Sp1</v>
      </c>
      <c r="D7038" s="8"/>
      <c r="E7038" s="8">
        <v>80313</v>
      </c>
      <c r="F7038" s="8"/>
      <c r="G7038" s="15" t="s">
        <v>10</v>
      </c>
      <c r="H7038" s="15" t="s">
        <v>10</v>
      </c>
      <c r="I7038" s="15" t="s">
        <v>10</v>
      </c>
      <c r="J7038" s="15" t="s">
        <v>10</v>
      </c>
      <c r="K7038" s="15" t="s">
        <v>10</v>
      </c>
      <c r="L7038" s="15" t="s">
        <v>10</v>
      </c>
      <c r="M7038" s="15" t="s">
        <v>10</v>
      </c>
      <c r="N7038" s="15" t="s">
        <v>10</v>
      </c>
      <c r="O7038" s="15">
        <v>1.1870997647823063</v>
      </c>
      <c r="P7038" s="15">
        <v>1.1870997647823063</v>
      </c>
      <c r="Q7038" s="8"/>
      <c r="R7038" s="9" t="s">
        <v>6547</v>
      </c>
    </row>
    <row r="7039" spans="1:18" x14ac:dyDescent="0.25">
      <c r="A7039" s="6" t="str">
        <f>HYPERLINK("proteomic_fractions_linear_files/Yang_linear_img/148747279.jpg", "148747279")</f>
        <v>148747279</v>
      </c>
      <c r="B7039" s="7"/>
      <c r="C7039" s="6" t="str">
        <f>HYPERLINK("http://www.ncbi.nlm.nih.gov/protein/148747279","Spag1")</f>
        <v>Spag1</v>
      </c>
      <c r="D7039" s="8"/>
      <c r="E7039" s="8">
        <v>100539</v>
      </c>
      <c r="F7039" s="8"/>
      <c r="G7039" s="15" t="s">
        <v>10</v>
      </c>
      <c r="H7039" s="15" t="s">
        <v>10</v>
      </c>
      <c r="I7039" s="15" t="s">
        <v>10</v>
      </c>
      <c r="J7039" s="15" t="s">
        <v>10</v>
      </c>
      <c r="K7039" s="15">
        <v>0.64805211218360725</v>
      </c>
      <c r="L7039" s="15">
        <v>0.64805211218360725</v>
      </c>
      <c r="M7039" s="15" t="s">
        <v>10</v>
      </c>
      <c r="N7039" s="15" t="s">
        <v>10</v>
      </c>
      <c r="O7039" s="15" t="s">
        <v>10</v>
      </c>
      <c r="P7039" s="15" t="s">
        <v>10</v>
      </c>
      <c r="Q7039" s="8"/>
      <c r="R7039" s="9" t="s">
        <v>6548</v>
      </c>
    </row>
    <row r="7040" spans="1:18" x14ac:dyDescent="0.25">
      <c r="A7040" s="6" t="str">
        <f>HYPERLINK("proteomic_fractions_linear_files/Yang_linear_img/162287182.jpg", "162287182")</f>
        <v>162287182</v>
      </c>
      <c r="B7040" s="7"/>
      <c r="C7040" s="6" t="str">
        <f>HYPERLINK("http://www.ncbi.nlm.nih.gov/protein/162287182","Spag17")</f>
        <v>Spag17</v>
      </c>
      <c r="D7040" s="8"/>
      <c r="E7040" s="8">
        <v>262972</v>
      </c>
      <c r="F7040" s="8"/>
      <c r="G7040" s="15" t="s">
        <v>10</v>
      </c>
      <c r="H7040" s="15" t="s">
        <v>10</v>
      </c>
      <c r="I7040" s="15" t="s">
        <v>10</v>
      </c>
      <c r="J7040" s="15" t="s">
        <v>10</v>
      </c>
      <c r="K7040" s="15">
        <v>0.20197935220532728</v>
      </c>
      <c r="L7040" s="15">
        <v>0.20197935220532728</v>
      </c>
      <c r="M7040" s="15" t="s">
        <v>10</v>
      </c>
      <c r="N7040" s="15" t="s">
        <v>10</v>
      </c>
      <c r="O7040" s="15" t="s">
        <v>10</v>
      </c>
      <c r="P7040" s="15" t="s">
        <v>10</v>
      </c>
      <c r="Q7040" s="8"/>
      <c r="R7040" s="9" t="s">
        <v>6549</v>
      </c>
    </row>
    <row r="7041" spans="1:18" x14ac:dyDescent="0.25">
      <c r="A7041" s="6" t="str">
        <f>HYPERLINK("proteomic_fractions_linear_files/Yang_linear_img/264681516.jpg", "264681516")</f>
        <v>264681516</v>
      </c>
      <c r="B7041" s="7"/>
      <c r="C7041" s="6" t="str">
        <f>HYPERLINK("http://www.ncbi.nlm.nih.gov/protein/264681516","Spag7")</f>
        <v>Spag7</v>
      </c>
      <c r="D7041" s="8"/>
      <c r="E7041" s="8">
        <v>25790</v>
      </c>
      <c r="F7041" s="8"/>
      <c r="G7041" s="15" t="s">
        <v>10</v>
      </c>
      <c r="H7041" s="15" t="s">
        <v>10</v>
      </c>
      <c r="I7041" s="15" t="s">
        <v>10</v>
      </c>
      <c r="J7041" s="15" t="s">
        <v>10</v>
      </c>
      <c r="K7041" s="15" t="s">
        <v>10</v>
      </c>
      <c r="L7041" s="15" t="s">
        <v>10</v>
      </c>
      <c r="M7041" s="15" t="s">
        <v>10</v>
      </c>
      <c r="N7041" s="15" t="s">
        <v>10</v>
      </c>
      <c r="O7041" s="15">
        <v>0.83829777964149044</v>
      </c>
      <c r="P7041" s="15">
        <v>0.83829777964149044</v>
      </c>
      <c r="Q7041" s="8"/>
      <c r="R7041" s="9" t="s">
        <v>6550</v>
      </c>
    </row>
    <row r="7042" spans="1:18" x14ac:dyDescent="0.25">
      <c r="A7042" s="6" t="str">
        <f>HYPERLINK("proteomic_fractions_linear_files/Yang_linear_img/264681518.jpg", "264681518")</f>
        <v>264681518</v>
      </c>
      <c r="B7042" s="7"/>
      <c r="C7042" s="6" t="str">
        <f>HYPERLINK("http://www.ncbi.nlm.nih.gov/protein/264681518","Spag7")</f>
        <v>Spag7</v>
      </c>
      <c r="D7042" s="8"/>
      <c r="E7042" s="8">
        <v>24583</v>
      </c>
      <c r="F7042" s="8"/>
      <c r="G7042" s="15" t="s">
        <v>10</v>
      </c>
      <c r="H7042" s="15" t="s">
        <v>10</v>
      </c>
      <c r="I7042" s="15" t="s">
        <v>10</v>
      </c>
      <c r="J7042" s="15" t="s">
        <v>10</v>
      </c>
      <c r="K7042" s="15" t="s">
        <v>10</v>
      </c>
      <c r="L7042" s="15" t="s">
        <v>10</v>
      </c>
      <c r="M7042" s="15" t="s">
        <v>10</v>
      </c>
      <c r="N7042" s="15" t="s">
        <v>10</v>
      </c>
      <c r="O7042" s="15">
        <v>0.92438293498869784</v>
      </c>
      <c r="P7042" s="15">
        <v>0.92438293498869784</v>
      </c>
      <c r="Q7042" s="8"/>
      <c r="R7042" s="9" t="s">
        <v>6551</v>
      </c>
    </row>
    <row r="7043" spans="1:18" x14ac:dyDescent="0.25">
      <c r="A7043" s="6" t="str">
        <f>HYPERLINK("proteomic_fractions_linear_files/Yang_linear_img/312836821.jpg", "312836821")</f>
        <v>312836821</v>
      </c>
      <c r="B7043" s="7"/>
      <c r="C7043" s="6" t="str">
        <f>HYPERLINK("http://www.ncbi.nlm.nih.gov/protein/312836821","Spag9")</f>
        <v>Spag9</v>
      </c>
      <c r="D7043" s="8"/>
      <c r="E7043" s="8">
        <v>146105</v>
      </c>
      <c r="F7043" s="8"/>
      <c r="G7043" s="15" t="s">
        <v>10</v>
      </c>
      <c r="H7043" s="15" t="s">
        <v>10</v>
      </c>
      <c r="I7043" s="15" t="s">
        <v>10</v>
      </c>
      <c r="J7043" s="15" t="s">
        <v>10</v>
      </c>
      <c r="K7043" s="15">
        <v>1.5983619700537608</v>
      </c>
      <c r="L7043" s="15">
        <v>1.5983619700537608</v>
      </c>
      <c r="M7043" s="15" t="s">
        <v>10</v>
      </c>
      <c r="N7043" s="15" t="s">
        <v>10</v>
      </c>
      <c r="O7043" s="15">
        <v>1.5983619700537608</v>
      </c>
      <c r="P7043" s="15">
        <v>1.5983619700537608</v>
      </c>
      <c r="Q7043" s="8"/>
      <c r="R7043" s="9" t="s">
        <v>6552</v>
      </c>
    </row>
    <row r="7044" spans="1:18" x14ac:dyDescent="0.25">
      <c r="A7044" s="6" t="str">
        <f>HYPERLINK("proteomic_fractions_linear_files/Yang_linear_img/312836823.jpg", "312836823")</f>
        <v>312836823</v>
      </c>
      <c r="B7044" s="7"/>
      <c r="C7044" s="6" t="str">
        <f>HYPERLINK("http://www.ncbi.nlm.nih.gov/protein/312836823","Spag9")</f>
        <v>Spag9</v>
      </c>
      <c r="D7044" s="8"/>
      <c r="E7044" s="8">
        <v>146001</v>
      </c>
      <c r="F7044" s="8"/>
      <c r="G7044" s="15" t="s">
        <v>10</v>
      </c>
      <c r="H7044" s="15" t="s">
        <v>10</v>
      </c>
      <c r="I7044" s="15" t="s">
        <v>10</v>
      </c>
      <c r="J7044" s="15" t="s">
        <v>10</v>
      </c>
      <c r="K7044" s="15">
        <v>1.5983619700537608</v>
      </c>
      <c r="L7044" s="15">
        <v>1.5983619700537608</v>
      </c>
      <c r="M7044" s="15" t="s">
        <v>10</v>
      </c>
      <c r="N7044" s="15" t="s">
        <v>10</v>
      </c>
      <c r="O7044" s="15">
        <v>1.5983619700537608</v>
      </c>
      <c r="P7044" s="15">
        <v>1.5983619700537608</v>
      </c>
      <c r="Q7044" s="8"/>
      <c r="R7044" s="9" t="s">
        <v>6553</v>
      </c>
    </row>
    <row r="7045" spans="1:18" x14ac:dyDescent="0.25">
      <c r="A7045" s="6" t="str">
        <f>HYPERLINK("proteomic_fractions_linear_files/Yang_linear_img/312836825.jpg", "312836825")</f>
        <v>312836825</v>
      </c>
      <c r="B7045" s="7"/>
      <c r="C7045" s="6" t="str">
        <f>HYPERLINK("http://www.ncbi.nlm.nih.gov/protein/312836825","Spag9")</f>
        <v>Spag9</v>
      </c>
      <c r="D7045" s="8"/>
      <c r="E7045" s="8">
        <v>128541</v>
      </c>
      <c r="F7045" s="8"/>
      <c r="G7045" s="15" t="s">
        <v>10</v>
      </c>
      <c r="H7045" s="15" t="s">
        <v>10</v>
      </c>
      <c r="I7045" s="15" t="s">
        <v>10</v>
      </c>
      <c r="J7045" s="15" t="s">
        <v>10</v>
      </c>
      <c r="K7045" s="15">
        <v>1.8089988188205355</v>
      </c>
      <c r="L7045" s="15">
        <v>1.8089988188205355</v>
      </c>
      <c r="M7045" s="15" t="s">
        <v>10</v>
      </c>
      <c r="N7045" s="15" t="s">
        <v>10</v>
      </c>
      <c r="O7045" s="15">
        <v>1.8089988188205355</v>
      </c>
      <c r="P7045" s="15">
        <v>1.8089988188205355</v>
      </c>
      <c r="Q7045" s="8"/>
      <c r="R7045" s="9" t="s">
        <v>6554</v>
      </c>
    </row>
    <row r="7046" spans="1:18" x14ac:dyDescent="0.25">
      <c r="A7046" s="6" t="str">
        <f>HYPERLINK("proteomic_fractions_linear_files/Yang_linear_img/70887772.jpg", "70887772")</f>
        <v>70887772</v>
      </c>
      <c r="B7046" s="7"/>
      <c r="C7046" s="6" t="str">
        <f>HYPERLINK("http://www.ncbi.nlm.nih.gov/protein/70887772","Spag9")</f>
        <v>Spag9</v>
      </c>
      <c r="D7046" s="8"/>
      <c r="E7046" s="8">
        <v>144573</v>
      </c>
      <c r="F7046" s="8"/>
      <c r="G7046" s="15" t="s">
        <v>10</v>
      </c>
      <c r="H7046" s="15" t="s">
        <v>10</v>
      </c>
      <c r="I7046" s="15" t="s">
        <v>10</v>
      </c>
      <c r="J7046" s="15" t="s">
        <v>10</v>
      </c>
      <c r="K7046" s="15">
        <v>1.6093851560541315</v>
      </c>
      <c r="L7046" s="15">
        <v>1.6093851560541315</v>
      </c>
      <c r="M7046" s="15" t="s">
        <v>10</v>
      </c>
      <c r="N7046" s="15" t="s">
        <v>10</v>
      </c>
      <c r="O7046" s="15">
        <v>1.6093851560541315</v>
      </c>
      <c r="P7046" s="15">
        <v>1.6093851560541315</v>
      </c>
      <c r="Q7046" s="8"/>
      <c r="R7046" s="9" t="s">
        <v>6555</v>
      </c>
    </row>
    <row r="7047" spans="1:18" x14ac:dyDescent="0.25">
      <c r="A7047" s="6" t="str">
        <f>HYPERLINK("proteomic_fractions_linear_files/Yang_linear_img/70887776.jpg", "70887776")</f>
        <v>70887776</v>
      </c>
      <c r="B7047" s="7"/>
      <c r="C7047" s="6" t="str">
        <f>HYPERLINK("http://www.ncbi.nlm.nih.gov/protein/70887776","Spag9")</f>
        <v>Spag9</v>
      </c>
      <c r="D7047" s="8"/>
      <c r="E7047" s="8">
        <v>127550</v>
      </c>
      <c r="F7047" s="8"/>
      <c r="G7047" s="15" t="s">
        <v>10</v>
      </c>
      <c r="H7047" s="15" t="s">
        <v>10</v>
      </c>
      <c r="I7047" s="15" t="s">
        <v>10</v>
      </c>
      <c r="J7047" s="15" t="s">
        <v>10</v>
      </c>
      <c r="K7047" s="15">
        <v>1.8231316220925708</v>
      </c>
      <c r="L7047" s="15">
        <v>1.8231316220925708</v>
      </c>
      <c r="M7047" s="15" t="s">
        <v>10</v>
      </c>
      <c r="N7047" s="15" t="s">
        <v>10</v>
      </c>
      <c r="O7047" s="15">
        <v>1.8231316220925708</v>
      </c>
      <c r="P7047" s="15">
        <v>1.8231316220925708</v>
      </c>
      <c r="Q7047" s="8"/>
      <c r="R7047" s="9" t="s">
        <v>6556</v>
      </c>
    </row>
    <row r="7048" spans="1:18" x14ac:dyDescent="0.25">
      <c r="A7048" s="6" t="str">
        <f>HYPERLINK("proteomic_fractions_linear_files/Yang_linear_img/70887778.jpg", "70887778")</f>
        <v>70887778</v>
      </c>
      <c r="B7048" s="7"/>
      <c r="C7048" s="6" t="str">
        <f>HYPERLINK("http://www.ncbi.nlm.nih.gov/protein/70887778","Spag9")</f>
        <v>Spag9</v>
      </c>
      <c r="D7048" s="8"/>
      <c r="E7048" s="8">
        <v>127774</v>
      </c>
      <c r="F7048" s="8"/>
      <c r="G7048" s="15" t="s">
        <v>10</v>
      </c>
      <c r="H7048" s="15" t="s">
        <v>10</v>
      </c>
      <c r="I7048" s="15" t="s">
        <v>10</v>
      </c>
      <c r="J7048" s="15" t="s">
        <v>10</v>
      </c>
      <c r="K7048" s="15">
        <v>1.8231316220925708</v>
      </c>
      <c r="L7048" s="15">
        <v>1.8231316220925708</v>
      </c>
      <c r="M7048" s="15" t="s">
        <v>10</v>
      </c>
      <c r="N7048" s="15" t="s">
        <v>10</v>
      </c>
      <c r="O7048" s="15">
        <v>1.8231316220925708</v>
      </c>
      <c r="P7048" s="15">
        <v>1.8231316220925708</v>
      </c>
      <c r="Q7048" s="8"/>
      <c r="R7048" s="9" t="s">
        <v>6557</v>
      </c>
    </row>
    <row r="7049" spans="1:18" x14ac:dyDescent="0.25">
      <c r="A7049" s="6" t="str">
        <f>HYPERLINK("proteomic_fractions_linear_files/Yang_linear_img/70887784.jpg", "70887784")</f>
        <v>70887784</v>
      </c>
      <c r="B7049" s="7"/>
      <c r="C7049" s="6" t="str">
        <f>HYPERLINK("http://www.ncbi.nlm.nih.gov/protein/70887784","Spag9")</f>
        <v>Spag9</v>
      </c>
      <c r="D7049" s="8"/>
      <c r="E7049" s="8">
        <v>127113</v>
      </c>
      <c r="F7049" s="8"/>
      <c r="G7049" s="15" t="s">
        <v>10</v>
      </c>
      <c r="H7049" s="15" t="s">
        <v>10</v>
      </c>
      <c r="I7049" s="15" t="s">
        <v>10</v>
      </c>
      <c r="J7049" s="15" t="s">
        <v>10</v>
      </c>
      <c r="K7049" s="15">
        <v>1.837486989195662</v>
      </c>
      <c r="L7049" s="15">
        <v>1.837486989195662</v>
      </c>
      <c r="M7049" s="15" t="s">
        <v>10</v>
      </c>
      <c r="N7049" s="15" t="s">
        <v>10</v>
      </c>
      <c r="O7049" s="15">
        <v>1.837486989195662</v>
      </c>
      <c r="P7049" s="15">
        <v>1.837486989195662</v>
      </c>
      <c r="Q7049" s="8"/>
      <c r="R7049" s="9" t="s">
        <v>6558</v>
      </c>
    </row>
    <row r="7050" spans="1:18" x14ac:dyDescent="0.25">
      <c r="A7050" s="6" t="str">
        <f>HYPERLINK("proteomic_fractions_linear_files/Yang_linear_img/244790106.jpg", "244790106")</f>
        <v>244790106</v>
      </c>
      <c r="B7050" s="7"/>
      <c r="C7050" s="6" t="str">
        <f>HYPERLINK("http://www.ncbi.nlm.nih.gov/protein/244790106","Spast")</f>
        <v>Spast</v>
      </c>
      <c r="D7050" s="8"/>
      <c r="E7050" s="8">
        <v>66325</v>
      </c>
      <c r="F7050" s="8"/>
      <c r="G7050" s="15" t="s">
        <v>10</v>
      </c>
      <c r="H7050" s="15" t="s">
        <v>10</v>
      </c>
      <c r="I7050" s="15" t="s">
        <v>10</v>
      </c>
      <c r="J7050" s="15" t="s">
        <v>10</v>
      </c>
      <c r="K7050" s="15">
        <v>2.8297853278778842</v>
      </c>
      <c r="L7050" s="15">
        <v>2.8297853278778842</v>
      </c>
      <c r="M7050" s="15" t="s">
        <v>10</v>
      </c>
      <c r="N7050" s="15" t="s">
        <v>10</v>
      </c>
      <c r="O7050" s="15">
        <v>0.25327991697889429</v>
      </c>
      <c r="P7050" s="15">
        <v>0.25327991697889429</v>
      </c>
      <c r="Q7050" s="8"/>
      <c r="R7050" s="9" t="s">
        <v>6559</v>
      </c>
    </row>
    <row r="7051" spans="1:18" x14ac:dyDescent="0.25">
      <c r="A7051" s="6" t="str">
        <f>HYPERLINK("proteomic_fractions_linear_files/Yang_linear_img/244790112.jpg", "244790112")</f>
        <v>244790112</v>
      </c>
      <c r="B7051" s="7"/>
      <c r="C7051" s="6" t="str">
        <f>HYPERLINK("http://www.ncbi.nlm.nih.gov/protein/244790112","Spast")</f>
        <v>Spast</v>
      </c>
      <c r="D7051" s="8"/>
      <c r="E7051" s="8">
        <v>66254</v>
      </c>
      <c r="F7051" s="8"/>
      <c r="G7051" s="15" t="s">
        <v>10</v>
      </c>
      <c r="H7051" s="15" t="s">
        <v>10</v>
      </c>
      <c r="I7051" s="15" t="s">
        <v>10</v>
      </c>
      <c r="J7051" s="15" t="s">
        <v>10</v>
      </c>
      <c r="K7051" s="15">
        <v>2.8297853278778842</v>
      </c>
      <c r="L7051" s="15">
        <v>2.8297853278778842</v>
      </c>
      <c r="M7051" s="15" t="s">
        <v>10</v>
      </c>
      <c r="N7051" s="15" t="s">
        <v>10</v>
      </c>
      <c r="O7051" s="15">
        <v>0.25327991697889429</v>
      </c>
      <c r="P7051" s="15">
        <v>0.25327991697889429</v>
      </c>
      <c r="Q7051" s="8"/>
      <c r="R7051" s="9" t="s">
        <v>6560</v>
      </c>
    </row>
    <row r="7052" spans="1:18" x14ac:dyDescent="0.25">
      <c r="A7052" s="6" t="str">
        <f>HYPERLINK("proteomic_fractions_linear_files/Yang_linear_img/242247225.jpg", "242247225")</f>
        <v>242247225</v>
      </c>
      <c r="B7052" s="7"/>
      <c r="C7052" s="6" t="str">
        <f>HYPERLINK("http://www.ncbi.nlm.nih.gov/protein/242247225","Spata13")</f>
        <v>Spata13</v>
      </c>
      <c r="D7052" s="8"/>
      <c r="E7052" s="8">
        <v>137940</v>
      </c>
      <c r="F7052" s="8"/>
      <c r="G7052" s="15" t="s">
        <v>10</v>
      </c>
      <c r="H7052" s="15" t="s">
        <v>10</v>
      </c>
      <c r="I7052" s="15" t="s">
        <v>10</v>
      </c>
      <c r="J7052" s="15" t="s">
        <v>10</v>
      </c>
      <c r="K7052" s="15">
        <v>1.6910206349844135</v>
      </c>
      <c r="L7052" s="15">
        <v>1.6910206349844135</v>
      </c>
      <c r="M7052" s="15">
        <v>0.68817377668539503</v>
      </c>
      <c r="N7052" s="15">
        <v>0.68817377668539503</v>
      </c>
      <c r="O7052" s="15" t="s">
        <v>10</v>
      </c>
      <c r="P7052" s="15" t="s">
        <v>10</v>
      </c>
      <c r="Q7052" s="8"/>
      <c r="R7052" s="9" t="s">
        <v>6561</v>
      </c>
    </row>
    <row r="7053" spans="1:18" x14ac:dyDescent="0.25">
      <c r="A7053" s="6" t="str">
        <f>HYPERLINK("proteomic_fractions_linear_files/Yang_linear_img/254553468.jpg", "254553468")</f>
        <v>254553468</v>
      </c>
      <c r="B7053" s="7"/>
      <c r="C7053" s="6" t="str">
        <f>HYPERLINK("http://www.ncbi.nlm.nih.gov/protein/254553468","Spata5")</f>
        <v>Spata5</v>
      </c>
      <c r="D7053" s="8"/>
      <c r="E7053" s="8">
        <v>97026</v>
      </c>
      <c r="F7053" s="8"/>
      <c r="G7053" s="15" t="s">
        <v>10</v>
      </c>
      <c r="H7053" s="15" t="s">
        <v>10</v>
      </c>
      <c r="I7053" s="15" t="s">
        <v>10</v>
      </c>
      <c r="J7053" s="15" t="s">
        <v>10</v>
      </c>
      <c r="K7053" s="15">
        <v>1.1319748847539326</v>
      </c>
      <c r="L7053" s="15">
        <v>1.1319748847539326</v>
      </c>
      <c r="M7053" s="15">
        <v>0.97905135239777841</v>
      </c>
      <c r="N7053" s="15">
        <v>0.97905135239777841</v>
      </c>
      <c r="O7053" s="15">
        <v>1.1319748847539326</v>
      </c>
      <c r="P7053" s="15">
        <v>1.1319748847539326</v>
      </c>
      <c r="Q7053" s="8"/>
      <c r="R7053" s="9" t="s">
        <v>6562</v>
      </c>
    </row>
    <row r="7054" spans="1:18" x14ac:dyDescent="0.25">
      <c r="A7054" s="6" t="str">
        <f>HYPERLINK("proteomic_fractions_linear_files/Yang_linear_img/254553470.jpg", "254553470")</f>
        <v>254553470</v>
      </c>
      <c r="B7054" s="7"/>
      <c r="C7054" s="6" t="str">
        <f>HYPERLINK("http://www.ncbi.nlm.nih.gov/protein/254553470","Spata5")</f>
        <v>Spata5</v>
      </c>
      <c r="D7054" s="8"/>
      <c r="E7054" s="8">
        <v>97125</v>
      </c>
      <c r="F7054" s="8"/>
      <c r="G7054" s="15" t="s">
        <v>10</v>
      </c>
      <c r="H7054" s="15" t="s">
        <v>10</v>
      </c>
      <c r="I7054" s="15" t="s">
        <v>10</v>
      </c>
      <c r="J7054" s="15" t="s">
        <v>10</v>
      </c>
      <c r="K7054" s="15">
        <v>1.1319748847539326</v>
      </c>
      <c r="L7054" s="15">
        <v>1.1319748847539326</v>
      </c>
      <c r="M7054" s="15">
        <v>0.97905135239777841</v>
      </c>
      <c r="N7054" s="15">
        <v>0.97905135239777841</v>
      </c>
      <c r="O7054" s="15">
        <v>1.1319748847539326</v>
      </c>
      <c r="P7054" s="15">
        <v>1.1319748847539326</v>
      </c>
      <c r="Q7054" s="8"/>
      <c r="R7054" s="9" t="s">
        <v>6563</v>
      </c>
    </row>
    <row r="7055" spans="1:18" x14ac:dyDescent="0.25">
      <c r="A7055" s="6" t="str">
        <f>HYPERLINK("proteomic_fractions_linear_files/Yang_linear_img/20982833.jpg", "20982833")</f>
        <v>20982833</v>
      </c>
      <c r="B7055" s="7"/>
      <c r="C7055" s="6" t="str">
        <f>HYPERLINK("http://www.ncbi.nlm.nih.gov/protein/20982833","Spats2")</f>
        <v>Spats2</v>
      </c>
      <c r="D7055" s="8"/>
      <c r="E7055" s="8">
        <v>58825</v>
      </c>
      <c r="F7055" s="8"/>
      <c r="G7055" s="15" t="s">
        <v>10</v>
      </c>
      <c r="H7055" s="15" t="s">
        <v>10</v>
      </c>
      <c r="I7055" s="15" t="s">
        <v>10</v>
      </c>
      <c r="J7055" s="15" t="s">
        <v>10</v>
      </c>
      <c r="K7055" s="15">
        <v>1.4084518385278619</v>
      </c>
      <c r="L7055" s="15">
        <v>1.4084518385278619</v>
      </c>
      <c r="M7055" s="15" t="s">
        <v>10</v>
      </c>
      <c r="N7055" s="15" t="s">
        <v>10</v>
      </c>
      <c r="O7055" s="15" t="s">
        <v>10</v>
      </c>
      <c r="P7055" s="15" t="s">
        <v>10</v>
      </c>
      <c r="Q7055" s="8"/>
      <c r="R7055" s="9" t="s">
        <v>6564</v>
      </c>
    </row>
    <row r="7056" spans="1:18" x14ac:dyDescent="0.25">
      <c r="A7056" s="6" t="str">
        <f>HYPERLINK("proteomic_fractions_linear_files/Yang_linear_img/21312862.jpg", "21312862")</f>
        <v>21312862</v>
      </c>
      <c r="B7056" s="7"/>
      <c r="C7056" s="6" t="str">
        <f>HYPERLINK("http://www.ncbi.nlm.nih.gov/protein/21312862","Spc24")</f>
        <v>Spc24</v>
      </c>
      <c r="D7056" s="8"/>
      <c r="E7056" s="8">
        <v>23285</v>
      </c>
      <c r="F7056" s="8"/>
      <c r="G7056" s="15" t="s">
        <v>10</v>
      </c>
      <c r="H7056" s="15" t="s">
        <v>10</v>
      </c>
      <c r="I7056" s="15" t="s">
        <v>10</v>
      </c>
      <c r="J7056" s="15" t="s">
        <v>10</v>
      </c>
      <c r="K7056" s="15">
        <v>1.0676008962294312</v>
      </c>
      <c r="L7056" s="15">
        <v>1.0676008962294312</v>
      </c>
      <c r="M7056" s="15" t="s">
        <v>10</v>
      </c>
      <c r="N7056" s="15" t="s">
        <v>10</v>
      </c>
      <c r="O7056" s="15">
        <v>0.89554092115896833</v>
      </c>
      <c r="P7056" s="15">
        <v>0.89554092115896833</v>
      </c>
      <c r="Q7056" s="8"/>
      <c r="R7056" s="9" t="s">
        <v>6565</v>
      </c>
    </row>
    <row r="7057" spans="1:18" x14ac:dyDescent="0.25">
      <c r="A7057" s="6" t="str">
        <f>HYPERLINK("proteomic_fractions_linear_files/Yang_linear_img/312283739;312283741.jpg", "312283739;312283741")</f>
        <v>312283739;312283741</v>
      </c>
      <c r="B7057" s="8"/>
      <c r="C7057" s="6" t="str">
        <f>HYPERLINK("http://www.ncbi.nlm.nih.gov/protein/312283739;312283741","Spc25")</f>
        <v>Spc25</v>
      </c>
      <c r="D7057" s="8"/>
      <c r="E7057" s="8">
        <v>26326</v>
      </c>
      <c r="F7057" s="8"/>
      <c r="G7057" s="15" t="s">
        <v>10</v>
      </c>
      <c r="H7057" s="15" t="s">
        <v>10</v>
      </c>
      <c r="I7057" s="15" t="s">
        <v>10</v>
      </c>
      <c r="J7057" s="15" t="s">
        <v>10</v>
      </c>
      <c r="K7057" s="15">
        <v>0.94441617743372752</v>
      </c>
      <c r="L7057" s="15">
        <v>0.94441617743372752</v>
      </c>
      <c r="M7057" s="15" t="s">
        <v>10</v>
      </c>
      <c r="N7057" s="15" t="s">
        <v>10</v>
      </c>
      <c r="O7057" s="15" t="s">
        <v>10</v>
      </c>
      <c r="P7057" s="15" t="s">
        <v>10</v>
      </c>
      <c r="Q7057" s="8"/>
      <c r="R7057" s="9" t="s">
        <v>6566</v>
      </c>
    </row>
    <row r="7058" spans="1:18" x14ac:dyDescent="0.25">
      <c r="A7058" s="6" t="str">
        <f>HYPERLINK("proteomic_fractions_linear_files/Yang_linear_img/312283741.jpg", "312283741")</f>
        <v>312283741</v>
      </c>
      <c r="B7058" s="7"/>
      <c r="C7058" s="6" t="str">
        <f>HYPERLINK("http://www.ncbi.nlm.nih.gov/protein/312283741","Spc25")</f>
        <v>Spc25</v>
      </c>
      <c r="D7058" s="8"/>
      <c r="E7058" s="8">
        <v>26326</v>
      </c>
      <c r="F7058" s="8"/>
      <c r="G7058" s="15" t="s">
        <v>10</v>
      </c>
      <c r="H7058" s="15" t="s">
        <v>10</v>
      </c>
      <c r="I7058" s="15" t="s">
        <v>10</v>
      </c>
      <c r="J7058" s="15" t="s">
        <v>10</v>
      </c>
      <c r="K7058" s="15" t="s">
        <v>10</v>
      </c>
      <c r="L7058" s="15" t="s">
        <v>10</v>
      </c>
      <c r="M7058" s="15" t="s">
        <v>10</v>
      </c>
      <c r="N7058" s="15" t="s">
        <v>10</v>
      </c>
      <c r="O7058" s="15">
        <v>0.83829777964149044</v>
      </c>
      <c r="P7058" s="15">
        <v>0.83829777964149044</v>
      </c>
      <c r="Q7058" s="8"/>
      <c r="R7058" s="9" t="s">
        <v>6566</v>
      </c>
    </row>
    <row r="7059" spans="1:18" x14ac:dyDescent="0.25">
      <c r="A7059" s="6" t="str">
        <f>HYPERLINK("proteomic_fractions_linear_files/Yang_linear_img/21313454.jpg", "21313454")</f>
        <v>21313454</v>
      </c>
      <c r="B7059" s="7"/>
      <c r="C7059" s="6" t="str">
        <f>HYPERLINK("http://www.ncbi.nlm.nih.gov/protein/21313454","Spc25")</f>
        <v>Spc25</v>
      </c>
      <c r="D7059" s="8"/>
      <c r="E7059" s="8">
        <v>20813</v>
      </c>
      <c r="F7059" s="8"/>
      <c r="G7059" s="15" t="s">
        <v>10</v>
      </c>
      <c r="H7059" s="15" t="s">
        <v>10</v>
      </c>
      <c r="I7059" s="15" t="s">
        <v>10</v>
      </c>
      <c r="J7059" s="15" t="s">
        <v>10</v>
      </c>
      <c r="K7059" s="15">
        <v>1.1692771720608055</v>
      </c>
      <c r="L7059" s="15">
        <v>1.1692771720608055</v>
      </c>
      <c r="M7059" s="15" t="s">
        <v>10</v>
      </c>
      <c r="N7059" s="15" t="s">
        <v>10</v>
      </c>
      <c r="O7059" s="15">
        <v>1.0378924890799406</v>
      </c>
      <c r="P7059" s="15">
        <v>1.0378924890799406</v>
      </c>
      <c r="Q7059" s="8"/>
      <c r="R7059" s="9" t="s">
        <v>6567</v>
      </c>
    </row>
    <row r="7060" spans="1:18" x14ac:dyDescent="0.25">
      <c r="A7060" s="6" t="str">
        <f>HYPERLINK("proteomic_fractions_linear_files/Yang_linear_img/193788663.jpg", "193788663")</f>
        <v>193788663</v>
      </c>
      <c r="B7060" s="7"/>
      <c r="C7060" s="6" t="str">
        <f>HYPERLINK("http://www.ncbi.nlm.nih.gov/protein/193788663","Spcs1")</f>
        <v>Spcs1</v>
      </c>
      <c r="D7060" s="8"/>
      <c r="E7060" s="8">
        <v>18055</v>
      </c>
      <c r="F7060" s="8"/>
      <c r="G7060" s="15">
        <v>0.67960340512951989</v>
      </c>
      <c r="H7060" s="15">
        <v>0.67960340512951989</v>
      </c>
      <c r="I7060" s="15">
        <v>0.73872577905564074</v>
      </c>
      <c r="J7060" s="15">
        <v>0.73872577905564074</v>
      </c>
      <c r="K7060" s="15" t="s">
        <v>10</v>
      </c>
      <c r="L7060" s="15" t="s">
        <v>10</v>
      </c>
      <c r="M7060" s="15" t="s">
        <v>10</v>
      </c>
      <c r="N7060" s="15" t="s">
        <v>10</v>
      </c>
      <c r="O7060" s="15" t="s">
        <v>10</v>
      </c>
      <c r="P7060" s="15" t="s">
        <v>10</v>
      </c>
      <c r="Q7060" s="8"/>
      <c r="R7060" s="9" t="s">
        <v>6568</v>
      </c>
    </row>
    <row r="7061" spans="1:18" x14ac:dyDescent="0.25">
      <c r="A7061" s="6" t="str">
        <f>HYPERLINK("proteomic_fractions_linear_files/Yang_linear_img/13385134.jpg", "13385134")</f>
        <v>13385134</v>
      </c>
      <c r="B7061" s="7"/>
      <c r="C7061" s="6" t="str">
        <f>HYPERLINK("http://www.ncbi.nlm.nih.gov/protein/13385134","Spcs2")</f>
        <v>Spcs2</v>
      </c>
      <c r="D7061" s="8"/>
      <c r="E7061" s="8">
        <v>24847</v>
      </c>
      <c r="F7061" s="8"/>
      <c r="G7061" s="15">
        <v>0.82389764746625094</v>
      </c>
      <c r="H7061" s="15">
        <v>0.82389764746625094</v>
      </c>
      <c r="I7061" s="15">
        <v>0.82389764746625094</v>
      </c>
      <c r="J7061" s="15">
        <v>0.82389764746625094</v>
      </c>
      <c r="K7061" s="15">
        <v>0.87182969082715001</v>
      </c>
      <c r="L7061" s="15">
        <v>0.87182969082715001</v>
      </c>
      <c r="M7061" s="15" t="s">
        <v>10</v>
      </c>
      <c r="N7061" s="15" t="s">
        <v>10</v>
      </c>
      <c r="O7061" s="15" t="s">
        <v>10</v>
      </c>
      <c r="P7061" s="15" t="s">
        <v>10</v>
      </c>
      <c r="Q7061" s="8"/>
      <c r="R7061" s="9" t="s">
        <v>6569</v>
      </c>
    </row>
    <row r="7062" spans="1:18" x14ac:dyDescent="0.25">
      <c r="A7062" s="6" t="str">
        <f>HYPERLINK("proteomic_fractions_linear_files/Yang_linear_img/125988403.jpg", "125988403")</f>
        <v>125988403</v>
      </c>
      <c r="B7062" s="7"/>
      <c r="C7062" s="6" t="str">
        <f>HYPERLINK("http://www.ncbi.nlm.nih.gov/protein/125988403","Spcs3")</f>
        <v>Spcs3</v>
      </c>
      <c r="D7062" s="8"/>
      <c r="E7062" s="8">
        <v>20182</v>
      </c>
      <c r="F7062" s="8"/>
      <c r="G7062" s="15">
        <v>0.97505749140176368</v>
      </c>
      <c r="H7062" s="15">
        <v>0.97505749140176368</v>
      </c>
      <c r="I7062" s="15">
        <v>1.0298720593328137</v>
      </c>
      <c r="J7062" s="15">
        <v>1.0298720593328137</v>
      </c>
      <c r="K7062" s="15">
        <v>1.0298720593328137</v>
      </c>
      <c r="L7062" s="15">
        <v>1.0298720593328137</v>
      </c>
      <c r="M7062" s="15">
        <v>1.0298720593328137</v>
      </c>
      <c r="N7062" s="15">
        <v>1.0298720593328137</v>
      </c>
      <c r="O7062" s="15" t="s">
        <v>10</v>
      </c>
      <c r="P7062" s="15" t="s">
        <v>10</v>
      </c>
      <c r="Q7062" s="8"/>
      <c r="R7062" s="9" t="s">
        <v>581</v>
      </c>
    </row>
    <row r="7063" spans="1:18" x14ac:dyDescent="0.25">
      <c r="A7063" s="6" t="str">
        <f>HYPERLINK("proteomic_fractions_linear_files/Yang_linear_img/71979930.jpg", "71979930")</f>
        <v>71979930</v>
      </c>
      <c r="B7063" s="7"/>
      <c r="C7063" s="6" t="str">
        <f>HYPERLINK("http://www.ncbi.nlm.nih.gov/protein/71979930","Specc1")</f>
        <v>Specc1</v>
      </c>
      <c r="D7063" s="8"/>
      <c r="E7063" s="8">
        <v>108713</v>
      </c>
      <c r="F7063" s="8"/>
      <c r="G7063" s="15" t="s">
        <v>10</v>
      </c>
      <c r="H7063" s="15" t="s">
        <v>10</v>
      </c>
      <c r="I7063" s="15" t="s">
        <v>10</v>
      </c>
      <c r="J7063" s="15" t="s">
        <v>10</v>
      </c>
      <c r="K7063" s="15">
        <v>1.0073537965241419</v>
      </c>
      <c r="L7063" s="15">
        <v>1.0073537965241419</v>
      </c>
      <c r="M7063" s="15" t="s">
        <v>10</v>
      </c>
      <c r="N7063" s="15" t="s">
        <v>10</v>
      </c>
      <c r="O7063" s="15" t="s">
        <v>10</v>
      </c>
      <c r="P7063" s="15" t="s">
        <v>10</v>
      </c>
      <c r="Q7063" s="8"/>
      <c r="R7063" s="9" t="s">
        <v>6570</v>
      </c>
    </row>
    <row r="7064" spans="1:18" x14ac:dyDescent="0.25">
      <c r="A7064" s="6" t="str">
        <f>HYPERLINK("proteomic_fractions_linear_files/Yang_linear_img/125991758.jpg", "125991758")</f>
        <v>125991758</v>
      </c>
      <c r="B7064" s="7"/>
      <c r="C7064" s="6" t="str">
        <f>HYPERLINK("http://www.ncbi.nlm.nih.gov/protein/125991758","Spef2")</f>
        <v>Spef2</v>
      </c>
      <c r="D7064" s="8"/>
      <c r="E7064" s="8">
        <v>99961</v>
      </c>
      <c r="F7064" s="8"/>
      <c r="G7064" s="15" t="s">
        <v>10</v>
      </c>
      <c r="H7064" s="15" t="s">
        <v>10</v>
      </c>
      <c r="I7064" s="15" t="s">
        <v>10</v>
      </c>
      <c r="J7064" s="15" t="s">
        <v>10</v>
      </c>
      <c r="K7064" s="15" t="s">
        <v>10</v>
      </c>
      <c r="L7064" s="15" t="s">
        <v>10</v>
      </c>
      <c r="M7064" s="15" t="s">
        <v>10</v>
      </c>
      <c r="N7064" s="15" t="s">
        <v>10</v>
      </c>
      <c r="O7064" s="15">
        <v>0.37341326423124593</v>
      </c>
      <c r="P7064" s="15">
        <v>0.37341326423124593</v>
      </c>
      <c r="Q7064" s="8"/>
      <c r="R7064" s="9" t="s">
        <v>6571</v>
      </c>
    </row>
    <row r="7065" spans="1:18" x14ac:dyDescent="0.25">
      <c r="A7065" s="6" t="str">
        <f>HYPERLINK("proteomic_fractions_linear_files/Yang_linear_img/120587001.jpg", "120587001")</f>
        <v>120587001</v>
      </c>
      <c r="B7065" s="7"/>
      <c r="C7065" s="6" t="str">
        <f>HYPERLINK("http://www.ncbi.nlm.nih.gov/protein/120587001","Spen")</f>
        <v>Spen</v>
      </c>
      <c r="D7065" s="8"/>
      <c r="E7065" s="8">
        <v>398404</v>
      </c>
      <c r="F7065" s="8"/>
      <c r="G7065" s="15" t="s">
        <v>10</v>
      </c>
      <c r="H7065" s="15" t="s">
        <v>10</v>
      </c>
      <c r="I7065" s="15" t="s">
        <v>10</v>
      </c>
      <c r="J7065" s="15" t="s">
        <v>10</v>
      </c>
      <c r="K7065" s="15" t="s">
        <v>10</v>
      </c>
      <c r="L7065" s="15" t="s">
        <v>10</v>
      </c>
      <c r="M7065" s="15" t="s">
        <v>10</v>
      </c>
      <c r="N7065" s="15" t="s">
        <v>10</v>
      </c>
      <c r="O7065" s="15">
        <v>3.6476064627814941E-2</v>
      </c>
      <c r="P7065" s="15">
        <v>3.6476064627814941E-2</v>
      </c>
      <c r="Q7065" s="8"/>
      <c r="R7065" s="9" t="s">
        <v>6572</v>
      </c>
    </row>
    <row r="7066" spans="1:18" x14ac:dyDescent="0.25">
      <c r="A7066" s="6" t="str">
        <f>HYPERLINK("proteomic_fractions_linear_files/Yang_linear_img/222418579;21450269.jpg", "222418579;21450269")</f>
        <v>222418579;21450269</v>
      </c>
      <c r="B7066" s="8"/>
      <c r="C7066" s="6" t="str">
        <f>HYPERLINK("http://www.ncbi.nlm.nih.gov/protein/222418579;21450269","Spg20")</f>
        <v>Spg20</v>
      </c>
      <c r="D7066" s="8"/>
      <c r="E7066" s="8">
        <v>72524</v>
      </c>
      <c r="F7066" s="8"/>
      <c r="G7066" s="15" t="s">
        <v>10</v>
      </c>
      <c r="H7066" s="15" t="s">
        <v>10</v>
      </c>
      <c r="I7066" s="15">
        <v>1.1383377873033405</v>
      </c>
      <c r="J7066" s="15">
        <v>1.1383377873033405</v>
      </c>
      <c r="K7066" s="15">
        <v>1.3009312490765002</v>
      </c>
      <c r="L7066" s="15">
        <v>1.3009312490765002</v>
      </c>
      <c r="M7066" s="15">
        <v>1.1383377873033405</v>
      </c>
      <c r="N7066" s="15">
        <v>1.1383377873033405</v>
      </c>
      <c r="O7066" s="15" t="s">
        <v>10</v>
      </c>
      <c r="P7066" s="15" t="s">
        <v>10</v>
      </c>
      <c r="Q7066" s="8"/>
      <c r="R7066" s="9" t="s">
        <v>6573</v>
      </c>
    </row>
    <row r="7067" spans="1:18" x14ac:dyDescent="0.25">
      <c r="A7067" s="6" t="str">
        <f>HYPERLINK("proteomic_fractions_linear_files/Yang_linear_img/222418581.jpg", "222418581")</f>
        <v>222418581</v>
      </c>
      <c r="B7067" s="7"/>
      <c r="C7067" s="6" t="str">
        <f>HYPERLINK("http://www.ncbi.nlm.nih.gov/protein/222418581","Spg20")</f>
        <v>Spg20</v>
      </c>
      <c r="D7067" s="8"/>
      <c r="E7067" s="8">
        <v>66319</v>
      </c>
      <c r="F7067" s="8"/>
      <c r="G7067" s="15" t="s">
        <v>10</v>
      </c>
      <c r="H7067" s="15" t="s">
        <v>10</v>
      </c>
      <c r="I7067" s="15">
        <v>1.2590705829264222</v>
      </c>
      <c r="J7067" s="15">
        <v>1.2590705829264222</v>
      </c>
      <c r="K7067" s="15">
        <v>1.438908805796735</v>
      </c>
      <c r="L7067" s="15">
        <v>1.438908805796735</v>
      </c>
      <c r="M7067" s="15">
        <v>1.2590705829264222</v>
      </c>
      <c r="N7067" s="15">
        <v>1.2590705829264222</v>
      </c>
      <c r="O7067" s="15" t="s">
        <v>10</v>
      </c>
      <c r="P7067" s="15" t="s">
        <v>10</v>
      </c>
      <c r="Q7067" s="8"/>
      <c r="R7067" s="9" t="s">
        <v>6574</v>
      </c>
    </row>
    <row r="7068" spans="1:18" x14ac:dyDescent="0.25">
      <c r="A7068" s="6" t="str">
        <f>HYPERLINK("proteomic_fractions_linear_files/Yang_linear_img/20070390.jpg", "20070390")</f>
        <v>20070390</v>
      </c>
      <c r="B7068" s="7"/>
      <c r="C7068" s="6" t="str">
        <f>HYPERLINK("http://www.ncbi.nlm.nih.gov/protein/20070390","Spg21")</f>
        <v>Spg21</v>
      </c>
      <c r="D7068" s="8"/>
      <c r="E7068" s="8">
        <v>34821</v>
      </c>
      <c r="F7068" s="8"/>
      <c r="G7068" s="15" t="s">
        <v>10</v>
      </c>
      <c r="H7068" s="15" t="s">
        <v>10</v>
      </c>
      <c r="I7068" s="15">
        <v>0.85386876833466085</v>
      </c>
      <c r="J7068" s="15">
        <v>0.85386876833466085</v>
      </c>
      <c r="K7068" s="15">
        <v>0.85386876833466085</v>
      </c>
      <c r="L7068" s="15">
        <v>0.85386876833466085</v>
      </c>
      <c r="M7068" s="15">
        <v>0.79766317993377311</v>
      </c>
      <c r="N7068" s="15">
        <v>0.79766317993377311</v>
      </c>
      <c r="O7068" s="15">
        <v>0.74715023186928575</v>
      </c>
      <c r="P7068" s="15">
        <v>0.74715023186928575</v>
      </c>
      <c r="Q7068" s="8"/>
      <c r="R7068" s="9" t="s">
        <v>6575</v>
      </c>
    </row>
    <row r="7069" spans="1:18" x14ac:dyDescent="0.25">
      <c r="A7069" s="6" t="str">
        <f>HYPERLINK("proteomic_fractions_linear_files/Yang_linear_img/148539988.jpg", "148539988")</f>
        <v>148539988</v>
      </c>
      <c r="B7069" s="7"/>
      <c r="C7069" s="6" t="str">
        <f>HYPERLINK("http://www.ncbi.nlm.nih.gov/protein/148539988","Spg7")</f>
        <v>Spg7</v>
      </c>
      <c r="D7069" s="8"/>
      <c r="E7069" s="8">
        <v>85865</v>
      </c>
      <c r="F7069" s="8"/>
      <c r="G7069" s="15" t="s">
        <v>10</v>
      </c>
      <c r="H7069" s="15" t="s">
        <v>10</v>
      </c>
      <c r="I7069" s="15">
        <v>0.85390884001956102</v>
      </c>
      <c r="J7069" s="15">
        <v>0.85390884001956102</v>
      </c>
      <c r="K7069" s="15">
        <v>0.28552116992182464</v>
      </c>
      <c r="L7069" s="15">
        <v>0.28552116992182464</v>
      </c>
      <c r="M7069" s="15" t="s">
        <v>10</v>
      </c>
      <c r="N7069" s="15" t="s">
        <v>10</v>
      </c>
      <c r="O7069" s="15" t="s">
        <v>10</v>
      </c>
      <c r="P7069" s="15" t="s">
        <v>10</v>
      </c>
      <c r="Q7069" s="8"/>
      <c r="R7069" s="9" t="s">
        <v>6576</v>
      </c>
    </row>
    <row r="7070" spans="1:18" x14ac:dyDescent="0.25">
      <c r="A7070" s="6" t="str">
        <f>HYPERLINK("proteomic_fractions_linear_files/Yang_linear_img/22094105.jpg", "22094105")</f>
        <v>22094105</v>
      </c>
      <c r="B7070" s="7"/>
      <c r="C7070" s="6" t="str">
        <f>HYPERLINK("http://www.ncbi.nlm.nih.gov/protein/22094105","Sphk1")</f>
        <v>Sphk1</v>
      </c>
      <c r="D7070" s="8"/>
      <c r="E7070" s="8">
        <v>41121</v>
      </c>
      <c r="F7070" s="8"/>
      <c r="G7070" s="15" t="s">
        <v>10</v>
      </c>
      <c r="H7070" s="15" t="s">
        <v>10</v>
      </c>
      <c r="I7070" s="15" t="s">
        <v>10</v>
      </c>
      <c r="J7070" s="15" t="s">
        <v>10</v>
      </c>
      <c r="K7070" s="15">
        <v>1.0762338840723285</v>
      </c>
      <c r="L7070" s="15">
        <v>1.0762338840723285</v>
      </c>
      <c r="M7070" s="15" t="s">
        <v>10</v>
      </c>
      <c r="N7070" s="15" t="s">
        <v>10</v>
      </c>
      <c r="O7070" s="15" t="s">
        <v>10</v>
      </c>
      <c r="P7070" s="15" t="s">
        <v>10</v>
      </c>
      <c r="Q7070" s="8"/>
      <c r="R7070" s="9" t="s">
        <v>6577</v>
      </c>
    </row>
    <row r="7071" spans="1:18" x14ac:dyDescent="0.25">
      <c r="A7071" s="6" t="str">
        <f>HYPERLINK("proteomic_fractions_linear_files/Yang_linear_img/27532969;289191342.jpg", "27532969;289191342")</f>
        <v>27532969;289191342</v>
      </c>
      <c r="B7071" s="8"/>
      <c r="C7071" s="6" t="str">
        <f>HYPERLINK("http://www.ncbi.nlm.nih.gov/protein/27532969;289191342","Sphk1")</f>
        <v>Sphk1</v>
      </c>
      <c r="D7071" s="8"/>
      <c r="E7071" s="8">
        <v>42312</v>
      </c>
      <c r="F7071" s="8"/>
      <c r="G7071" s="15" t="s">
        <v>10</v>
      </c>
      <c r="H7071" s="15" t="s">
        <v>10</v>
      </c>
      <c r="I7071" s="15" t="s">
        <v>10</v>
      </c>
      <c r="J7071" s="15" t="s">
        <v>10</v>
      </c>
      <c r="K7071" s="15">
        <v>1.0506092677848922</v>
      </c>
      <c r="L7071" s="15">
        <v>1.0506092677848922</v>
      </c>
      <c r="M7071" s="15" t="s">
        <v>10</v>
      </c>
      <c r="N7071" s="15" t="s">
        <v>10</v>
      </c>
      <c r="O7071" s="15" t="s">
        <v>10</v>
      </c>
      <c r="P7071" s="15" t="s">
        <v>10</v>
      </c>
      <c r="Q7071" s="8"/>
      <c r="R7071" s="9" t="s">
        <v>6578</v>
      </c>
    </row>
    <row r="7072" spans="1:18" x14ac:dyDescent="0.25">
      <c r="A7072" s="6" t="str">
        <f>HYPERLINK("proteomic_fractions_linear_files/Yang_linear_img/289191346.jpg", "289191346")</f>
        <v>289191346</v>
      </c>
      <c r="B7072" s="7"/>
      <c r="C7072" s="6" t="str">
        <f>HYPERLINK("http://www.ncbi.nlm.nih.gov/protein/289191346","Sphk1")</f>
        <v>Sphk1</v>
      </c>
      <c r="D7072" s="8"/>
      <c r="E7072" s="8">
        <v>42213</v>
      </c>
      <c r="F7072" s="8"/>
      <c r="G7072" s="15" t="s">
        <v>10</v>
      </c>
      <c r="H7072" s="15" t="s">
        <v>10</v>
      </c>
      <c r="I7072" s="15" t="s">
        <v>10</v>
      </c>
      <c r="J7072" s="15" t="s">
        <v>10</v>
      </c>
      <c r="K7072" s="15">
        <v>1.0506092677848922</v>
      </c>
      <c r="L7072" s="15">
        <v>1.0506092677848922</v>
      </c>
      <c r="M7072" s="15" t="s">
        <v>10</v>
      </c>
      <c r="N7072" s="15" t="s">
        <v>10</v>
      </c>
      <c r="O7072" s="15" t="s">
        <v>10</v>
      </c>
      <c r="P7072" s="15" t="s">
        <v>10</v>
      </c>
      <c r="Q7072" s="8"/>
      <c r="R7072" s="9" t="s">
        <v>6579</v>
      </c>
    </row>
    <row r="7073" spans="1:18" x14ac:dyDescent="0.25">
      <c r="A7073" s="6" t="str">
        <f>HYPERLINK("proteomic_fractions_linear_files/Yang_linear_img/289191399.jpg", "289191399")</f>
        <v>289191399</v>
      </c>
      <c r="B7073" s="7"/>
      <c r="C7073" s="6" t="str">
        <f>HYPERLINK("http://www.ncbi.nlm.nih.gov/protein/289191399","Sphk2")</f>
        <v>Sphk2</v>
      </c>
      <c r="D7073" s="8"/>
      <c r="E7073" s="8">
        <v>65487</v>
      </c>
      <c r="F7073" s="8"/>
      <c r="G7073" s="15" t="s">
        <v>10</v>
      </c>
      <c r="H7073" s="15" t="s">
        <v>10</v>
      </c>
      <c r="I7073" s="15">
        <v>1.1297870806412653</v>
      </c>
      <c r="J7073" s="15">
        <v>1.1297870806412653</v>
      </c>
      <c r="K7073" s="15">
        <v>1.1297870806412653</v>
      </c>
      <c r="L7073" s="15">
        <v>1.1297870806412653</v>
      </c>
      <c r="M7073" s="15">
        <v>1.1297870806412653</v>
      </c>
      <c r="N7073" s="15">
        <v>1.1297870806412653</v>
      </c>
      <c r="O7073" s="15" t="s">
        <v>10</v>
      </c>
      <c r="P7073" s="15" t="s">
        <v>10</v>
      </c>
      <c r="Q7073" s="8"/>
      <c r="R7073" s="9" t="s">
        <v>6580</v>
      </c>
    </row>
    <row r="7074" spans="1:18" x14ac:dyDescent="0.25">
      <c r="A7074" s="6" t="str">
        <f>HYPERLINK("proteomic_fractions_linear_files/Yang_linear_img/257196267.jpg", "257196267")</f>
        <v>257196267</v>
      </c>
      <c r="B7074" s="7"/>
      <c r="C7074" s="6" t="str">
        <f>HYPERLINK("http://www.ncbi.nlm.nih.gov/protein/257196267","Spice1")</f>
        <v>Spice1</v>
      </c>
      <c r="D7074" s="8"/>
      <c r="E7074" s="8">
        <v>95515</v>
      </c>
      <c r="F7074" s="8"/>
      <c r="G7074" s="15" t="s">
        <v>10</v>
      </c>
      <c r="H7074" s="15" t="s">
        <v>10</v>
      </c>
      <c r="I7074" s="15" t="s">
        <v>10</v>
      </c>
      <c r="J7074" s="15" t="s">
        <v>10</v>
      </c>
      <c r="K7074" s="15">
        <v>1.3408502931783017</v>
      </c>
      <c r="L7074" s="15">
        <v>1.3408502931783017</v>
      </c>
      <c r="M7074" s="15" t="s">
        <v>10</v>
      </c>
      <c r="N7074" s="15" t="s">
        <v>10</v>
      </c>
      <c r="O7074" s="15" t="s">
        <v>10</v>
      </c>
      <c r="P7074" s="15" t="s">
        <v>10</v>
      </c>
      <c r="Q7074" s="8"/>
      <c r="R7074" s="9" t="s">
        <v>6581</v>
      </c>
    </row>
    <row r="7075" spans="1:18" x14ac:dyDescent="0.25">
      <c r="A7075" s="6" t="str">
        <f>HYPERLINK("proteomic_fractions_linear_files/Yang_linear_img/34328234.jpg", "34328234")</f>
        <v>34328234</v>
      </c>
      <c r="B7075" s="7"/>
      <c r="C7075" s="6" t="str">
        <f>HYPERLINK("http://www.ncbi.nlm.nih.gov/protein/34328234","Spint1")</f>
        <v>Spint1</v>
      </c>
      <c r="D7075" s="8"/>
      <c r="E7075" s="8">
        <v>53624</v>
      </c>
      <c r="F7075" s="8"/>
      <c r="G7075" s="15" t="s">
        <v>10</v>
      </c>
      <c r="H7075" s="15" t="s">
        <v>10</v>
      </c>
      <c r="I7075" s="15">
        <v>1.2120974690841544</v>
      </c>
      <c r="J7075" s="15">
        <v>1.2120974690841544</v>
      </c>
      <c r="K7075" s="15">
        <v>1.2120974690841544</v>
      </c>
      <c r="L7075" s="15">
        <v>1.2120974690841544</v>
      </c>
      <c r="M7075" s="15" t="s">
        <v>10</v>
      </c>
      <c r="N7075" s="15" t="s">
        <v>10</v>
      </c>
      <c r="O7075" s="15" t="s">
        <v>10</v>
      </c>
      <c r="P7075" s="15" t="s">
        <v>10</v>
      </c>
      <c r="Q7075" s="8"/>
      <c r="R7075" s="9" t="s">
        <v>6582</v>
      </c>
    </row>
    <row r="7076" spans="1:18" x14ac:dyDescent="0.25">
      <c r="A7076" s="6" t="str">
        <f>HYPERLINK("proteomic_fractions_linear_files/Yang_linear_img/127139427.jpg", "127139427")</f>
        <v>127139427</v>
      </c>
      <c r="B7076" s="7"/>
      <c r="C7076" s="6" t="str">
        <f>HYPERLINK("http://www.ncbi.nlm.nih.gov/protein/127139427","Spint2")</f>
        <v>Spint2</v>
      </c>
      <c r="D7076" s="8"/>
      <c r="E7076" s="8">
        <v>18743</v>
      </c>
      <c r="F7076" s="8"/>
      <c r="G7076" s="15" t="s">
        <v>10</v>
      </c>
      <c r="H7076" s="15" t="s">
        <v>10</v>
      </c>
      <c r="I7076" s="15">
        <v>0.92473367186099831</v>
      </c>
      <c r="J7076" s="15">
        <v>0.87981444845300116</v>
      </c>
      <c r="K7076" s="15">
        <v>0.97343679813495176</v>
      </c>
      <c r="L7076" s="15">
        <v>0.97343679813495176</v>
      </c>
      <c r="M7076" s="15" t="s">
        <v>10</v>
      </c>
      <c r="N7076" s="15" t="s">
        <v>10</v>
      </c>
      <c r="O7076" s="15" t="s">
        <v>10</v>
      </c>
      <c r="P7076" s="15" t="s">
        <v>10</v>
      </c>
      <c r="Q7076" s="8"/>
      <c r="R7076" s="9" t="s">
        <v>6583</v>
      </c>
    </row>
    <row r="7077" spans="1:18" x14ac:dyDescent="0.25">
      <c r="A7077" s="6" t="str">
        <f>HYPERLINK("proteomic_fractions_linear_files/Yang_linear_img/33563278.jpg", "33563278")</f>
        <v>33563278</v>
      </c>
      <c r="B7077" s="7"/>
      <c r="C7077" s="6" t="str">
        <f>HYPERLINK("http://www.ncbi.nlm.nih.gov/protein/33563278","Spint2")</f>
        <v>Spint2</v>
      </c>
      <c r="D7077" s="8"/>
      <c r="E7077" s="8">
        <v>25079</v>
      </c>
      <c r="F7077" s="8"/>
      <c r="G7077" s="15" t="s">
        <v>10</v>
      </c>
      <c r="H7077" s="15" t="s">
        <v>10</v>
      </c>
      <c r="I7077" s="15">
        <v>0.70279759061435865</v>
      </c>
      <c r="J7077" s="15">
        <v>0.66865898082428088</v>
      </c>
      <c r="K7077" s="15">
        <v>0.73981196658256332</v>
      </c>
      <c r="L7077" s="15">
        <v>0.73981196658256332</v>
      </c>
      <c r="M7077" s="15" t="s">
        <v>10</v>
      </c>
      <c r="N7077" s="15" t="s">
        <v>10</v>
      </c>
      <c r="O7077" s="15" t="s">
        <v>10</v>
      </c>
      <c r="P7077" s="15" t="s">
        <v>10</v>
      </c>
      <c r="Q7077" s="8"/>
      <c r="R7077" s="9" t="s">
        <v>6584</v>
      </c>
    </row>
    <row r="7078" spans="1:18" x14ac:dyDescent="0.25">
      <c r="A7078" s="6" t="str">
        <f>HYPERLINK("proteomic_fractions_linear_files/Yang_linear_img/258645125.jpg", "258645125")</f>
        <v>258645125</v>
      </c>
      <c r="B7078" s="7"/>
      <c r="C7078" s="6" t="str">
        <f>HYPERLINK("http://www.ncbi.nlm.nih.gov/protein/258645125","Sppl2a")</f>
        <v>Sppl2a</v>
      </c>
      <c r="D7078" s="8"/>
      <c r="E7078" s="8">
        <v>55646</v>
      </c>
      <c r="F7078" s="8"/>
      <c r="G7078" s="15" t="s">
        <v>10</v>
      </c>
      <c r="H7078" s="15" t="s">
        <v>10</v>
      </c>
      <c r="I7078" s="15" t="s">
        <v>10</v>
      </c>
      <c r="J7078" s="15" t="s">
        <v>10</v>
      </c>
      <c r="K7078" s="15">
        <v>1.6958568068318662</v>
      </c>
      <c r="L7078" s="15">
        <v>1.6958568068318662</v>
      </c>
      <c r="M7078" s="15" t="s">
        <v>10</v>
      </c>
      <c r="N7078" s="15" t="s">
        <v>10</v>
      </c>
      <c r="O7078" s="15" t="s">
        <v>10</v>
      </c>
      <c r="P7078" s="15" t="s">
        <v>10</v>
      </c>
      <c r="Q7078" s="8"/>
      <c r="R7078" s="9" t="s">
        <v>6585</v>
      </c>
    </row>
    <row r="7079" spans="1:18" x14ac:dyDescent="0.25">
      <c r="A7079" s="6" t="str">
        <f>HYPERLINK("proteomic_fractions_linear_files/Yang_linear_img/160333789.jpg", "160333789")</f>
        <v>160333789</v>
      </c>
      <c r="B7079" s="7"/>
      <c r="C7079" s="6" t="str">
        <f>HYPERLINK("http://www.ncbi.nlm.nih.gov/protein/160333789","Spr")</f>
        <v>Spr</v>
      </c>
      <c r="D7079" s="8"/>
      <c r="E7079" s="8">
        <v>27797</v>
      </c>
      <c r="F7079" s="8"/>
      <c r="G7079" s="15" t="s">
        <v>10</v>
      </c>
      <c r="H7079" s="15" t="s">
        <v>10</v>
      </c>
      <c r="I7079" s="15">
        <v>0.87695787904560418</v>
      </c>
      <c r="J7079" s="15">
        <v>0.87695787904560418</v>
      </c>
      <c r="K7079" s="15">
        <v>0.87695787904560418</v>
      </c>
      <c r="L7079" s="15">
        <v>0.87695787904560418</v>
      </c>
      <c r="M7079" s="15">
        <v>0.87695787904560418</v>
      </c>
      <c r="N7079" s="15">
        <v>0.87695787904560418</v>
      </c>
      <c r="O7079" s="15">
        <v>0.77841936680995538</v>
      </c>
      <c r="P7079" s="15">
        <v>0.77841936680995538</v>
      </c>
      <c r="Q7079" s="8"/>
      <c r="R7079" s="9" t="s">
        <v>6586</v>
      </c>
    </row>
    <row r="7080" spans="1:18" x14ac:dyDescent="0.25">
      <c r="A7080" s="6" t="str">
        <f>HYPERLINK("proteomic_fractions_linear_files/Yang_linear_img/6678115.jpg", "6678115")</f>
        <v>6678115</v>
      </c>
      <c r="B7080" s="7"/>
      <c r="C7080" s="6" t="str">
        <f>HYPERLINK("http://www.ncbi.nlm.nih.gov/protein/6678115","Sprr1a")</f>
        <v>Sprr1a</v>
      </c>
      <c r="D7080" s="8"/>
      <c r="E7080" s="8">
        <v>15634</v>
      </c>
      <c r="F7080" s="8"/>
      <c r="G7080" s="15" t="s">
        <v>10</v>
      </c>
      <c r="H7080" s="15" t="s">
        <v>10</v>
      </c>
      <c r="I7080" s="15">
        <v>1.6343911322140625</v>
      </c>
      <c r="J7080" s="15">
        <v>1.6343911322140625</v>
      </c>
      <c r="K7080" s="15" t="s">
        <v>10</v>
      </c>
      <c r="L7080" s="15" t="s">
        <v>10</v>
      </c>
      <c r="M7080" s="15" t="s">
        <v>10</v>
      </c>
      <c r="N7080" s="15" t="s">
        <v>10</v>
      </c>
      <c r="O7080" s="15">
        <v>1.4443483359198404</v>
      </c>
      <c r="P7080" s="15">
        <v>1.4443483359198404</v>
      </c>
      <c r="Q7080" s="8"/>
      <c r="R7080" s="9" t="s">
        <v>6587</v>
      </c>
    </row>
    <row r="7081" spans="1:18" x14ac:dyDescent="0.25">
      <c r="A7081" s="6" t="str">
        <f>HYPERLINK("proteomic_fractions_linear_files/Yang_linear_img/58037095.jpg", "58037095")</f>
        <v>58037095</v>
      </c>
      <c r="B7081" s="7"/>
      <c r="C7081" s="6" t="str">
        <f>HYPERLINK("http://www.ncbi.nlm.nih.gov/protein/58037095","Spryd4")</f>
        <v>Spryd4</v>
      </c>
      <c r="D7081" s="8"/>
      <c r="E7081" s="8">
        <v>23144</v>
      </c>
      <c r="F7081" s="8"/>
      <c r="G7081" s="15" t="s">
        <v>10</v>
      </c>
      <c r="H7081" s="15" t="s">
        <v>10</v>
      </c>
      <c r="I7081" s="15">
        <v>0.89554092115896833</v>
      </c>
      <c r="J7081" s="15">
        <v>0.89554092115896833</v>
      </c>
      <c r="K7081" s="15" t="s">
        <v>10</v>
      </c>
      <c r="L7081" s="15" t="s">
        <v>10</v>
      </c>
      <c r="M7081" s="15" t="s">
        <v>10</v>
      </c>
      <c r="N7081" s="15" t="s">
        <v>10</v>
      </c>
      <c r="O7081" s="15" t="s">
        <v>10</v>
      </c>
      <c r="P7081" s="15" t="s">
        <v>10</v>
      </c>
      <c r="Q7081" s="8"/>
      <c r="R7081" s="9" t="s">
        <v>6588</v>
      </c>
    </row>
    <row r="7082" spans="1:18" x14ac:dyDescent="0.25">
      <c r="A7082" s="6" t="str">
        <f>HYPERLINK("proteomic_fractions_linear_files/Yang_linear_img/27228993.jpg", "27228993")</f>
        <v>27228993</v>
      </c>
      <c r="B7082" s="7"/>
      <c r="C7082" s="6" t="str">
        <f>HYPERLINK("http://www.ncbi.nlm.nih.gov/protein/27228993","Spryd7")</f>
        <v>Spryd7</v>
      </c>
      <c r="D7082" s="8"/>
      <c r="E7082" s="8">
        <v>21550</v>
      </c>
      <c r="F7082" s="8"/>
      <c r="G7082" s="15" t="s">
        <v>10</v>
      </c>
      <c r="H7082" s="15" t="s">
        <v>10</v>
      </c>
      <c r="I7082" s="15">
        <v>0.99071555775812503</v>
      </c>
      <c r="J7082" s="15">
        <v>0.99071555775812503</v>
      </c>
      <c r="K7082" s="15">
        <v>0.99071555775812503</v>
      </c>
      <c r="L7082" s="15">
        <v>0.99071555775812503</v>
      </c>
      <c r="M7082" s="15" t="s">
        <v>10</v>
      </c>
      <c r="N7082" s="15" t="s">
        <v>10</v>
      </c>
      <c r="O7082" s="15" t="s">
        <v>10</v>
      </c>
      <c r="P7082" s="15" t="s">
        <v>10</v>
      </c>
      <c r="Q7082" s="8"/>
      <c r="R7082" s="9" t="s">
        <v>6589</v>
      </c>
    </row>
    <row r="7083" spans="1:18" x14ac:dyDescent="0.25">
      <c r="A7083" s="6" t="str">
        <f>HYPERLINK("proteomic_fractions_linear_files/Yang_linear_img/19526481.jpg", "19526481")</f>
        <v>19526481</v>
      </c>
      <c r="B7083" s="7"/>
      <c r="C7083" s="6" t="str">
        <f>HYPERLINK("http://www.ncbi.nlm.nih.gov/protein/19526481","Spta1")</f>
        <v>Spta1</v>
      </c>
      <c r="D7083" s="8"/>
      <c r="E7083" s="8">
        <v>279735</v>
      </c>
      <c r="F7083" s="8"/>
      <c r="G7083" s="15" t="s">
        <v>10</v>
      </c>
      <c r="H7083" s="15" t="s">
        <v>10</v>
      </c>
      <c r="I7083" s="15">
        <v>1.0777975879874957</v>
      </c>
      <c r="J7083" s="15">
        <v>1.0777975879874957</v>
      </c>
      <c r="K7083" s="15">
        <v>1.0777975879874957</v>
      </c>
      <c r="L7083" s="15">
        <v>1.0777975879874957</v>
      </c>
      <c r="M7083" s="15" t="s">
        <v>10</v>
      </c>
      <c r="N7083" s="15" t="s">
        <v>10</v>
      </c>
      <c r="O7083" s="15">
        <v>1.0777975879874957</v>
      </c>
      <c r="P7083" s="15">
        <v>1.0777975879874957</v>
      </c>
      <c r="Q7083" s="8"/>
      <c r="R7083" s="9" t="s">
        <v>6590</v>
      </c>
    </row>
    <row r="7084" spans="1:18" x14ac:dyDescent="0.25">
      <c r="A7084" s="6" t="str">
        <f>HYPERLINK("proteomic_fractions_linear_files/Yang_linear_img/115496850.jpg", "115496850")</f>
        <v>115496850</v>
      </c>
      <c r="B7084" s="7"/>
      <c r="C7084" s="6" t="str">
        <f>HYPERLINK("http://www.ncbi.nlm.nih.gov/protein/115496850","Sptan1")</f>
        <v>Sptan1</v>
      </c>
      <c r="D7084" s="8"/>
      <c r="E7084" s="8">
        <v>285215</v>
      </c>
      <c r="F7084" s="8"/>
      <c r="G7084" s="15">
        <v>0.81880999167666335</v>
      </c>
      <c r="H7084" s="15">
        <v>0.81880999167666335</v>
      </c>
      <c r="I7084" s="15">
        <v>1.05888885837368</v>
      </c>
      <c r="J7084" s="15">
        <v>1.05888885837368</v>
      </c>
      <c r="K7084" s="15">
        <v>1.05888885837368</v>
      </c>
      <c r="L7084" s="15">
        <v>1.05888885837368</v>
      </c>
      <c r="M7084" s="15">
        <v>1.05888885837368</v>
      </c>
      <c r="N7084" s="15">
        <v>1.05888885837368</v>
      </c>
      <c r="O7084" s="15">
        <v>1.05888885837368</v>
      </c>
      <c r="P7084" s="15">
        <v>1.05888885837368</v>
      </c>
      <c r="Q7084" s="8"/>
      <c r="R7084" s="9" t="s">
        <v>6591</v>
      </c>
    </row>
    <row r="7085" spans="1:18" x14ac:dyDescent="0.25">
      <c r="A7085" s="6" t="str">
        <f>HYPERLINK("proteomic_fractions_linear_files/Yang_linear_img/295054266.jpg", "295054266")</f>
        <v>295054266</v>
      </c>
      <c r="B7085" s="7"/>
      <c r="C7085" s="6" t="str">
        <f>HYPERLINK("http://www.ncbi.nlm.nih.gov/protein/295054266","Sptan1")</f>
        <v>Sptan1</v>
      </c>
      <c r="D7085" s="8"/>
      <c r="E7085" s="8">
        <v>285022</v>
      </c>
      <c r="F7085" s="8"/>
      <c r="G7085" s="15">
        <v>0.81880999167666335</v>
      </c>
      <c r="H7085" s="15">
        <v>0.81880999167666335</v>
      </c>
      <c r="I7085" s="15">
        <v>1.05888885837368</v>
      </c>
      <c r="J7085" s="15">
        <v>1.05888885837368</v>
      </c>
      <c r="K7085" s="15">
        <v>1.05888885837368</v>
      </c>
      <c r="L7085" s="15">
        <v>1.05888885837368</v>
      </c>
      <c r="M7085" s="15">
        <v>1.05888885837368</v>
      </c>
      <c r="N7085" s="15">
        <v>1.05888885837368</v>
      </c>
      <c r="O7085" s="15">
        <v>1.05888885837368</v>
      </c>
      <c r="P7085" s="15">
        <v>1.05888885837368</v>
      </c>
      <c r="Q7085" s="8"/>
      <c r="R7085" s="9" t="s">
        <v>6592</v>
      </c>
    </row>
    <row r="7086" spans="1:18" x14ac:dyDescent="0.25">
      <c r="A7086" s="6" t="str">
        <f>HYPERLINK("proteomic_fractions_linear_files/Yang_linear_img/295054271.jpg", "295054271")</f>
        <v>295054271</v>
      </c>
      <c r="B7086" s="7"/>
      <c r="C7086" s="6" t="str">
        <f>HYPERLINK("http://www.ncbi.nlm.nih.gov/protein/295054271","Sptan1")</f>
        <v>Sptan1</v>
      </c>
      <c r="D7086" s="8"/>
      <c r="E7086" s="8">
        <v>282765</v>
      </c>
      <c r="F7086" s="8"/>
      <c r="G7086" s="15">
        <v>0.82459663472738187</v>
      </c>
      <c r="H7086" s="15">
        <v>0.82459663472738187</v>
      </c>
      <c r="I7086" s="15">
        <v>1.0663721718604198</v>
      </c>
      <c r="J7086" s="15">
        <v>1.0663721718604198</v>
      </c>
      <c r="K7086" s="15">
        <v>1.0663721718604198</v>
      </c>
      <c r="L7086" s="15">
        <v>1.0663721718604198</v>
      </c>
      <c r="M7086" s="15">
        <v>1.0663721718604198</v>
      </c>
      <c r="N7086" s="15">
        <v>1.0663721718604198</v>
      </c>
      <c r="O7086" s="15">
        <v>1.0663721718604198</v>
      </c>
      <c r="P7086" s="15">
        <v>1.0663721718604198</v>
      </c>
      <c r="Q7086" s="8"/>
      <c r="R7086" s="9" t="s">
        <v>6593</v>
      </c>
    </row>
    <row r="7087" spans="1:18" x14ac:dyDescent="0.25">
      <c r="A7087" s="6" t="str">
        <f>HYPERLINK("proteomic_fractions_linear_files/Yang_linear_img/84490394.jpg", "84490394")</f>
        <v>84490394</v>
      </c>
      <c r="B7087" s="7"/>
      <c r="C7087" s="6" t="str">
        <f>HYPERLINK("http://www.ncbi.nlm.nih.gov/protein/84490394","Sptb")</f>
        <v>Sptb</v>
      </c>
      <c r="D7087" s="8"/>
      <c r="E7087" s="8">
        <v>267961</v>
      </c>
      <c r="F7087" s="8"/>
      <c r="G7087" s="15">
        <v>0.87074943144719796</v>
      </c>
      <c r="H7087" s="15">
        <v>0.87074943144719796</v>
      </c>
      <c r="I7087" s="15">
        <v>0.87074943144719796</v>
      </c>
      <c r="J7087" s="15">
        <v>0.87074943144719796</v>
      </c>
      <c r="K7087" s="15">
        <v>1.1260571814794731</v>
      </c>
      <c r="L7087" s="15">
        <v>1.1260571814794731</v>
      </c>
      <c r="M7087" s="15">
        <v>0.87074943144719796</v>
      </c>
      <c r="N7087" s="15">
        <v>0.87074943144719796</v>
      </c>
      <c r="O7087" s="15">
        <v>1.1260571814794731</v>
      </c>
      <c r="P7087" s="15">
        <v>1.1260571814794731</v>
      </c>
      <c r="Q7087" s="8"/>
      <c r="R7087" s="9" t="s">
        <v>6594</v>
      </c>
    </row>
    <row r="7088" spans="1:18" x14ac:dyDescent="0.25">
      <c r="A7088" s="6" t="str">
        <f>HYPERLINK("proteomic_fractions_linear_files/Yang_linear_img/117938332.jpg", "117938332")</f>
        <v>117938332</v>
      </c>
      <c r="B7088" s="7"/>
      <c r="C7088" s="6" t="str">
        <f>HYPERLINK("http://www.ncbi.nlm.nih.gov/protein/117938332","Sptbn1")</f>
        <v>Sptbn1</v>
      </c>
      <c r="D7088" s="8"/>
      <c r="E7088" s="8">
        <v>274093</v>
      </c>
      <c r="F7088" s="8"/>
      <c r="G7088" s="15">
        <v>0.85168192564908418</v>
      </c>
      <c r="H7088" s="15">
        <v>0.85168192564908418</v>
      </c>
      <c r="I7088" s="15">
        <v>0.85168192564908418</v>
      </c>
      <c r="J7088" s="15">
        <v>0.85168192564908418</v>
      </c>
      <c r="K7088" s="15">
        <v>1.1013989950237182</v>
      </c>
      <c r="L7088" s="15">
        <v>1.1013989950237182</v>
      </c>
      <c r="M7088" s="15">
        <v>1.1013989950237182</v>
      </c>
      <c r="N7088" s="15">
        <v>1.1013989950237182</v>
      </c>
      <c r="O7088" s="15">
        <v>1.1013989950237182</v>
      </c>
      <c r="P7088" s="15">
        <v>1.1013989950237182</v>
      </c>
      <c r="Q7088" s="8"/>
      <c r="R7088" s="9" t="s">
        <v>6595</v>
      </c>
    </row>
    <row r="7089" spans="1:18" x14ac:dyDescent="0.25">
      <c r="A7089" s="6" t="str">
        <f>HYPERLINK("proteomic_fractions_linear_files/Yang_linear_img/117938334.jpg", "117938334")</f>
        <v>117938334</v>
      </c>
      <c r="B7089" s="7"/>
      <c r="C7089" s="6" t="str">
        <f>HYPERLINK("http://www.ncbi.nlm.nih.gov/protein/117938334","Sptbn1")</f>
        <v>Sptbn1</v>
      </c>
      <c r="D7089" s="8"/>
      <c r="E7089" s="8">
        <v>251026</v>
      </c>
      <c r="F7089" s="8"/>
      <c r="G7089" s="15">
        <v>0.92972449254123135</v>
      </c>
      <c r="H7089" s="15">
        <v>0.92972449254123135</v>
      </c>
      <c r="I7089" s="15">
        <v>0.92972449254123135</v>
      </c>
      <c r="J7089" s="15">
        <v>0.92972449254123135</v>
      </c>
      <c r="K7089" s="15">
        <v>1.2023240025358517</v>
      </c>
      <c r="L7089" s="15">
        <v>1.2023240025358517</v>
      </c>
      <c r="M7089" s="15">
        <v>1.2023240025358517</v>
      </c>
      <c r="N7089" s="15">
        <v>1.2023240025358517</v>
      </c>
      <c r="O7089" s="15">
        <v>1.2023240025358517</v>
      </c>
      <c r="P7089" s="15">
        <v>1.2023240025358517</v>
      </c>
      <c r="Q7089" s="8"/>
      <c r="R7089" s="9" t="s">
        <v>6596</v>
      </c>
    </row>
    <row r="7090" spans="1:18" x14ac:dyDescent="0.25">
      <c r="A7090" s="6" t="str">
        <f>HYPERLINK("proteomic_fractions_linear_files/Yang_linear_img/55926127.jpg", "55926127")</f>
        <v>55926127</v>
      </c>
      <c r="B7090" s="7"/>
      <c r="C7090" s="6" t="str">
        <f>HYPERLINK("http://www.ncbi.nlm.nih.gov/protein/55926127","Sptbn2")</f>
        <v>Sptbn2</v>
      </c>
      <c r="D7090" s="8"/>
      <c r="E7090" s="8">
        <v>270793</v>
      </c>
      <c r="F7090" s="8"/>
      <c r="G7090" s="15">
        <v>0.86111013884815157</v>
      </c>
      <c r="H7090" s="15">
        <v>0.86111013884815157</v>
      </c>
      <c r="I7090" s="15">
        <v>0.86111013884815157</v>
      </c>
      <c r="J7090" s="15">
        <v>0.86111013884815157</v>
      </c>
      <c r="K7090" s="15">
        <v>1.1135916038247187</v>
      </c>
      <c r="L7090" s="15">
        <v>1.1135916038247187</v>
      </c>
      <c r="M7090" s="15">
        <v>1.1135916038247187</v>
      </c>
      <c r="N7090" s="15">
        <v>1.1135916038247187</v>
      </c>
      <c r="O7090" s="15">
        <v>0.86111013884815157</v>
      </c>
      <c r="P7090" s="15">
        <v>0.86111013884815157</v>
      </c>
      <c r="Q7090" s="8"/>
      <c r="R7090" s="9" t="s">
        <v>6597</v>
      </c>
    </row>
    <row r="7091" spans="1:18" x14ac:dyDescent="0.25">
      <c r="A7091" s="6" t="str">
        <f>HYPERLINK("proteomic_fractions_linear_files/Yang_linear_img/116174793.jpg", "116174793")</f>
        <v>116174793</v>
      </c>
      <c r="B7091" s="7"/>
      <c r="C7091" s="6" t="str">
        <f>HYPERLINK("http://www.ncbi.nlm.nih.gov/protein/116174793","Sptbn4")</f>
        <v>Sptbn4</v>
      </c>
      <c r="D7091" s="8"/>
      <c r="E7091" s="8">
        <v>288694</v>
      </c>
      <c r="F7091" s="8"/>
      <c r="G7091" s="15">
        <v>0.80747698141124247</v>
      </c>
      <c r="H7091" s="15">
        <v>0.80747698141124247</v>
      </c>
      <c r="I7091" s="15">
        <v>0.37993620699353448</v>
      </c>
      <c r="J7091" s="15">
        <v>0.37993620699353448</v>
      </c>
      <c r="K7091" s="15">
        <v>0.37993620699353448</v>
      </c>
      <c r="L7091" s="15">
        <v>0.37993620699353448</v>
      </c>
      <c r="M7091" s="15">
        <v>0.37993620699353448</v>
      </c>
      <c r="N7091" s="15">
        <v>0.37993620699353448</v>
      </c>
      <c r="O7091" s="15">
        <v>0.37993620699353448</v>
      </c>
      <c r="P7091" s="15">
        <v>0.37993620699353448</v>
      </c>
      <c r="Q7091" s="8"/>
      <c r="R7091" s="9" t="s">
        <v>6598</v>
      </c>
    </row>
    <row r="7092" spans="1:18" x14ac:dyDescent="0.25">
      <c r="A7092" s="6" t="str">
        <f>HYPERLINK("proteomic_fractions_linear_files/Yang_linear_img/29244577.jpg", "29244577")</f>
        <v>29244577</v>
      </c>
      <c r="B7092" s="7"/>
      <c r="C7092" s="6" t="str">
        <f>HYPERLINK("http://www.ncbi.nlm.nih.gov/protein/29244577","Sptlc1")</f>
        <v>Sptlc1</v>
      </c>
      <c r="D7092" s="8"/>
      <c r="E7092" s="8">
        <v>52404</v>
      </c>
      <c r="F7092" s="8"/>
      <c r="G7092" s="15">
        <v>1.1302539920306509</v>
      </c>
      <c r="H7092" s="15">
        <v>1.1302539920306509</v>
      </c>
      <c r="I7092" s="15">
        <v>0.92865337662337022</v>
      </c>
      <c r="J7092" s="15">
        <v>0.92865337662337022</v>
      </c>
      <c r="K7092" s="15">
        <v>0.92865337662337022</v>
      </c>
      <c r="L7092" s="15">
        <v>0.92865337662337022</v>
      </c>
      <c r="M7092" s="15" t="s">
        <v>10</v>
      </c>
      <c r="N7092" s="15" t="s">
        <v>10</v>
      </c>
      <c r="O7092" s="15" t="s">
        <v>10</v>
      </c>
      <c r="P7092" s="15" t="s">
        <v>10</v>
      </c>
      <c r="Q7092" s="8"/>
      <c r="R7092" s="9" t="s">
        <v>6599</v>
      </c>
    </row>
    <row r="7093" spans="1:18" x14ac:dyDescent="0.25">
      <c r="A7093" s="6" t="str">
        <f>HYPERLINK("proteomic_fractions_linear_files/Yang_linear_img/6755656.jpg", "6755656")</f>
        <v>6755656</v>
      </c>
      <c r="B7093" s="7"/>
      <c r="C7093" s="6" t="str">
        <f>HYPERLINK("http://www.ncbi.nlm.nih.gov/protein/6755656","Sptlc2")</f>
        <v>Sptlc2</v>
      </c>
      <c r="D7093" s="8"/>
      <c r="E7093" s="8">
        <v>62851</v>
      </c>
      <c r="F7093" s="8"/>
      <c r="G7093" s="15">
        <v>1.1656533371695594</v>
      </c>
      <c r="H7093" s="15">
        <v>1.1656533371695594</v>
      </c>
      <c r="I7093" s="15">
        <v>0.9329080569141881</v>
      </c>
      <c r="J7093" s="15">
        <v>0.9329080569141881</v>
      </c>
      <c r="K7093" s="15">
        <v>0.9329080569141881</v>
      </c>
      <c r="L7093" s="15">
        <v>0.9329080569141881</v>
      </c>
      <c r="M7093" s="15" t="s">
        <v>10</v>
      </c>
      <c r="N7093" s="15" t="s">
        <v>10</v>
      </c>
      <c r="O7093" s="15" t="s">
        <v>10</v>
      </c>
      <c r="P7093" s="15" t="s">
        <v>10</v>
      </c>
      <c r="Q7093" s="8"/>
      <c r="R7093" s="9" t="s">
        <v>6600</v>
      </c>
    </row>
    <row r="7094" spans="1:18" x14ac:dyDescent="0.25">
      <c r="A7094" s="6" t="str">
        <f>HYPERLINK("proteomic_fractions_linear_files/Yang_linear_img/6678127.jpg", "6678127")</f>
        <v>6678127</v>
      </c>
      <c r="B7094" s="7"/>
      <c r="C7094" s="6" t="str">
        <f>HYPERLINK("http://www.ncbi.nlm.nih.gov/protein/6678127","Sqle")</f>
        <v>Sqle</v>
      </c>
      <c r="D7094" s="8"/>
      <c r="E7094" s="8">
        <v>63639</v>
      </c>
      <c r="F7094" s="8"/>
      <c r="G7094" s="15" t="s">
        <v>10</v>
      </c>
      <c r="H7094" s="15" t="s">
        <v>10</v>
      </c>
      <c r="I7094" s="15">
        <v>0.91833136852490393</v>
      </c>
      <c r="J7094" s="15">
        <v>0.91833136852490393</v>
      </c>
      <c r="K7094" s="15">
        <v>0.91833136852490393</v>
      </c>
      <c r="L7094" s="15">
        <v>0.91833136852490393</v>
      </c>
      <c r="M7094" s="15" t="s">
        <v>10</v>
      </c>
      <c r="N7094" s="15" t="s">
        <v>10</v>
      </c>
      <c r="O7094" s="15" t="s">
        <v>10</v>
      </c>
      <c r="P7094" s="15" t="s">
        <v>10</v>
      </c>
      <c r="Q7094" s="8"/>
      <c r="R7094" s="9" t="s">
        <v>6601</v>
      </c>
    </row>
    <row r="7095" spans="1:18" x14ac:dyDescent="0.25">
      <c r="A7095" s="6" t="str">
        <f>HYPERLINK("proteomic_fractions_linear_files/Yang_linear_img/244790049.jpg", "244790049")</f>
        <v>244790049</v>
      </c>
      <c r="B7095" s="7"/>
      <c r="C7095" s="6" t="str">
        <f>HYPERLINK("http://www.ncbi.nlm.nih.gov/protein/244790049","Sqrdl")</f>
        <v>Sqrdl</v>
      </c>
      <c r="D7095" s="8"/>
      <c r="E7095" s="8">
        <v>50151</v>
      </c>
      <c r="F7095" s="8"/>
      <c r="G7095" s="15">
        <v>1.0624113926000216</v>
      </c>
      <c r="H7095" s="15">
        <v>1.0624113926000216</v>
      </c>
      <c r="I7095" s="15" t="s">
        <v>10</v>
      </c>
      <c r="J7095" s="15" t="s">
        <v>10</v>
      </c>
      <c r="K7095" s="15" t="s">
        <v>10</v>
      </c>
      <c r="L7095" s="15" t="s">
        <v>10</v>
      </c>
      <c r="M7095" s="15" t="s">
        <v>10</v>
      </c>
      <c r="N7095" s="15" t="s">
        <v>10</v>
      </c>
      <c r="O7095" s="15" t="s">
        <v>10</v>
      </c>
      <c r="P7095" s="15" t="s">
        <v>10</v>
      </c>
      <c r="Q7095" s="8"/>
      <c r="R7095" s="9" t="s">
        <v>6602</v>
      </c>
    </row>
    <row r="7096" spans="1:18" x14ac:dyDescent="0.25">
      <c r="A7096" s="6" t="str">
        <f>HYPERLINK("proteomic_fractions_linear_files/Yang_linear_img/244790045;244790049.jpg", "244790045;244790049")</f>
        <v>244790045;244790049</v>
      </c>
      <c r="B7096" s="8"/>
      <c r="C7096" s="6" t="str">
        <f>HYPERLINK("http://www.ncbi.nlm.nih.gov/protein/244790045;244790049","Sqrdl")</f>
        <v>Sqrdl</v>
      </c>
      <c r="D7096" s="8"/>
      <c r="E7096" s="8">
        <v>50151</v>
      </c>
      <c r="F7096" s="8"/>
      <c r="G7096" s="15" t="s">
        <v>10</v>
      </c>
      <c r="H7096" s="15" t="s">
        <v>10</v>
      </c>
      <c r="I7096" s="15">
        <v>0.81014636406445495</v>
      </c>
      <c r="J7096" s="15">
        <v>0.81014636406445495</v>
      </c>
      <c r="K7096" s="15" t="s">
        <v>10</v>
      </c>
      <c r="L7096" s="15" t="s">
        <v>10</v>
      </c>
      <c r="M7096" s="15" t="s">
        <v>10</v>
      </c>
      <c r="N7096" s="15" t="s">
        <v>10</v>
      </c>
      <c r="O7096" s="15" t="s">
        <v>10</v>
      </c>
      <c r="P7096" s="15" t="s">
        <v>10</v>
      </c>
      <c r="Q7096" s="8"/>
      <c r="R7096" s="9" t="s">
        <v>6602</v>
      </c>
    </row>
    <row r="7097" spans="1:18" x14ac:dyDescent="0.25">
      <c r="A7097" s="6" t="str">
        <f>HYPERLINK("proteomic_fractions_linear_files/Yang_linear_img/244790049;244790045.jpg", "244790049;244790045")</f>
        <v>244790049;244790045</v>
      </c>
      <c r="B7097" s="8"/>
      <c r="C7097" s="6" t="str">
        <f>HYPERLINK("http://www.ncbi.nlm.nih.gov/protein/244790049;244790045","Sqrdl")</f>
        <v>Sqrdl</v>
      </c>
      <c r="D7097" s="8"/>
      <c r="E7097" s="8">
        <v>50151</v>
      </c>
      <c r="F7097" s="8"/>
      <c r="G7097" s="15" t="s">
        <v>10</v>
      </c>
      <c r="H7097" s="15" t="s">
        <v>10</v>
      </c>
      <c r="I7097" s="15" t="s">
        <v>10</v>
      </c>
      <c r="J7097" s="15" t="s">
        <v>10</v>
      </c>
      <c r="K7097" s="15">
        <v>0.81014636406445495</v>
      </c>
      <c r="L7097" s="15">
        <v>0.81014636406445495</v>
      </c>
      <c r="M7097" s="15" t="s">
        <v>10</v>
      </c>
      <c r="N7097" s="15" t="s">
        <v>10</v>
      </c>
      <c r="O7097" s="15" t="s">
        <v>10</v>
      </c>
      <c r="P7097" s="15" t="s">
        <v>10</v>
      </c>
      <c r="Q7097" s="8"/>
      <c r="R7097" s="9" t="s">
        <v>6602</v>
      </c>
    </row>
    <row r="7098" spans="1:18" x14ac:dyDescent="0.25">
      <c r="A7098" s="6" t="str">
        <f>HYPERLINK("proteomic_fractions_linear_files/Yang_linear_img/6754954.jpg", "6754954")</f>
        <v>6754954</v>
      </c>
      <c r="B7098" s="7"/>
      <c r="C7098" s="6" t="str">
        <f>HYPERLINK("http://www.ncbi.nlm.nih.gov/protein/6754954","Sqstm1")</f>
        <v>Sqstm1</v>
      </c>
      <c r="D7098" s="8"/>
      <c r="E7098" s="8">
        <v>48032</v>
      </c>
      <c r="F7098" s="8"/>
      <c r="G7098" s="15" t="s">
        <v>10</v>
      </c>
      <c r="H7098" s="15" t="s">
        <v>10</v>
      </c>
      <c r="I7098" s="15">
        <v>1.2244418246998718</v>
      </c>
      <c r="J7098" s="15">
        <v>1.2244418246998718</v>
      </c>
      <c r="K7098" s="15">
        <v>1.3636096527196735</v>
      </c>
      <c r="L7098" s="15">
        <v>1.3636096527196735</v>
      </c>
      <c r="M7098" s="15">
        <v>1.3636096527196735</v>
      </c>
      <c r="N7098" s="15">
        <v>1.3636096527196735</v>
      </c>
      <c r="O7098" s="15" t="s">
        <v>10</v>
      </c>
      <c r="P7098" s="15" t="s">
        <v>10</v>
      </c>
      <c r="Q7098" s="8"/>
      <c r="R7098" s="9" t="s">
        <v>6603</v>
      </c>
    </row>
    <row r="7099" spans="1:18" x14ac:dyDescent="0.25">
      <c r="A7099" s="6" t="str">
        <f>HYPERLINK("proteomic_fractions_linear_files/Yang_linear_img/257096048.jpg", "257096048")</f>
        <v>257096048</v>
      </c>
      <c r="B7099" s="7"/>
      <c r="C7099" s="6" t="str">
        <f>HYPERLINK("http://www.ncbi.nlm.nih.gov/protein/257096048","Sra1")</f>
        <v>Sra1</v>
      </c>
      <c r="D7099" s="8"/>
      <c r="E7099" s="8">
        <v>25426</v>
      </c>
      <c r="F7099" s="8"/>
      <c r="G7099" s="15" t="s">
        <v>10</v>
      </c>
      <c r="H7099" s="15" t="s">
        <v>10</v>
      </c>
      <c r="I7099" s="15">
        <v>1.2833629142293435</v>
      </c>
      <c r="J7099" s="15">
        <v>1.2833629142293435</v>
      </c>
      <c r="K7099" s="15" t="s">
        <v>10</v>
      </c>
      <c r="L7099" s="15" t="s">
        <v>10</v>
      </c>
      <c r="M7099" s="15">
        <v>1.2833629142293435</v>
      </c>
      <c r="N7099" s="15">
        <v>1.2833629142293435</v>
      </c>
      <c r="O7099" s="15">
        <v>1.1167284519072824</v>
      </c>
      <c r="P7099" s="15">
        <v>1.1167284519072824</v>
      </c>
      <c r="Q7099" s="8"/>
      <c r="R7099" s="9" t="s">
        <v>6604</v>
      </c>
    </row>
    <row r="7100" spans="1:18" x14ac:dyDescent="0.25">
      <c r="A7100" s="6" t="str">
        <f>HYPERLINK("proteomic_fractions_linear_files/Yang_linear_img/257096050.jpg", "257096050")</f>
        <v>257096050</v>
      </c>
      <c r="B7100" s="7"/>
      <c r="C7100" s="6" t="str">
        <f>HYPERLINK("http://www.ncbi.nlm.nih.gov/protein/257096050","Sra1")</f>
        <v>Sra1</v>
      </c>
      <c r="D7100" s="8"/>
      <c r="E7100" s="8">
        <v>16247</v>
      </c>
      <c r="F7100" s="8"/>
      <c r="G7100" s="15" t="s">
        <v>10</v>
      </c>
      <c r="H7100" s="15" t="s">
        <v>10</v>
      </c>
      <c r="I7100" s="15">
        <v>2.0052545534833492</v>
      </c>
      <c r="J7100" s="15">
        <v>2.0052545534833492</v>
      </c>
      <c r="K7100" s="15" t="s">
        <v>10</v>
      </c>
      <c r="L7100" s="15" t="s">
        <v>10</v>
      </c>
      <c r="M7100" s="15">
        <v>2.0052545534833492</v>
      </c>
      <c r="N7100" s="15">
        <v>2.0052545534833492</v>
      </c>
      <c r="O7100" s="15">
        <v>1.7448882061051287</v>
      </c>
      <c r="P7100" s="15">
        <v>1.7448882061051287</v>
      </c>
      <c r="Q7100" s="8"/>
      <c r="R7100" s="9" t="s">
        <v>6605</v>
      </c>
    </row>
    <row r="7101" spans="1:18" x14ac:dyDescent="0.25">
      <c r="A7101" s="6" t="str">
        <f>HYPERLINK("proteomic_fractions_linear_files/Yang_linear_img/226443099.jpg", "226443099")</f>
        <v>226443099</v>
      </c>
      <c r="B7101" s="7"/>
      <c r="C7101" s="6" t="str">
        <f>HYPERLINK("http://www.ncbi.nlm.nih.gov/protein/226443099","Srbd1")</f>
        <v>Srbd1</v>
      </c>
      <c r="D7101" s="8"/>
      <c r="E7101" s="8">
        <v>110063</v>
      </c>
      <c r="F7101" s="8"/>
      <c r="G7101" s="15" t="s">
        <v>10</v>
      </c>
      <c r="H7101" s="15" t="s">
        <v>10</v>
      </c>
      <c r="I7101" s="15" t="s">
        <v>10</v>
      </c>
      <c r="J7101" s="15" t="s">
        <v>10</v>
      </c>
      <c r="K7101" s="15">
        <v>1.3950261012385621</v>
      </c>
      <c r="L7101" s="15">
        <v>1.3950261012385621</v>
      </c>
      <c r="M7101" s="15" t="s">
        <v>10</v>
      </c>
      <c r="N7101" s="15" t="s">
        <v>10</v>
      </c>
      <c r="O7101" s="15" t="s">
        <v>10</v>
      </c>
      <c r="P7101" s="15" t="s">
        <v>10</v>
      </c>
      <c r="Q7101" s="8"/>
      <c r="R7101" s="9" t="s">
        <v>6606</v>
      </c>
    </row>
    <row r="7102" spans="1:18" x14ac:dyDescent="0.25">
      <c r="A7102" s="6" t="str">
        <f>HYPERLINK("proteomic_fractions_linear_files/Yang_linear_img/70794809.jpg", "70794809")</f>
        <v>70794809</v>
      </c>
      <c r="B7102" s="7"/>
      <c r="C7102" s="6" t="str">
        <f>HYPERLINK("http://www.ncbi.nlm.nih.gov/protein/70794809","Src")</f>
        <v>Src</v>
      </c>
      <c r="D7102" s="8"/>
      <c r="E7102" s="8">
        <v>59760</v>
      </c>
      <c r="F7102" s="8"/>
      <c r="G7102" s="15">
        <v>1.2239360040280374</v>
      </c>
      <c r="H7102" s="15">
        <v>1.2239360040280374</v>
      </c>
      <c r="I7102" s="15">
        <v>0.97955345975989749</v>
      </c>
      <c r="J7102" s="15">
        <v>0.97955345975989749</v>
      </c>
      <c r="K7102" s="15">
        <v>0.97955345975989749</v>
      </c>
      <c r="L7102" s="15">
        <v>0.97955345975989749</v>
      </c>
      <c r="M7102" s="15">
        <v>0.97955345975989749</v>
      </c>
      <c r="N7102" s="15">
        <v>0.97955345975989749</v>
      </c>
      <c r="O7102" s="15">
        <v>0.88534282716668466</v>
      </c>
      <c r="P7102" s="15">
        <v>0.88534282716668466</v>
      </c>
      <c r="Q7102" s="8"/>
      <c r="R7102" s="9" t="s">
        <v>6607</v>
      </c>
    </row>
    <row r="7103" spans="1:18" x14ac:dyDescent="0.25">
      <c r="A7103" s="6" t="str">
        <f>HYPERLINK("proteomic_fractions_linear_files/Yang_linear_img/70794811.jpg", "70794811")</f>
        <v>70794811</v>
      </c>
      <c r="B7103" s="7"/>
      <c r="C7103" s="6" t="str">
        <f>HYPERLINK("http://www.ncbi.nlm.nih.gov/protein/70794811","Src")</f>
        <v>Src</v>
      </c>
      <c r="D7103" s="8"/>
      <c r="E7103" s="8">
        <v>60514</v>
      </c>
      <c r="F7103" s="8"/>
      <c r="G7103" s="15">
        <v>1.2038714793718401</v>
      </c>
      <c r="H7103" s="15">
        <v>1.2038714793718401</v>
      </c>
      <c r="I7103" s="15">
        <v>0.96349520632121066</v>
      </c>
      <c r="J7103" s="15">
        <v>0.96349520632121066</v>
      </c>
      <c r="K7103" s="15">
        <v>0.96349520632121066</v>
      </c>
      <c r="L7103" s="15">
        <v>0.96349520632121066</v>
      </c>
      <c r="M7103" s="15">
        <v>0.96349520632121066</v>
      </c>
      <c r="N7103" s="15">
        <v>0.96349520632121066</v>
      </c>
      <c r="O7103" s="15">
        <v>0.87082901032788651</v>
      </c>
      <c r="P7103" s="15">
        <v>0.87082901032788651</v>
      </c>
      <c r="Q7103" s="8"/>
      <c r="R7103" s="9" t="s">
        <v>6608</v>
      </c>
    </row>
    <row r="7104" spans="1:18" x14ac:dyDescent="0.25">
      <c r="A7104" s="6" t="str">
        <f>HYPERLINK("proteomic_fractions_linear_files/Yang_linear_img/87044895.jpg", "87044895")</f>
        <v>87044895</v>
      </c>
      <c r="B7104" s="7"/>
      <c r="C7104" s="6" t="str">
        <f>HYPERLINK("http://www.ncbi.nlm.nih.gov/protein/87044895","Srd5a1")</f>
        <v>Srd5a1</v>
      </c>
      <c r="D7104" s="8"/>
      <c r="E7104" s="8">
        <v>29266</v>
      </c>
      <c r="F7104" s="8"/>
      <c r="G7104" s="15">
        <v>0.71025659264331975</v>
      </c>
      <c r="H7104" s="15">
        <v>0.71025659264331975</v>
      </c>
      <c r="I7104" s="15">
        <v>0.75157731967857766</v>
      </c>
      <c r="J7104" s="15">
        <v>0.75157731967857766</v>
      </c>
      <c r="K7104" s="15">
        <v>0.75157731967857766</v>
      </c>
      <c r="L7104" s="15">
        <v>0.75157731967857766</v>
      </c>
      <c r="M7104" s="15" t="s">
        <v>10</v>
      </c>
      <c r="N7104" s="15" t="s">
        <v>10</v>
      </c>
      <c r="O7104" s="15" t="s">
        <v>10</v>
      </c>
      <c r="P7104" s="15" t="s">
        <v>10</v>
      </c>
      <c r="Q7104" s="8"/>
      <c r="R7104" s="9" t="s">
        <v>6609</v>
      </c>
    </row>
    <row r="7105" spans="1:18" x14ac:dyDescent="0.25">
      <c r="A7105" s="6" t="str">
        <f>HYPERLINK("proteomic_fractions_linear_files/Yang_linear_img/27881427.jpg", "27881427")</f>
        <v>27881427</v>
      </c>
      <c r="B7105" s="7"/>
      <c r="C7105" s="6" t="str">
        <f>HYPERLINK("http://www.ncbi.nlm.nih.gov/protein/27881427","Srd5a3")</f>
        <v>Srd5a3</v>
      </c>
      <c r="D7105" s="8"/>
      <c r="E7105" s="8">
        <v>37805</v>
      </c>
      <c r="F7105" s="8"/>
      <c r="G7105" s="15" t="s">
        <v>10</v>
      </c>
      <c r="H7105" s="15" t="s">
        <v>10</v>
      </c>
      <c r="I7105" s="15" t="s">
        <v>10</v>
      </c>
      <c r="J7105" s="15" t="s">
        <v>10</v>
      </c>
      <c r="K7105" s="15">
        <v>0.68816468724802637</v>
      </c>
      <c r="L7105" s="15">
        <v>0.68816468724802637</v>
      </c>
      <c r="M7105" s="15" t="s">
        <v>10</v>
      </c>
      <c r="N7105" s="15" t="s">
        <v>10</v>
      </c>
      <c r="O7105" s="15" t="s">
        <v>10</v>
      </c>
      <c r="P7105" s="15" t="s">
        <v>10</v>
      </c>
      <c r="Q7105" s="8"/>
      <c r="R7105" s="9" t="s">
        <v>6610</v>
      </c>
    </row>
    <row r="7106" spans="1:18" x14ac:dyDescent="0.25">
      <c r="A7106" s="6" t="str">
        <f>HYPERLINK("proteomic_fractions_linear_files/Yang_linear_img/73661204.jpg", "73661204")</f>
        <v>73661204</v>
      </c>
      <c r="B7106" s="7"/>
      <c r="C7106" s="6" t="str">
        <f>HYPERLINK("http://www.ncbi.nlm.nih.gov/protein/73661204","Srebf2")</f>
        <v>Srebf2</v>
      </c>
      <c r="D7106" s="8"/>
      <c r="E7106" s="8">
        <v>122780</v>
      </c>
      <c r="F7106" s="8"/>
      <c r="G7106" s="15" t="s">
        <v>10</v>
      </c>
      <c r="H7106" s="15" t="s">
        <v>10</v>
      </c>
      <c r="I7106" s="15" t="s">
        <v>10</v>
      </c>
      <c r="J7106" s="15" t="s">
        <v>10</v>
      </c>
      <c r="K7106" s="15" t="s">
        <v>10</v>
      </c>
      <c r="L7106" s="15" t="s">
        <v>10</v>
      </c>
      <c r="M7106" s="15" t="s">
        <v>10</v>
      </c>
      <c r="N7106" s="15" t="s">
        <v>10</v>
      </c>
      <c r="O7106" s="15">
        <v>0.12354746580336817</v>
      </c>
      <c r="P7106" s="15">
        <v>0.12354746580336817</v>
      </c>
      <c r="Q7106" s="8"/>
      <c r="R7106" s="9" t="s">
        <v>6611</v>
      </c>
    </row>
    <row r="7107" spans="1:18" x14ac:dyDescent="0.25">
      <c r="A7107" s="6" t="str">
        <f>HYPERLINK("proteomic_fractions_linear_files/Yang_linear_img/27369842.jpg", "27369842")</f>
        <v>27369842</v>
      </c>
      <c r="B7107" s="7"/>
      <c r="C7107" s="6" t="str">
        <f>HYPERLINK("http://www.ncbi.nlm.nih.gov/protein/27369842","Srek1")</f>
        <v>Srek1</v>
      </c>
      <c r="D7107" s="8"/>
      <c r="E7107" s="8">
        <v>56632</v>
      </c>
      <c r="F7107" s="8"/>
      <c r="G7107" s="15" t="s">
        <v>10</v>
      </c>
      <c r="H7107" s="15" t="s">
        <v>10</v>
      </c>
      <c r="I7107" s="15">
        <v>105.1421052631579</v>
      </c>
      <c r="J7107" s="15">
        <v>105.1421052631579</v>
      </c>
      <c r="K7107" s="15">
        <v>105.1421052631579</v>
      </c>
      <c r="L7107" s="15">
        <v>105.1421052631579</v>
      </c>
      <c r="M7107" s="15" t="s">
        <v>10</v>
      </c>
      <c r="N7107" s="15" t="s">
        <v>10</v>
      </c>
      <c r="O7107" s="15" t="s">
        <v>10</v>
      </c>
      <c r="P7107" s="15" t="s">
        <v>10</v>
      </c>
      <c r="Q7107" s="8"/>
      <c r="R7107" s="9" t="s">
        <v>6612</v>
      </c>
    </row>
    <row r="7108" spans="1:18" x14ac:dyDescent="0.25">
      <c r="A7108" s="6" t="str">
        <f>HYPERLINK("proteomic_fractions_linear_files/Yang_linear_img/124486650.jpg", "124486650")</f>
        <v>124486650</v>
      </c>
      <c r="B7108" s="7"/>
      <c r="C7108" s="6" t="str">
        <f>HYPERLINK("http://www.ncbi.nlm.nih.gov/protein/124486650","Srgap1")</f>
        <v>Srgap1</v>
      </c>
      <c r="D7108" s="8"/>
      <c r="E7108" s="8">
        <v>123970</v>
      </c>
      <c r="F7108" s="8"/>
      <c r="G7108" s="15" t="s">
        <v>10</v>
      </c>
      <c r="H7108" s="15" t="s">
        <v>10</v>
      </c>
      <c r="I7108" s="15" t="s">
        <v>10</v>
      </c>
      <c r="J7108" s="15" t="s">
        <v>10</v>
      </c>
      <c r="K7108" s="15" t="s">
        <v>10</v>
      </c>
      <c r="L7108" s="15" t="s">
        <v>10</v>
      </c>
      <c r="M7108" s="15" t="s">
        <v>10</v>
      </c>
      <c r="N7108" s="15" t="s">
        <v>10</v>
      </c>
      <c r="O7108" s="15">
        <v>1.0380776463315884</v>
      </c>
      <c r="P7108" s="15">
        <v>1.0380776463315884</v>
      </c>
      <c r="Q7108" s="8"/>
      <c r="R7108" s="9" t="s">
        <v>6613</v>
      </c>
    </row>
    <row r="7109" spans="1:18" x14ac:dyDescent="0.25">
      <c r="A7109" s="6" t="str">
        <f>HYPERLINK("proteomic_fractions_linear_files/Yang_linear_img/334724478.jpg", "334724478")</f>
        <v>334724478</v>
      </c>
      <c r="B7109" s="7"/>
      <c r="C7109" s="6" t="str">
        <f>HYPERLINK("http://www.ncbi.nlm.nih.gov/protein/334724478","Srgap1")</f>
        <v>Srgap1</v>
      </c>
      <c r="D7109" s="8"/>
      <c r="E7109" s="8">
        <v>121299</v>
      </c>
      <c r="F7109" s="8"/>
      <c r="G7109" s="15" t="s">
        <v>10</v>
      </c>
      <c r="H7109" s="15" t="s">
        <v>10</v>
      </c>
      <c r="I7109" s="15" t="s">
        <v>10</v>
      </c>
      <c r="J7109" s="15" t="s">
        <v>10</v>
      </c>
      <c r="K7109" s="15" t="s">
        <v>10</v>
      </c>
      <c r="L7109" s="15" t="s">
        <v>10</v>
      </c>
      <c r="M7109" s="15" t="s">
        <v>10</v>
      </c>
      <c r="N7109" s="15" t="s">
        <v>10</v>
      </c>
      <c r="O7109" s="15">
        <v>1.0638151086373302</v>
      </c>
      <c r="P7109" s="15">
        <v>1.0638151086373302</v>
      </c>
      <c r="Q7109" s="8"/>
      <c r="R7109" s="9" t="s">
        <v>6614</v>
      </c>
    </row>
    <row r="7110" spans="1:18" x14ac:dyDescent="0.25">
      <c r="A7110" s="6" t="str">
        <f>HYPERLINK("proteomic_fractions_linear_files/Yang_linear_img/157951723.jpg", "157951723")</f>
        <v>157951723</v>
      </c>
      <c r="B7110" s="7"/>
      <c r="C7110" s="6" t="str">
        <f>HYPERLINK("http://www.ncbi.nlm.nih.gov/protein/157951723","Srgap2")</f>
        <v>Srgap2</v>
      </c>
      <c r="D7110" s="8"/>
      <c r="E7110" s="8">
        <v>120668</v>
      </c>
      <c r="F7110" s="8"/>
      <c r="G7110" s="15" t="s">
        <v>10</v>
      </c>
      <c r="H7110" s="15" t="s">
        <v>10</v>
      </c>
      <c r="I7110" s="15" t="s">
        <v>10</v>
      </c>
      <c r="J7110" s="15" t="s">
        <v>10</v>
      </c>
      <c r="K7110" s="15" t="s">
        <v>10</v>
      </c>
      <c r="L7110" s="15" t="s">
        <v>10</v>
      </c>
      <c r="M7110" s="15" t="s">
        <v>10</v>
      </c>
      <c r="N7110" s="15" t="s">
        <v>10</v>
      </c>
      <c r="O7110" s="15">
        <v>1.0638151086373302</v>
      </c>
      <c r="P7110" s="15">
        <v>1.0638151086373302</v>
      </c>
      <c r="Q7110" s="8"/>
      <c r="R7110" s="9" t="s">
        <v>6615</v>
      </c>
    </row>
    <row r="7111" spans="1:18" x14ac:dyDescent="0.25">
      <c r="A7111" s="6" t="str">
        <f>HYPERLINK("proteomic_fractions_linear_files/Yang_linear_img/154090967.jpg", "154090967")</f>
        <v>154090967</v>
      </c>
      <c r="B7111" s="7"/>
      <c r="C7111" s="6" t="str">
        <f>HYPERLINK("http://www.ncbi.nlm.nih.gov/protein/154090967","Srgap3")</f>
        <v>Srgap3</v>
      </c>
      <c r="D7111" s="8"/>
      <c r="E7111" s="8">
        <v>124317</v>
      </c>
      <c r="F7111" s="8"/>
      <c r="G7111" s="15" t="s">
        <v>10</v>
      </c>
      <c r="H7111" s="15" t="s">
        <v>10</v>
      </c>
      <c r="I7111" s="15" t="s">
        <v>10</v>
      </c>
      <c r="J7111" s="15" t="s">
        <v>10</v>
      </c>
      <c r="K7111" s="15" t="s">
        <v>10</v>
      </c>
      <c r="L7111" s="15" t="s">
        <v>10</v>
      </c>
      <c r="M7111" s="15" t="s">
        <v>10</v>
      </c>
      <c r="N7111" s="15" t="s">
        <v>10</v>
      </c>
      <c r="O7111" s="15">
        <v>1.2375231543245309</v>
      </c>
      <c r="P7111" s="15">
        <v>1.2375231543245309</v>
      </c>
      <c r="Q7111" s="8"/>
      <c r="R7111" s="9" t="s">
        <v>6616</v>
      </c>
    </row>
    <row r="7112" spans="1:18" x14ac:dyDescent="0.25">
      <c r="A7112" s="6" t="str">
        <f>HYPERLINK("proteomic_fractions_linear_files/Yang_linear_img/124430537.jpg", "124430537")</f>
        <v>124430537</v>
      </c>
      <c r="B7112" s="7"/>
      <c r="C7112" s="6" t="str">
        <f>HYPERLINK("http://www.ncbi.nlm.nih.gov/protein/124430537","Sri")</f>
        <v>Sri</v>
      </c>
      <c r="D7112" s="8"/>
      <c r="E7112" s="8">
        <v>21496</v>
      </c>
      <c r="F7112" s="8"/>
      <c r="G7112" s="15" t="s">
        <v>10</v>
      </c>
      <c r="H7112" s="15" t="s">
        <v>10</v>
      </c>
      <c r="I7112" s="15">
        <v>0.92862618228739402</v>
      </c>
      <c r="J7112" s="15">
        <v>0.92862618228739402</v>
      </c>
      <c r="K7112" s="15">
        <v>0.92862618228739402</v>
      </c>
      <c r="L7112" s="15">
        <v>0.92862618228739402</v>
      </c>
      <c r="M7112" s="15">
        <v>0.98083053269791776</v>
      </c>
      <c r="N7112" s="15">
        <v>0.98083053269791776</v>
      </c>
      <c r="O7112" s="15">
        <v>0.92862618228739402</v>
      </c>
      <c r="P7112" s="15">
        <v>0.92862618228739402</v>
      </c>
      <c r="Q7112" s="8"/>
      <c r="R7112" s="9" t="s">
        <v>6617</v>
      </c>
    </row>
    <row r="7113" spans="1:18" x14ac:dyDescent="0.25">
      <c r="A7113" s="6" t="str">
        <f>HYPERLINK("proteomic_fractions_linear_files/Yang_linear_img/124430543.jpg", "124430543")</f>
        <v>124430543</v>
      </c>
      <c r="B7113" s="7"/>
      <c r="C7113" s="6" t="str">
        <f>HYPERLINK("http://www.ncbi.nlm.nih.gov/protein/124430543","Sri")</f>
        <v>Sri</v>
      </c>
      <c r="D7113" s="8"/>
      <c r="E7113" s="8">
        <v>20165</v>
      </c>
      <c r="F7113" s="8"/>
      <c r="G7113" s="15" t="s">
        <v>10</v>
      </c>
      <c r="H7113" s="15" t="s">
        <v>10</v>
      </c>
      <c r="I7113" s="15">
        <v>0.97505749140176368</v>
      </c>
      <c r="J7113" s="15">
        <v>0.97505749140176368</v>
      </c>
      <c r="K7113" s="15">
        <v>0.97505749140176368</v>
      </c>
      <c r="L7113" s="15">
        <v>0.97505749140176368</v>
      </c>
      <c r="M7113" s="15">
        <v>1.0298720593328137</v>
      </c>
      <c r="N7113" s="15">
        <v>1.0298720593328137</v>
      </c>
      <c r="O7113" s="15">
        <v>0.97505749140176368</v>
      </c>
      <c r="P7113" s="15">
        <v>0.97505749140176368</v>
      </c>
      <c r="Q7113" s="8"/>
      <c r="R7113" s="9" t="s">
        <v>6618</v>
      </c>
    </row>
    <row r="7114" spans="1:18" x14ac:dyDescent="0.25">
      <c r="A7114" s="6" t="str">
        <f>HYPERLINK("proteomic_fractions_linear_files/Yang_linear_img/34328417.jpg", "34328417")</f>
        <v>34328417</v>
      </c>
      <c r="B7114" s="7"/>
      <c r="C7114" s="6" t="str">
        <f>HYPERLINK("http://www.ncbi.nlm.nih.gov/protein/34328417","Srl")</f>
        <v>Srl</v>
      </c>
      <c r="D7114" s="8"/>
      <c r="E7114" s="8">
        <v>97094</v>
      </c>
      <c r="F7114" s="8"/>
      <c r="G7114" s="15" t="s">
        <v>10</v>
      </c>
      <c r="H7114" s="15" t="s">
        <v>10</v>
      </c>
      <c r="I7114" s="15">
        <v>0.35622037660283695</v>
      </c>
      <c r="J7114" s="15">
        <v>0.35622037660283695</v>
      </c>
      <c r="K7114" s="15">
        <v>0.35622037660283695</v>
      </c>
      <c r="L7114" s="15">
        <v>0.35622037660283695</v>
      </c>
      <c r="M7114" s="15" t="s">
        <v>10</v>
      </c>
      <c r="N7114" s="15" t="s">
        <v>10</v>
      </c>
      <c r="O7114" s="15" t="s">
        <v>10</v>
      </c>
      <c r="P7114" s="15" t="s">
        <v>10</v>
      </c>
      <c r="Q7114" s="8"/>
      <c r="R7114" s="9" t="s">
        <v>6619</v>
      </c>
    </row>
    <row r="7115" spans="1:18" x14ac:dyDescent="0.25">
      <c r="A7115" s="6" t="str">
        <f>HYPERLINK("proteomic_fractions_linear_files/Yang_linear_img/6678131.jpg", "6678131")</f>
        <v>6678131</v>
      </c>
      <c r="B7115" s="7"/>
      <c r="C7115" s="6" t="str">
        <f>HYPERLINK("http://www.ncbi.nlm.nih.gov/protein/6678131","Srm")</f>
        <v>Srm</v>
      </c>
      <c r="D7115" s="8"/>
      <c r="E7115" s="8">
        <v>33864</v>
      </c>
      <c r="F7115" s="8"/>
      <c r="G7115" s="15" t="s">
        <v>10</v>
      </c>
      <c r="H7115" s="15" t="s">
        <v>10</v>
      </c>
      <c r="I7115" s="15">
        <v>0.87898255563862149</v>
      </c>
      <c r="J7115" s="15">
        <v>0.87898255563862149</v>
      </c>
      <c r="K7115" s="15">
        <v>0.94364920163922317</v>
      </c>
      <c r="L7115" s="15">
        <v>0.94364920163922317</v>
      </c>
      <c r="M7115" s="15">
        <v>0.87898255563862149</v>
      </c>
      <c r="N7115" s="15">
        <v>0.87898255563862149</v>
      </c>
      <c r="O7115" s="15">
        <v>0.82112386169653118</v>
      </c>
      <c r="P7115" s="15">
        <v>0.82112386169653118</v>
      </c>
      <c r="Q7115" s="8"/>
      <c r="R7115" s="9" t="s">
        <v>6620</v>
      </c>
    </row>
    <row r="7116" spans="1:18" x14ac:dyDescent="0.25">
      <c r="A7116" s="6" t="str">
        <f>HYPERLINK("proteomic_fractions_linear_files/Yang_linear_img/54287682.jpg", "54287682")</f>
        <v>54287682</v>
      </c>
      <c r="B7116" s="7"/>
      <c r="C7116" s="6" t="str">
        <f>HYPERLINK("http://www.ncbi.nlm.nih.gov/protein/54287682","Srms")</f>
        <v>Srms</v>
      </c>
      <c r="D7116" s="8"/>
      <c r="E7116" s="8">
        <v>56865</v>
      </c>
      <c r="F7116" s="8"/>
      <c r="G7116" s="15" t="s">
        <v>10</v>
      </c>
      <c r="H7116" s="15" t="s">
        <v>10</v>
      </c>
      <c r="I7116" s="15">
        <v>0.93193981807019433</v>
      </c>
      <c r="J7116" s="15">
        <v>0.93193981807019433</v>
      </c>
      <c r="K7116" s="15">
        <v>1.0311089050104185</v>
      </c>
      <c r="L7116" s="15">
        <v>1.0311089050104185</v>
      </c>
      <c r="M7116" s="15" t="s">
        <v>10</v>
      </c>
      <c r="N7116" s="15" t="s">
        <v>10</v>
      </c>
      <c r="O7116" s="15">
        <v>0.84719255411254824</v>
      </c>
      <c r="P7116" s="15">
        <v>0.84719255411254824</v>
      </c>
      <c r="Q7116" s="8"/>
      <c r="R7116" s="9" t="s">
        <v>6621</v>
      </c>
    </row>
    <row r="7117" spans="1:18" x14ac:dyDescent="0.25">
      <c r="A7117" s="6" t="str">
        <f>HYPERLINK("proteomic_fractions_linear_files/Yang_linear_img/160333840.jpg", "160333840")</f>
        <v>160333840</v>
      </c>
      <c r="B7117" s="7"/>
      <c r="C7117" s="6" t="str">
        <f>HYPERLINK("http://www.ncbi.nlm.nih.gov/protein/160333840","Srp19")</f>
        <v>Srp19</v>
      </c>
      <c r="D7117" s="8"/>
      <c r="E7117" s="8">
        <v>15964</v>
      </c>
      <c r="F7117" s="8"/>
      <c r="G7117" s="15">
        <v>1.5346762883298073</v>
      </c>
      <c r="H7117" s="15">
        <v>1.5346762883298073</v>
      </c>
      <c r="I7117" s="15">
        <v>1.0447796575379389</v>
      </c>
      <c r="J7117" s="15">
        <v>1.0447796575379389</v>
      </c>
      <c r="K7117" s="15">
        <v>1.0981212353349354</v>
      </c>
      <c r="L7117" s="15">
        <v>1.0981212353349354</v>
      </c>
      <c r="M7117" s="15">
        <v>1.0981212353349354</v>
      </c>
      <c r="N7117" s="15">
        <v>1.0981212353349354</v>
      </c>
      <c r="O7117" s="15">
        <v>1.0447796575379389</v>
      </c>
      <c r="P7117" s="15">
        <v>1.0447796575379389</v>
      </c>
      <c r="Q7117" s="8"/>
      <c r="R7117" s="9" t="s">
        <v>6622</v>
      </c>
    </row>
    <row r="7118" spans="1:18" x14ac:dyDescent="0.25">
      <c r="A7118" s="6" t="str">
        <f>HYPERLINK("proteomic_fractions_linear_files/Yang_linear_img/31981338;153791789.jpg", "31981338;153791789")</f>
        <v>31981338;153791789</v>
      </c>
      <c r="B7118" s="8"/>
      <c r="C7118" s="6" t="str">
        <f>HYPERLINK("http://www.ncbi.nlm.nih.gov/protein/31981338;153791789","Srp54a")</f>
        <v>Srp54a</v>
      </c>
      <c r="D7118" s="8"/>
      <c r="E7118" s="8">
        <v>55590</v>
      </c>
      <c r="F7118" s="8"/>
      <c r="G7118" s="15">
        <v>1.3113600043157543</v>
      </c>
      <c r="H7118" s="15">
        <v>1.3113600043157543</v>
      </c>
      <c r="I7118" s="15" t="s">
        <v>10</v>
      </c>
      <c r="J7118" s="15" t="s">
        <v>10</v>
      </c>
      <c r="K7118" s="15" t="s">
        <v>10</v>
      </c>
      <c r="L7118" s="15" t="s">
        <v>10</v>
      </c>
      <c r="M7118" s="15" t="s">
        <v>10</v>
      </c>
      <c r="N7118" s="15" t="s">
        <v>10</v>
      </c>
      <c r="O7118" s="15" t="s">
        <v>10</v>
      </c>
      <c r="P7118" s="15" t="s">
        <v>10</v>
      </c>
      <c r="Q7118" s="8"/>
      <c r="R7118" s="9" t="s">
        <v>6623</v>
      </c>
    </row>
    <row r="7119" spans="1:18" x14ac:dyDescent="0.25">
      <c r="A7119" s="6" t="str">
        <f>HYPERLINK("proteomic_fractions_linear_files/Yang_linear_img/153791789.jpg", "153791789")</f>
        <v>153791789</v>
      </c>
      <c r="B7119" s="7"/>
      <c r="C7119" s="6" t="str">
        <f>HYPERLINK("http://www.ncbi.nlm.nih.gov/protein/153791789","Srp54b")</f>
        <v>Srp54b</v>
      </c>
      <c r="D7119" s="8"/>
      <c r="E7119" s="8">
        <v>55590</v>
      </c>
      <c r="F7119" s="8"/>
      <c r="G7119" s="15" t="s">
        <v>10</v>
      </c>
      <c r="H7119" s="15" t="s">
        <v>10</v>
      </c>
      <c r="I7119" s="15">
        <v>0.94858160053573359</v>
      </c>
      <c r="J7119" s="15">
        <v>0.94858160053573359</v>
      </c>
      <c r="K7119" s="15">
        <v>1.0495215640284616</v>
      </c>
      <c r="L7119" s="15">
        <v>1.0495215640284616</v>
      </c>
      <c r="M7119" s="15">
        <v>0.94858160053573359</v>
      </c>
      <c r="N7119" s="15">
        <v>0.94858160053573359</v>
      </c>
      <c r="O7119" s="15">
        <v>0.94858160053573359</v>
      </c>
      <c r="P7119" s="15">
        <v>0.94858160053573359</v>
      </c>
      <c r="Q7119" s="8"/>
      <c r="R7119" s="9" t="s">
        <v>6623</v>
      </c>
    </row>
    <row r="7120" spans="1:18" x14ac:dyDescent="0.25">
      <c r="A7120" s="6" t="str">
        <f>HYPERLINK("proteomic_fractions_linear_files/Yang_linear_img/153791464.jpg", "153791464")</f>
        <v>153791464</v>
      </c>
      <c r="B7120" s="7"/>
      <c r="C7120" s="6" t="str">
        <f>HYPERLINK("http://www.ncbi.nlm.nih.gov/protein/153791464","Srp54c")</f>
        <v>Srp54c</v>
      </c>
      <c r="D7120" s="8"/>
      <c r="E7120" s="8">
        <v>55685</v>
      </c>
      <c r="F7120" s="8"/>
      <c r="G7120" s="15">
        <v>1.3113600043157543</v>
      </c>
      <c r="H7120" s="15">
        <v>1.3113600043157543</v>
      </c>
      <c r="I7120" s="15">
        <v>0.94858160053573359</v>
      </c>
      <c r="J7120" s="15">
        <v>0.94858160053573359</v>
      </c>
      <c r="K7120" s="15">
        <v>1.0495215640284616</v>
      </c>
      <c r="L7120" s="15">
        <v>1.0495215640284616</v>
      </c>
      <c r="M7120" s="15">
        <v>0.94858160053573359</v>
      </c>
      <c r="N7120" s="15">
        <v>0.94858160053573359</v>
      </c>
      <c r="O7120" s="15">
        <v>0.94858160053573359</v>
      </c>
      <c r="P7120" s="15">
        <v>0.94858160053573359</v>
      </c>
      <c r="Q7120" s="8"/>
      <c r="R7120" s="9" t="s">
        <v>6624</v>
      </c>
    </row>
    <row r="7121" spans="1:18" x14ac:dyDescent="0.25">
      <c r="A7121" s="6" t="str">
        <f>HYPERLINK("proteomic_fractions_linear_files/Yang_linear_img/47271535.jpg", "47271535")</f>
        <v>47271535</v>
      </c>
      <c r="B7121" s="7"/>
      <c r="C7121" s="6" t="str">
        <f>HYPERLINK("http://www.ncbi.nlm.nih.gov/protein/47271535","Srp68")</f>
        <v>Srp68</v>
      </c>
      <c r="D7121" s="8"/>
      <c r="E7121" s="8">
        <v>70443</v>
      </c>
      <c r="F7121" s="8"/>
      <c r="G7121" s="15">
        <v>1.3566854454654931</v>
      </c>
      <c r="H7121" s="15">
        <v>1.3566854454654931</v>
      </c>
      <c r="I7121" s="15">
        <v>1.0490880034526036</v>
      </c>
      <c r="J7121" s="15">
        <v>1.0490880034526036</v>
      </c>
      <c r="K7121" s="15">
        <v>1.1871236924734836</v>
      </c>
      <c r="L7121" s="15">
        <v>1.1871236924734836</v>
      </c>
      <c r="M7121" s="15">
        <v>1.0490880034526036</v>
      </c>
      <c r="N7121" s="15">
        <v>1.0490880034526036</v>
      </c>
      <c r="O7121" s="15">
        <v>1.0490880034526036</v>
      </c>
      <c r="P7121" s="15">
        <v>1.0490880034526036</v>
      </c>
      <c r="Q7121" s="8"/>
      <c r="R7121" s="9" t="s">
        <v>6625</v>
      </c>
    </row>
    <row r="7122" spans="1:18" x14ac:dyDescent="0.25">
      <c r="A7122" s="6" t="str">
        <f>HYPERLINK("proteomic_fractions_linear_files/Yang_linear_img/118344452.jpg", "118344452")</f>
        <v>118344452</v>
      </c>
      <c r="B7122" s="7"/>
      <c r="C7122" s="6" t="str">
        <f>HYPERLINK("http://www.ncbi.nlm.nih.gov/protein/118344452","Srp72")</f>
        <v>Srp72</v>
      </c>
      <c r="D7122" s="8"/>
      <c r="E7122" s="8">
        <v>74526</v>
      </c>
      <c r="F7122" s="8"/>
      <c r="G7122" s="15" t="s">
        <v>10</v>
      </c>
      <c r="H7122" s="15" t="s">
        <v>10</v>
      </c>
      <c r="I7122" s="15">
        <v>1.1079821129752514</v>
      </c>
      <c r="J7122" s="15">
        <v>1.1079821129752514</v>
      </c>
      <c r="K7122" s="15">
        <v>1.1079821129752514</v>
      </c>
      <c r="L7122" s="15">
        <v>1.1079821129752514</v>
      </c>
      <c r="M7122" s="15">
        <v>1.1079821129752514</v>
      </c>
      <c r="N7122" s="15">
        <v>1.1079821129752514</v>
      </c>
      <c r="O7122" s="15">
        <v>1.1079821129752514</v>
      </c>
      <c r="P7122" s="15">
        <v>1.1079821129752514</v>
      </c>
      <c r="Q7122" s="8"/>
      <c r="R7122" s="9" t="s">
        <v>6626</v>
      </c>
    </row>
    <row r="7123" spans="1:18" x14ac:dyDescent="0.25">
      <c r="A7123" s="6" t="str">
        <f>HYPERLINK("proteomic_fractions_linear_files/Yang_linear_img/6755662.jpg", "6755662")</f>
        <v>6755662</v>
      </c>
      <c r="B7123" s="7"/>
      <c r="C7123" s="6" t="str">
        <f>HYPERLINK("http://www.ncbi.nlm.nih.gov/protein/6755662","Srp9")</f>
        <v>Srp9</v>
      </c>
      <c r="D7123" s="8"/>
      <c r="E7123" s="8">
        <v>10063</v>
      </c>
      <c r="F7123" s="8"/>
      <c r="G7123" s="15">
        <v>1.8495299164564085</v>
      </c>
      <c r="H7123" s="15">
        <v>1.9501149828035274</v>
      </c>
      <c r="I7123" s="15">
        <v>1.2747219341937626</v>
      </c>
      <c r="J7123" s="15">
        <v>1.2747219341937626</v>
      </c>
      <c r="K7123" s="15">
        <v>1.2747219341937626</v>
      </c>
      <c r="L7123" s="15">
        <v>1.3297064023001535</v>
      </c>
      <c r="M7123" s="15">
        <v>1.3297064023001535</v>
      </c>
      <c r="N7123" s="15">
        <v>1.3297064023001535</v>
      </c>
      <c r="O7123" s="15">
        <v>1.2232861292331356</v>
      </c>
      <c r="P7123" s="15">
        <v>1.2232861292331356</v>
      </c>
      <c r="Q7123" s="8"/>
      <c r="R7123" s="9" t="s">
        <v>6627</v>
      </c>
    </row>
    <row r="7124" spans="1:18" x14ac:dyDescent="0.25">
      <c r="A7124" s="6" t="str">
        <f>HYPERLINK("proteomic_fractions_linear_files/Yang_linear_img/31982726.jpg", "31982726")</f>
        <v>31982726</v>
      </c>
      <c r="B7124" s="7"/>
      <c r="C7124" s="6" t="str">
        <f>HYPERLINK("http://www.ncbi.nlm.nih.gov/protein/31982726","Srpk1")</f>
        <v>Srpk1</v>
      </c>
      <c r="D7124" s="8"/>
      <c r="E7124" s="8">
        <v>72958</v>
      </c>
      <c r="F7124" s="8"/>
      <c r="G7124" s="15" t="s">
        <v>10</v>
      </c>
      <c r="H7124" s="15" t="s">
        <v>10</v>
      </c>
      <c r="I7124" s="15">
        <v>1.5041310112483763</v>
      </c>
      <c r="J7124" s="15">
        <v>1.5041310112483763</v>
      </c>
      <c r="K7124" s="15">
        <v>1.7633099745906433</v>
      </c>
      <c r="L7124" s="15">
        <v>1.7633099745906433</v>
      </c>
      <c r="M7124" s="15">
        <v>1.5041310112483763</v>
      </c>
      <c r="N7124" s="15">
        <v>1.5041310112483763</v>
      </c>
      <c r="O7124" s="15" t="s">
        <v>10</v>
      </c>
      <c r="P7124" s="15" t="s">
        <v>10</v>
      </c>
      <c r="Q7124" s="8"/>
      <c r="R7124" s="9" t="s">
        <v>6628</v>
      </c>
    </row>
    <row r="7125" spans="1:18" x14ac:dyDescent="0.25">
      <c r="A7125" s="6" t="str">
        <f>HYPERLINK("proteomic_fractions_linear_files/Yang_linear_img/47059480.jpg", "47059480")</f>
        <v>47059480</v>
      </c>
      <c r="B7125" s="7"/>
      <c r="C7125" s="6" t="str">
        <f>HYPERLINK("http://www.ncbi.nlm.nih.gov/protein/47059480","Srpk2")</f>
        <v>Srpk2</v>
      </c>
      <c r="D7125" s="8"/>
      <c r="E7125" s="8">
        <v>76754</v>
      </c>
      <c r="F7125" s="8"/>
      <c r="G7125" s="15" t="s">
        <v>10</v>
      </c>
      <c r="H7125" s="15" t="s">
        <v>10</v>
      </c>
      <c r="I7125" s="15" t="s">
        <v>10</v>
      </c>
      <c r="J7125" s="15" t="s">
        <v>10</v>
      </c>
      <c r="K7125" s="15">
        <v>1.6717094564300905</v>
      </c>
      <c r="L7125" s="15">
        <v>1.6717094564300905</v>
      </c>
      <c r="M7125" s="15">
        <v>1.6717094564300905</v>
      </c>
      <c r="N7125" s="15">
        <v>1.6717094564300905</v>
      </c>
      <c r="O7125" s="15" t="s">
        <v>10</v>
      </c>
      <c r="P7125" s="15" t="s">
        <v>10</v>
      </c>
      <c r="Q7125" s="8"/>
      <c r="R7125" s="9" t="s">
        <v>6629</v>
      </c>
    </row>
    <row r="7126" spans="1:18" x14ac:dyDescent="0.25">
      <c r="A7126" s="6" t="str">
        <f>HYPERLINK("proteomic_fractions_linear_files/Yang_linear_img/9790111.jpg", "9790111")</f>
        <v>9790111</v>
      </c>
      <c r="B7126" s="7"/>
      <c r="C7126" s="6" t="str">
        <f>HYPERLINK("http://www.ncbi.nlm.nih.gov/protein/9790111","Srpk3")</f>
        <v>Srpk3</v>
      </c>
      <c r="D7126" s="8"/>
      <c r="E7126" s="8">
        <v>62234</v>
      </c>
      <c r="F7126" s="8"/>
      <c r="G7126" s="15" t="s">
        <v>10</v>
      </c>
      <c r="H7126" s="15" t="s">
        <v>10</v>
      </c>
      <c r="I7126" s="15" t="s">
        <v>10</v>
      </c>
      <c r="J7126" s="15" t="s">
        <v>10</v>
      </c>
      <c r="K7126" s="15">
        <v>2.0761552926631768</v>
      </c>
      <c r="L7126" s="15">
        <v>2.0761552926631768</v>
      </c>
      <c r="M7126" s="15">
        <v>1.7709929648569591</v>
      </c>
      <c r="N7126" s="15">
        <v>1.7709929648569591</v>
      </c>
      <c r="O7126" s="15" t="s">
        <v>10</v>
      </c>
      <c r="P7126" s="15" t="s">
        <v>10</v>
      </c>
      <c r="Q7126" s="8"/>
      <c r="R7126" s="9" t="s">
        <v>6630</v>
      </c>
    </row>
    <row r="7127" spans="1:18" x14ac:dyDescent="0.25">
      <c r="A7127" s="6" t="str">
        <f>HYPERLINK("proteomic_fractions_linear_files/Yang_linear_img/27229036.jpg", "27229036")</f>
        <v>27229036</v>
      </c>
      <c r="B7127" s="7"/>
      <c r="C7127" s="6" t="str">
        <f>HYPERLINK("http://www.ncbi.nlm.nih.gov/protein/27229036","Srpr")</f>
        <v>Srpr</v>
      </c>
      <c r="D7127" s="8"/>
      <c r="E7127" s="8">
        <v>69492</v>
      </c>
      <c r="F7127" s="8"/>
      <c r="G7127" s="15" t="s">
        <v>10</v>
      </c>
      <c r="H7127" s="15" t="s">
        <v>10</v>
      </c>
      <c r="I7127" s="15">
        <v>1.0642921774156846</v>
      </c>
      <c r="J7127" s="15">
        <v>1.0642921774156846</v>
      </c>
      <c r="K7127" s="15">
        <v>1.2043283836687515</v>
      </c>
      <c r="L7127" s="15">
        <v>1.2043283836687515</v>
      </c>
      <c r="M7127" s="15" t="s">
        <v>10</v>
      </c>
      <c r="N7127" s="15" t="s">
        <v>10</v>
      </c>
      <c r="O7127" s="15" t="s">
        <v>10</v>
      </c>
      <c r="P7127" s="15" t="s">
        <v>10</v>
      </c>
      <c r="Q7127" s="8"/>
      <c r="R7127" s="9" t="s">
        <v>6631</v>
      </c>
    </row>
    <row r="7128" spans="1:18" x14ac:dyDescent="0.25">
      <c r="A7128" s="6" t="str">
        <f>HYPERLINK("proteomic_fractions_linear_files/Yang_linear_img/6678137.jpg", "6678137")</f>
        <v>6678137</v>
      </c>
      <c r="B7128" s="7"/>
      <c r="C7128" s="6" t="str">
        <f>HYPERLINK("http://www.ncbi.nlm.nih.gov/protein/6678137","Srprb")</f>
        <v>Srprb</v>
      </c>
      <c r="D7128" s="8"/>
      <c r="E7128" s="8">
        <v>29448</v>
      </c>
      <c r="F7128" s="8"/>
      <c r="G7128" s="15">
        <v>1.2876319456249858</v>
      </c>
      <c r="H7128" s="15">
        <v>1.2876319456249858</v>
      </c>
      <c r="I7128" s="15">
        <v>0.90173303846293107</v>
      </c>
      <c r="J7128" s="15">
        <v>0.90173303846293107</v>
      </c>
      <c r="K7128" s="15">
        <v>0.96269694129938133</v>
      </c>
      <c r="L7128" s="15">
        <v>0.96269694129938133</v>
      </c>
      <c r="M7128" s="15" t="s">
        <v>10</v>
      </c>
      <c r="N7128" s="15" t="s">
        <v>10</v>
      </c>
      <c r="O7128" s="15" t="s">
        <v>10</v>
      </c>
      <c r="P7128" s="15" t="s">
        <v>10</v>
      </c>
      <c r="Q7128" s="8"/>
      <c r="R7128" s="9" t="s">
        <v>6632</v>
      </c>
    </row>
    <row r="7129" spans="1:18" x14ac:dyDescent="0.25">
      <c r="A7129" s="6" t="str">
        <f>HYPERLINK("proteomic_fractions_linear_files/Yang_linear_img/7305521.jpg", "7305521")</f>
        <v>7305521</v>
      </c>
      <c r="B7129" s="7"/>
      <c r="C7129" s="6" t="str">
        <f>HYPERLINK("http://www.ncbi.nlm.nih.gov/protein/7305521","Srr")</f>
        <v>Srr</v>
      </c>
      <c r="D7129" s="8"/>
      <c r="E7129" s="8">
        <v>36228</v>
      </c>
      <c r="F7129" s="8"/>
      <c r="G7129" s="15" t="s">
        <v>10</v>
      </c>
      <c r="H7129" s="15" t="s">
        <v>10</v>
      </c>
      <c r="I7129" s="15">
        <v>0.95981601473542177</v>
      </c>
      <c r="J7129" s="15">
        <v>0.95981601473542177</v>
      </c>
      <c r="K7129" s="15" t="s">
        <v>10</v>
      </c>
      <c r="L7129" s="15" t="s">
        <v>10</v>
      </c>
      <c r="M7129" s="15" t="s">
        <v>10</v>
      </c>
      <c r="N7129" s="15" t="s">
        <v>10</v>
      </c>
      <c r="O7129" s="15">
        <v>0.89122424599259964</v>
      </c>
      <c r="P7129" s="15">
        <v>0.89122424599259964</v>
      </c>
      <c r="Q7129" s="8"/>
      <c r="R7129" s="9" t="s">
        <v>6633</v>
      </c>
    </row>
    <row r="7130" spans="1:18" x14ac:dyDescent="0.25">
      <c r="A7130" s="6" t="str">
        <f>HYPERLINK("proteomic_fractions_linear_files/Yang_linear_img/194440682.jpg", "194440682")</f>
        <v>194440682</v>
      </c>
      <c r="B7130" s="7"/>
      <c r="C7130" s="6" t="str">
        <f>HYPERLINK("http://www.ncbi.nlm.nih.gov/protein/194440682","Srrm1")</f>
        <v>Srrm1</v>
      </c>
      <c r="D7130" s="8"/>
      <c r="E7130" s="8">
        <v>104175</v>
      </c>
      <c r="F7130" s="8"/>
      <c r="G7130" s="15" t="s">
        <v>10</v>
      </c>
      <c r="H7130" s="15" t="s">
        <v>10</v>
      </c>
      <c r="I7130" s="15">
        <v>57.625961538461539</v>
      </c>
      <c r="J7130" s="15">
        <v>57.625961538461539</v>
      </c>
      <c r="K7130" s="15">
        <v>3.9331111321099979</v>
      </c>
      <c r="L7130" s="15">
        <v>3.9331111321099979</v>
      </c>
      <c r="M7130" s="15">
        <v>57.625961538461539</v>
      </c>
      <c r="N7130" s="15">
        <v>57.625961538461539</v>
      </c>
      <c r="O7130" s="15" t="s">
        <v>10</v>
      </c>
      <c r="P7130" s="15" t="s">
        <v>10</v>
      </c>
      <c r="Q7130" s="8"/>
      <c r="R7130" s="9" t="s">
        <v>6634</v>
      </c>
    </row>
    <row r="7131" spans="1:18" x14ac:dyDescent="0.25">
      <c r="A7131" s="6" t="str">
        <f>HYPERLINK("proteomic_fractions_linear_files/Yang_linear_img/194440687.jpg", "194440687")</f>
        <v>194440687</v>
      </c>
      <c r="B7131" s="7"/>
      <c r="C7131" s="6" t="str">
        <f>HYPERLINK("http://www.ncbi.nlm.nih.gov/protein/194440687","Srrm1")</f>
        <v>Srrm1</v>
      </c>
      <c r="D7131" s="8"/>
      <c r="E7131" s="8">
        <v>103585</v>
      </c>
      <c r="F7131" s="8"/>
      <c r="G7131" s="15" t="s">
        <v>10</v>
      </c>
      <c r="H7131" s="15" t="s">
        <v>10</v>
      </c>
      <c r="I7131" s="15">
        <v>57.625961538461539</v>
      </c>
      <c r="J7131" s="15">
        <v>57.625961538461539</v>
      </c>
      <c r="K7131" s="15">
        <v>3.9331111321099979</v>
      </c>
      <c r="L7131" s="15">
        <v>3.9331111321099979</v>
      </c>
      <c r="M7131" s="15">
        <v>57.625961538461539</v>
      </c>
      <c r="N7131" s="15">
        <v>57.625961538461539</v>
      </c>
      <c r="O7131" s="15" t="s">
        <v>10</v>
      </c>
      <c r="P7131" s="15" t="s">
        <v>10</v>
      </c>
      <c r="Q7131" s="8"/>
      <c r="R7131" s="9" t="s">
        <v>6635</v>
      </c>
    </row>
    <row r="7132" spans="1:18" x14ac:dyDescent="0.25">
      <c r="A7132" s="6" t="str">
        <f>HYPERLINK("proteomic_fractions_linear_files/Yang_linear_img/126157504.jpg", "126157504")</f>
        <v>126157504</v>
      </c>
      <c r="B7132" s="7"/>
      <c r="C7132" s="6" t="str">
        <f>HYPERLINK("http://www.ncbi.nlm.nih.gov/protein/126157504","Srrm2")</f>
        <v>Srrm2</v>
      </c>
      <c r="D7132" s="8"/>
      <c r="E7132" s="8">
        <v>283448</v>
      </c>
      <c r="F7132" s="8"/>
      <c r="G7132" s="15" t="s">
        <v>10</v>
      </c>
      <c r="H7132" s="15" t="s">
        <v>10</v>
      </c>
      <c r="I7132" s="15">
        <v>21.177031802120144</v>
      </c>
      <c r="J7132" s="15">
        <v>21.177031802120144</v>
      </c>
      <c r="K7132" s="15">
        <v>21.177031802120144</v>
      </c>
      <c r="L7132" s="15">
        <v>21.177031802120144</v>
      </c>
      <c r="M7132" s="15">
        <v>21.177031802120144</v>
      </c>
      <c r="N7132" s="15">
        <v>21.177031802120144</v>
      </c>
      <c r="O7132" s="15">
        <v>21.177031802120144</v>
      </c>
      <c r="P7132" s="15">
        <v>21.177031802120144</v>
      </c>
      <c r="Q7132" s="8"/>
      <c r="R7132" s="9" t="s">
        <v>6636</v>
      </c>
    </row>
    <row r="7133" spans="1:18" x14ac:dyDescent="0.25">
      <c r="A7133" s="6" t="str">
        <f>HYPERLINK("proteomic_fractions_linear_files/Yang_linear_img/13937395.jpg", "13937395")</f>
        <v>13937395</v>
      </c>
      <c r="B7133" s="7"/>
      <c r="C7133" s="6" t="str">
        <f>HYPERLINK("http://www.ncbi.nlm.nih.gov/protein/13937395","Srrt")</f>
        <v>Srrt</v>
      </c>
      <c r="D7133" s="8"/>
      <c r="E7133" s="8">
        <v>100322</v>
      </c>
      <c r="F7133" s="8"/>
      <c r="G7133" s="15">
        <v>1.5345287113624184</v>
      </c>
      <c r="H7133" s="15">
        <v>1.5345287113624184</v>
      </c>
      <c r="I7133" s="15">
        <v>59.931000000000004</v>
      </c>
      <c r="J7133" s="15">
        <v>59.931000000000004</v>
      </c>
      <c r="K7133" s="15">
        <v>1.5345287113624184</v>
      </c>
      <c r="L7133" s="15">
        <v>1.5345287113624184</v>
      </c>
      <c r="M7133" s="15">
        <v>0.48289975584415251</v>
      </c>
      <c r="N7133" s="15">
        <v>0.48289975584415251</v>
      </c>
      <c r="O7133" s="15">
        <v>1.2872162814511696</v>
      </c>
      <c r="P7133" s="15">
        <v>1.2872162814511696</v>
      </c>
      <c r="Q7133" s="8"/>
      <c r="R7133" s="9" t="s">
        <v>6637</v>
      </c>
    </row>
    <row r="7134" spans="1:18" x14ac:dyDescent="0.25">
      <c r="A7134" s="6" t="str">
        <f>HYPERLINK("proteomic_fractions_linear_files/Yang_linear_img/158186670.jpg", "158186670")</f>
        <v>158186670</v>
      </c>
      <c r="B7134" s="7"/>
      <c r="C7134" s="6" t="str">
        <f>HYPERLINK("http://www.ncbi.nlm.nih.gov/protein/158186670","Srrt")</f>
        <v>Srrt</v>
      </c>
      <c r="D7134" s="8"/>
      <c r="E7134" s="8">
        <v>99699</v>
      </c>
      <c r="F7134" s="8"/>
      <c r="G7134" s="15">
        <v>1.5345287113624184</v>
      </c>
      <c r="H7134" s="15">
        <v>1.5345287113624184</v>
      </c>
      <c r="I7134" s="15">
        <v>59.931000000000004</v>
      </c>
      <c r="J7134" s="15">
        <v>59.931000000000004</v>
      </c>
      <c r="K7134" s="15">
        <v>1.5345287113624184</v>
      </c>
      <c r="L7134" s="15">
        <v>1.5345287113624184</v>
      </c>
      <c r="M7134" s="15">
        <v>0.48289975584415251</v>
      </c>
      <c r="N7134" s="15">
        <v>0.48289975584415251</v>
      </c>
      <c r="O7134" s="15">
        <v>1.2872162814511696</v>
      </c>
      <c r="P7134" s="15">
        <v>1.2872162814511696</v>
      </c>
      <c r="Q7134" s="8"/>
      <c r="R7134" s="9" t="s">
        <v>6638</v>
      </c>
    </row>
    <row r="7135" spans="1:18" x14ac:dyDescent="0.25">
      <c r="A7135" s="6" t="str">
        <f>HYPERLINK("proteomic_fractions_linear_files/Yang_linear_img/158186674.jpg", "158186674")</f>
        <v>158186674</v>
      </c>
      <c r="B7135" s="7"/>
      <c r="C7135" s="6" t="str">
        <f>HYPERLINK("http://www.ncbi.nlm.nih.gov/protein/158186674","Srrt")</f>
        <v>Srrt</v>
      </c>
      <c r="D7135" s="8"/>
      <c r="E7135" s="8">
        <v>99308</v>
      </c>
      <c r="F7135" s="8"/>
      <c r="G7135" s="15">
        <v>1.5500290013761802</v>
      </c>
      <c r="H7135" s="15">
        <v>1.5500290013761802</v>
      </c>
      <c r="I7135" s="15">
        <v>60.536363636363639</v>
      </c>
      <c r="J7135" s="15">
        <v>60.536363636363639</v>
      </c>
      <c r="K7135" s="15">
        <v>1.5500290013761802</v>
      </c>
      <c r="L7135" s="15">
        <v>1.5500290013761802</v>
      </c>
      <c r="M7135" s="15">
        <v>0.4877775311557096</v>
      </c>
      <c r="N7135" s="15">
        <v>0.4877775311557096</v>
      </c>
      <c r="O7135" s="15">
        <v>1.3002184661122926</v>
      </c>
      <c r="P7135" s="15">
        <v>1.3002184661122926</v>
      </c>
      <c r="Q7135" s="8"/>
      <c r="R7135" s="9" t="s">
        <v>6639</v>
      </c>
    </row>
    <row r="7136" spans="1:18" x14ac:dyDescent="0.25">
      <c r="A7136" s="6" t="str">
        <f>HYPERLINK("proteomic_fractions_linear_files/Yang_linear_img/118582271.jpg", "118582271")</f>
        <v>118582271</v>
      </c>
      <c r="B7136" s="7"/>
      <c r="C7136" s="6" t="str">
        <f>HYPERLINK("http://www.ncbi.nlm.nih.gov/protein/118582271","Srsf1")</f>
        <v>Srsf1</v>
      </c>
      <c r="D7136" s="8"/>
      <c r="E7136" s="8">
        <v>22189</v>
      </c>
      <c r="F7136" s="8"/>
      <c r="G7136" s="15">
        <v>2.0057086021347938</v>
      </c>
      <c r="H7136" s="15">
        <v>2.0057086021347938</v>
      </c>
      <c r="I7136" s="15">
        <v>272.41363636363639</v>
      </c>
      <c r="J7136" s="15">
        <v>272.41363636363639</v>
      </c>
      <c r="K7136" s="15">
        <v>1.4583669479878905</v>
      </c>
      <c r="L7136" s="15">
        <v>1.4583669479878905</v>
      </c>
      <c r="M7136" s="15">
        <v>0.8406954165710947</v>
      </c>
      <c r="N7136" s="15">
        <v>0.8406954165710947</v>
      </c>
      <c r="O7136" s="15">
        <v>1.3584275859869606</v>
      </c>
      <c r="P7136" s="15">
        <v>1.3584275859869606</v>
      </c>
      <c r="Q7136" s="8"/>
      <c r="R7136" s="9" t="s">
        <v>6640</v>
      </c>
    </row>
    <row r="7137" spans="1:18" x14ac:dyDescent="0.25">
      <c r="A7137" s="6" t="str">
        <f>HYPERLINK("proteomic_fractions_linear_files/Yang_linear_img/34328400.jpg", "34328400")</f>
        <v>34328400</v>
      </c>
      <c r="B7137" s="7"/>
      <c r="C7137" s="6" t="str">
        <f>HYPERLINK("http://www.ncbi.nlm.nih.gov/protein/34328400","Srsf1")</f>
        <v>Srsf1</v>
      </c>
      <c r="D7137" s="8"/>
      <c r="E7137" s="8">
        <v>27614</v>
      </c>
      <c r="F7137" s="8"/>
      <c r="G7137" s="15">
        <v>1.5759139016773382</v>
      </c>
      <c r="H7137" s="15">
        <v>1.5759139016773382</v>
      </c>
      <c r="I7137" s="15">
        <v>214.03928571428574</v>
      </c>
      <c r="J7137" s="15">
        <v>214.03928571428574</v>
      </c>
      <c r="K7137" s="15">
        <v>1.1458597448476282</v>
      </c>
      <c r="L7137" s="15">
        <v>1.1458597448476282</v>
      </c>
      <c r="M7137" s="15">
        <v>0.66054639873443155</v>
      </c>
      <c r="N7137" s="15">
        <v>0.66054639873443155</v>
      </c>
      <c r="O7137" s="15">
        <v>1.0673359604183261</v>
      </c>
      <c r="P7137" s="15">
        <v>1.0673359604183261</v>
      </c>
      <c r="Q7137" s="8"/>
      <c r="R7137" s="9" t="s">
        <v>6641</v>
      </c>
    </row>
    <row r="7138" spans="1:18" x14ac:dyDescent="0.25">
      <c r="A7138" s="6" t="str">
        <f>HYPERLINK("proteomic_fractions_linear_files/Yang_linear_img/545746418.jpg", "545746418")</f>
        <v>545746418</v>
      </c>
      <c r="B7138" s="7"/>
      <c r="C7138" s="6" t="str">
        <f>HYPERLINK("http://www.ncbi.nlm.nih.gov/protein/545746418","Srsf10")</f>
        <v>Srsf10</v>
      </c>
      <c r="D7138" s="8"/>
      <c r="E7138" s="8">
        <v>31082</v>
      </c>
      <c r="F7138" s="8"/>
      <c r="G7138" s="15">
        <v>0.96404538360364944</v>
      </c>
      <c r="H7138" s="15">
        <v>0.96404538360364944</v>
      </c>
      <c r="I7138" s="15" t="s">
        <v>10</v>
      </c>
      <c r="J7138" s="15" t="s">
        <v>10</v>
      </c>
      <c r="K7138" s="15" t="s">
        <v>10</v>
      </c>
      <c r="L7138" s="15" t="s">
        <v>10</v>
      </c>
      <c r="M7138" s="15" t="s">
        <v>10</v>
      </c>
      <c r="N7138" s="15" t="s">
        <v>10</v>
      </c>
      <c r="O7138" s="15" t="s">
        <v>10</v>
      </c>
      <c r="P7138" s="15" t="s">
        <v>10</v>
      </c>
      <c r="Q7138" s="8"/>
      <c r="R7138" s="9" t="s">
        <v>6642</v>
      </c>
    </row>
    <row r="7139" spans="1:18" x14ac:dyDescent="0.25">
      <c r="A7139" s="6" t="str">
        <f>HYPERLINK("proteomic_fractions_linear_files/Yang_linear_img/545746420.jpg", "545746420")</f>
        <v>545746420</v>
      </c>
      <c r="B7139" s="7"/>
      <c r="C7139" s="6" t="str">
        <f>HYPERLINK("http://www.ncbi.nlm.nih.gov/protein/545746420","Srsf10")</f>
        <v>Srsf10</v>
      </c>
      <c r="D7139" s="8"/>
      <c r="E7139" s="8">
        <v>22004</v>
      </c>
      <c r="F7139" s="8"/>
      <c r="G7139" s="15">
        <v>1.3584275859869606</v>
      </c>
      <c r="H7139" s="15">
        <v>1.3584275859869606</v>
      </c>
      <c r="I7139" s="15" t="s">
        <v>10</v>
      </c>
      <c r="J7139" s="15" t="s">
        <v>10</v>
      </c>
      <c r="K7139" s="15" t="s">
        <v>10</v>
      </c>
      <c r="L7139" s="15" t="s">
        <v>10</v>
      </c>
      <c r="M7139" s="15" t="s">
        <v>10</v>
      </c>
      <c r="N7139" s="15" t="s">
        <v>10</v>
      </c>
      <c r="O7139" s="15" t="s">
        <v>10</v>
      </c>
      <c r="P7139" s="15" t="s">
        <v>10</v>
      </c>
      <c r="Q7139" s="8"/>
      <c r="R7139" s="9" t="s">
        <v>6643</v>
      </c>
    </row>
    <row r="7140" spans="1:18" x14ac:dyDescent="0.25">
      <c r="A7140" s="6" t="str">
        <f>HYPERLINK("proteomic_fractions_linear_files/Yang_linear_img/122937372.jpg", "122937372")</f>
        <v>122937372</v>
      </c>
      <c r="B7140" s="7"/>
      <c r="C7140" s="6" t="str">
        <f>HYPERLINK("http://www.ncbi.nlm.nih.gov/protein/122937372","Srsf10")</f>
        <v>Srsf10</v>
      </c>
      <c r="D7140" s="8"/>
      <c r="E7140" s="8">
        <v>31169</v>
      </c>
      <c r="F7140" s="8"/>
      <c r="G7140" s="15">
        <v>0.96404538360364944</v>
      </c>
      <c r="H7140" s="15">
        <v>0.96404538360364944</v>
      </c>
      <c r="I7140" s="15">
        <v>193.32580645161292</v>
      </c>
      <c r="J7140" s="15">
        <v>193.32580645161292</v>
      </c>
      <c r="K7140" s="15">
        <v>193.32580645161292</v>
      </c>
      <c r="L7140" s="15">
        <v>193.32580645161292</v>
      </c>
      <c r="M7140" s="15" t="s">
        <v>10</v>
      </c>
      <c r="N7140" s="15" t="s">
        <v>10</v>
      </c>
      <c r="O7140" s="15" t="s">
        <v>10</v>
      </c>
      <c r="P7140" s="15" t="s">
        <v>10</v>
      </c>
      <c r="Q7140" s="8"/>
      <c r="R7140" s="9" t="s">
        <v>6644</v>
      </c>
    </row>
    <row r="7141" spans="1:18" x14ac:dyDescent="0.25">
      <c r="A7141" s="6" t="str">
        <f>HYPERLINK("proteomic_fractions_linear_files/Yang_linear_img/6753820.jpg", "6753820")</f>
        <v>6753820</v>
      </c>
      <c r="B7141" s="7"/>
      <c r="C7141" s="6" t="str">
        <f>HYPERLINK("http://www.ncbi.nlm.nih.gov/protein/6753820","Srsf10")</f>
        <v>Srsf10</v>
      </c>
      <c r="D7141" s="8"/>
      <c r="E7141" s="8">
        <v>22091</v>
      </c>
      <c r="F7141" s="8"/>
      <c r="G7141" s="15">
        <v>1.3584275859869606</v>
      </c>
      <c r="H7141" s="15">
        <v>1.3584275859869606</v>
      </c>
      <c r="I7141" s="15">
        <v>272.41363636363639</v>
      </c>
      <c r="J7141" s="15">
        <v>272.41363636363639</v>
      </c>
      <c r="K7141" s="15">
        <v>272.41363636363639</v>
      </c>
      <c r="L7141" s="15">
        <v>272.41363636363639</v>
      </c>
      <c r="M7141" s="15" t="s">
        <v>10</v>
      </c>
      <c r="N7141" s="15" t="s">
        <v>10</v>
      </c>
      <c r="O7141" s="15" t="s">
        <v>10</v>
      </c>
      <c r="P7141" s="15" t="s">
        <v>10</v>
      </c>
      <c r="Q7141" s="8"/>
      <c r="R7141" s="9" t="s">
        <v>6645</v>
      </c>
    </row>
    <row r="7142" spans="1:18" x14ac:dyDescent="0.25">
      <c r="A7142" s="6" t="str">
        <f>HYPERLINK("proteomic_fractions_linear_files/Yang_linear_img/33469007.jpg", "33469007")</f>
        <v>33469007</v>
      </c>
      <c r="B7142" s="7"/>
      <c r="C7142" s="6" t="str">
        <f>HYPERLINK("http://www.ncbi.nlm.nih.gov/protein/33469007","Srsf11")</f>
        <v>Srsf11</v>
      </c>
      <c r="D7142" s="8"/>
      <c r="E7142" s="8">
        <v>48382</v>
      </c>
      <c r="F7142" s="8"/>
      <c r="G7142" s="15" t="s">
        <v>10</v>
      </c>
      <c r="H7142" s="15" t="s">
        <v>10</v>
      </c>
      <c r="I7142" s="15">
        <v>124.85625</v>
      </c>
      <c r="J7142" s="15">
        <v>124.85625</v>
      </c>
      <c r="K7142" s="15">
        <v>124.85625</v>
      </c>
      <c r="L7142" s="15">
        <v>124.85625</v>
      </c>
      <c r="M7142" s="15" t="s">
        <v>10</v>
      </c>
      <c r="N7142" s="15" t="s">
        <v>10</v>
      </c>
      <c r="O7142" s="15" t="s">
        <v>10</v>
      </c>
      <c r="P7142" s="15" t="s">
        <v>10</v>
      </c>
      <c r="Q7142" s="8"/>
      <c r="R7142" s="9" t="s">
        <v>6646</v>
      </c>
    </row>
    <row r="7143" spans="1:18" x14ac:dyDescent="0.25">
      <c r="A7143" s="6" t="str">
        <f>HYPERLINK("proteomic_fractions_linear_files/Yang_linear_img/147898671.jpg", "147898671")</f>
        <v>147898671</v>
      </c>
      <c r="B7143" s="7"/>
      <c r="C7143" s="6" t="str">
        <f>HYPERLINK("http://www.ncbi.nlm.nih.gov/protein/147898671","Srsf11")</f>
        <v>Srsf11</v>
      </c>
      <c r="D7143" s="8"/>
      <c r="E7143" s="8">
        <v>52972</v>
      </c>
      <c r="F7143" s="8"/>
      <c r="G7143" s="15">
        <v>1.7918487015581983</v>
      </c>
      <c r="H7143" s="15">
        <v>1.7918487015581983</v>
      </c>
      <c r="I7143" s="15">
        <v>113.07735849056604</v>
      </c>
      <c r="J7143" s="15">
        <v>113.07735849056604</v>
      </c>
      <c r="K7143" s="15">
        <v>113.07735849056604</v>
      </c>
      <c r="L7143" s="15">
        <v>113.07735849056604</v>
      </c>
      <c r="M7143" s="15">
        <v>113.07735849056604</v>
      </c>
      <c r="N7143" s="15">
        <v>113.07735849056604</v>
      </c>
      <c r="O7143" s="15" t="s">
        <v>10</v>
      </c>
      <c r="P7143" s="15" t="s">
        <v>10</v>
      </c>
      <c r="Q7143" s="8"/>
      <c r="R7143" s="9" t="s">
        <v>6647</v>
      </c>
    </row>
    <row r="7144" spans="1:18" x14ac:dyDescent="0.25">
      <c r="A7144" s="6" t="str">
        <f>HYPERLINK("proteomic_fractions_linear_files/Yang_linear_img/148222073.jpg", "148222073")</f>
        <v>148222073</v>
      </c>
      <c r="B7144" s="7"/>
      <c r="C7144" s="6" t="str">
        <f>HYPERLINK("http://www.ncbi.nlm.nih.gov/protein/148222073","Srsf11")</f>
        <v>Srsf11</v>
      </c>
      <c r="D7144" s="8"/>
      <c r="E7144" s="8">
        <v>56567</v>
      </c>
      <c r="F7144" s="8"/>
      <c r="G7144" s="15">
        <v>1.6661049330277984</v>
      </c>
      <c r="H7144" s="15">
        <v>1.6661049330277984</v>
      </c>
      <c r="I7144" s="15">
        <v>105.1421052631579</v>
      </c>
      <c r="J7144" s="15">
        <v>105.1421052631579</v>
      </c>
      <c r="K7144" s="15">
        <v>105.1421052631579</v>
      </c>
      <c r="L7144" s="15">
        <v>105.1421052631579</v>
      </c>
      <c r="M7144" s="15">
        <v>105.1421052631579</v>
      </c>
      <c r="N7144" s="15">
        <v>105.1421052631579</v>
      </c>
      <c r="O7144" s="15" t="s">
        <v>10</v>
      </c>
      <c r="P7144" s="15" t="s">
        <v>10</v>
      </c>
      <c r="Q7144" s="8"/>
      <c r="R7144" s="9" t="s">
        <v>6648</v>
      </c>
    </row>
    <row r="7145" spans="1:18" x14ac:dyDescent="0.25">
      <c r="A7145" s="6" t="str">
        <f>HYPERLINK("proteomic_fractions_linear_files/Yang_linear_img/6755478.jpg", "6755478")</f>
        <v>6755478</v>
      </c>
      <c r="B7145" s="7"/>
      <c r="C7145" s="6" t="str">
        <f>HYPERLINK("http://www.ncbi.nlm.nih.gov/protein/6755478","Srsf2")</f>
        <v>Srsf2</v>
      </c>
      <c r="D7145" s="8"/>
      <c r="E7145" s="8">
        <v>25345</v>
      </c>
      <c r="F7145" s="8"/>
      <c r="G7145" s="15">
        <v>1.6202927281289099</v>
      </c>
      <c r="H7145" s="15">
        <v>1.6202927281289099</v>
      </c>
      <c r="I7145" s="15">
        <v>239.72400000000002</v>
      </c>
      <c r="J7145" s="15">
        <v>239.72400000000002</v>
      </c>
      <c r="K7145" s="15">
        <v>1.2833629142293435</v>
      </c>
      <c r="L7145" s="15">
        <v>1.2833629142293435</v>
      </c>
      <c r="M7145" s="15">
        <v>239.72400000000002</v>
      </c>
      <c r="N7145" s="15">
        <v>239.72400000000002</v>
      </c>
      <c r="O7145" s="15">
        <v>1.1167284519072824</v>
      </c>
      <c r="P7145" s="15">
        <v>1.1167284519072824</v>
      </c>
      <c r="Q7145" s="8"/>
      <c r="R7145" s="9" t="s">
        <v>6649</v>
      </c>
    </row>
    <row r="7146" spans="1:18" x14ac:dyDescent="0.25">
      <c r="A7146" s="6" t="str">
        <f>HYPERLINK("proteomic_fractions_linear_files/Yang_linear_img/8567402.jpg", "8567402")</f>
        <v>8567402</v>
      </c>
      <c r="B7146" s="7"/>
      <c r="C7146" s="6" t="str">
        <f>HYPERLINK("http://www.ncbi.nlm.nih.gov/protein/8567402","Srsf3")</f>
        <v>Srsf3</v>
      </c>
      <c r="D7146" s="8"/>
      <c r="E7146" s="8">
        <v>19198</v>
      </c>
      <c r="F7146" s="8"/>
      <c r="G7146" s="15">
        <v>1.4693795419832663</v>
      </c>
      <c r="H7146" s="15">
        <v>1.4693795419832663</v>
      </c>
      <c r="I7146" s="15">
        <v>315.42631578947368</v>
      </c>
      <c r="J7146" s="15">
        <v>315.42631578947368</v>
      </c>
      <c r="K7146" s="15">
        <v>1.1471443300357238</v>
      </c>
      <c r="L7146" s="15">
        <v>1.1471443300357238</v>
      </c>
      <c r="M7146" s="15">
        <v>1.0263763067386986</v>
      </c>
      <c r="N7146" s="15">
        <v>1.0263763067386986</v>
      </c>
      <c r="O7146" s="15">
        <v>1.0840758519292775</v>
      </c>
      <c r="P7146" s="15">
        <v>1.0840758519292775</v>
      </c>
      <c r="Q7146" s="8"/>
      <c r="R7146" s="9" t="s">
        <v>6650</v>
      </c>
    </row>
    <row r="7147" spans="1:18" x14ac:dyDescent="0.25">
      <c r="A7147" s="6" t="str">
        <f>HYPERLINK("proteomic_fractions_linear_files/Yang_linear_img/165377173.jpg", "165377173")</f>
        <v>165377173</v>
      </c>
      <c r="B7147" s="7"/>
      <c r="C7147" s="6" t="str">
        <f>HYPERLINK("http://www.ncbi.nlm.nih.gov/protein/165377173","Srsf4")</f>
        <v>Srsf4</v>
      </c>
      <c r="D7147" s="8"/>
      <c r="E7147" s="8">
        <v>56118</v>
      </c>
      <c r="F7147" s="8"/>
      <c r="G7147" s="15">
        <v>0.86232099257884376</v>
      </c>
      <c r="H7147" s="15">
        <v>0.86232099257884376</v>
      </c>
      <c r="I7147" s="15">
        <v>107.01964285714287</v>
      </c>
      <c r="J7147" s="15">
        <v>107.01964285714287</v>
      </c>
      <c r="K7147" s="15">
        <v>107.01964285714287</v>
      </c>
      <c r="L7147" s="15">
        <v>107.01964285714287</v>
      </c>
      <c r="M7147" s="15">
        <v>107.01964285714287</v>
      </c>
      <c r="N7147" s="15">
        <v>107.01964285714287</v>
      </c>
      <c r="O7147" s="15" t="s">
        <v>10</v>
      </c>
      <c r="P7147" s="15" t="s">
        <v>10</v>
      </c>
      <c r="Q7147" s="8"/>
      <c r="R7147" s="9" t="s">
        <v>6651</v>
      </c>
    </row>
    <row r="7148" spans="1:18" x14ac:dyDescent="0.25">
      <c r="A7148" s="6" t="str">
        <f>HYPERLINK("proteomic_fractions_linear_files/Yang_linear_img/119226245.jpg", "119226245")</f>
        <v>119226245</v>
      </c>
      <c r="B7148" s="7"/>
      <c r="C7148" s="6" t="str">
        <f>HYPERLINK("http://www.ncbi.nlm.nih.gov/protein/119226245","Srsf5")</f>
        <v>Srsf5</v>
      </c>
      <c r="D7148" s="8"/>
      <c r="E7148" s="8">
        <v>30760</v>
      </c>
      <c r="F7148" s="8"/>
      <c r="G7148" s="15">
        <v>1.557741147884363</v>
      </c>
      <c r="H7148" s="15">
        <v>1.557741147884363</v>
      </c>
      <c r="I7148" s="15">
        <v>193.32580645161292</v>
      </c>
      <c r="J7148" s="15">
        <v>193.32580645161292</v>
      </c>
      <c r="K7148" s="15">
        <v>1.3066876839749273</v>
      </c>
      <c r="L7148" s="15">
        <v>1.3066876839749273</v>
      </c>
      <c r="M7148" s="15">
        <v>193.32580645161292</v>
      </c>
      <c r="N7148" s="15">
        <v>193.32580645161292</v>
      </c>
      <c r="O7148" s="15">
        <v>1.1146250493701673</v>
      </c>
      <c r="P7148" s="15">
        <v>1.1146250493701673</v>
      </c>
      <c r="Q7148" s="8"/>
      <c r="R7148" s="9" t="s">
        <v>6652</v>
      </c>
    </row>
    <row r="7149" spans="1:18" x14ac:dyDescent="0.25">
      <c r="A7149" s="6" t="str">
        <f>HYPERLINK("proteomic_fractions_linear_files/Yang_linear_img/224967104.jpg", "224967104")</f>
        <v>224967104</v>
      </c>
      <c r="B7149" s="7"/>
      <c r="C7149" s="6" t="str">
        <f>HYPERLINK("http://www.ncbi.nlm.nih.gov/protein/224967104","Srsf6")</f>
        <v>Srsf6</v>
      </c>
      <c r="D7149" s="8"/>
      <c r="E7149" s="8">
        <v>38894</v>
      </c>
      <c r="F7149" s="8"/>
      <c r="G7149" s="15">
        <v>1.2382045021644936</v>
      </c>
      <c r="H7149" s="15">
        <v>1.2382045021644936</v>
      </c>
      <c r="I7149" s="15">
        <v>153.66923076923078</v>
      </c>
      <c r="J7149" s="15">
        <v>153.66923076923078</v>
      </c>
      <c r="K7149" s="15">
        <v>153.66923076923078</v>
      </c>
      <c r="L7149" s="15">
        <v>153.66923076923078</v>
      </c>
      <c r="M7149" s="15">
        <v>153.66923076923078</v>
      </c>
      <c r="N7149" s="15">
        <v>153.66923076923078</v>
      </c>
      <c r="O7149" s="15">
        <v>153.66923076923078</v>
      </c>
      <c r="P7149" s="15">
        <v>153.66923076923078</v>
      </c>
      <c r="Q7149" s="8"/>
      <c r="R7149" s="9" t="s">
        <v>6653</v>
      </c>
    </row>
    <row r="7150" spans="1:18" x14ac:dyDescent="0.25">
      <c r="A7150" s="6" t="str">
        <f>HYPERLINK("proteomic_fractions_linear_files/Yang_linear_img/22122585.jpg", "22122585")</f>
        <v>22122585</v>
      </c>
      <c r="B7150" s="7"/>
      <c r="C7150" s="6" t="str">
        <f>HYPERLINK("http://www.ncbi.nlm.nih.gov/protein/22122585","Srsf7")</f>
        <v>Srsf7</v>
      </c>
      <c r="D7150" s="8"/>
      <c r="E7150" s="8">
        <v>27246</v>
      </c>
      <c r="F7150" s="8"/>
      <c r="G7150" s="15">
        <v>1.6342810832209433</v>
      </c>
      <c r="H7150" s="15">
        <v>1.6342810832209433</v>
      </c>
      <c r="I7150" s="15">
        <v>221.96666666666667</v>
      </c>
      <c r="J7150" s="15">
        <v>221.96666666666667</v>
      </c>
      <c r="K7150" s="15">
        <v>221.96666666666667</v>
      </c>
      <c r="L7150" s="15">
        <v>221.96666666666667</v>
      </c>
      <c r="M7150" s="15">
        <v>1.1068669219153011</v>
      </c>
      <c r="N7150" s="15">
        <v>1.1068669219153011</v>
      </c>
      <c r="O7150" s="15">
        <v>1.0340078258400762</v>
      </c>
      <c r="P7150" s="15">
        <v>1.0340078258400762</v>
      </c>
      <c r="Q7150" s="8"/>
      <c r="R7150" s="9" t="s">
        <v>6654</v>
      </c>
    </row>
    <row r="7151" spans="1:18" x14ac:dyDescent="0.25">
      <c r="A7151" s="6" t="str">
        <f>HYPERLINK("proteomic_fractions_linear_files/Yang_linear_img/306774098.jpg", "306774098")</f>
        <v>306774098</v>
      </c>
      <c r="B7151" s="7"/>
      <c r="C7151" s="6" t="str">
        <f>HYPERLINK("http://www.ncbi.nlm.nih.gov/protein/306774098","Srsf7")</f>
        <v>Srsf7</v>
      </c>
      <c r="D7151" s="8"/>
      <c r="E7151" s="8">
        <v>26808</v>
      </c>
      <c r="F7151" s="8"/>
      <c r="G7151" s="15">
        <v>1.6342810832209433</v>
      </c>
      <c r="H7151" s="15">
        <v>1.6342810832209433</v>
      </c>
      <c r="I7151" s="15">
        <v>221.96666666666667</v>
      </c>
      <c r="J7151" s="15">
        <v>221.96666666666667</v>
      </c>
      <c r="K7151" s="15">
        <v>221.96666666666667</v>
      </c>
      <c r="L7151" s="15">
        <v>221.96666666666667</v>
      </c>
      <c r="M7151" s="15">
        <v>1.1068669219153011</v>
      </c>
      <c r="N7151" s="15">
        <v>1.1068669219153011</v>
      </c>
      <c r="O7151" s="15">
        <v>1.0340078258400762</v>
      </c>
      <c r="P7151" s="15">
        <v>1.0340078258400762</v>
      </c>
      <c r="Q7151" s="8"/>
      <c r="R7151" s="9" t="s">
        <v>6655</v>
      </c>
    </row>
    <row r="7152" spans="1:18" x14ac:dyDescent="0.25">
      <c r="A7152" s="6" t="str">
        <f>HYPERLINK("proteomic_fractions_linear_files/Yang_linear_img/306774101.jpg", "306774101")</f>
        <v>306774101</v>
      </c>
      <c r="B7152" s="7"/>
      <c r="C7152" s="6" t="str">
        <f>HYPERLINK("http://www.ncbi.nlm.nih.gov/protein/306774101","Srsf7")</f>
        <v>Srsf7</v>
      </c>
      <c r="D7152" s="8"/>
      <c r="E7152" s="8">
        <v>26050</v>
      </c>
      <c r="F7152" s="8"/>
      <c r="G7152" s="15">
        <v>1.6971380479602103</v>
      </c>
      <c r="H7152" s="15">
        <v>1.6971380479602103</v>
      </c>
      <c r="I7152" s="15">
        <v>230.50384615384615</v>
      </c>
      <c r="J7152" s="15">
        <v>230.50384615384615</v>
      </c>
      <c r="K7152" s="15">
        <v>230.50384615384615</v>
      </c>
      <c r="L7152" s="15">
        <v>230.50384615384615</v>
      </c>
      <c r="M7152" s="15">
        <v>1.1494387266043513</v>
      </c>
      <c r="N7152" s="15">
        <v>1.1494387266043513</v>
      </c>
      <c r="O7152" s="15">
        <v>1.0737773576031562</v>
      </c>
      <c r="P7152" s="15">
        <v>1.0737773576031562</v>
      </c>
      <c r="Q7152" s="8"/>
      <c r="R7152" s="9" t="s">
        <v>6656</v>
      </c>
    </row>
    <row r="7153" spans="1:18" x14ac:dyDescent="0.25">
      <c r="A7153" s="6" t="str">
        <f>HYPERLINK("proteomic_fractions_linear_files/Yang_linear_img/306774103.jpg", "306774103")</f>
        <v>306774103</v>
      </c>
      <c r="B7153" s="7"/>
      <c r="C7153" s="6" t="str">
        <f>HYPERLINK("http://www.ncbi.nlm.nih.gov/protein/306774103","Srsf7")</f>
        <v>Srsf7</v>
      </c>
      <c r="D7153" s="8"/>
      <c r="E7153" s="8">
        <v>25453</v>
      </c>
      <c r="F7153" s="8"/>
      <c r="G7153" s="15">
        <v>1.7650235698786187</v>
      </c>
      <c r="H7153" s="15">
        <v>1.7650235698786187</v>
      </c>
      <c r="I7153" s="15">
        <v>239.72400000000002</v>
      </c>
      <c r="J7153" s="15">
        <v>239.72400000000002</v>
      </c>
      <c r="K7153" s="15">
        <v>239.72400000000002</v>
      </c>
      <c r="L7153" s="15">
        <v>239.72400000000002</v>
      </c>
      <c r="M7153" s="15">
        <v>1.1954162756685252</v>
      </c>
      <c r="N7153" s="15">
        <v>1.1954162756685252</v>
      </c>
      <c r="O7153" s="15">
        <v>1.1167284519072824</v>
      </c>
      <c r="P7153" s="15">
        <v>1.1167284519072824</v>
      </c>
      <c r="Q7153" s="8"/>
      <c r="R7153" s="9" t="s">
        <v>6657</v>
      </c>
    </row>
    <row r="7154" spans="1:18" x14ac:dyDescent="0.25">
      <c r="A7154" s="6" t="str">
        <f>HYPERLINK("proteomic_fractions_linear_files/Yang_linear_img/13385016.jpg", "13385016")</f>
        <v>13385016</v>
      </c>
      <c r="B7154" s="7"/>
      <c r="C7154" s="6" t="str">
        <f>HYPERLINK("http://www.ncbi.nlm.nih.gov/protein/13385016","Srsf9")</f>
        <v>Srsf9</v>
      </c>
      <c r="D7154" s="8"/>
      <c r="E7154" s="8">
        <v>25530</v>
      </c>
      <c r="F7154" s="8"/>
      <c r="G7154" s="15">
        <v>1.3289760204028918</v>
      </c>
      <c r="H7154" s="15">
        <v>1.3289760204028918</v>
      </c>
      <c r="I7154" s="15" t="s">
        <v>10</v>
      </c>
      <c r="J7154" s="15" t="s">
        <v>10</v>
      </c>
      <c r="K7154" s="15">
        <v>0.94441617743372752</v>
      </c>
      <c r="L7154" s="15">
        <v>0.94441617743372752</v>
      </c>
      <c r="M7154" s="15" t="s">
        <v>10</v>
      </c>
      <c r="N7154" s="15" t="s">
        <v>10</v>
      </c>
      <c r="O7154" s="15" t="s">
        <v>10</v>
      </c>
      <c r="P7154" s="15" t="s">
        <v>10</v>
      </c>
      <c r="Q7154" s="8"/>
      <c r="R7154" s="9" t="s">
        <v>6658</v>
      </c>
    </row>
    <row r="7155" spans="1:18" x14ac:dyDescent="0.25">
      <c r="A7155" s="6" t="str">
        <f>HYPERLINK("proteomic_fractions_linear_files/Yang_linear_img/402747081.jpg", "402747081")</f>
        <v>402747081</v>
      </c>
      <c r="B7155" s="7"/>
      <c r="C7155" s="6" t="str">
        <f>HYPERLINK("http://www.ncbi.nlm.nih.gov/protein/402747081","Srxn1")</f>
        <v>Srxn1</v>
      </c>
      <c r="D7155" s="8"/>
      <c r="E7155" s="8">
        <v>15932</v>
      </c>
      <c r="F7155" s="8"/>
      <c r="G7155" s="15" t="s">
        <v>10</v>
      </c>
      <c r="H7155" s="15" t="s">
        <v>10</v>
      </c>
      <c r="I7155" s="15">
        <v>0.86786565624604062</v>
      </c>
      <c r="J7155" s="15">
        <v>0.86786565624604062</v>
      </c>
      <c r="K7155" s="15">
        <v>0.90734210761689671</v>
      </c>
      <c r="L7155" s="15">
        <v>0.90734210761689671</v>
      </c>
      <c r="M7155" s="15">
        <v>0.90734210761689671</v>
      </c>
      <c r="N7155" s="15">
        <v>0.90734210761689671</v>
      </c>
      <c r="O7155" s="15">
        <v>0.83106650143759586</v>
      </c>
      <c r="P7155" s="15">
        <v>0.83106650143759586</v>
      </c>
      <c r="Q7155" s="8"/>
      <c r="R7155" s="9" t="s">
        <v>6659</v>
      </c>
    </row>
    <row r="7156" spans="1:18" x14ac:dyDescent="0.25">
      <c r="A7156" s="6" t="str">
        <f>HYPERLINK("proteomic_fractions_linear_files/Yang_linear_img/260436924.jpg", "260436924")</f>
        <v>260436924</v>
      </c>
      <c r="B7156" s="7"/>
      <c r="C7156" s="6" t="str">
        <f>HYPERLINK("http://www.ncbi.nlm.nih.gov/protein/260436924","Ss18l1")</f>
        <v>Ss18l1</v>
      </c>
      <c r="D7156" s="8"/>
      <c r="E7156" s="8">
        <v>43598</v>
      </c>
      <c r="F7156" s="8"/>
      <c r="G7156" s="15" t="s">
        <v>10</v>
      </c>
      <c r="H7156" s="15" t="s">
        <v>10</v>
      </c>
      <c r="I7156" s="15" t="s">
        <v>10</v>
      </c>
      <c r="J7156" s="15" t="s">
        <v>10</v>
      </c>
      <c r="K7156" s="15" t="s">
        <v>10</v>
      </c>
      <c r="L7156" s="15" t="s">
        <v>10</v>
      </c>
      <c r="M7156" s="15">
        <v>0.31558751136219659</v>
      </c>
      <c r="N7156" s="15">
        <v>0.31558751136219659</v>
      </c>
      <c r="O7156" s="15" t="s">
        <v>10</v>
      </c>
      <c r="P7156" s="15" t="s">
        <v>10</v>
      </c>
      <c r="Q7156" s="8"/>
      <c r="R7156" s="9" t="s">
        <v>6660</v>
      </c>
    </row>
    <row r="7157" spans="1:18" x14ac:dyDescent="0.25">
      <c r="A7157" s="6" t="str">
        <f>HYPERLINK("proteomic_fractions_linear_files/Yang_linear_img/6678143.jpg", "6678143")</f>
        <v>6678143</v>
      </c>
      <c r="B7157" s="7"/>
      <c r="C7157" s="6" t="str">
        <f>HYPERLINK("http://www.ncbi.nlm.nih.gov/protein/6678143","Ssb")</f>
        <v>Ssb</v>
      </c>
      <c r="D7157" s="8"/>
      <c r="E7157" s="8">
        <v>47625</v>
      </c>
      <c r="F7157" s="8"/>
      <c r="G7157" s="15">
        <v>1.2244418246998718</v>
      </c>
      <c r="H7157" s="15">
        <v>1.2244418246998718</v>
      </c>
      <c r="I7157" s="15">
        <v>0.91928310931178059</v>
      </c>
      <c r="J7157" s="15">
        <v>0.91928310931178059</v>
      </c>
      <c r="K7157" s="15">
        <v>1.006041158008651</v>
      </c>
      <c r="L7157" s="15">
        <v>1.006041158008651</v>
      </c>
      <c r="M7157" s="15">
        <v>0.91928310931178059</v>
      </c>
      <c r="N7157" s="15">
        <v>0.91928310931178059</v>
      </c>
      <c r="O7157" s="15">
        <v>0.91928310931178059</v>
      </c>
      <c r="P7157" s="15">
        <v>0.91928310931178059</v>
      </c>
      <c r="Q7157" s="8"/>
      <c r="R7157" s="9" t="s">
        <v>6661</v>
      </c>
    </row>
    <row r="7158" spans="1:18" x14ac:dyDescent="0.25">
      <c r="A7158" s="6" t="str">
        <f>HYPERLINK("proteomic_fractions_linear_files/Yang_linear_img/47058964.jpg", "47058964")</f>
        <v>47058964</v>
      </c>
      <c r="B7158" s="7"/>
      <c r="C7158" s="6" t="str">
        <f>HYPERLINK("http://www.ncbi.nlm.nih.gov/protein/47058964","Ssbp1")</f>
        <v>Ssbp1</v>
      </c>
      <c r="D7158" s="8"/>
      <c r="E7158" s="8">
        <v>15220</v>
      </c>
      <c r="F7158" s="8"/>
      <c r="G7158" s="15">
        <v>1.4530494847119166</v>
      </c>
      <c r="H7158" s="15">
        <v>1.4530494847119166</v>
      </c>
      <c r="I7158" s="15">
        <v>1.0130892195876191</v>
      </c>
      <c r="J7158" s="15">
        <v>1.0130892195876191</v>
      </c>
      <c r="K7158" s="15" t="s">
        <v>10</v>
      </c>
      <c r="L7158" s="15" t="s">
        <v>10</v>
      </c>
      <c r="M7158" s="15" t="s">
        <v>10</v>
      </c>
      <c r="N7158" s="15" t="s">
        <v>10</v>
      </c>
      <c r="O7158" s="15">
        <v>0.96783158145802317</v>
      </c>
      <c r="P7158" s="15">
        <v>0.96783158145802317</v>
      </c>
      <c r="Q7158" s="8"/>
      <c r="R7158" s="9" t="s">
        <v>6662</v>
      </c>
    </row>
    <row r="7159" spans="1:18" x14ac:dyDescent="0.25">
      <c r="A7159" s="6" t="str">
        <f>HYPERLINK("proteomic_fractions_linear_files/Yang_linear_img/47059026.jpg", "47059026")</f>
        <v>47059026</v>
      </c>
      <c r="B7159" s="7"/>
      <c r="C7159" s="6" t="str">
        <f>HYPERLINK("http://www.ncbi.nlm.nih.gov/protein/47059026","Ssbp1")</f>
        <v>Ssbp1</v>
      </c>
      <c r="D7159" s="8"/>
      <c r="E7159" s="8">
        <v>15058</v>
      </c>
      <c r="F7159" s="8"/>
      <c r="G7159" s="15">
        <v>1.4530494847119166</v>
      </c>
      <c r="H7159" s="15">
        <v>1.4530494847119166</v>
      </c>
      <c r="I7159" s="15">
        <v>1.0130892195876191</v>
      </c>
      <c r="J7159" s="15">
        <v>1.0130892195876191</v>
      </c>
      <c r="K7159" s="15" t="s">
        <v>10</v>
      </c>
      <c r="L7159" s="15" t="s">
        <v>10</v>
      </c>
      <c r="M7159" s="15" t="s">
        <v>10</v>
      </c>
      <c r="N7159" s="15" t="s">
        <v>10</v>
      </c>
      <c r="O7159" s="15">
        <v>0.96783158145802317</v>
      </c>
      <c r="P7159" s="15">
        <v>0.96783158145802317</v>
      </c>
      <c r="Q7159" s="8"/>
      <c r="R7159" s="9" t="s">
        <v>6663</v>
      </c>
    </row>
    <row r="7160" spans="1:18" x14ac:dyDescent="0.25">
      <c r="A7160" s="6" t="str">
        <f>HYPERLINK("proteomic_fractions_linear_files/Yang_linear_img/37674269.jpg", "37674269")</f>
        <v>37674269</v>
      </c>
      <c r="B7160" s="7"/>
      <c r="C7160" s="6" t="str">
        <f>HYPERLINK("http://www.ncbi.nlm.nih.gov/protein/37674269","Ssh3")</f>
        <v>Ssh3</v>
      </c>
      <c r="D7160" s="8"/>
      <c r="E7160" s="8">
        <v>72097</v>
      </c>
      <c r="F7160" s="8"/>
      <c r="G7160" s="15" t="s">
        <v>10</v>
      </c>
      <c r="H7160" s="15" t="s">
        <v>10</v>
      </c>
      <c r="I7160" s="15" t="s">
        <v>10</v>
      </c>
      <c r="J7160" s="15" t="s">
        <v>10</v>
      </c>
      <c r="K7160" s="15" t="s">
        <v>10</v>
      </c>
      <c r="L7160" s="15" t="s">
        <v>10</v>
      </c>
      <c r="M7160" s="15" t="s">
        <v>10</v>
      </c>
      <c r="N7160" s="15" t="s">
        <v>10</v>
      </c>
      <c r="O7160" s="15">
        <v>1.1541480343492203</v>
      </c>
      <c r="P7160" s="15">
        <v>1.1541480343492203</v>
      </c>
      <c r="Q7160" s="8"/>
      <c r="R7160" s="9" t="s">
        <v>6664</v>
      </c>
    </row>
    <row r="7161" spans="1:18" x14ac:dyDescent="0.25">
      <c r="A7161" s="6" t="str">
        <f>HYPERLINK("proteomic_fractions_linear_files/Yang_linear_img/12963687.jpg", "12963687")</f>
        <v>12963687</v>
      </c>
      <c r="B7161" s="7"/>
      <c r="C7161" s="6" t="str">
        <f>HYPERLINK("http://www.ncbi.nlm.nih.gov/protein/12963687","Ssna1")</f>
        <v>Ssna1</v>
      </c>
      <c r="D7161" s="8"/>
      <c r="E7161" s="8">
        <v>13426</v>
      </c>
      <c r="F7161" s="8"/>
      <c r="G7161" s="15" t="s">
        <v>10</v>
      </c>
      <c r="H7161" s="15" t="s">
        <v>10</v>
      </c>
      <c r="I7161" s="15" t="s">
        <v>10</v>
      </c>
      <c r="J7161" s="15" t="s">
        <v>10</v>
      </c>
      <c r="K7161" s="15" t="s">
        <v>10</v>
      </c>
      <c r="L7161" s="15" t="s">
        <v>10</v>
      </c>
      <c r="M7161" s="15" t="s">
        <v>10</v>
      </c>
      <c r="N7161" s="15" t="s">
        <v>10</v>
      </c>
      <c r="O7161" s="15">
        <v>1.068142346148973</v>
      </c>
      <c r="P7161" s="15">
        <v>1.068142346148973</v>
      </c>
      <c r="Q7161" s="8"/>
      <c r="R7161" s="9" t="s">
        <v>6665</v>
      </c>
    </row>
    <row r="7162" spans="1:18" x14ac:dyDescent="0.25">
      <c r="A7162" s="6" t="str">
        <f>HYPERLINK("proteomic_fractions_linear_files/Yang_linear_img/165377206.jpg", "165377206")</f>
        <v>165377206</v>
      </c>
      <c r="B7162" s="7"/>
      <c r="C7162" s="6" t="str">
        <f>HYPERLINK("http://www.ncbi.nlm.nih.gov/protein/165377206","Ssr1")</f>
        <v>Ssr1</v>
      </c>
      <c r="D7162" s="8"/>
      <c r="E7162" s="8">
        <v>29689</v>
      </c>
      <c r="F7162" s="8"/>
      <c r="G7162" s="15">
        <v>1.470852974898849</v>
      </c>
      <c r="H7162" s="15">
        <v>1.470852974898849</v>
      </c>
      <c r="I7162" s="15">
        <v>1.0694690951911197</v>
      </c>
      <c r="J7162" s="15">
        <v>1.0694690951911197</v>
      </c>
      <c r="K7162" s="15">
        <v>1.1517792176825061</v>
      </c>
      <c r="L7162" s="15">
        <v>1.1517792176825061</v>
      </c>
      <c r="M7162" s="15" t="s">
        <v>10</v>
      </c>
      <c r="N7162" s="15" t="s">
        <v>10</v>
      </c>
      <c r="O7162" s="15" t="s">
        <v>10</v>
      </c>
      <c r="P7162" s="15" t="s">
        <v>10</v>
      </c>
      <c r="Q7162" s="8"/>
      <c r="R7162" s="9" t="s">
        <v>6666</v>
      </c>
    </row>
    <row r="7163" spans="1:18" x14ac:dyDescent="0.25">
      <c r="A7163" s="6" t="str">
        <f>HYPERLINK("proteomic_fractions_linear_files/Yang_linear_img/21312968.jpg", "21312968")</f>
        <v>21312968</v>
      </c>
      <c r="B7163" s="7"/>
      <c r="C7163" s="6" t="str">
        <f>HYPERLINK("http://www.ncbi.nlm.nih.gov/protein/21312968","Ssr3")</f>
        <v>Ssr3</v>
      </c>
      <c r="D7163" s="8"/>
      <c r="E7163" s="8">
        <v>20933</v>
      </c>
      <c r="F7163" s="8"/>
      <c r="G7163" s="15">
        <v>1.2452503864488096</v>
      </c>
      <c r="H7163" s="15">
        <v>1.2452503864488096</v>
      </c>
      <c r="I7163" s="15">
        <v>0.83666379835042703</v>
      </c>
      <c r="J7163" s="15">
        <v>0.83666379835042703</v>
      </c>
      <c r="K7163" s="15">
        <v>0.88072853164590881</v>
      </c>
      <c r="L7163" s="15">
        <v>0.88072853164590881</v>
      </c>
      <c r="M7163" s="15">
        <v>0.88072853164590881</v>
      </c>
      <c r="N7163" s="15">
        <v>0.88072853164590881</v>
      </c>
      <c r="O7163" s="15" t="s">
        <v>10</v>
      </c>
      <c r="P7163" s="15" t="s">
        <v>10</v>
      </c>
      <c r="Q7163" s="8"/>
      <c r="R7163" s="9" t="s">
        <v>6667</v>
      </c>
    </row>
    <row r="7164" spans="1:18" x14ac:dyDescent="0.25">
      <c r="A7164" s="6" t="str">
        <f>HYPERLINK("proteomic_fractions_linear_files/Yang_linear_img/262050625.jpg", "262050625")</f>
        <v>262050625</v>
      </c>
      <c r="B7164" s="7"/>
      <c r="C7164" s="6" t="str">
        <f>HYPERLINK("http://www.ncbi.nlm.nih.gov/protein/262050625","Ssr4")</f>
        <v>Ssr4</v>
      </c>
      <c r="D7164" s="8"/>
      <c r="E7164" s="8">
        <v>16695</v>
      </c>
      <c r="F7164" s="8"/>
      <c r="G7164" s="15">
        <v>1.3593866691010261</v>
      </c>
      <c r="H7164" s="15">
        <v>1.3593866691010261</v>
      </c>
      <c r="I7164" s="15">
        <v>0.93690834018716329</v>
      </c>
      <c r="J7164" s="15">
        <v>0.93690834018716329</v>
      </c>
      <c r="K7164" s="15">
        <v>1.0335258685505275</v>
      </c>
      <c r="L7164" s="15">
        <v>1.0335258685505275</v>
      </c>
      <c r="M7164" s="15">
        <v>1.0335258685505275</v>
      </c>
      <c r="N7164" s="15">
        <v>1.0335258685505275</v>
      </c>
      <c r="O7164" s="15" t="s">
        <v>10</v>
      </c>
      <c r="P7164" s="15" t="s">
        <v>10</v>
      </c>
      <c r="Q7164" s="8"/>
      <c r="R7164" s="9" t="s">
        <v>6668</v>
      </c>
    </row>
    <row r="7165" spans="1:18" x14ac:dyDescent="0.25">
      <c r="A7165" s="6" t="str">
        <f>HYPERLINK("proteomic_fractions_linear_files/Yang_linear_img/6678145.jpg", "6678145")</f>
        <v>6678145</v>
      </c>
      <c r="B7165" s="7"/>
      <c r="C7165" s="6" t="str">
        <f>HYPERLINK("http://www.ncbi.nlm.nih.gov/protein/6678145","Ssr4")</f>
        <v>Ssr4</v>
      </c>
      <c r="D7165" s="8"/>
      <c r="E7165" s="8">
        <v>16695</v>
      </c>
      <c r="F7165" s="8"/>
      <c r="G7165" s="15">
        <v>1.3593866691010261</v>
      </c>
      <c r="H7165" s="15">
        <v>1.3593866691010261</v>
      </c>
      <c r="I7165" s="15">
        <v>0.93690834018716329</v>
      </c>
      <c r="J7165" s="15">
        <v>0.93690834018716329</v>
      </c>
      <c r="K7165" s="15">
        <v>1.0335258685505275</v>
      </c>
      <c r="L7165" s="15">
        <v>1.0335258685505275</v>
      </c>
      <c r="M7165" s="15">
        <v>1.0335258685505275</v>
      </c>
      <c r="N7165" s="15">
        <v>1.0335258685505275</v>
      </c>
      <c r="O7165" s="15" t="s">
        <v>10</v>
      </c>
      <c r="P7165" s="15" t="s">
        <v>10</v>
      </c>
      <c r="Q7165" s="8"/>
      <c r="R7165" s="9" t="s">
        <v>6669</v>
      </c>
    </row>
    <row r="7166" spans="1:18" x14ac:dyDescent="0.25">
      <c r="A7166" s="6" t="str">
        <f>HYPERLINK("proteomic_fractions_linear_files/Yang_linear_img/111154063.jpg", "111154063")</f>
        <v>111154063</v>
      </c>
      <c r="B7166" s="7"/>
      <c r="C7166" s="6" t="str">
        <f>HYPERLINK("http://www.ncbi.nlm.nih.gov/protein/111154063","Ssrp1")</f>
        <v>Ssrp1</v>
      </c>
      <c r="D7166" s="8"/>
      <c r="E7166" s="8">
        <v>80730</v>
      </c>
      <c r="F7166" s="8"/>
      <c r="G7166" s="15">
        <v>1.3555748619892773</v>
      </c>
      <c r="H7166" s="15">
        <v>1.3555748619892773</v>
      </c>
      <c r="I7166" s="15">
        <v>73.988888888888894</v>
      </c>
      <c r="J7166" s="15">
        <v>73.988888888888894</v>
      </c>
      <c r="K7166" s="15">
        <v>1.1724442121306728</v>
      </c>
      <c r="L7166" s="15">
        <v>1.1724442121306728</v>
      </c>
      <c r="M7166" s="15">
        <v>1.1724442121306728</v>
      </c>
      <c r="N7166" s="15">
        <v>1.1724442121306728</v>
      </c>
      <c r="O7166" s="15" t="s">
        <v>10</v>
      </c>
      <c r="P7166" s="15" t="s">
        <v>10</v>
      </c>
      <c r="Q7166" s="8"/>
      <c r="R7166" s="9" t="s">
        <v>6670</v>
      </c>
    </row>
    <row r="7167" spans="1:18" x14ac:dyDescent="0.25">
      <c r="A7167" s="6" t="str">
        <f>HYPERLINK("proteomic_fractions_linear_files/Yang_linear_img/31543773.jpg", "31543773")</f>
        <v>31543773</v>
      </c>
      <c r="B7167" s="7"/>
      <c r="C7167" s="6" t="str">
        <f>HYPERLINK("http://www.ncbi.nlm.nih.gov/protein/31543773","Sssca1")</f>
        <v>Sssca1</v>
      </c>
      <c r="D7167" s="8"/>
      <c r="E7167" s="8">
        <v>21205</v>
      </c>
      <c r="F7167" s="8"/>
      <c r="G7167" s="15" t="s">
        <v>10</v>
      </c>
      <c r="H7167" s="15" t="s">
        <v>10</v>
      </c>
      <c r="I7167" s="15" t="s">
        <v>10</v>
      </c>
      <c r="J7167" s="15" t="s">
        <v>10</v>
      </c>
      <c r="K7167" s="15">
        <v>1.100455874986545</v>
      </c>
      <c r="L7167" s="15">
        <v>1.100455874986545</v>
      </c>
      <c r="M7167" s="15">
        <v>1.1692771720608055</v>
      </c>
      <c r="N7167" s="15">
        <v>1.1692771720608055</v>
      </c>
      <c r="O7167" s="15">
        <v>1.0378924890799406</v>
      </c>
      <c r="P7167" s="15">
        <v>1.0378924890799406</v>
      </c>
      <c r="Q7167" s="8"/>
      <c r="R7167" s="9" t="s">
        <v>6671</v>
      </c>
    </row>
    <row r="7168" spans="1:18" x14ac:dyDescent="0.25">
      <c r="A7168" s="6" t="str">
        <f>HYPERLINK("proteomic_fractions_linear_files/Yang_linear_img/172088095.jpg", "172088095")</f>
        <v>172088095</v>
      </c>
      <c r="B7168" s="7"/>
      <c r="C7168" s="6" t="str">
        <f>HYPERLINK("http://www.ncbi.nlm.nih.gov/protein/172088095","Ssu72")</f>
        <v>Ssu72</v>
      </c>
      <c r="D7168" s="8"/>
      <c r="E7168" s="8">
        <v>22386</v>
      </c>
      <c r="F7168" s="8"/>
      <c r="G7168" s="15" t="s">
        <v>10</v>
      </c>
      <c r="H7168" s="15" t="s">
        <v>10</v>
      </c>
      <c r="I7168" s="15" t="s">
        <v>10</v>
      </c>
      <c r="J7168" s="15" t="s">
        <v>10</v>
      </c>
      <c r="K7168" s="15">
        <v>1.2690096044400936</v>
      </c>
      <c r="L7168" s="15">
        <v>1.2690096044400936</v>
      </c>
      <c r="M7168" s="15" t="s">
        <v>10</v>
      </c>
      <c r="N7168" s="15" t="s">
        <v>10</v>
      </c>
      <c r="O7168" s="15">
        <v>1.0504351533962475</v>
      </c>
      <c r="P7168" s="15">
        <v>1.0504351533962475</v>
      </c>
      <c r="Q7168" s="8"/>
      <c r="R7168" s="9" t="s">
        <v>6672</v>
      </c>
    </row>
    <row r="7169" spans="1:18" x14ac:dyDescent="0.25">
      <c r="A7169" s="6" t="str">
        <f>HYPERLINK("proteomic_fractions_linear_files/Yang_linear_img/19526912.jpg", "19526912")</f>
        <v>19526912</v>
      </c>
      <c r="B7169" s="7"/>
      <c r="C7169" s="6" t="str">
        <f>HYPERLINK("http://www.ncbi.nlm.nih.gov/protein/19526912","St13")</f>
        <v>St13</v>
      </c>
      <c r="D7169" s="8"/>
      <c r="E7169" s="8">
        <v>41525</v>
      </c>
      <c r="F7169" s="8"/>
      <c r="G7169" s="15">
        <v>1.5584110316796269</v>
      </c>
      <c r="H7169" s="15">
        <v>1.5584110316796269</v>
      </c>
      <c r="I7169" s="15">
        <v>1.1497613234384585</v>
      </c>
      <c r="J7169" s="15">
        <v>1.1497613234384585</v>
      </c>
      <c r="K7169" s="15">
        <v>1.2647754673809781</v>
      </c>
      <c r="L7169" s="15">
        <v>1.2647754673809781</v>
      </c>
      <c r="M7169" s="15">
        <v>1.1497613234384585</v>
      </c>
      <c r="N7169" s="15">
        <v>1.1497613234384585</v>
      </c>
      <c r="O7169" s="15">
        <v>1.0506092677848922</v>
      </c>
      <c r="P7169" s="15">
        <v>1.0506092677848922</v>
      </c>
      <c r="Q7169" s="8"/>
      <c r="R7169" s="9" t="s">
        <v>6673</v>
      </c>
    </row>
    <row r="7170" spans="1:18" x14ac:dyDescent="0.25">
      <c r="A7170" s="6" t="str">
        <f>HYPERLINK("proteomic_fractions_linear_files/Yang_linear_img/7363445.jpg", "7363445")</f>
        <v>7363445</v>
      </c>
      <c r="B7170" s="7"/>
      <c r="C7170" s="6" t="str">
        <f>HYPERLINK("http://www.ncbi.nlm.nih.gov/protein/7363445","St14")</f>
        <v>St14</v>
      </c>
      <c r="D7170" s="8"/>
      <c r="E7170" s="8">
        <v>94524</v>
      </c>
      <c r="F7170" s="8"/>
      <c r="G7170" s="15" t="s">
        <v>10</v>
      </c>
      <c r="H7170" s="15" t="s">
        <v>10</v>
      </c>
      <c r="I7170" s="15">
        <v>0.21681517038585549</v>
      </c>
      <c r="J7170" s="15">
        <v>0.21681517038585549</v>
      </c>
      <c r="K7170" s="15">
        <v>1.1558059349592786</v>
      </c>
      <c r="L7170" s="15">
        <v>1.1558059349592786</v>
      </c>
      <c r="M7170" s="15" t="s">
        <v>10</v>
      </c>
      <c r="N7170" s="15" t="s">
        <v>10</v>
      </c>
      <c r="O7170" s="15" t="s">
        <v>10</v>
      </c>
      <c r="P7170" s="15" t="s">
        <v>10</v>
      </c>
      <c r="Q7170" s="8"/>
      <c r="R7170" s="9" t="s">
        <v>6674</v>
      </c>
    </row>
    <row r="7171" spans="1:18" x14ac:dyDescent="0.25">
      <c r="A7171" s="6" t="str">
        <f>HYPERLINK("proteomic_fractions_linear_files/Yang_linear_img/9055352.jpg", "9055352")</f>
        <v>9055352</v>
      </c>
      <c r="B7171" s="7"/>
      <c r="C7171" s="6" t="str">
        <f>HYPERLINK("http://www.ncbi.nlm.nih.gov/protein/9055352","St3gal6")</f>
        <v>St3gal6</v>
      </c>
      <c r="D7171" s="8"/>
      <c r="E7171" s="8">
        <v>37723</v>
      </c>
      <c r="F7171" s="8"/>
      <c r="G7171" s="15" t="s">
        <v>10</v>
      </c>
      <c r="H7171" s="15" t="s">
        <v>10</v>
      </c>
      <c r="I7171" s="15">
        <v>1.7224542981722193</v>
      </c>
      <c r="J7171" s="15">
        <v>1.7224542981722193</v>
      </c>
      <c r="K7171" s="15">
        <v>1.9325305326758486</v>
      </c>
      <c r="L7171" s="15">
        <v>1.9325305326758486</v>
      </c>
      <c r="M7171" s="15" t="s">
        <v>10</v>
      </c>
      <c r="N7171" s="15" t="s">
        <v>10</v>
      </c>
      <c r="O7171" s="15" t="s">
        <v>10</v>
      </c>
      <c r="P7171" s="15" t="s">
        <v>10</v>
      </c>
      <c r="Q7171" s="8"/>
      <c r="R7171" s="9" t="s">
        <v>6675</v>
      </c>
    </row>
    <row r="7172" spans="1:18" x14ac:dyDescent="0.25">
      <c r="A7172" s="6" t="str">
        <f>HYPERLINK("proteomic_fractions_linear_files/Yang_linear_img/118150672.jpg", "118150672")</f>
        <v>118150672</v>
      </c>
      <c r="B7172" s="7"/>
      <c r="C7172" s="6" t="str">
        <f>HYPERLINK("http://www.ncbi.nlm.nih.gov/protein/118150672","Stag2")</f>
        <v>Stag2</v>
      </c>
      <c r="D7172" s="8"/>
      <c r="E7172" s="8">
        <v>141151</v>
      </c>
      <c r="F7172" s="8"/>
      <c r="G7172" s="15">
        <v>1.3245803662407118</v>
      </c>
      <c r="H7172" s="15">
        <v>1.0883182350088074</v>
      </c>
      <c r="I7172" s="15" t="s">
        <v>10</v>
      </c>
      <c r="J7172" s="15" t="s">
        <v>10</v>
      </c>
      <c r="K7172" s="15" t="s">
        <v>10</v>
      </c>
      <c r="L7172" s="15" t="s">
        <v>10</v>
      </c>
      <c r="M7172" s="15" t="s">
        <v>10</v>
      </c>
      <c r="N7172" s="15" t="s">
        <v>10</v>
      </c>
      <c r="O7172" s="15" t="s">
        <v>10</v>
      </c>
      <c r="P7172" s="15" t="s">
        <v>10</v>
      </c>
      <c r="Q7172" s="8"/>
      <c r="R7172" s="9" t="s">
        <v>6676</v>
      </c>
    </row>
    <row r="7173" spans="1:18" x14ac:dyDescent="0.25">
      <c r="A7173" s="6" t="str">
        <f>HYPERLINK("proteomic_fractions_linear_files/Yang_linear_img/6755668.jpg", "6755668")</f>
        <v>6755668</v>
      </c>
      <c r="B7173" s="7"/>
      <c r="C7173" s="6" t="str">
        <f>HYPERLINK("http://www.ncbi.nlm.nih.gov/protein/6755668","Stam")</f>
        <v>Stam</v>
      </c>
      <c r="D7173" s="8"/>
      <c r="E7173" s="8">
        <v>59640</v>
      </c>
      <c r="F7173" s="8"/>
      <c r="G7173" s="15" t="s">
        <v>10</v>
      </c>
      <c r="H7173" s="15" t="s">
        <v>10</v>
      </c>
      <c r="I7173" s="15">
        <v>1.0908877221757389</v>
      </c>
      <c r="J7173" s="15">
        <v>1.0908877221757389</v>
      </c>
      <c r="K7173" s="15">
        <v>1.0908877221757389</v>
      </c>
      <c r="L7173" s="15">
        <v>1.0908877221757389</v>
      </c>
      <c r="M7173" s="15" t="s">
        <v>10</v>
      </c>
      <c r="N7173" s="15" t="s">
        <v>10</v>
      </c>
      <c r="O7173" s="15">
        <v>0.97955345975989749</v>
      </c>
      <c r="P7173" s="15">
        <v>0.97955345975989749</v>
      </c>
      <c r="Q7173" s="8"/>
      <c r="R7173" s="9" t="s">
        <v>6677</v>
      </c>
    </row>
    <row r="7174" spans="1:18" x14ac:dyDescent="0.25">
      <c r="A7174" s="6" t="str">
        <f>HYPERLINK("proteomic_fractions_linear_files/Yang_linear_img/9789975.jpg", "9789975")</f>
        <v>9789975</v>
      </c>
      <c r="B7174" s="7"/>
      <c r="C7174" s="6" t="str">
        <f>HYPERLINK("http://www.ncbi.nlm.nih.gov/protein/9789975","Stam2")</f>
        <v>Stam2</v>
      </c>
      <c r="D7174" s="8"/>
      <c r="E7174" s="8">
        <v>57324</v>
      </c>
      <c r="F7174" s="8"/>
      <c r="G7174" s="15" t="s">
        <v>10</v>
      </c>
      <c r="H7174" s="15" t="s">
        <v>10</v>
      </c>
      <c r="I7174" s="15">
        <v>1.1483028654481462</v>
      </c>
      <c r="J7174" s="15">
        <v>1.1483028654481462</v>
      </c>
      <c r="K7174" s="15">
        <v>1.1483028654481462</v>
      </c>
      <c r="L7174" s="15">
        <v>1.1483028654481462</v>
      </c>
      <c r="M7174" s="15" t="s">
        <v>10</v>
      </c>
      <c r="N7174" s="15" t="s">
        <v>10</v>
      </c>
      <c r="O7174" s="15">
        <v>1.0311089050104185</v>
      </c>
      <c r="P7174" s="15">
        <v>1.0311089050104185</v>
      </c>
      <c r="Q7174" s="8"/>
      <c r="R7174" s="9" t="s">
        <v>6678</v>
      </c>
    </row>
    <row r="7175" spans="1:18" x14ac:dyDescent="0.25">
      <c r="A7175" s="6" t="str">
        <f>HYPERLINK("proteomic_fractions_linear_files/Yang_linear_img/17941277.jpg", "17941277")</f>
        <v>17941277</v>
      </c>
      <c r="B7175" s="7"/>
      <c r="C7175" s="6" t="str">
        <f>HYPERLINK("http://www.ncbi.nlm.nih.gov/protein/17941277","Stambp")</f>
        <v>Stambp</v>
      </c>
      <c r="D7175" s="8"/>
      <c r="E7175" s="8">
        <v>48383</v>
      </c>
      <c r="F7175" s="8"/>
      <c r="G7175" s="15" t="s">
        <v>10</v>
      </c>
      <c r="H7175" s="15" t="s">
        <v>10</v>
      </c>
      <c r="I7175" s="15">
        <v>1.1066785339583558</v>
      </c>
      <c r="J7175" s="15">
        <v>1.1066785339583558</v>
      </c>
      <c r="K7175" s="15">
        <v>1.1066785339583558</v>
      </c>
      <c r="L7175" s="15">
        <v>1.1066785339583558</v>
      </c>
      <c r="M7175" s="15" t="s">
        <v>10</v>
      </c>
      <c r="N7175" s="15" t="s">
        <v>10</v>
      </c>
      <c r="O7175" s="15">
        <v>1.006041158008651</v>
      </c>
      <c r="P7175" s="15">
        <v>1.006041158008651</v>
      </c>
      <c r="Q7175" s="8"/>
      <c r="R7175" s="9" t="s">
        <v>6679</v>
      </c>
    </row>
    <row r="7176" spans="1:18" x14ac:dyDescent="0.25">
      <c r="A7176" s="6" t="str">
        <f>HYPERLINK("proteomic_fractions_linear_files/Yang_linear_img/22122357.jpg", "22122357")</f>
        <v>22122357</v>
      </c>
      <c r="B7176" s="7"/>
      <c r="C7176" s="6" t="str">
        <f>HYPERLINK("http://www.ncbi.nlm.nih.gov/protein/22122357","Stap2")</f>
        <v>Stap2</v>
      </c>
      <c r="D7176" s="8"/>
      <c r="E7176" s="8">
        <v>45671</v>
      </c>
      <c r="F7176" s="8"/>
      <c r="G7176" s="15" t="s">
        <v>10</v>
      </c>
      <c r="H7176" s="15" t="s">
        <v>10</v>
      </c>
      <c r="I7176" s="15" t="s">
        <v>10</v>
      </c>
      <c r="J7176" s="15" t="s">
        <v>10</v>
      </c>
      <c r="K7176" s="15" t="s">
        <v>10</v>
      </c>
      <c r="L7176" s="15" t="s">
        <v>10</v>
      </c>
      <c r="M7176" s="15" t="s">
        <v>10</v>
      </c>
      <c r="N7176" s="15" t="s">
        <v>10</v>
      </c>
      <c r="O7176" s="15">
        <v>1.0497820779220708</v>
      </c>
      <c r="P7176" s="15">
        <v>1.0497820779220708</v>
      </c>
      <c r="Q7176" s="8"/>
      <c r="R7176" s="9" t="s">
        <v>6680</v>
      </c>
    </row>
    <row r="7177" spans="1:18" x14ac:dyDescent="0.25">
      <c r="A7177" s="6" t="str">
        <f>HYPERLINK("proteomic_fractions_linear_files/Yang_linear_img/9910482.jpg", "9910482")</f>
        <v>9910482</v>
      </c>
      <c r="B7177" s="7"/>
      <c r="C7177" s="6" t="str">
        <f>HYPERLINK("http://www.ncbi.nlm.nih.gov/protein/9910482","Stard10")</f>
        <v>Stard10</v>
      </c>
      <c r="D7177" s="8"/>
      <c r="E7177" s="8">
        <v>32820</v>
      </c>
      <c r="F7177" s="8"/>
      <c r="G7177" s="15" t="s">
        <v>10</v>
      </c>
      <c r="H7177" s="15" t="s">
        <v>10</v>
      </c>
      <c r="I7177" s="15">
        <v>0.9722446319919269</v>
      </c>
      <c r="J7177" s="15">
        <v>0.9722446319919269</v>
      </c>
      <c r="K7177" s="15">
        <v>1.0470720160750056</v>
      </c>
      <c r="L7177" s="15">
        <v>1.0470720160750056</v>
      </c>
      <c r="M7177" s="15">
        <v>0.9722446319919269</v>
      </c>
      <c r="N7177" s="15">
        <v>0.9722446319919269</v>
      </c>
      <c r="O7177" s="15">
        <v>0.90561839065797367</v>
      </c>
      <c r="P7177" s="15">
        <v>0.90561839065797367</v>
      </c>
      <c r="Q7177" s="8"/>
      <c r="R7177" s="9" t="s">
        <v>6681</v>
      </c>
    </row>
    <row r="7178" spans="1:18" x14ac:dyDescent="0.25">
      <c r="A7178" s="6" t="str">
        <f>HYPERLINK("proteomic_fractions_linear_files/Yang_linear_img/10946984.jpg", "10946984")</f>
        <v>10946984</v>
      </c>
      <c r="B7178" s="7"/>
      <c r="C7178" s="6" t="str">
        <f>HYPERLINK("http://www.ncbi.nlm.nih.gov/protein/10946984","Stard3")</f>
        <v>Stard3</v>
      </c>
      <c r="D7178" s="8"/>
      <c r="E7178" s="8">
        <v>50339</v>
      </c>
      <c r="F7178" s="8"/>
      <c r="G7178" s="15" t="s">
        <v>10</v>
      </c>
      <c r="H7178" s="15" t="s">
        <v>10</v>
      </c>
      <c r="I7178" s="15" t="s">
        <v>10</v>
      </c>
      <c r="J7178" s="15" t="s">
        <v>10</v>
      </c>
      <c r="K7178" s="15">
        <v>0.96579951168830502</v>
      </c>
      <c r="L7178" s="15">
        <v>0.96579951168830502</v>
      </c>
      <c r="M7178" s="15" t="s">
        <v>10</v>
      </c>
      <c r="N7178" s="15" t="s">
        <v>10</v>
      </c>
      <c r="O7178" s="15" t="s">
        <v>10</v>
      </c>
      <c r="P7178" s="15" t="s">
        <v>10</v>
      </c>
      <c r="Q7178" s="8"/>
      <c r="R7178" s="9" t="s">
        <v>6682</v>
      </c>
    </row>
    <row r="7179" spans="1:18" x14ac:dyDescent="0.25">
      <c r="A7179" s="6" t="str">
        <f>HYPERLINK("proteomic_fractions_linear_files/Yang_linear_img/70794799.jpg", "70794799")</f>
        <v>70794799</v>
      </c>
      <c r="B7179" s="7"/>
      <c r="C7179" s="6" t="str">
        <f>HYPERLINK("http://www.ncbi.nlm.nih.gov/protein/70794799","Stard3nl")</f>
        <v>Stard3nl</v>
      </c>
      <c r="D7179" s="8"/>
      <c r="E7179" s="8">
        <v>26680</v>
      </c>
      <c r="F7179" s="8"/>
      <c r="G7179" s="15" t="s">
        <v>10</v>
      </c>
      <c r="H7179" s="15" t="s">
        <v>10</v>
      </c>
      <c r="I7179" s="15" t="s">
        <v>10</v>
      </c>
      <c r="J7179" s="15" t="s">
        <v>10</v>
      </c>
      <c r="K7179" s="15">
        <v>0.90943780049173761</v>
      </c>
      <c r="L7179" s="15">
        <v>0.90943780049173761</v>
      </c>
      <c r="M7179" s="15" t="s">
        <v>10</v>
      </c>
      <c r="N7179" s="15" t="s">
        <v>10</v>
      </c>
      <c r="O7179" s="15" t="s">
        <v>10</v>
      </c>
      <c r="P7179" s="15" t="s">
        <v>10</v>
      </c>
      <c r="Q7179" s="8"/>
      <c r="R7179" s="9" t="s">
        <v>6683</v>
      </c>
    </row>
    <row r="7180" spans="1:18" x14ac:dyDescent="0.25">
      <c r="A7180" s="6" t="str">
        <f>HYPERLINK("proteomic_fractions_linear_files/Yang_linear_img/21218432.jpg", "21218432")</f>
        <v>21218432</v>
      </c>
      <c r="B7180" s="7"/>
      <c r="C7180" s="6" t="str">
        <f>HYPERLINK("http://www.ncbi.nlm.nih.gov/protein/21218432","Stard5")</f>
        <v>Stard5</v>
      </c>
      <c r="D7180" s="8"/>
      <c r="E7180" s="8">
        <v>23791</v>
      </c>
      <c r="F7180" s="8"/>
      <c r="G7180" s="15" t="s">
        <v>10</v>
      </c>
      <c r="H7180" s="15" t="s">
        <v>10</v>
      </c>
      <c r="I7180" s="15" t="s">
        <v>10</v>
      </c>
      <c r="J7180" s="15" t="s">
        <v>10</v>
      </c>
      <c r="K7180" s="15">
        <v>0.96289889061322687</v>
      </c>
      <c r="L7180" s="15">
        <v>0.96289889061322687</v>
      </c>
      <c r="M7180" s="15" t="s">
        <v>10</v>
      </c>
      <c r="N7180" s="15" t="s">
        <v>10</v>
      </c>
      <c r="O7180" s="15" t="s">
        <v>10</v>
      </c>
      <c r="P7180" s="15" t="s">
        <v>10</v>
      </c>
      <c r="Q7180" s="8"/>
      <c r="R7180" s="9" t="s">
        <v>6684</v>
      </c>
    </row>
    <row r="7181" spans="1:18" x14ac:dyDescent="0.25">
      <c r="A7181" s="6" t="str">
        <f>HYPERLINK("proteomic_fractions_linear_files/Yang_linear_img/114326482;328887938.jpg", "114326482;328887938")</f>
        <v>114326482;328887938</v>
      </c>
      <c r="B7181" s="8"/>
      <c r="C7181" s="6" t="str">
        <f>HYPERLINK("http://www.ncbi.nlm.nih.gov/protein/114326482;328887938","Stat1")</f>
        <v>Stat1</v>
      </c>
      <c r="D7181" s="8"/>
      <c r="E7181" s="8">
        <v>87184</v>
      </c>
      <c r="F7181" s="8"/>
      <c r="G7181" s="15" t="s">
        <v>10</v>
      </c>
      <c r="H7181" s="15" t="s">
        <v>10</v>
      </c>
      <c r="I7181" s="15" t="s">
        <v>10</v>
      </c>
      <c r="J7181" s="15" t="s">
        <v>10</v>
      </c>
      <c r="K7181" s="15">
        <v>1.0915859906044196</v>
      </c>
      <c r="L7181" s="15">
        <v>1.0915859906044196</v>
      </c>
      <c r="M7181" s="15" t="s">
        <v>10</v>
      </c>
      <c r="N7181" s="15" t="s">
        <v>10</v>
      </c>
      <c r="O7181" s="15" t="s">
        <v>10</v>
      </c>
      <c r="P7181" s="15" t="s">
        <v>10</v>
      </c>
      <c r="Q7181" s="8"/>
      <c r="R7181" s="9" t="s">
        <v>6685</v>
      </c>
    </row>
    <row r="7182" spans="1:18" x14ac:dyDescent="0.25">
      <c r="A7182" s="6" t="str">
        <f>HYPERLINK("proteomic_fractions_linear_files/Yang_linear_img/114326482.jpg", "114326482")</f>
        <v>114326482</v>
      </c>
      <c r="B7182" s="7"/>
      <c r="C7182" s="6" t="str">
        <f>HYPERLINK("http://www.ncbi.nlm.nih.gov/protein/114326482","Stat1")</f>
        <v>Stat1</v>
      </c>
      <c r="D7182" s="8"/>
      <c r="E7182" s="8">
        <v>87184</v>
      </c>
      <c r="F7182" s="8"/>
      <c r="G7182" s="15" t="s">
        <v>10</v>
      </c>
      <c r="H7182" s="15" t="s">
        <v>10</v>
      </c>
      <c r="I7182" s="15" t="s">
        <v>10</v>
      </c>
      <c r="J7182" s="15" t="s">
        <v>10</v>
      </c>
      <c r="K7182" s="15" t="s">
        <v>10</v>
      </c>
      <c r="L7182" s="15" t="s">
        <v>10</v>
      </c>
      <c r="M7182" s="15">
        <v>1.0915859906044196</v>
      </c>
      <c r="N7182" s="15">
        <v>1.0915859906044196</v>
      </c>
      <c r="O7182" s="15" t="s">
        <v>10</v>
      </c>
      <c r="P7182" s="15" t="s">
        <v>10</v>
      </c>
      <c r="Q7182" s="8"/>
      <c r="R7182" s="9" t="s">
        <v>6685</v>
      </c>
    </row>
    <row r="7183" spans="1:18" x14ac:dyDescent="0.25">
      <c r="A7183" s="6" t="str">
        <f>HYPERLINK("proteomic_fractions_linear_files/Yang_linear_img/328887938;114326482.jpg", "328887938;114326482")</f>
        <v>328887938;114326482</v>
      </c>
      <c r="B7183" s="8"/>
      <c r="C7183" s="6" t="str">
        <f>HYPERLINK("http://www.ncbi.nlm.nih.gov/protein/328887938;114326482","Stat1")</f>
        <v>Stat1</v>
      </c>
      <c r="D7183" s="8"/>
      <c r="E7183" s="8">
        <v>87184</v>
      </c>
      <c r="F7183" s="8"/>
      <c r="G7183" s="15" t="s">
        <v>10</v>
      </c>
      <c r="H7183" s="15" t="s">
        <v>10</v>
      </c>
      <c r="I7183" s="15">
        <v>1.0915859906044196</v>
      </c>
      <c r="J7183" s="15">
        <v>1.0915859906044196</v>
      </c>
      <c r="K7183" s="15" t="s">
        <v>10</v>
      </c>
      <c r="L7183" s="15" t="s">
        <v>10</v>
      </c>
      <c r="M7183" s="15" t="s">
        <v>10</v>
      </c>
      <c r="N7183" s="15" t="s">
        <v>10</v>
      </c>
      <c r="O7183" s="15">
        <v>1.0915859906044196</v>
      </c>
      <c r="P7183" s="15">
        <v>1.0915859906044196</v>
      </c>
      <c r="Q7183" s="8"/>
      <c r="R7183" s="9" t="s">
        <v>6685</v>
      </c>
    </row>
    <row r="7184" spans="1:18" x14ac:dyDescent="0.25">
      <c r="A7184" s="6" t="str">
        <f>HYPERLINK("proteomic_fractions_linear_files/Yang_linear_img/328887935.jpg", "328887935")</f>
        <v>328887935</v>
      </c>
      <c r="B7184" s="7"/>
      <c r="C7184" s="6" t="str">
        <f>HYPERLINK("http://www.ncbi.nlm.nih.gov/protein/328887935","Stat1")</f>
        <v>Stat1</v>
      </c>
      <c r="D7184" s="8"/>
      <c r="E7184" s="8">
        <v>87902</v>
      </c>
      <c r="F7184" s="8"/>
      <c r="G7184" s="15" t="s">
        <v>10</v>
      </c>
      <c r="H7184" s="15" t="s">
        <v>10</v>
      </c>
      <c r="I7184" s="15">
        <v>1.0791816043475513</v>
      </c>
      <c r="J7184" s="15">
        <v>1.0791816043475513</v>
      </c>
      <c r="K7184" s="15">
        <v>1.0791816043475513</v>
      </c>
      <c r="L7184" s="15">
        <v>1.0791816043475513</v>
      </c>
      <c r="M7184" s="15">
        <v>1.0791816043475513</v>
      </c>
      <c r="N7184" s="15">
        <v>1.0791816043475513</v>
      </c>
      <c r="O7184" s="15">
        <v>1.0791816043475513</v>
      </c>
      <c r="P7184" s="15">
        <v>1.0791816043475513</v>
      </c>
      <c r="Q7184" s="8"/>
      <c r="R7184" s="9" t="s">
        <v>6686</v>
      </c>
    </row>
    <row r="7185" spans="1:18" x14ac:dyDescent="0.25">
      <c r="A7185" s="6" t="str">
        <f>HYPERLINK("proteomic_fractions_linear_files/Yang_linear_img/9910572.jpg", "9910572")</f>
        <v>9910572</v>
      </c>
      <c r="B7185" s="7"/>
      <c r="C7185" s="6" t="str">
        <f>HYPERLINK("http://www.ncbi.nlm.nih.gov/protein/9910572","Stat2")</f>
        <v>Stat2</v>
      </c>
      <c r="D7185" s="8"/>
      <c r="E7185" s="8">
        <v>105255</v>
      </c>
      <c r="F7185" s="8"/>
      <c r="G7185" s="15" t="s">
        <v>10</v>
      </c>
      <c r="H7185" s="15" t="s">
        <v>10</v>
      </c>
      <c r="I7185" s="15" t="s">
        <v>10</v>
      </c>
      <c r="J7185" s="15" t="s">
        <v>10</v>
      </c>
      <c r="K7185" s="15" t="s">
        <v>10</v>
      </c>
      <c r="L7185" s="15" t="s">
        <v>10</v>
      </c>
      <c r="M7185" s="15" t="s">
        <v>10</v>
      </c>
      <c r="N7185" s="15" t="s">
        <v>10</v>
      </c>
      <c r="O7185" s="15">
        <v>1.2259202680487331</v>
      </c>
      <c r="P7185" s="15">
        <v>1.2259202680487331</v>
      </c>
      <c r="Q7185" s="8"/>
      <c r="R7185" s="9" t="s">
        <v>6687</v>
      </c>
    </row>
    <row r="7186" spans="1:18" x14ac:dyDescent="0.25">
      <c r="A7186" s="6" t="str">
        <f>HYPERLINK("proteomic_fractions_linear_files/Yang_linear_img/22094115.jpg", "22094115")</f>
        <v>22094115</v>
      </c>
      <c r="B7186" s="7"/>
      <c r="C7186" s="6" t="str">
        <f>HYPERLINK("http://www.ncbi.nlm.nih.gov/protein/22094115","Stat3")</f>
        <v>Stat3</v>
      </c>
      <c r="D7186" s="8"/>
      <c r="E7186" s="8">
        <v>82996</v>
      </c>
      <c r="F7186" s="8"/>
      <c r="G7186" s="15" t="s">
        <v>10</v>
      </c>
      <c r="H7186" s="15" t="s">
        <v>10</v>
      </c>
      <c r="I7186" s="15">
        <v>0.53163360538512616</v>
      </c>
      <c r="J7186" s="15">
        <v>0.53163360538512616</v>
      </c>
      <c r="K7186" s="15">
        <v>1.1441925443684882</v>
      </c>
      <c r="L7186" s="15">
        <v>1.1441925443684882</v>
      </c>
      <c r="M7186" s="15">
        <v>1.1441925443684882</v>
      </c>
      <c r="N7186" s="15">
        <v>1.1441925443684882</v>
      </c>
      <c r="O7186" s="15">
        <v>0.41630574133102632</v>
      </c>
      <c r="P7186" s="15">
        <v>0.41630574133102632</v>
      </c>
      <c r="Q7186" s="8"/>
      <c r="R7186" s="9" t="s">
        <v>6688</v>
      </c>
    </row>
    <row r="7187" spans="1:18" x14ac:dyDescent="0.25">
      <c r="A7187" s="6" t="str">
        <f>HYPERLINK("proteomic_fractions_linear_files/Yang_linear_img/47458804.jpg", "47458804")</f>
        <v>47458804</v>
      </c>
      <c r="B7187" s="7"/>
      <c r="C7187" s="6" t="str">
        <f>HYPERLINK("http://www.ncbi.nlm.nih.gov/protein/47458804","Stat3")</f>
        <v>Stat3</v>
      </c>
      <c r="D7187" s="8"/>
      <c r="E7187" s="8">
        <v>87923</v>
      </c>
      <c r="F7187" s="8"/>
      <c r="G7187" s="15" t="s">
        <v>10</v>
      </c>
      <c r="H7187" s="15" t="s">
        <v>10</v>
      </c>
      <c r="I7187" s="15">
        <v>0.50142715053369846</v>
      </c>
      <c r="J7187" s="15">
        <v>0.50142715053369846</v>
      </c>
      <c r="K7187" s="15">
        <v>1.0791816043475513</v>
      </c>
      <c r="L7187" s="15">
        <v>1.0791816043475513</v>
      </c>
      <c r="M7187" s="15">
        <v>1.0791816043475513</v>
      </c>
      <c r="N7187" s="15">
        <v>1.0791816043475513</v>
      </c>
      <c r="O7187" s="15">
        <v>0.39265200602812711</v>
      </c>
      <c r="P7187" s="15">
        <v>0.39265200602812711</v>
      </c>
      <c r="Q7187" s="8"/>
      <c r="R7187" s="9" t="s">
        <v>6689</v>
      </c>
    </row>
    <row r="7188" spans="1:18" x14ac:dyDescent="0.25">
      <c r="A7188" s="6" t="str">
        <f>HYPERLINK("proteomic_fractions_linear_files/Yang_linear_img/47458807.jpg", "47458807")</f>
        <v>47458807</v>
      </c>
      <c r="B7188" s="7"/>
      <c r="C7188" s="6" t="str">
        <f>HYPERLINK("http://www.ncbi.nlm.nih.gov/protein/47458807","Stat3")</f>
        <v>Stat3</v>
      </c>
      <c r="D7188" s="8"/>
      <c r="E7188" s="8">
        <v>87836</v>
      </c>
      <c r="F7188" s="8"/>
      <c r="G7188" s="15" t="s">
        <v>10</v>
      </c>
      <c r="H7188" s="15" t="s">
        <v>10</v>
      </c>
      <c r="I7188" s="15">
        <v>0.50142715053369846</v>
      </c>
      <c r="J7188" s="15">
        <v>0.50142715053369846</v>
      </c>
      <c r="K7188" s="15">
        <v>1.0791816043475513</v>
      </c>
      <c r="L7188" s="15">
        <v>1.0791816043475513</v>
      </c>
      <c r="M7188" s="15">
        <v>1.0791816043475513</v>
      </c>
      <c r="N7188" s="15">
        <v>1.0791816043475513</v>
      </c>
      <c r="O7188" s="15">
        <v>0.39265200602812711</v>
      </c>
      <c r="P7188" s="15">
        <v>0.39265200602812711</v>
      </c>
      <c r="Q7188" s="8"/>
      <c r="R7188" s="9" t="s">
        <v>6690</v>
      </c>
    </row>
    <row r="7189" spans="1:18" x14ac:dyDescent="0.25">
      <c r="A7189" s="6" t="str">
        <f>HYPERLINK("proteomic_fractions_linear_files/Yang_linear_img/255759968.jpg", "255759968")</f>
        <v>255759968</v>
      </c>
      <c r="B7189" s="7"/>
      <c r="C7189" s="6" t="str">
        <f>HYPERLINK("http://www.ncbi.nlm.nih.gov/protein/255759968","Stat5a")</f>
        <v>Stat5a</v>
      </c>
      <c r="D7189" s="8"/>
      <c r="E7189" s="8">
        <v>91492</v>
      </c>
      <c r="F7189" s="8"/>
      <c r="G7189" s="15" t="s">
        <v>10</v>
      </c>
      <c r="H7189" s="15" t="s">
        <v>10</v>
      </c>
      <c r="I7189" s="15">
        <v>0.1669927285034537</v>
      </c>
      <c r="J7189" s="15">
        <v>0.1669927285034537</v>
      </c>
      <c r="K7189" s="15" t="s">
        <v>10</v>
      </c>
      <c r="L7189" s="15" t="s">
        <v>10</v>
      </c>
      <c r="M7189" s="15" t="s">
        <v>10</v>
      </c>
      <c r="N7189" s="15" t="s">
        <v>10</v>
      </c>
      <c r="O7189" s="15">
        <v>1.0436041888196099</v>
      </c>
      <c r="P7189" s="15">
        <v>1.0436041888196099</v>
      </c>
      <c r="Q7189" s="8"/>
      <c r="R7189" s="9" t="s">
        <v>6691</v>
      </c>
    </row>
    <row r="7190" spans="1:18" x14ac:dyDescent="0.25">
      <c r="A7190" s="6" t="str">
        <f>HYPERLINK("proteomic_fractions_linear_files/Yang_linear_img/6755672.jpg", "6755672")</f>
        <v>6755672</v>
      </c>
      <c r="B7190" s="7"/>
      <c r="C7190" s="6" t="str">
        <f>HYPERLINK("http://www.ncbi.nlm.nih.gov/protein/6755672","Stat5a")</f>
        <v>Stat5a</v>
      </c>
      <c r="D7190" s="8"/>
      <c r="E7190" s="8">
        <v>90701</v>
      </c>
      <c r="F7190" s="8"/>
      <c r="G7190" s="15" t="s">
        <v>10</v>
      </c>
      <c r="H7190" s="15" t="s">
        <v>10</v>
      </c>
      <c r="I7190" s="15">
        <v>0.1669927285034537</v>
      </c>
      <c r="J7190" s="15">
        <v>0.1669927285034537</v>
      </c>
      <c r="K7190" s="15" t="s">
        <v>10</v>
      </c>
      <c r="L7190" s="15" t="s">
        <v>10</v>
      </c>
      <c r="M7190" s="15" t="s">
        <v>10</v>
      </c>
      <c r="N7190" s="15" t="s">
        <v>10</v>
      </c>
      <c r="O7190" s="15">
        <v>1.0436041888196099</v>
      </c>
      <c r="P7190" s="15">
        <v>1.0436041888196099</v>
      </c>
      <c r="Q7190" s="8"/>
      <c r="R7190" s="9" t="s">
        <v>6692</v>
      </c>
    </row>
    <row r="7191" spans="1:18" x14ac:dyDescent="0.25">
      <c r="A7191" s="6" t="str">
        <f>HYPERLINK("proteomic_fractions_linear_files/Yang_linear_img/165932366.jpg", "165932366")</f>
        <v>165932366</v>
      </c>
      <c r="B7191" s="7"/>
      <c r="C7191" s="6" t="str">
        <f>HYPERLINK("http://www.ncbi.nlm.nih.gov/protein/165932366","Stat5b")</f>
        <v>Stat5b</v>
      </c>
      <c r="D7191" s="8"/>
      <c r="E7191" s="8">
        <v>89871</v>
      </c>
      <c r="F7191" s="8"/>
      <c r="G7191" s="15" t="s">
        <v>10</v>
      </c>
      <c r="H7191" s="15" t="s">
        <v>10</v>
      </c>
      <c r="I7191" s="15">
        <v>0.16884820326460317</v>
      </c>
      <c r="J7191" s="15">
        <v>0.16884820326460317</v>
      </c>
      <c r="K7191" s="15" t="s">
        <v>10</v>
      </c>
      <c r="L7191" s="15" t="s">
        <v>10</v>
      </c>
      <c r="M7191" s="15" t="s">
        <v>10</v>
      </c>
      <c r="N7191" s="15" t="s">
        <v>10</v>
      </c>
      <c r="O7191" s="15">
        <v>1.0551997909176056</v>
      </c>
      <c r="P7191" s="15">
        <v>1.0551997909176056</v>
      </c>
      <c r="Q7191" s="8"/>
      <c r="R7191" s="9" t="s">
        <v>6693</v>
      </c>
    </row>
    <row r="7192" spans="1:18" x14ac:dyDescent="0.25">
      <c r="A7192" s="6" t="str">
        <f>HYPERLINK("proteomic_fractions_linear_files/Yang_linear_img/128485774.jpg", "128485774")</f>
        <v>128485774</v>
      </c>
      <c r="B7192" s="7"/>
      <c r="C7192" s="6" t="str">
        <f>HYPERLINK("http://www.ncbi.nlm.nih.gov/protein/128485774","Stat6")</f>
        <v>Stat6</v>
      </c>
      <c r="D7192" s="8"/>
      <c r="E7192" s="8">
        <v>93366</v>
      </c>
      <c r="F7192" s="8"/>
      <c r="G7192" s="15" t="s">
        <v>10</v>
      </c>
      <c r="H7192" s="15" t="s">
        <v>10</v>
      </c>
      <c r="I7192" s="15" t="s">
        <v>10</v>
      </c>
      <c r="J7192" s="15" t="s">
        <v>10</v>
      </c>
      <c r="K7192" s="15" t="s">
        <v>10</v>
      </c>
      <c r="L7192" s="15" t="s">
        <v>10</v>
      </c>
      <c r="M7192" s="15" t="s">
        <v>10</v>
      </c>
      <c r="N7192" s="15" t="s">
        <v>10</v>
      </c>
      <c r="O7192" s="15">
        <v>1.180661976571306</v>
      </c>
      <c r="P7192" s="15">
        <v>1.180661976571306</v>
      </c>
      <c r="Q7192" s="8"/>
      <c r="R7192" s="9" t="s">
        <v>6694</v>
      </c>
    </row>
    <row r="7193" spans="1:18" x14ac:dyDescent="0.25">
      <c r="A7193" s="6" t="str">
        <f>HYPERLINK("proteomic_fractions_linear_files/Yang_linear_img/158186639.jpg", "158186639")</f>
        <v>158186639</v>
      </c>
      <c r="B7193" s="7"/>
      <c r="C7193" s="6" t="str">
        <f>HYPERLINK("http://www.ncbi.nlm.nih.gov/protein/158186639","Stau1")</f>
        <v>Stau1</v>
      </c>
      <c r="D7193" s="8"/>
      <c r="E7193" s="8">
        <v>54035</v>
      </c>
      <c r="F7193" s="8"/>
      <c r="G7193" s="15" t="s">
        <v>10</v>
      </c>
      <c r="H7193" s="15" t="s">
        <v>10</v>
      </c>
      <c r="I7193" s="15">
        <v>1.0883927330665528</v>
      </c>
      <c r="J7193" s="15">
        <v>1.0883927330665528</v>
      </c>
      <c r="K7193" s="15">
        <v>1.2120974690841544</v>
      </c>
      <c r="L7193" s="15">
        <v>1.2120974690841544</v>
      </c>
      <c r="M7193" s="15">
        <v>1.0883927330665528</v>
      </c>
      <c r="N7193" s="15">
        <v>1.0883927330665528</v>
      </c>
      <c r="O7193" s="15" t="s">
        <v>10</v>
      </c>
      <c r="P7193" s="15" t="s">
        <v>10</v>
      </c>
      <c r="Q7193" s="8"/>
      <c r="R7193" s="9" t="s">
        <v>6695</v>
      </c>
    </row>
    <row r="7194" spans="1:18" x14ac:dyDescent="0.25">
      <c r="A7194" s="6" t="str">
        <f>HYPERLINK("proteomic_fractions_linear_files/Yang_linear_img/158186641.jpg", "158186641")</f>
        <v>158186641</v>
      </c>
      <c r="B7194" s="7"/>
      <c r="C7194" s="6" t="str">
        <f>HYPERLINK("http://www.ncbi.nlm.nih.gov/protein/158186641","Stau1")</f>
        <v>Stau1</v>
      </c>
      <c r="D7194" s="8"/>
      <c r="E7194" s="8">
        <v>54725</v>
      </c>
      <c r="F7194" s="8"/>
      <c r="G7194" s="15" t="s">
        <v>10</v>
      </c>
      <c r="H7194" s="15" t="s">
        <v>10</v>
      </c>
      <c r="I7194" s="15">
        <v>1.0686037742835246</v>
      </c>
      <c r="J7194" s="15">
        <v>1.0686037742835246</v>
      </c>
      <c r="K7194" s="15">
        <v>1.1900593332826241</v>
      </c>
      <c r="L7194" s="15">
        <v>1.1900593332826241</v>
      </c>
      <c r="M7194" s="15">
        <v>1.0686037742835246</v>
      </c>
      <c r="N7194" s="15">
        <v>1.0686037742835246</v>
      </c>
      <c r="O7194" s="15" t="s">
        <v>10</v>
      </c>
      <c r="P7194" s="15" t="s">
        <v>10</v>
      </c>
      <c r="Q7194" s="8"/>
      <c r="R7194" s="9" t="s">
        <v>6696</v>
      </c>
    </row>
    <row r="7195" spans="1:18" x14ac:dyDescent="0.25">
      <c r="A7195" s="6" t="str">
        <f>HYPERLINK("proteomic_fractions_linear_files/Yang_linear_img/6755674.jpg", "6755674")</f>
        <v>6755674</v>
      </c>
      <c r="B7195" s="7"/>
      <c r="C7195" s="6" t="str">
        <f>HYPERLINK("http://www.ncbi.nlm.nih.gov/protein/6755674","Stau1")</f>
        <v>Stau1</v>
      </c>
      <c r="D7195" s="8"/>
      <c r="E7195" s="8">
        <v>53794</v>
      </c>
      <c r="F7195" s="8"/>
      <c r="G7195" s="15" t="s">
        <v>10</v>
      </c>
      <c r="H7195" s="15" t="s">
        <v>10</v>
      </c>
      <c r="I7195" s="15">
        <v>1.0883927330665528</v>
      </c>
      <c r="J7195" s="15">
        <v>1.0883927330665528</v>
      </c>
      <c r="K7195" s="15">
        <v>1.2120974690841544</v>
      </c>
      <c r="L7195" s="15">
        <v>1.2120974690841544</v>
      </c>
      <c r="M7195" s="15">
        <v>1.0883927330665528</v>
      </c>
      <c r="N7195" s="15">
        <v>1.0883927330665528</v>
      </c>
      <c r="O7195" s="15" t="s">
        <v>10</v>
      </c>
      <c r="P7195" s="15" t="s">
        <v>10</v>
      </c>
      <c r="Q7195" s="8"/>
      <c r="R7195" s="9" t="s">
        <v>6697</v>
      </c>
    </row>
    <row r="7196" spans="1:18" x14ac:dyDescent="0.25">
      <c r="A7196" s="6" t="str">
        <f>HYPERLINK("proteomic_fractions_linear_files/Yang_linear_img/162287083.jpg", "162287083")</f>
        <v>162287083</v>
      </c>
      <c r="B7196" s="7"/>
      <c r="C7196" s="6" t="str">
        <f>HYPERLINK("http://www.ncbi.nlm.nih.gov/protein/162287083","Stau2")</f>
        <v>Stau2</v>
      </c>
      <c r="D7196" s="8"/>
      <c r="E7196" s="8">
        <v>58873</v>
      </c>
      <c r="F7196" s="8"/>
      <c r="G7196" s="15" t="s">
        <v>10</v>
      </c>
      <c r="H7196" s="15" t="s">
        <v>10</v>
      </c>
      <c r="I7196" s="15" t="s">
        <v>10</v>
      </c>
      <c r="J7196" s="15" t="s">
        <v>10</v>
      </c>
      <c r="K7196" s="15">
        <v>1.1093773445854971</v>
      </c>
      <c r="L7196" s="15">
        <v>1.1093773445854971</v>
      </c>
      <c r="M7196" s="15" t="s">
        <v>10</v>
      </c>
      <c r="N7196" s="15" t="s">
        <v>10</v>
      </c>
      <c r="O7196" s="15" t="s">
        <v>10</v>
      </c>
      <c r="P7196" s="15" t="s">
        <v>10</v>
      </c>
      <c r="Q7196" s="8"/>
      <c r="R7196" s="9" t="s">
        <v>6698</v>
      </c>
    </row>
    <row r="7197" spans="1:18" x14ac:dyDescent="0.25">
      <c r="A7197" s="6" t="str">
        <f>HYPERLINK("proteomic_fractions_linear_files/Yang_linear_img/194018455.jpg", "194018455")</f>
        <v>194018455</v>
      </c>
      <c r="B7197" s="7"/>
      <c r="C7197" s="6" t="str">
        <f>HYPERLINK("http://www.ncbi.nlm.nih.gov/protein/194018455","Stau2")</f>
        <v>Stau2</v>
      </c>
      <c r="D7197" s="8"/>
      <c r="E7197" s="8">
        <v>62404</v>
      </c>
      <c r="F7197" s="8"/>
      <c r="G7197" s="15" t="s">
        <v>10</v>
      </c>
      <c r="H7197" s="15" t="s">
        <v>10</v>
      </c>
      <c r="I7197" s="15" t="s">
        <v>10</v>
      </c>
      <c r="J7197" s="15" t="s">
        <v>10</v>
      </c>
      <c r="K7197" s="15">
        <v>1.0556977956539408</v>
      </c>
      <c r="L7197" s="15">
        <v>1.0556977956539408</v>
      </c>
      <c r="M7197" s="15" t="s">
        <v>10</v>
      </c>
      <c r="N7197" s="15" t="s">
        <v>10</v>
      </c>
      <c r="O7197" s="15" t="s">
        <v>10</v>
      </c>
      <c r="P7197" s="15" t="s">
        <v>10</v>
      </c>
      <c r="Q7197" s="8"/>
      <c r="R7197" s="9" t="s">
        <v>6699</v>
      </c>
    </row>
    <row r="7198" spans="1:18" x14ac:dyDescent="0.25">
      <c r="A7198" s="6" t="str">
        <f>HYPERLINK("proteomic_fractions_linear_files/Yang_linear_img/254553462.jpg", "254553462")</f>
        <v>254553462</v>
      </c>
      <c r="B7198" s="7"/>
      <c r="C7198" s="6" t="str">
        <f>HYPERLINK("http://www.ncbi.nlm.nih.gov/protein/254553462","Steap1")</f>
        <v>Steap1</v>
      </c>
      <c r="D7198" s="8"/>
      <c r="E7198" s="8">
        <v>39161</v>
      </c>
      <c r="F7198" s="8"/>
      <c r="G7198" s="15" t="s">
        <v>10</v>
      </c>
      <c r="H7198" s="15" t="s">
        <v>10</v>
      </c>
      <c r="I7198" s="15" t="s">
        <v>10</v>
      </c>
      <c r="J7198" s="15" t="s">
        <v>10</v>
      </c>
      <c r="K7198" s="15">
        <v>0.82266853476239965</v>
      </c>
      <c r="L7198" s="15">
        <v>0.82266853476239965</v>
      </c>
      <c r="M7198" s="15" t="s">
        <v>10</v>
      </c>
      <c r="N7198" s="15" t="s">
        <v>10</v>
      </c>
      <c r="O7198" s="15" t="s">
        <v>10</v>
      </c>
      <c r="P7198" s="15" t="s">
        <v>10</v>
      </c>
      <c r="Q7198" s="8"/>
      <c r="R7198" s="9" t="s">
        <v>6700</v>
      </c>
    </row>
    <row r="7199" spans="1:18" x14ac:dyDescent="0.25">
      <c r="A7199" s="6" t="str">
        <f>HYPERLINK("proteomic_fractions_linear_files/Yang_linear_img/124249344.jpg", "124249344")</f>
        <v>124249344</v>
      </c>
      <c r="B7199" s="7"/>
      <c r="C7199" s="6" t="str">
        <f>HYPERLINK("http://www.ncbi.nlm.nih.gov/protein/124249344","Steap2")</f>
        <v>Steap2</v>
      </c>
      <c r="D7199" s="8"/>
      <c r="E7199" s="8">
        <v>55629</v>
      </c>
      <c r="F7199" s="8"/>
      <c r="G7199" s="15" t="s">
        <v>10</v>
      </c>
      <c r="H7199" s="15" t="s">
        <v>10</v>
      </c>
      <c r="I7199" s="15">
        <v>0.72334496791469183</v>
      </c>
      <c r="J7199" s="15">
        <v>0.72334496791469183</v>
      </c>
      <c r="K7199" s="15">
        <v>0.78795695083866912</v>
      </c>
      <c r="L7199" s="15">
        <v>0.78795695083866912</v>
      </c>
      <c r="M7199" s="15" t="s">
        <v>10</v>
      </c>
      <c r="N7199" s="15" t="s">
        <v>10</v>
      </c>
      <c r="O7199" s="15" t="s">
        <v>10</v>
      </c>
      <c r="P7199" s="15" t="s">
        <v>10</v>
      </c>
      <c r="Q7199" s="8"/>
      <c r="R7199" s="9" t="s">
        <v>6701</v>
      </c>
    </row>
    <row r="7200" spans="1:18" x14ac:dyDescent="0.25">
      <c r="A7200" s="6" t="str">
        <f>HYPERLINK("proteomic_fractions_linear_files/Yang_linear_img/31981983.jpg", "31981983")</f>
        <v>31981983</v>
      </c>
      <c r="B7200" s="7"/>
      <c r="C7200" s="6" t="str">
        <f>HYPERLINK("http://www.ncbi.nlm.nih.gov/protein/31981983","Stim1")</f>
        <v>Stim1</v>
      </c>
      <c r="D7200" s="8"/>
      <c r="E7200" s="8">
        <v>75061</v>
      </c>
      <c r="F7200" s="8"/>
      <c r="G7200" s="15" t="s">
        <v>10</v>
      </c>
      <c r="H7200" s="15" t="s">
        <v>10</v>
      </c>
      <c r="I7200" s="15">
        <v>0.97914880322242992</v>
      </c>
      <c r="J7200" s="15">
        <v>0.97914880322242992</v>
      </c>
      <c r="K7200" s="15">
        <v>1.2662397491011268</v>
      </c>
      <c r="L7200" s="15">
        <v>1.2662397491011268</v>
      </c>
      <c r="M7200" s="15" t="s">
        <v>10</v>
      </c>
      <c r="N7200" s="15" t="s">
        <v>10</v>
      </c>
      <c r="O7200" s="15" t="s">
        <v>10</v>
      </c>
      <c r="P7200" s="15" t="s">
        <v>10</v>
      </c>
      <c r="Q7200" s="8"/>
      <c r="R7200" s="9" t="s">
        <v>6702</v>
      </c>
    </row>
    <row r="7201" spans="1:18" x14ac:dyDescent="0.25">
      <c r="A7201" s="6" t="str">
        <f>HYPERLINK("proteomic_fractions_linear_files/Yang_linear_img/281182368.jpg", "281182368")</f>
        <v>281182368</v>
      </c>
      <c r="B7201" s="7"/>
      <c r="C7201" s="6" t="str">
        <f>HYPERLINK("http://www.ncbi.nlm.nih.gov/protein/281182368","Stim2")</f>
        <v>Stim2</v>
      </c>
      <c r="D7201" s="8"/>
      <c r="E7201" s="8">
        <v>82568</v>
      </c>
      <c r="F7201" s="8"/>
      <c r="G7201" s="15" t="s">
        <v>10</v>
      </c>
      <c r="H7201" s="15" t="s">
        <v>10</v>
      </c>
      <c r="I7201" s="15">
        <v>1.3229104074835116</v>
      </c>
      <c r="J7201" s="15">
        <v>1.3229104074835116</v>
      </c>
      <c r="K7201" s="15">
        <v>1.3229104074835116</v>
      </c>
      <c r="L7201" s="15">
        <v>1.3229104074835116</v>
      </c>
      <c r="M7201" s="15" t="s">
        <v>10</v>
      </c>
      <c r="N7201" s="15" t="s">
        <v>10</v>
      </c>
      <c r="O7201" s="15" t="s">
        <v>10</v>
      </c>
      <c r="P7201" s="15" t="s">
        <v>10</v>
      </c>
      <c r="Q7201" s="8"/>
      <c r="R7201" s="9" t="s">
        <v>6703</v>
      </c>
    </row>
    <row r="7202" spans="1:18" x14ac:dyDescent="0.25">
      <c r="A7202" s="6" t="str">
        <f>HYPERLINK("proteomic_fractions_linear_files/Yang_linear_img/14389431.jpg", "14389431")</f>
        <v>14389431</v>
      </c>
      <c r="B7202" s="7"/>
      <c r="C7202" s="6" t="str">
        <f>HYPERLINK("http://www.ncbi.nlm.nih.gov/protein/14389431","Stip1")</f>
        <v>Stip1</v>
      </c>
      <c r="D7202" s="8"/>
      <c r="E7202" s="8">
        <v>62451</v>
      </c>
      <c r="F7202" s="8"/>
      <c r="G7202" s="15">
        <v>1.3403009431152235</v>
      </c>
      <c r="H7202" s="15">
        <v>1.3403009431152235</v>
      </c>
      <c r="I7202" s="15">
        <v>1.1844541974464877</v>
      </c>
      <c r="J7202" s="15">
        <v>1.1844541974464877</v>
      </c>
      <c r="K7202" s="15">
        <v>1.1844541974464877</v>
      </c>
      <c r="L7202" s="15">
        <v>1.1844541974464877</v>
      </c>
      <c r="M7202" s="15">
        <v>1.1844541974464877</v>
      </c>
      <c r="N7202" s="15">
        <v>1.1844541974464877</v>
      </c>
      <c r="O7202" s="15">
        <v>1.0556977956539408</v>
      </c>
      <c r="P7202" s="15">
        <v>1.0556977956539408</v>
      </c>
      <c r="Q7202" s="8"/>
      <c r="R7202" s="9" t="s">
        <v>6704</v>
      </c>
    </row>
    <row r="7203" spans="1:18" x14ac:dyDescent="0.25">
      <c r="A7203" s="6" t="str">
        <f>HYPERLINK("proteomic_fractions_linear_files/Yang_linear_img/126362973.jpg", "126362973")</f>
        <v>126362973</v>
      </c>
      <c r="B7203" s="7"/>
      <c r="C7203" s="6" t="str">
        <f>HYPERLINK("http://www.ncbi.nlm.nih.gov/protein/126362973","Stk10")</f>
        <v>Stk10</v>
      </c>
      <c r="D7203" s="8"/>
      <c r="E7203" s="8">
        <v>111775</v>
      </c>
      <c r="F7203" s="8"/>
      <c r="G7203" s="15" t="s">
        <v>10</v>
      </c>
      <c r="H7203" s="15" t="s">
        <v>10</v>
      </c>
      <c r="I7203" s="15" t="s">
        <v>10</v>
      </c>
      <c r="J7203" s="15" t="s">
        <v>10</v>
      </c>
      <c r="K7203" s="15">
        <v>2.6944939699687391</v>
      </c>
      <c r="L7203" s="15">
        <v>2.6944939699687391</v>
      </c>
      <c r="M7203" s="15">
        <v>1.3701149208593022</v>
      </c>
      <c r="N7203" s="15">
        <v>1.3701149208593022</v>
      </c>
      <c r="O7203" s="15">
        <v>2.083578996677224</v>
      </c>
      <c r="P7203" s="15">
        <v>2.083578996677224</v>
      </c>
      <c r="Q7203" s="8"/>
      <c r="R7203" s="9" t="s">
        <v>6705</v>
      </c>
    </row>
    <row r="7204" spans="1:18" x14ac:dyDescent="0.25">
      <c r="A7204" s="6" t="str">
        <f>HYPERLINK("proteomic_fractions_linear_files/Yang_linear_img/7106425.jpg", "7106425")</f>
        <v>7106425</v>
      </c>
      <c r="B7204" s="7"/>
      <c r="C7204" s="6" t="str">
        <f>HYPERLINK("http://www.ncbi.nlm.nih.gov/protein/7106425","Stk11")</f>
        <v>Stk11</v>
      </c>
      <c r="D7204" s="8"/>
      <c r="E7204" s="8">
        <v>49136</v>
      </c>
      <c r="F7204" s="8"/>
      <c r="G7204" s="15" t="s">
        <v>10</v>
      </c>
      <c r="H7204" s="15" t="s">
        <v>10</v>
      </c>
      <c r="I7204" s="15">
        <v>1.1994532160325275</v>
      </c>
      <c r="J7204" s="15">
        <v>1.1994532160325275</v>
      </c>
      <c r="K7204" s="15" t="s">
        <v>10</v>
      </c>
      <c r="L7204" s="15" t="s">
        <v>10</v>
      </c>
      <c r="M7204" s="15" t="s">
        <v>10</v>
      </c>
      <c r="N7204" s="15" t="s">
        <v>10</v>
      </c>
      <c r="O7204" s="15">
        <v>1.0840932577551241</v>
      </c>
      <c r="P7204" s="15">
        <v>1.0840932577551241</v>
      </c>
      <c r="Q7204" s="8"/>
      <c r="R7204" s="9" t="s">
        <v>6706</v>
      </c>
    </row>
    <row r="7205" spans="1:18" x14ac:dyDescent="0.25">
      <c r="A7205" s="6" t="str">
        <f>HYPERLINK("proteomic_fractions_linear_files/Yang_linear_img/169808413.jpg", "169808413")</f>
        <v>169808413</v>
      </c>
      <c r="B7205" s="7"/>
      <c r="C7205" s="6" t="str">
        <f>HYPERLINK("http://www.ncbi.nlm.nih.gov/protein/169808413","Stk11ip")</f>
        <v>Stk11ip</v>
      </c>
      <c r="D7205" s="8"/>
      <c r="E7205" s="8">
        <v>117874</v>
      </c>
      <c r="F7205" s="8"/>
      <c r="G7205" s="15" t="s">
        <v>10</v>
      </c>
      <c r="H7205" s="15" t="s">
        <v>10</v>
      </c>
      <c r="I7205" s="15">
        <v>0.23659501099730559</v>
      </c>
      <c r="J7205" s="15">
        <v>1.3004480604766258</v>
      </c>
      <c r="K7205" s="15" t="s">
        <v>10</v>
      </c>
      <c r="L7205" s="15" t="s">
        <v>10</v>
      </c>
      <c r="M7205" s="15" t="s">
        <v>10</v>
      </c>
      <c r="N7205" s="15" t="s">
        <v>10</v>
      </c>
      <c r="O7205" s="15" t="s">
        <v>10</v>
      </c>
      <c r="P7205" s="15" t="s">
        <v>10</v>
      </c>
      <c r="Q7205" s="8"/>
      <c r="R7205" s="9" t="s">
        <v>6707</v>
      </c>
    </row>
    <row r="7206" spans="1:18" x14ac:dyDescent="0.25">
      <c r="A7206" s="6" t="str">
        <f>HYPERLINK("proteomic_fractions_linear_files/Yang_linear_img/226958539.jpg", "226958539")</f>
        <v>226958539</v>
      </c>
      <c r="B7206" s="7"/>
      <c r="C7206" s="6" t="str">
        <f>HYPERLINK("http://www.ncbi.nlm.nih.gov/protein/226958539","Stk16")</f>
        <v>Stk16</v>
      </c>
      <c r="D7206" s="8"/>
      <c r="E7206" s="8">
        <v>34251</v>
      </c>
      <c r="F7206" s="8"/>
      <c r="G7206" s="15" t="s">
        <v>10</v>
      </c>
      <c r="H7206" s="15" t="s">
        <v>10</v>
      </c>
      <c r="I7206" s="15" t="s">
        <v>10</v>
      </c>
      <c r="J7206" s="15" t="s">
        <v>10</v>
      </c>
      <c r="K7206" s="15">
        <v>0.87898255563862149</v>
      </c>
      <c r="L7206" s="15">
        <v>0.87898255563862149</v>
      </c>
      <c r="M7206" s="15" t="s">
        <v>10</v>
      </c>
      <c r="N7206" s="15" t="s">
        <v>10</v>
      </c>
      <c r="O7206" s="15" t="s">
        <v>10</v>
      </c>
      <c r="P7206" s="15" t="s">
        <v>10</v>
      </c>
      <c r="Q7206" s="8"/>
      <c r="R7206" s="9" t="s">
        <v>6708</v>
      </c>
    </row>
    <row r="7207" spans="1:18" x14ac:dyDescent="0.25">
      <c r="A7207" s="6" t="str">
        <f>HYPERLINK("proteomic_fractions_linear_files/Yang_linear_img/21703922.jpg", "21703922")</f>
        <v>21703922</v>
      </c>
      <c r="B7207" s="7"/>
      <c r="C7207" s="6" t="str">
        <f>HYPERLINK("http://www.ncbi.nlm.nih.gov/protein/21703922","Stk24")</f>
        <v>Stk24</v>
      </c>
      <c r="D7207" s="8"/>
      <c r="E7207" s="8">
        <v>47823</v>
      </c>
      <c r="F7207" s="8"/>
      <c r="G7207" s="15" t="s">
        <v>10</v>
      </c>
      <c r="H7207" s="15" t="s">
        <v>10</v>
      </c>
      <c r="I7207" s="15">
        <v>1.1066785339583558</v>
      </c>
      <c r="J7207" s="15">
        <v>1.1066785339583558</v>
      </c>
      <c r="K7207" s="15">
        <v>1.1066785339583558</v>
      </c>
      <c r="L7207" s="15">
        <v>1.1066785339583558</v>
      </c>
      <c r="M7207" s="15">
        <v>1.1066785339583558</v>
      </c>
      <c r="N7207" s="15">
        <v>1.1066785339583558</v>
      </c>
      <c r="O7207" s="15">
        <v>1.006041158008651</v>
      </c>
      <c r="P7207" s="15">
        <v>1.006041158008651</v>
      </c>
      <c r="Q7207" s="8"/>
      <c r="R7207" s="9" t="s">
        <v>6709</v>
      </c>
    </row>
    <row r="7208" spans="1:18" x14ac:dyDescent="0.25">
      <c r="A7208" s="6" t="str">
        <f>HYPERLINK("proteomic_fractions_linear_files/Yang_linear_img/89337277.jpg", "89337277")</f>
        <v>89337277</v>
      </c>
      <c r="B7208" s="7"/>
      <c r="C7208" s="6" t="str">
        <f>HYPERLINK("http://www.ncbi.nlm.nih.gov/protein/89337277","Stk25")</f>
        <v>Stk25</v>
      </c>
      <c r="D7208" s="8"/>
      <c r="E7208" s="8">
        <v>48027</v>
      </c>
      <c r="F7208" s="8"/>
      <c r="G7208" s="15" t="s">
        <v>10</v>
      </c>
      <c r="H7208" s="15" t="s">
        <v>10</v>
      </c>
      <c r="I7208" s="15">
        <v>1.1066785339583558</v>
      </c>
      <c r="J7208" s="15">
        <v>1.1066785339583558</v>
      </c>
      <c r="K7208" s="15">
        <v>1.1066785339583558</v>
      </c>
      <c r="L7208" s="15">
        <v>1.1066785339583558</v>
      </c>
      <c r="M7208" s="15">
        <v>1.1066785339583558</v>
      </c>
      <c r="N7208" s="15">
        <v>1.1066785339583558</v>
      </c>
      <c r="O7208" s="15">
        <v>1.006041158008651</v>
      </c>
      <c r="P7208" s="15">
        <v>1.006041158008651</v>
      </c>
      <c r="Q7208" s="8"/>
      <c r="R7208" s="9" t="s">
        <v>6710</v>
      </c>
    </row>
    <row r="7209" spans="1:18" x14ac:dyDescent="0.25">
      <c r="A7209" s="6" t="str">
        <f>HYPERLINK("proteomic_fractions_linear_files/Yang_linear_img/118150664.jpg", "118150664")</f>
        <v>118150664</v>
      </c>
      <c r="B7209" s="7"/>
      <c r="C7209" s="6" t="str">
        <f>HYPERLINK("http://www.ncbi.nlm.nih.gov/protein/118150664","Stk3")</f>
        <v>Stk3</v>
      </c>
      <c r="D7209" s="8"/>
      <c r="E7209" s="8">
        <v>56724</v>
      </c>
      <c r="F7209" s="8"/>
      <c r="G7209" s="15" t="s">
        <v>10</v>
      </c>
      <c r="H7209" s="15" t="s">
        <v>10</v>
      </c>
      <c r="I7209" s="15">
        <v>1.0311089050104185</v>
      </c>
      <c r="J7209" s="15">
        <v>1.0311089050104185</v>
      </c>
      <c r="K7209" s="15">
        <v>1.1483028654481462</v>
      </c>
      <c r="L7209" s="15">
        <v>1.1483028654481462</v>
      </c>
      <c r="M7209" s="15" t="s">
        <v>10</v>
      </c>
      <c r="N7209" s="15" t="s">
        <v>10</v>
      </c>
      <c r="O7209" s="15">
        <v>0.93193981807019433</v>
      </c>
      <c r="P7209" s="15">
        <v>0.93193981807019433</v>
      </c>
      <c r="Q7209" s="8"/>
      <c r="R7209" s="9" t="s">
        <v>6711</v>
      </c>
    </row>
    <row r="7210" spans="1:18" x14ac:dyDescent="0.25">
      <c r="A7210" s="6" t="str">
        <f>HYPERLINK("proteomic_fractions_linear_files/Yang_linear_img/19527344.jpg", "19527344")</f>
        <v>19527344</v>
      </c>
      <c r="B7210" s="7"/>
      <c r="C7210" s="6" t="str">
        <f>HYPERLINK("http://www.ncbi.nlm.nih.gov/protein/19527344","Stk38")</f>
        <v>Stk38</v>
      </c>
      <c r="D7210" s="8"/>
      <c r="E7210" s="8">
        <v>54043</v>
      </c>
      <c r="F7210" s="8"/>
      <c r="G7210" s="15" t="s">
        <v>10</v>
      </c>
      <c r="H7210" s="15" t="s">
        <v>10</v>
      </c>
      <c r="I7210" s="15" t="s">
        <v>10</v>
      </c>
      <c r="J7210" s="15" t="s">
        <v>10</v>
      </c>
      <c r="K7210" s="15">
        <v>1.0883927330665528</v>
      </c>
      <c r="L7210" s="15">
        <v>1.0883927330665528</v>
      </c>
      <c r="M7210" s="15" t="s">
        <v>10</v>
      </c>
      <c r="N7210" s="15" t="s">
        <v>10</v>
      </c>
      <c r="O7210" s="15">
        <v>0.98371425240742738</v>
      </c>
      <c r="P7210" s="15">
        <v>0.98371425240742738</v>
      </c>
      <c r="Q7210" s="8"/>
      <c r="R7210" s="9" t="s">
        <v>6712</v>
      </c>
    </row>
    <row r="7211" spans="1:18" x14ac:dyDescent="0.25">
      <c r="A7211" s="6" t="str">
        <f>HYPERLINK("proteomic_fractions_linear_files/Yang_linear_img/27370078.jpg", "27370078")</f>
        <v>27370078</v>
      </c>
      <c r="B7211" s="7"/>
      <c r="C7211" s="6" t="str">
        <f>HYPERLINK("http://www.ncbi.nlm.nih.gov/protein/27370078","Stk38l")</f>
        <v>Stk38l</v>
      </c>
      <c r="D7211" s="8"/>
      <c r="E7211" s="8">
        <v>53641</v>
      </c>
      <c r="F7211" s="8"/>
      <c r="G7211" s="15" t="s">
        <v>10</v>
      </c>
      <c r="H7211" s="15" t="s">
        <v>10</v>
      </c>
      <c r="I7211" s="15" t="s">
        <v>10</v>
      </c>
      <c r="J7211" s="15" t="s">
        <v>10</v>
      </c>
      <c r="K7211" s="15">
        <v>1.0883927330665528</v>
      </c>
      <c r="L7211" s="15">
        <v>1.0883927330665528</v>
      </c>
      <c r="M7211" s="15" t="s">
        <v>10</v>
      </c>
      <c r="N7211" s="15" t="s">
        <v>10</v>
      </c>
      <c r="O7211" s="15">
        <v>0.98371425240742738</v>
      </c>
      <c r="P7211" s="15">
        <v>0.98371425240742738</v>
      </c>
      <c r="Q7211" s="8"/>
      <c r="R7211" s="9" t="s">
        <v>6713</v>
      </c>
    </row>
    <row r="7212" spans="1:18" x14ac:dyDescent="0.25">
      <c r="A7212" s="6" t="str">
        <f>HYPERLINK("proteomic_fractions_linear_files/Yang_linear_img/12328814.jpg", "12328814")</f>
        <v>12328814</v>
      </c>
      <c r="B7212" s="7"/>
      <c r="C7212" s="6" t="str">
        <f>HYPERLINK("http://www.ncbi.nlm.nih.gov/protein/12328814","Stk4")</f>
        <v>Stk4</v>
      </c>
      <c r="D7212" s="8"/>
      <c r="E7212" s="8">
        <v>55410</v>
      </c>
      <c r="F7212" s="8"/>
      <c r="G7212" s="15" t="s">
        <v>10</v>
      </c>
      <c r="H7212" s="15" t="s">
        <v>10</v>
      </c>
      <c r="I7212" s="15">
        <v>1.0686037742835246</v>
      </c>
      <c r="J7212" s="15">
        <v>1.0686037742835246</v>
      </c>
      <c r="K7212" s="15">
        <v>1.0686037742835246</v>
      </c>
      <c r="L7212" s="15">
        <v>1.0686037742835246</v>
      </c>
      <c r="M7212" s="15" t="s">
        <v>10</v>
      </c>
      <c r="N7212" s="15" t="s">
        <v>10</v>
      </c>
      <c r="O7212" s="15">
        <v>0.96582853872729235</v>
      </c>
      <c r="P7212" s="15">
        <v>0.96582853872729235</v>
      </c>
      <c r="Q7212" s="8"/>
      <c r="R7212" s="9" t="s">
        <v>6714</v>
      </c>
    </row>
    <row r="7213" spans="1:18" x14ac:dyDescent="0.25">
      <c r="A7213" s="6" t="str">
        <f>HYPERLINK("proteomic_fractions_linear_files/Yang_linear_img/9789995.jpg", "9789995")</f>
        <v>9789995</v>
      </c>
      <c r="B7213" s="7"/>
      <c r="C7213" s="6" t="str">
        <f>HYPERLINK("http://www.ncbi.nlm.nih.gov/protein/9789995","Stmn1")</f>
        <v>Stmn1</v>
      </c>
      <c r="D7213" s="8"/>
      <c r="E7213" s="8">
        <v>17143</v>
      </c>
      <c r="F7213" s="8"/>
      <c r="G7213" s="15">
        <v>1.4444012125457011</v>
      </c>
      <c r="H7213" s="15">
        <v>1.4444012125457011</v>
      </c>
      <c r="I7213" s="15">
        <v>1.0335258685505275</v>
      </c>
      <c r="J7213" s="15">
        <v>1.0335258685505275</v>
      </c>
      <c r="K7213" s="15">
        <v>1.0335258685505275</v>
      </c>
      <c r="L7213" s="15">
        <v>1.0335258685505275</v>
      </c>
      <c r="M7213" s="15">
        <v>1.0335258685505275</v>
      </c>
      <c r="N7213" s="15">
        <v>1.0335258685505275</v>
      </c>
      <c r="O7213" s="15">
        <v>0.93690834018716329</v>
      </c>
      <c r="P7213" s="15">
        <v>0.93690834018716329</v>
      </c>
      <c r="Q7213" s="8"/>
      <c r="R7213" s="9" t="s">
        <v>6715</v>
      </c>
    </row>
    <row r="7214" spans="1:18" x14ac:dyDescent="0.25">
      <c r="A7214" s="6" t="str">
        <f>HYPERLINK("proteomic_fractions_linear_files/Yang_linear_img/13384630.jpg", "13384630")</f>
        <v>13384630</v>
      </c>
      <c r="B7214" s="7"/>
      <c r="C7214" s="6" t="str">
        <f>HYPERLINK("http://www.ncbi.nlm.nih.gov/protein/13384630","Stmn2")</f>
        <v>Stmn2</v>
      </c>
      <c r="D7214" s="8"/>
      <c r="E7214" s="8">
        <v>20697</v>
      </c>
      <c r="F7214" s="8"/>
      <c r="G7214" s="15" t="s">
        <v>10</v>
      </c>
      <c r="H7214" s="15" t="s">
        <v>10</v>
      </c>
      <c r="I7214" s="15">
        <v>0.83666379835042703</v>
      </c>
      <c r="J7214" s="15">
        <v>0.83666379835042703</v>
      </c>
      <c r="K7214" s="15">
        <v>0.83666379835042703</v>
      </c>
      <c r="L7214" s="15">
        <v>0.83666379835042703</v>
      </c>
      <c r="M7214" s="15" t="s">
        <v>10</v>
      </c>
      <c r="N7214" s="15" t="s">
        <v>10</v>
      </c>
      <c r="O7214" s="15">
        <v>0.75844960872294165</v>
      </c>
      <c r="P7214" s="15">
        <v>0.75844960872294165</v>
      </c>
      <c r="Q7214" s="8"/>
      <c r="R7214" s="9" t="s">
        <v>6716</v>
      </c>
    </row>
    <row r="7215" spans="1:18" x14ac:dyDescent="0.25">
      <c r="A7215" s="6" t="str">
        <f>HYPERLINK("proteomic_fractions_linear_files/Yang_linear_img/9790189.jpg", "9790189")</f>
        <v>9790189</v>
      </c>
      <c r="B7215" s="7"/>
      <c r="C7215" s="6" t="str">
        <f>HYPERLINK("http://www.ncbi.nlm.nih.gov/protein/9790189","Stmn4")</f>
        <v>Stmn4</v>
      </c>
      <c r="D7215" s="8"/>
      <c r="E7215" s="8">
        <v>21956</v>
      </c>
      <c r="F7215" s="8"/>
      <c r="G7215" s="15" t="s">
        <v>10</v>
      </c>
      <c r="H7215" s="15" t="s">
        <v>10</v>
      </c>
      <c r="I7215" s="15" t="s">
        <v>10</v>
      </c>
      <c r="J7215" s="15" t="s">
        <v>10</v>
      </c>
      <c r="K7215" s="15" t="s">
        <v>10</v>
      </c>
      <c r="L7215" s="15" t="s">
        <v>10</v>
      </c>
      <c r="M7215" s="15" t="s">
        <v>10</v>
      </c>
      <c r="N7215" s="15" t="s">
        <v>10</v>
      </c>
      <c r="O7215" s="15">
        <v>0.75983975093668288</v>
      </c>
      <c r="P7215" s="15">
        <v>0.75983975093668288</v>
      </c>
      <c r="Q7215" s="8"/>
      <c r="R7215" s="9" t="s">
        <v>6717</v>
      </c>
    </row>
    <row r="7216" spans="1:18" x14ac:dyDescent="0.25">
      <c r="A7216" s="6" t="str">
        <f>HYPERLINK("proteomic_fractions_linear_files/Yang_linear_img/7710018.jpg", "7710018")</f>
        <v>7710018</v>
      </c>
      <c r="B7216" s="7"/>
      <c r="C7216" s="6" t="str">
        <f>HYPERLINK("http://www.ncbi.nlm.nih.gov/protein/7710018","Stom")</f>
        <v>Stom</v>
      </c>
      <c r="D7216" s="8"/>
      <c r="E7216" s="8">
        <v>31244</v>
      </c>
      <c r="F7216" s="8"/>
      <c r="G7216" s="15" t="s">
        <v>10</v>
      </c>
      <c r="H7216" s="15" t="s">
        <v>10</v>
      </c>
      <c r="I7216" s="15" t="s">
        <v>10</v>
      </c>
      <c r="J7216" s="15" t="s">
        <v>10</v>
      </c>
      <c r="K7216" s="15" t="s">
        <v>10</v>
      </c>
      <c r="L7216" s="15" t="s">
        <v>10</v>
      </c>
      <c r="M7216" s="15" t="s">
        <v>10</v>
      </c>
      <c r="N7216" s="15" t="s">
        <v>10</v>
      </c>
      <c r="O7216" s="15">
        <v>0.41120062393347179</v>
      </c>
      <c r="P7216" s="15">
        <v>0.41120062393347179</v>
      </c>
      <c r="Q7216" s="8"/>
      <c r="R7216" s="9" t="s">
        <v>6718</v>
      </c>
    </row>
    <row r="7217" spans="1:18" x14ac:dyDescent="0.25">
      <c r="A7217" s="6" t="str">
        <f>HYPERLINK("proteomic_fractions_linear_files/Yang_linear_img/12963591.jpg", "12963591")</f>
        <v>12963591</v>
      </c>
      <c r="B7217" s="7"/>
      <c r="C7217" s="6" t="str">
        <f>HYPERLINK("http://www.ncbi.nlm.nih.gov/protein/12963591","Stoml2")</f>
        <v>Stoml2</v>
      </c>
      <c r="D7217" s="8"/>
      <c r="E7217" s="8">
        <v>35511</v>
      </c>
      <c r="F7217" s="8"/>
      <c r="G7217" s="15">
        <v>1.3413882106782014</v>
      </c>
      <c r="H7217" s="15">
        <v>1.3413882106782014</v>
      </c>
      <c r="I7217" s="15">
        <v>0.95981601473542177</v>
      </c>
      <c r="J7217" s="15">
        <v>0.95981601473542177</v>
      </c>
      <c r="K7217" s="15">
        <v>1.125203283422854</v>
      </c>
      <c r="L7217" s="15">
        <v>1.125203283422854</v>
      </c>
      <c r="M7217" s="15">
        <v>1.0372590673090165</v>
      </c>
      <c r="N7217" s="15">
        <v>1.0372590673090165</v>
      </c>
      <c r="O7217" s="15" t="s">
        <v>10</v>
      </c>
      <c r="P7217" s="15" t="s">
        <v>10</v>
      </c>
      <c r="Q7217" s="8"/>
      <c r="R7217" s="9" t="s">
        <v>6719</v>
      </c>
    </row>
    <row r="7218" spans="1:18" x14ac:dyDescent="0.25">
      <c r="A7218" s="6" t="str">
        <f>HYPERLINK("proteomic_fractions_linear_files/Yang_linear_img/159032010.jpg", "159032010")</f>
        <v>159032010</v>
      </c>
      <c r="B7218" s="7"/>
      <c r="C7218" s="6" t="str">
        <f>HYPERLINK("http://www.ncbi.nlm.nih.gov/protein/159032010","Ston1")</f>
        <v>Ston1</v>
      </c>
      <c r="D7218" s="8"/>
      <c r="E7218" s="8">
        <v>81662</v>
      </c>
      <c r="F7218" s="8"/>
      <c r="G7218" s="15" t="s">
        <v>10</v>
      </c>
      <c r="H7218" s="15" t="s">
        <v>10</v>
      </c>
      <c r="I7218" s="15" t="s">
        <v>10</v>
      </c>
      <c r="J7218" s="15" t="s">
        <v>10</v>
      </c>
      <c r="K7218" s="15" t="s">
        <v>10</v>
      </c>
      <c r="L7218" s="15" t="s">
        <v>10</v>
      </c>
      <c r="M7218" s="15" t="s">
        <v>10</v>
      </c>
      <c r="N7218" s="15" t="s">
        <v>10</v>
      </c>
      <c r="O7218" s="15">
        <v>1.1581461119827379</v>
      </c>
      <c r="P7218" s="15">
        <v>1.1581461119827379</v>
      </c>
      <c r="Q7218" s="8"/>
      <c r="R7218" s="9" t="s">
        <v>6720</v>
      </c>
    </row>
    <row r="7219" spans="1:18" x14ac:dyDescent="0.25">
      <c r="A7219" s="6" t="str">
        <f>HYPERLINK("proteomic_fractions_linear_files/Yang_linear_img/30425068.jpg", "30425068")</f>
        <v>30425068</v>
      </c>
      <c r="B7219" s="7"/>
      <c r="C7219" s="6" t="str">
        <f>HYPERLINK("http://www.ncbi.nlm.nih.gov/protein/30425068","Ston2")</f>
        <v>Ston2</v>
      </c>
      <c r="D7219" s="8"/>
      <c r="E7219" s="8">
        <v>99480</v>
      </c>
      <c r="F7219" s="8"/>
      <c r="G7219" s="15" t="s">
        <v>10</v>
      </c>
      <c r="H7219" s="15" t="s">
        <v>10</v>
      </c>
      <c r="I7219" s="15" t="s">
        <v>10</v>
      </c>
      <c r="J7219" s="15" t="s">
        <v>10</v>
      </c>
      <c r="K7219" s="15">
        <v>1.5500290013761802</v>
      </c>
      <c r="L7219" s="15">
        <v>1.5500290013761802</v>
      </c>
      <c r="M7219" s="15" t="s">
        <v>10</v>
      </c>
      <c r="N7219" s="15" t="s">
        <v>10</v>
      </c>
      <c r="O7219" s="15">
        <v>1.3002184661122926</v>
      </c>
      <c r="P7219" s="15">
        <v>1.3002184661122926</v>
      </c>
      <c r="Q7219" s="8"/>
      <c r="R7219" s="9" t="s">
        <v>6721</v>
      </c>
    </row>
    <row r="7220" spans="1:18" x14ac:dyDescent="0.25">
      <c r="A7220" s="6" t="str">
        <f>HYPERLINK("proteomic_fractions_linear_files/Yang_linear_img/160707896.jpg", "160707896")</f>
        <v>160707896</v>
      </c>
      <c r="B7220" s="7"/>
      <c r="C7220" s="6" t="str">
        <f>HYPERLINK("http://www.ncbi.nlm.nih.gov/protein/160707896","Strap")</f>
        <v>Strap</v>
      </c>
      <c r="D7220" s="8"/>
      <c r="E7220" s="8">
        <v>38311</v>
      </c>
      <c r="F7220" s="8"/>
      <c r="G7220" s="15">
        <v>0.90929938238092589</v>
      </c>
      <c r="H7220" s="15">
        <v>0.90929938238092589</v>
      </c>
      <c r="I7220" s="15">
        <v>0.90929938238092589</v>
      </c>
      <c r="J7220" s="15">
        <v>0.90929938238092589</v>
      </c>
      <c r="K7220" s="15">
        <v>0.98266648481906815</v>
      </c>
      <c r="L7220" s="15">
        <v>0.98266648481906815</v>
      </c>
      <c r="M7220" s="15">
        <v>0.98266648481906815</v>
      </c>
      <c r="N7220" s="15">
        <v>0.98266648481906815</v>
      </c>
      <c r="O7220" s="15">
        <v>0.90929938238092589</v>
      </c>
      <c r="P7220" s="15">
        <v>0.90929938238092589</v>
      </c>
      <c r="Q7220" s="8"/>
      <c r="R7220" s="9" t="s">
        <v>6722</v>
      </c>
    </row>
    <row r="7221" spans="1:18" x14ac:dyDescent="0.25">
      <c r="A7221" s="6" t="str">
        <f>HYPERLINK("proteomic_fractions_linear_files/Yang_linear_img/114842377.jpg", "114842377")</f>
        <v>114842377</v>
      </c>
      <c r="B7221" s="7"/>
      <c r="C7221" s="6" t="str">
        <f>HYPERLINK("http://www.ncbi.nlm.nih.gov/protein/114842377","Strbp")</f>
        <v>Strbp</v>
      </c>
      <c r="D7221" s="8"/>
      <c r="E7221" s="8">
        <v>73574</v>
      </c>
      <c r="F7221" s="8"/>
      <c r="G7221" s="15" t="s">
        <v>10</v>
      </c>
      <c r="H7221" s="15" t="s">
        <v>10</v>
      </c>
      <c r="I7221" s="15" t="s">
        <v>10</v>
      </c>
      <c r="J7221" s="15" t="s">
        <v>10</v>
      </c>
      <c r="K7221" s="15">
        <v>1.2833510970619528</v>
      </c>
      <c r="L7221" s="15">
        <v>1.2833510970619528</v>
      </c>
      <c r="M7221" s="15">
        <v>1.2833510970619528</v>
      </c>
      <c r="N7221" s="15">
        <v>1.2833510970619528</v>
      </c>
      <c r="O7221" s="15" t="s">
        <v>10</v>
      </c>
      <c r="P7221" s="15" t="s">
        <v>10</v>
      </c>
      <c r="Q7221" s="8"/>
      <c r="R7221" s="9" t="s">
        <v>6723</v>
      </c>
    </row>
    <row r="7222" spans="1:18" x14ac:dyDescent="0.25">
      <c r="A7222" s="6" t="str">
        <f>HYPERLINK("proteomic_fractions_linear_files/Yang_linear_img/169646306.jpg", "169646306")</f>
        <v>169646306</v>
      </c>
      <c r="B7222" s="7"/>
      <c r="C7222" s="6" t="str">
        <f>HYPERLINK("http://www.ncbi.nlm.nih.gov/protein/169646306","Strip1")</f>
        <v>Strip1</v>
      </c>
      <c r="D7222" s="8"/>
      <c r="E7222" s="8">
        <v>95454</v>
      </c>
      <c r="F7222" s="8"/>
      <c r="G7222" s="15" t="s">
        <v>10</v>
      </c>
      <c r="H7222" s="15" t="s">
        <v>10</v>
      </c>
      <c r="I7222" s="15">
        <v>1.1558059349592786</v>
      </c>
      <c r="J7222" s="15">
        <v>1.1558059349592786</v>
      </c>
      <c r="K7222" s="15">
        <v>1.354964506790705</v>
      </c>
      <c r="L7222" s="15">
        <v>1.354964506790705</v>
      </c>
      <c r="M7222" s="15">
        <v>1.1558059349592786</v>
      </c>
      <c r="N7222" s="15">
        <v>1.1558059349592786</v>
      </c>
      <c r="O7222" s="15" t="s">
        <v>10</v>
      </c>
      <c r="P7222" s="15" t="s">
        <v>10</v>
      </c>
      <c r="Q7222" s="8"/>
      <c r="R7222" s="9" t="s">
        <v>6724</v>
      </c>
    </row>
    <row r="7223" spans="1:18" x14ac:dyDescent="0.25">
      <c r="A7223" s="6" t="str">
        <f>HYPERLINK("proteomic_fractions_linear_files/Yang_linear_img/83627724.jpg", "83627724")</f>
        <v>83627724</v>
      </c>
      <c r="B7223" s="7"/>
      <c r="C7223" s="6" t="str">
        <f>HYPERLINK("http://www.ncbi.nlm.nih.gov/protein/83627724","Strip2")</f>
        <v>Strip2</v>
      </c>
      <c r="D7223" s="8"/>
      <c r="E7223" s="8">
        <v>92951</v>
      </c>
      <c r="F7223" s="8"/>
      <c r="G7223" s="15" t="s">
        <v>10</v>
      </c>
      <c r="H7223" s="15" t="s">
        <v>10</v>
      </c>
      <c r="I7223" s="15" t="s">
        <v>10</v>
      </c>
      <c r="J7223" s="15" t="s">
        <v>10</v>
      </c>
      <c r="K7223" s="15">
        <v>1.3841035284421179</v>
      </c>
      <c r="L7223" s="15">
        <v>1.3841035284421179</v>
      </c>
      <c r="M7223" s="15">
        <v>1.180661976571306</v>
      </c>
      <c r="N7223" s="15">
        <v>1.180661976571306</v>
      </c>
      <c r="O7223" s="15" t="s">
        <v>10</v>
      </c>
      <c r="P7223" s="15" t="s">
        <v>10</v>
      </c>
      <c r="Q7223" s="8"/>
      <c r="R7223" s="9" t="s">
        <v>6725</v>
      </c>
    </row>
    <row r="7224" spans="1:18" x14ac:dyDescent="0.25">
      <c r="A7224" s="6" t="str">
        <f>HYPERLINK("proteomic_fractions_linear_files/Yang_linear_img/83627727.jpg", "83627727")</f>
        <v>83627727</v>
      </c>
      <c r="B7224" s="7"/>
      <c r="C7224" s="6" t="str">
        <f>HYPERLINK("http://www.ncbi.nlm.nih.gov/protein/83627727","Strip2")</f>
        <v>Strip2</v>
      </c>
      <c r="D7224" s="8"/>
      <c r="E7224" s="8">
        <v>96164</v>
      </c>
      <c r="F7224" s="8"/>
      <c r="G7224" s="15" t="s">
        <v>10</v>
      </c>
      <c r="H7224" s="15" t="s">
        <v>10</v>
      </c>
      <c r="I7224" s="15" t="s">
        <v>10</v>
      </c>
      <c r="J7224" s="15" t="s">
        <v>10</v>
      </c>
      <c r="K7224" s="15">
        <v>1.3408502931783017</v>
      </c>
      <c r="L7224" s="15">
        <v>1.3408502931783017</v>
      </c>
      <c r="M7224" s="15">
        <v>1.1437662898034529</v>
      </c>
      <c r="N7224" s="15">
        <v>1.1437662898034529</v>
      </c>
      <c r="O7224" s="15" t="s">
        <v>10</v>
      </c>
      <c r="P7224" s="15" t="s">
        <v>10</v>
      </c>
      <c r="Q7224" s="8"/>
      <c r="R7224" s="9" t="s">
        <v>6726</v>
      </c>
    </row>
    <row r="7225" spans="1:18" x14ac:dyDescent="0.25">
      <c r="A7225" s="6" t="str">
        <f>HYPERLINK("proteomic_fractions_linear_files/Yang_linear_img/61098078.jpg", "61098078")</f>
        <v>61098078</v>
      </c>
      <c r="B7225" s="7"/>
      <c r="C7225" s="6" t="str">
        <f>HYPERLINK("http://www.ncbi.nlm.nih.gov/protein/61098078","Strn")</f>
        <v>Strn</v>
      </c>
      <c r="D7225" s="8"/>
      <c r="E7225" s="8">
        <v>85835</v>
      </c>
      <c r="F7225" s="8"/>
      <c r="G7225" s="15" t="s">
        <v>10</v>
      </c>
      <c r="H7225" s="15" t="s">
        <v>10</v>
      </c>
      <c r="I7225" s="15">
        <v>1.2767623700131565</v>
      </c>
      <c r="J7225" s="15">
        <v>1.2767623700131565</v>
      </c>
      <c r="K7225" s="15">
        <v>1.4967631179664764</v>
      </c>
      <c r="L7225" s="15">
        <v>1.4967631179664764</v>
      </c>
      <c r="M7225" s="15">
        <v>1.2767623700131565</v>
      </c>
      <c r="N7225" s="15">
        <v>1.2767623700131565</v>
      </c>
      <c r="O7225" s="15">
        <v>1.2767623700131565</v>
      </c>
      <c r="P7225" s="15">
        <v>1.2767623700131565</v>
      </c>
      <c r="Q7225" s="8"/>
      <c r="R7225" s="9" t="s">
        <v>6727</v>
      </c>
    </row>
    <row r="7226" spans="1:18" x14ac:dyDescent="0.25">
      <c r="A7226" s="6" t="str">
        <f>HYPERLINK("proteomic_fractions_linear_files/Yang_linear_img/16418469.jpg", "16418469")</f>
        <v>16418469</v>
      </c>
      <c r="B7226" s="7"/>
      <c r="C7226" s="6" t="str">
        <f>HYPERLINK("http://www.ncbi.nlm.nih.gov/protein/16418469","Strn3")</f>
        <v>Strn3</v>
      </c>
      <c r="D7226" s="8"/>
      <c r="E7226" s="8">
        <v>87020</v>
      </c>
      <c r="F7226" s="8"/>
      <c r="G7226" s="15" t="s">
        <v>10</v>
      </c>
      <c r="H7226" s="15" t="s">
        <v>10</v>
      </c>
      <c r="I7226" s="15">
        <v>1.0915859906044196</v>
      </c>
      <c r="J7226" s="15">
        <v>1.0915859906044196</v>
      </c>
      <c r="K7226" s="15">
        <v>1.2620869404727755</v>
      </c>
      <c r="L7226" s="15">
        <v>1.2620869404727755</v>
      </c>
      <c r="M7226" s="15">
        <v>1.0915859906044196</v>
      </c>
      <c r="N7226" s="15">
        <v>1.0915859906044196</v>
      </c>
      <c r="O7226" s="15">
        <v>1.0915859906044196</v>
      </c>
      <c r="P7226" s="15">
        <v>1.0915859906044196</v>
      </c>
      <c r="Q7226" s="8"/>
      <c r="R7226" s="9" t="s">
        <v>6728</v>
      </c>
    </row>
    <row r="7227" spans="1:18" x14ac:dyDescent="0.25">
      <c r="A7227" s="6" t="str">
        <f>HYPERLINK("proteomic_fractions_linear_files/Yang_linear_img/285402377.jpg", "285402377")</f>
        <v>285402377</v>
      </c>
      <c r="B7227" s="7"/>
      <c r="C7227" s="6" t="str">
        <f>HYPERLINK("http://www.ncbi.nlm.nih.gov/protein/285402377","Strn3")</f>
        <v>Strn3</v>
      </c>
      <c r="D7227" s="8"/>
      <c r="E7227" s="8">
        <v>77601</v>
      </c>
      <c r="F7227" s="8"/>
      <c r="G7227" s="15" t="s">
        <v>10</v>
      </c>
      <c r="H7227" s="15" t="s">
        <v>10</v>
      </c>
      <c r="I7227" s="15">
        <v>1.2175382202895451</v>
      </c>
      <c r="J7227" s="15">
        <v>1.2175382202895451</v>
      </c>
      <c r="K7227" s="15">
        <v>1.4077123566811727</v>
      </c>
      <c r="L7227" s="15">
        <v>1.4077123566811727</v>
      </c>
      <c r="M7227" s="15">
        <v>1.2175382202895451</v>
      </c>
      <c r="N7227" s="15">
        <v>1.2175382202895451</v>
      </c>
      <c r="O7227" s="15">
        <v>1.2175382202895451</v>
      </c>
      <c r="P7227" s="15">
        <v>1.2175382202895451</v>
      </c>
      <c r="Q7227" s="8"/>
      <c r="R7227" s="9" t="s">
        <v>6729</v>
      </c>
    </row>
    <row r="7228" spans="1:18" x14ac:dyDescent="0.25">
      <c r="A7228" s="6" t="str">
        <f>HYPERLINK("proteomic_fractions_linear_files/Yang_linear_img/89886482.jpg", "89886482")</f>
        <v>89886482</v>
      </c>
      <c r="B7228" s="7"/>
      <c r="C7228" s="6" t="str">
        <f>HYPERLINK("http://www.ncbi.nlm.nih.gov/protein/89886482","Strn4")</f>
        <v>Strn4</v>
      </c>
      <c r="D7228" s="8"/>
      <c r="E7228" s="8">
        <v>81514</v>
      </c>
      <c r="F7228" s="8"/>
      <c r="G7228" s="15" t="s">
        <v>10</v>
      </c>
      <c r="H7228" s="15" t="s">
        <v>10</v>
      </c>
      <c r="I7228" s="15" t="s">
        <v>10</v>
      </c>
      <c r="J7228" s="15" t="s">
        <v>10</v>
      </c>
      <c r="K7228" s="15">
        <v>1.3390434612333106</v>
      </c>
      <c r="L7228" s="15">
        <v>1.3390434612333106</v>
      </c>
      <c r="M7228" s="15">
        <v>1.3390434612333106</v>
      </c>
      <c r="N7228" s="15">
        <v>1.3390434612333106</v>
      </c>
      <c r="O7228" s="15">
        <v>1.1581461119827379</v>
      </c>
      <c r="P7228" s="15">
        <v>1.1581461119827379</v>
      </c>
      <c r="Q7228" s="8"/>
      <c r="R7228" s="9" t="s">
        <v>6730</v>
      </c>
    </row>
    <row r="7229" spans="1:18" x14ac:dyDescent="0.25">
      <c r="A7229" s="6" t="str">
        <f>HYPERLINK("proteomic_fractions_linear_files/Yang_linear_img/89886486.jpg", "89886486")</f>
        <v>89886486</v>
      </c>
      <c r="B7229" s="7"/>
      <c r="C7229" s="6" t="str">
        <f>HYPERLINK("http://www.ncbi.nlm.nih.gov/protein/89886486","Strn4")</f>
        <v>Strn4</v>
      </c>
      <c r="D7229" s="8"/>
      <c r="E7229" s="8">
        <v>80845</v>
      </c>
      <c r="F7229" s="8"/>
      <c r="G7229" s="15" t="s">
        <v>10</v>
      </c>
      <c r="H7229" s="15" t="s">
        <v>10</v>
      </c>
      <c r="I7229" s="15" t="s">
        <v>10</v>
      </c>
      <c r="J7229" s="15" t="s">
        <v>10</v>
      </c>
      <c r="K7229" s="15">
        <v>1.3555748619892773</v>
      </c>
      <c r="L7229" s="15">
        <v>1.3555748619892773</v>
      </c>
      <c r="M7229" s="15">
        <v>1.3555748619892773</v>
      </c>
      <c r="N7229" s="15">
        <v>1.3555748619892773</v>
      </c>
      <c r="O7229" s="15">
        <v>1.1724442121306728</v>
      </c>
      <c r="P7229" s="15">
        <v>1.1724442121306728</v>
      </c>
      <c r="Q7229" s="8"/>
      <c r="R7229" s="9" t="s">
        <v>6731</v>
      </c>
    </row>
    <row r="7230" spans="1:18" x14ac:dyDescent="0.25">
      <c r="A7230" s="6" t="str">
        <f>HYPERLINK("proteomic_fractions_linear_files/Yang_linear_img/148747128.jpg", "148747128")</f>
        <v>148747128</v>
      </c>
      <c r="B7230" s="7"/>
      <c r="C7230" s="6" t="str">
        <f>HYPERLINK("http://www.ncbi.nlm.nih.gov/protein/148747128","Stt3a")</f>
        <v>Stt3a</v>
      </c>
      <c r="D7230" s="8"/>
      <c r="E7230" s="8">
        <v>80467</v>
      </c>
      <c r="F7230" s="8"/>
      <c r="G7230" s="15">
        <v>1.0387332309142983</v>
      </c>
      <c r="H7230" s="15">
        <v>1.0387332309142983</v>
      </c>
      <c r="I7230" s="15">
        <v>0.73466509481992315</v>
      </c>
      <c r="J7230" s="15">
        <v>0.81816579163180414</v>
      </c>
      <c r="K7230" s="15">
        <v>0.91795200302102808</v>
      </c>
      <c r="L7230" s="15">
        <v>0.91795200302102808</v>
      </c>
      <c r="M7230" s="15" t="s">
        <v>10</v>
      </c>
      <c r="N7230" s="15" t="s">
        <v>10</v>
      </c>
      <c r="O7230" s="15" t="s">
        <v>10</v>
      </c>
      <c r="P7230" s="15" t="s">
        <v>10</v>
      </c>
      <c r="Q7230" s="8"/>
      <c r="R7230" s="9" t="s">
        <v>6732</v>
      </c>
    </row>
    <row r="7231" spans="1:18" x14ac:dyDescent="0.25">
      <c r="A7231" s="6" t="str">
        <f>HYPERLINK("proteomic_fractions_linear_files/Yang_linear_img/61651673.jpg", "61651673")</f>
        <v>61651673</v>
      </c>
      <c r="B7231" s="7"/>
      <c r="C7231" s="6" t="str">
        <f>HYPERLINK("http://www.ncbi.nlm.nih.gov/protein/61651673","Stt3b")</f>
        <v>Stt3b</v>
      </c>
      <c r="D7231" s="8"/>
      <c r="E7231" s="8">
        <v>93184</v>
      </c>
      <c r="F7231" s="8"/>
      <c r="G7231" s="15" t="s">
        <v>10</v>
      </c>
      <c r="H7231" s="15" t="s">
        <v>10</v>
      </c>
      <c r="I7231" s="15">
        <v>0.89353396207681568</v>
      </c>
      <c r="J7231" s="15">
        <v>0.89353396207681568</v>
      </c>
      <c r="K7231" s="15">
        <v>1.0211610879847797</v>
      </c>
      <c r="L7231" s="15">
        <v>1.0211610879847797</v>
      </c>
      <c r="M7231" s="15" t="s">
        <v>10</v>
      </c>
      <c r="N7231" s="15" t="s">
        <v>10</v>
      </c>
      <c r="O7231" s="15" t="s">
        <v>10</v>
      </c>
      <c r="P7231" s="15" t="s">
        <v>10</v>
      </c>
      <c r="Q7231" s="8"/>
      <c r="R7231" s="9" t="s">
        <v>6733</v>
      </c>
    </row>
    <row r="7232" spans="1:18" x14ac:dyDescent="0.25">
      <c r="A7232" s="6" t="str">
        <f>HYPERLINK("proteomic_fractions_linear_files/Yang_linear_img/9789907.jpg", "9789907")</f>
        <v>9789907</v>
      </c>
      <c r="B7232" s="7"/>
      <c r="C7232" s="6" t="str">
        <f>HYPERLINK("http://www.ncbi.nlm.nih.gov/protein/9789907","Stub1")</f>
        <v>Stub1</v>
      </c>
      <c r="D7232" s="8"/>
      <c r="E7232" s="8">
        <v>34778</v>
      </c>
      <c r="F7232" s="8"/>
      <c r="G7232" s="15" t="s">
        <v>10</v>
      </c>
      <c r="H7232" s="15" t="s">
        <v>10</v>
      </c>
      <c r="I7232" s="15">
        <v>0.91668779587810256</v>
      </c>
      <c r="J7232" s="15">
        <v>0.91668779587810256</v>
      </c>
      <c r="K7232" s="15">
        <v>0.91668779587810256</v>
      </c>
      <c r="L7232" s="15">
        <v>0.91668779587810256</v>
      </c>
      <c r="M7232" s="15">
        <v>0.91668779587810256</v>
      </c>
      <c r="N7232" s="15">
        <v>0.91668779587810256</v>
      </c>
      <c r="O7232" s="15">
        <v>0.79766317993377311</v>
      </c>
      <c r="P7232" s="15">
        <v>0.79766317993377311</v>
      </c>
      <c r="Q7232" s="8"/>
      <c r="R7232" s="9" t="s">
        <v>6734</v>
      </c>
    </row>
    <row r="7233" spans="1:18" x14ac:dyDescent="0.25">
      <c r="A7233" s="6" t="str">
        <f>HYPERLINK("proteomic_fractions_linear_files/Yang_linear_img/19527102.jpg", "19527102")</f>
        <v>19527102</v>
      </c>
      <c r="B7233" s="7"/>
      <c r="C7233" s="6" t="str">
        <f>HYPERLINK("http://www.ncbi.nlm.nih.gov/protein/19527102","Stx12")</f>
        <v>Stx12</v>
      </c>
      <c r="D7233" s="8"/>
      <c r="E7233" s="8">
        <v>31064</v>
      </c>
      <c r="F7233" s="8"/>
      <c r="G7233" s="15">
        <v>0.96404538360364944</v>
      </c>
      <c r="H7233" s="15">
        <v>1.3066876839749273</v>
      </c>
      <c r="I7233" s="15">
        <v>0.96404538360364944</v>
      </c>
      <c r="J7233" s="15">
        <v>0.96404538360364944</v>
      </c>
      <c r="K7233" s="15">
        <v>1.1146250493701673</v>
      </c>
      <c r="L7233" s="15">
        <v>1.1146250493701673</v>
      </c>
      <c r="M7233" s="15">
        <v>1.0349700921204383</v>
      </c>
      <c r="N7233" s="15">
        <v>1.0349700921204383</v>
      </c>
      <c r="O7233" s="15">
        <v>0.84355671340080651</v>
      </c>
      <c r="P7233" s="15">
        <v>0.84355671340080651</v>
      </c>
      <c r="Q7233" s="8"/>
      <c r="R7233" s="9" t="s">
        <v>6735</v>
      </c>
    </row>
    <row r="7234" spans="1:18" x14ac:dyDescent="0.25">
      <c r="A7234" s="6" t="str">
        <f>HYPERLINK("proteomic_fractions_linear_files/Yang_linear_img/156231057.jpg", "156231057")</f>
        <v>156231057</v>
      </c>
      <c r="B7234" s="7"/>
      <c r="C7234" s="6" t="str">
        <f>HYPERLINK("http://www.ncbi.nlm.nih.gov/protein/156231057","Stx16")</f>
        <v>Stx16</v>
      </c>
      <c r="D7234" s="8"/>
      <c r="E7234" s="8">
        <v>36949</v>
      </c>
      <c r="F7234" s="8"/>
      <c r="G7234" s="15" t="s">
        <v>10</v>
      </c>
      <c r="H7234" s="15" t="s">
        <v>10</v>
      </c>
      <c r="I7234" s="15">
        <v>1.0092250384628267</v>
      </c>
      <c r="J7234" s="15">
        <v>1.0092250384628267</v>
      </c>
      <c r="K7234" s="15">
        <v>1.0947923838708851</v>
      </c>
      <c r="L7234" s="15">
        <v>1.0947923838708851</v>
      </c>
      <c r="M7234" s="15">
        <v>1.0092250384628267</v>
      </c>
      <c r="N7234" s="15">
        <v>1.0092250384628267</v>
      </c>
      <c r="O7234" s="15" t="s">
        <v>10</v>
      </c>
      <c r="P7234" s="15" t="s">
        <v>10</v>
      </c>
      <c r="Q7234" s="8"/>
      <c r="R7234" s="9" t="s">
        <v>6736</v>
      </c>
    </row>
    <row r="7235" spans="1:18" x14ac:dyDescent="0.25">
      <c r="A7235" s="6" t="str">
        <f>HYPERLINK("proteomic_fractions_linear_files/Yang_linear_img/156231059.jpg", "156231059")</f>
        <v>156231059</v>
      </c>
      <c r="B7235" s="7"/>
      <c r="C7235" s="6" t="str">
        <f>HYPERLINK("http://www.ncbi.nlm.nih.gov/protein/156231059","Stx16")</f>
        <v>Stx16</v>
      </c>
      <c r="D7235" s="8"/>
      <c r="E7235" s="8">
        <v>36463</v>
      </c>
      <c r="F7235" s="8"/>
      <c r="G7235" s="15" t="s">
        <v>10</v>
      </c>
      <c r="H7235" s="15" t="s">
        <v>10</v>
      </c>
      <c r="I7235" s="15">
        <v>1.0372590673090165</v>
      </c>
      <c r="J7235" s="15">
        <v>1.0372590673090165</v>
      </c>
      <c r="K7235" s="15">
        <v>1.125203283422854</v>
      </c>
      <c r="L7235" s="15">
        <v>1.125203283422854</v>
      </c>
      <c r="M7235" s="15">
        <v>1.0372590673090165</v>
      </c>
      <c r="N7235" s="15">
        <v>1.0372590673090165</v>
      </c>
      <c r="O7235" s="15" t="s">
        <v>10</v>
      </c>
      <c r="P7235" s="15" t="s">
        <v>10</v>
      </c>
      <c r="Q7235" s="8"/>
      <c r="R7235" s="9" t="s">
        <v>6737</v>
      </c>
    </row>
    <row r="7236" spans="1:18" x14ac:dyDescent="0.25">
      <c r="A7236" s="6" t="str">
        <f>HYPERLINK("proteomic_fractions_linear_files/Yang_linear_img/156231061.jpg", "156231061")</f>
        <v>156231061</v>
      </c>
      <c r="B7236" s="7"/>
      <c r="C7236" s="6" t="str">
        <f>HYPERLINK("http://www.ncbi.nlm.nih.gov/protein/156231061","Stx16")</f>
        <v>Stx16</v>
      </c>
      <c r="D7236" s="8"/>
      <c r="E7236" s="8">
        <v>35229</v>
      </c>
      <c r="F7236" s="8"/>
      <c r="G7236" s="15" t="s">
        <v>10</v>
      </c>
      <c r="H7236" s="15" t="s">
        <v>10</v>
      </c>
      <c r="I7236" s="15">
        <v>1.0668950406607027</v>
      </c>
      <c r="J7236" s="15">
        <v>1.0668950406607027</v>
      </c>
      <c r="K7236" s="15">
        <v>1.1573519486635071</v>
      </c>
      <c r="L7236" s="15">
        <v>1.1573519486635071</v>
      </c>
      <c r="M7236" s="15">
        <v>1.0668950406607027</v>
      </c>
      <c r="N7236" s="15">
        <v>1.0668950406607027</v>
      </c>
      <c r="O7236" s="15" t="s">
        <v>10</v>
      </c>
      <c r="P7236" s="15" t="s">
        <v>10</v>
      </c>
      <c r="Q7236" s="8"/>
      <c r="R7236" s="9" t="s">
        <v>6738</v>
      </c>
    </row>
    <row r="7237" spans="1:18" x14ac:dyDescent="0.25">
      <c r="A7237" s="6" t="str">
        <f>HYPERLINK("proteomic_fractions_linear_files/Yang_linear_img/156231063.jpg", "156231063")</f>
        <v>156231063</v>
      </c>
      <c r="B7237" s="7"/>
      <c r="C7237" s="6" t="str">
        <f>HYPERLINK("http://www.ncbi.nlm.nih.gov/protein/156231063","Stx16")</f>
        <v>Stx16</v>
      </c>
      <c r="D7237" s="8"/>
      <c r="E7237" s="8">
        <v>34743</v>
      </c>
      <c r="F7237" s="8"/>
      <c r="G7237" s="15" t="s">
        <v>10</v>
      </c>
      <c r="H7237" s="15" t="s">
        <v>10</v>
      </c>
      <c r="I7237" s="15">
        <v>1.0668950406607027</v>
      </c>
      <c r="J7237" s="15">
        <v>1.0668950406607027</v>
      </c>
      <c r="K7237" s="15">
        <v>1.1573519486635071</v>
      </c>
      <c r="L7237" s="15">
        <v>1.1573519486635071</v>
      </c>
      <c r="M7237" s="15">
        <v>1.0668950406607027</v>
      </c>
      <c r="N7237" s="15">
        <v>1.0668950406607027</v>
      </c>
      <c r="O7237" s="15" t="s">
        <v>10</v>
      </c>
      <c r="P7237" s="15" t="s">
        <v>10</v>
      </c>
      <c r="Q7237" s="8"/>
      <c r="R7237" s="9" t="s">
        <v>6739</v>
      </c>
    </row>
    <row r="7238" spans="1:18" x14ac:dyDescent="0.25">
      <c r="A7238" s="6" t="str">
        <f>HYPERLINK("proteomic_fractions_linear_files/Yang_linear_img/84579893.jpg", "84579893")</f>
        <v>84579893</v>
      </c>
      <c r="B7238" s="7"/>
      <c r="C7238" s="6" t="str">
        <f>HYPERLINK("http://www.ncbi.nlm.nih.gov/protein/84579893","Stx17")</f>
        <v>Stx17</v>
      </c>
      <c r="D7238" s="8"/>
      <c r="E7238" s="8">
        <v>33090</v>
      </c>
      <c r="F7238" s="8"/>
      <c r="G7238" s="15" t="s">
        <v>10</v>
      </c>
      <c r="H7238" s="15" t="s">
        <v>10</v>
      </c>
      <c r="I7238" s="15">
        <v>1.0470720160750056</v>
      </c>
      <c r="J7238" s="15">
        <v>1.0470720160750056</v>
      </c>
      <c r="K7238" s="15" t="s">
        <v>10</v>
      </c>
      <c r="L7238" s="15" t="s">
        <v>10</v>
      </c>
      <c r="M7238" s="15" t="s">
        <v>10</v>
      </c>
      <c r="N7238" s="15" t="s">
        <v>10</v>
      </c>
      <c r="O7238" s="15" t="s">
        <v>10</v>
      </c>
      <c r="P7238" s="15" t="s">
        <v>10</v>
      </c>
      <c r="Q7238" s="8"/>
      <c r="R7238" s="9" t="s">
        <v>6740</v>
      </c>
    </row>
    <row r="7239" spans="1:18" x14ac:dyDescent="0.25">
      <c r="A7239" s="6" t="str">
        <f>HYPERLINK("proteomic_fractions_linear_files/Yang_linear_img/77736535.jpg", "77736535")</f>
        <v>77736535</v>
      </c>
      <c r="B7239" s="7"/>
      <c r="C7239" s="6" t="str">
        <f>HYPERLINK("http://www.ncbi.nlm.nih.gov/protein/77736535","Stx18")</f>
        <v>Stx18</v>
      </c>
      <c r="D7239" s="8"/>
      <c r="E7239" s="8">
        <v>38250</v>
      </c>
      <c r="F7239" s="8"/>
      <c r="G7239" s="15" t="s">
        <v>10</v>
      </c>
      <c r="H7239" s="15" t="s">
        <v>10</v>
      </c>
      <c r="I7239" s="15">
        <v>1.0659820579795458</v>
      </c>
      <c r="J7239" s="15">
        <v>1.0659820579795458</v>
      </c>
      <c r="K7239" s="15" t="s">
        <v>10</v>
      </c>
      <c r="L7239" s="15" t="s">
        <v>10</v>
      </c>
      <c r="M7239" s="15" t="s">
        <v>10</v>
      </c>
      <c r="N7239" s="15" t="s">
        <v>10</v>
      </c>
      <c r="O7239" s="15" t="s">
        <v>10</v>
      </c>
      <c r="P7239" s="15" t="s">
        <v>10</v>
      </c>
      <c r="Q7239" s="8"/>
      <c r="R7239" s="9" t="s">
        <v>6741</v>
      </c>
    </row>
    <row r="7240" spans="1:18" x14ac:dyDescent="0.25">
      <c r="A7240" s="6" t="str">
        <f>HYPERLINK("proteomic_fractions_linear_files/Yang_linear_img/22726207.jpg", "22726207")</f>
        <v>22726207</v>
      </c>
      <c r="B7240" s="7"/>
      <c r="C7240" s="6" t="str">
        <f>HYPERLINK("http://www.ncbi.nlm.nih.gov/protein/22726207","Stx3")</f>
        <v>Stx3</v>
      </c>
      <c r="D7240" s="8"/>
      <c r="E7240" s="8">
        <v>30803</v>
      </c>
      <c r="F7240" s="8"/>
      <c r="G7240" s="15" t="s">
        <v>10</v>
      </c>
      <c r="H7240" s="15" t="s">
        <v>10</v>
      </c>
      <c r="I7240" s="15">
        <v>1.0349700921204383</v>
      </c>
      <c r="J7240" s="15">
        <v>1.0349700921204383</v>
      </c>
      <c r="K7240" s="15">
        <v>1.0349700921204383</v>
      </c>
      <c r="L7240" s="15">
        <v>1.0349700921204383</v>
      </c>
      <c r="M7240" s="15" t="s">
        <v>10</v>
      </c>
      <c r="N7240" s="15" t="s">
        <v>10</v>
      </c>
      <c r="O7240" s="15" t="s">
        <v>10</v>
      </c>
      <c r="P7240" s="15" t="s">
        <v>10</v>
      </c>
      <c r="Q7240" s="8"/>
      <c r="R7240" s="9" t="s">
        <v>6742</v>
      </c>
    </row>
    <row r="7241" spans="1:18" x14ac:dyDescent="0.25">
      <c r="A7241" s="6" t="str">
        <f>HYPERLINK("proteomic_fractions_linear_files/Yang_linear_img/70778802.jpg", "70778802")</f>
        <v>70778802</v>
      </c>
      <c r="B7241" s="7"/>
      <c r="C7241" s="6" t="str">
        <f>HYPERLINK("http://www.ncbi.nlm.nih.gov/protein/70778802","Stx3")</f>
        <v>Stx3</v>
      </c>
      <c r="D7241" s="8"/>
      <c r="E7241" s="8">
        <v>32822</v>
      </c>
      <c r="F7241" s="8"/>
      <c r="G7241" s="15" t="s">
        <v>10</v>
      </c>
      <c r="H7241" s="15" t="s">
        <v>10</v>
      </c>
      <c r="I7241" s="15">
        <v>0.9722446319919269</v>
      </c>
      <c r="J7241" s="15">
        <v>0.9722446319919269</v>
      </c>
      <c r="K7241" s="15">
        <v>0.9722446319919269</v>
      </c>
      <c r="L7241" s="15">
        <v>0.9722446319919269</v>
      </c>
      <c r="M7241" s="15" t="s">
        <v>10</v>
      </c>
      <c r="N7241" s="15" t="s">
        <v>10</v>
      </c>
      <c r="O7241" s="15" t="s">
        <v>10</v>
      </c>
      <c r="P7241" s="15" t="s">
        <v>10</v>
      </c>
      <c r="Q7241" s="8"/>
      <c r="R7241" s="9" t="s">
        <v>6743</v>
      </c>
    </row>
    <row r="7242" spans="1:18" x14ac:dyDescent="0.25">
      <c r="A7242" s="6" t="str">
        <f>HYPERLINK("proteomic_fractions_linear_files/Yang_linear_img/70778911.jpg", "70778911")</f>
        <v>70778911</v>
      </c>
      <c r="B7242" s="7"/>
      <c r="C7242" s="6" t="str">
        <f>HYPERLINK("http://www.ncbi.nlm.nih.gov/protein/70778911","Stx3")</f>
        <v>Stx3</v>
      </c>
      <c r="D7242" s="8"/>
      <c r="E7242" s="8">
        <v>33112</v>
      </c>
      <c r="F7242" s="8"/>
      <c r="G7242" s="15" t="s">
        <v>10</v>
      </c>
      <c r="H7242" s="15" t="s">
        <v>10</v>
      </c>
      <c r="I7242" s="15">
        <v>0.9722446319919269</v>
      </c>
      <c r="J7242" s="15">
        <v>0.9722446319919269</v>
      </c>
      <c r="K7242" s="15">
        <v>0.9722446319919269</v>
      </c>
      <c r="L7242" s="15">
        <v>0.9722446319919269</v>
      </c>
      <c r="M7242" s="15" t="s">
        <v>10</v>
      </c>
      <c r="N7242" s="15" t="s">
        <v>10</v>
      </c>
      <c r="O7242" s="15" t="s">
        <v>10</v>
      </c>
      <c r="P7242" s="15" t="s">
        <v>10</v>
      </c>
      <c r="Q7242" s="8"/>
      <c r="R7242" s="9" t="s">
        <v>6744</v>
      </c>
    </row>
    <row r="7243" spans="1:18" x14ac:dyDescent="0.25">
      <c r="A7243" s="6" t="str">
        <f>HYPERLINK("proteomic_fractions_linear_files/Yang_linear_img/6678177.jpg", "6678177")</f>
        <v>6678177</v>
      </c>
      <c r="B7243" s="7"/>
      <c r="C7243" s="6" t="str">
        <f>HYPERLINK("http://www.ncbi.nlm.nih.gov/protein/6678177","Stx4a")</f>
        <v>Stx4a</v>
      </c>
      <c r="D7243" s="8"/>
      <c r="E7243" s="8">
        <v>34034</v>
      </c>
      <c r="F7243" s="8"/>
      <c r="G7243" s="15" t="s">
        <v>10</v>
      </c>
      <c r="H7243" s="15" t="s">
        <v>10</v>
      </c>
      <c r="I7243" s="15">
        <v>0.87898255563862149</v>
      </c>
      <c r="J7243" s="15">
        <v>0.87898255563862149</v>
      </c>
      <c r="K7243" s="15">
        <v>0.94364920163922317</v>
      </c>
      <c r="L7243" s="15">
        <v>0.94364920163922317</v>
      </c>
      <c r="M7243" s="15">
        <v>0.94364920163922317</v>
      </c>
      <c r="N7243" s="15">
        <v>0.94364920163922317</v>
      </c>
      <c r="O7243" s="15" t="s">
        <v>10</v>
      </c>
      <c r="P7243" s="15" t="s">
        <v>10</v>
      </c>
      <c r="Q7243" s="8"/>
      <c r="R7243" s="9" t="s">
        <v>6745</v>
      </c>
    </row>
    <row r="7244" spans="1:18" x14ac:dyDescent="0.25">
      <c r="A7244" s="6" t="str">
        <f>HYPERLINK("proteomic_fractions_linear_files/Yang_linear_img/268370185;268370181.jpg", "268370185;268370181")</f>
        <v>268370185;268370181</v>
      </c>
      <c r="B7244" s="8"/>
      <c r="C7244" s="6" t="str">
        <f>HYPERLINK("http://www.ncbi.nlm.nih.gov/protein/268370185;268370181","Stx5a")</f>
        <v>Stx5a</v>
      </c>
      <c r="D7244" s="8"/>
      <c r="E7244" s="8">
        <v>39582</v>
      </c>
      <c r="F7244" s="8"/>
      <c r="G7244" s="15" t="s">
        <v>10</v>
      </c>
      <c r="H7244" s="15" t="s">
        <v>10</v>
      </c>
      <c r="I7244" s="15" t="s">
        <v>10</v>
      </c>
      <c r="J7244" s="15" t="s">
        <v>10</v>
      </c>
      <c r="K7244" s="15">
        <v>1.0126829550805687</v>
      </c>
      <c r="L7244" s="15">
        <v>1.0126829550805687</v>
      </c>
      <c r="M7244" s="15" t="s">
        <v>10</v>
      </c>
      <c r="N7244" s="15" t="s">
        <v>10</v>
      </c>
      <c r="O7244" s="15" t="s">
        <v>10</v>
      </c>
      <c r="P7244" s="15" t="s">
        <v>10</v>
      </c>
      <c r="Q7244" s="8"/>
      <c r="R7244" s="9" t="s">
        <v>6746</v>
      </c>
    </row>
    <row r="7245" spans="1:18" x14ac:dyDescent="0.25">
      <c r="A7245" s="6" t="str">
        <f>HYPERLINK("proteomic_fractions_linear_files/Yang_linear_img/268370181;268370185.jpg", "268370181;268370185")</f>
        <v>268370181;268370185</v>
      </c>
      <c r="B7245" s="8"/>
      <c r="C7245" s="6" t="str">
        <f>HYPERLINK("http://www.ncbi.nlm.nih.gov/protein/268370181;268370185","Stx5a")</f>
        <v>Stx5a</v>
      </c>
      <c r="D7245" s="8"/>
      <c r="E7245" s="8">
        <v>39582</v>
      </c>
      <c r="F7245" s="8"/>
      <c r="G7245" s="15" t="s">
        <v>10</v>
      </c>
      <c r="H7245" s="15" t="s">
        <v>10</v>
      </c>
      <c r="I7245" s="15">
        <v>0.74713517229282833</v>
      </c>
      <c r="J7245" s="15">
        <v>0.74713517229282833</v>
      </c>
      <c r="K7245" s="15" t="s">
        <v>10</v>
      </c>
      <c r="L7245" s="15" t="s">
        <v>10</v>
      </c>
      <c r="M7245" s="15">
        <v>0.74713517229282833</v>
      </c>
      <c r="N7245" s="15">
        <v>0.74713517229282833</v>
      </c>
      <c r="O7245" s="15" t="s">
        <v>10</v>
      </c>
      <c r="P7245" s="15" t="s">
        <v>10</v>
      </c>
      <c r="Q7245" s="8"/>
      <c r="R7245" s="9" t="s">
        <v>6746</v>
      </c>
    </row>
    <row r="7246" spans="1:18" x14ac:dyDescent="0.25">
      <c r="A7246" s="6" t="str">
        <f>HYPERLINK("proteomic_fractions_linear_files/Yang_linear_img/10946800.jpg", "10946800")</f>
        <v>10946800</v>
      </c>
      <c r="B7246" s="7"/>
      <c r="C7246" s="6" t="str">
        <f>HYPERLINK("http://www.ncbi.nlm.nih.gov/protein/10946800","Stx6")</f>
        <v>Stx6</v>
      </c>
      <c r="D7246" s="8"/>
      <c r="E7246" s="8">
        <v>28866</v>
      </c>
      <c r="F7246" s="8"/>
      <c r="G7246" s="15" t="s">
        <v>10</v>
      </c>
      <c r="H7246" s="15" t="s">
        <v>10</v>
      </c>
      <c r="I7246" s="15">
        <v>0.96269694129938133</v>
      </c>
      <c r="J7246" s="15">
        <v>0.96269694129938133</v>
      </c>
      <c r="K7246" s="15">
        <v>1.0305312721280391</v>
      </c>
      <c r="L7246" s="15">
        <v>1.0305312721280391</v>
      </c>
      <c r="M7246" s="15">
        <v>0.96269694129938133</v>
      </c>
      <c r="N7246" s="15">
        <v>0.96269694129938133</v>
      </c>
      <c r="O7246" s="15" t="s">
        <v>10</v>
      </c>
      <c r="P7246" s="15" t="s">
        <v>10</v>
      </c>
      <c r="Q7246" s="8"/>
      <c r="R7246" s="9" t="s">
        <v>6747</v>
      </c>
    </row>
    <row r="7247" spans="1:18" x14ac:dyDescent="0.25">
      <c r="A7247" s="6" t="str">
        <f>HYPERLINK("proteomic_fractions_linear_files/Yang_linear_img/31560462.jpg", "31560462")</f>
        <v>31560462</v>
      </c>
      <c r="B7247" s="7"/>
      <c r="C7247" s="6" t="str">
        <f>HYPERLINK("http://www.ncbi.nlm.nih.gov/protein/31560462","Stx7")</f>
        <v>Stx7</v>
      </c>
      <c r="D7247" s="8"/>
      <c r="E7247" s="8">
        <v>29605</v>
      </c>
      <c r="F7247" s="8"/>
      <c r="G7247" s="15">
        <v>1.470852974898849</v>
      </c>
      <c r="H7247" s="15">
        <v>1.470852974898849</v>
      </c>
      <c r="I7247" s="15">
        <v>1.0694690951911197</v>
      </c>
      <c r="J7247" s="15">
        <v>1.0694690951911197</v>
      </c>
      <c r="K7247" s="15">
        <v>1.0694690951911197</v>
      </c>
      <c r="L7247" s="15">
        <v>1.0694690951911197</v>
      </c>
      <c r="M7247" s="15">
        <v>1.0694690951911197</v>
      </c>
      <c r="N7247" s="15">
        <v>1.0694690951911197</v>
      </c>
      <c r="O7247" s="15">
        <v>0.87167527051416671</v>
      </c>
      <c r="P7247" s="15">
        <v>0.87167527051416671</v>
      </c>
      <c r="Q7247" s="8"/>
      <c r="R7247" s="9" t="s">
        <v>6748</v>
      </c>
    </row>
    <row r="7248" spans="1:18" x14ac:dyDescent="0.25">
      <c r="A7248" s="6" t="str">
        <f>HYPERLINK("proteomic_fractions_linear_files/Yang_linear_img/9055356.jpg", "9055356")</f>
        <v>9055356</v>
      </c>
      <c r="B7248" s="7"/>
      <c r="C7248" s="6" t="str">
        <f>HYPERLINK("http://www.ncbi.nlm.nih.gov/protein/9055356","Stx8")</f>
        <v>Stx8</v>
      </c>
      <c r="D7248" s="8"/>
      <c r="E7248" s="8">
        <v>26794</v>
      </c>
      <c r="F7248" s="8"/>
      <c r="G7248" s="15">
        <v>1.1882989946567994</v>
      </c>
      <c r="H7248" s="15">
        <v>1.1882989946567994</v>
      </c>
      <c r="I7248" s="15">
        <v>0.855910124989535</v>
      </c>
      <c r="J7248" s="15">
        <v>0.855910124989535</v>
      </c>
      <c r="K7248" s="15" t="s">
        <v>10</v>
      </c>
      <c r="L7248" s="15" t="s">
        <v>10</v>
      </c>
      <c r="M7248" s="15" t="s">
        <v>10</v>
      </c>
      <c r="N7248" s="15" t="s">
        <v>10</v>
      </c>
      <c r="O7248" s="15" t="s">
        <v>10</v>
      </c>
      <c r="P7248" s="15" t="s">
        <v>10</v>
      </c>
      <c r="Q7248" s="8"/>
      <c r="R7248" s="9" t="s">
        <v>6749</v>
      </c>
    </row>
    <row r="7249" spans="1:18" x14ac:dyDescent="0.25">
      <c r="A7249" s="6" t="str">
        <f>HYPERLINK("proteomic_fractions_linear_files/Yang_linear_img/165972305.jpg", "165972305")</f>
        <v>165972305</v>
      </c>
      <c r="B7249" s="7"/>
      <c r="C7249" s="6" t="str">
        <f>HYPERLINK("http://www.ncbi.nlm.nih.gov/protein/165972305","Stxbp1")</f>
        <v>Stxbp1</v>
      </c>
      <c r="D7249" s="8"/>
      <c r="E7249" s="8">
        <v>67438</v>
      </c>
      <c r="F7249" s="8"/>
      <c r="G7249" s="15" t="s">
        <v>10</v>
      </c>
      <c r="H7249" s="15" t="s">
        <v>10</v>
      </c>
      <c r="I7249" s="15">
        <v>0.97691437806782588</v>
      </c>
      <c r="J7249" s="15">
        <v>0.97691437806782588</v>
      </c>
      <c r="K7249" s="15">
        <v>1.0960620931594365</v>
      </c>
      <c r="L7249" s="15">
        <v>1.0960620931594365</v>
      </c>
      <c r="M7249" s="15" t="s">
        <v>10</v>
      </c>
      <c r="N7249" s="15" t="s">
        <v>10</v>
      </c>
      <c r="O7249" s="15" t="s">
        <v>10</v>
      </c>
      <c r="P7249" s="15" t="s">
        <v>10</v>
      </c>
      <c r="Q7249" s="8"/>
      <c r="R7249" s="9" t="s">
        <v>6750</v>
      </c>
    </row>
    <row r="7250" spans="1:18" x14ac:dyDescent="0.25">
      <c r="A7250" s="6" t="str">
        <f>HYPERLINK("proteomic_fractions_linear_files/Yang_linear_img/165972307.jpg", "165972307")</f>
        <v>165972307</v>
      </c>
      <c r="B7250" s="7"/>
      <c r="C7250" s="6" t="str">
        <f>HYPERLINK("http://www.ncbi.nlm.nih.gov/protein/165972307","Stxbp1")</f>
        <v>Stxbp1</v>
      </c>
      <c r="D7250" s="8"/>
      <c r="E7250" s="8">
        <v>68605</v>
      </c>
      <c r="F7250" s="8"/>
      <c r="G7250" s="15" t="s">
        <v>10</v>
      </c>
      <c r="H7250" s="15" t="s">
        <v>10</v>
      </c>
      <c r="I7250" s="15">
        <v>0.94859801928325116</v>
      </c>
      <c r="J7250" s="15">
        <v>0.94859801928325116</v>
      </c>
      <c r="K7250" s="15">
        <v>1.0642921774156846</v>
      </c>
      <c r="L7250" s="15">
        <v>1.0642921774156846</v>
      </c>
      <c r="M7250" s="15" t="s">
        <v>10</v>
      </c>
      <c r="N7250" s="15" t="s">
        <v>10</v>
      </c>
      <c r="O7250" s="15" t="s">
        <v>10</v>
      </c>
      <c r="P7250" s="15" t="s">
        <v>10</v>
      </c>
      <c r="Q7250" s="8"/>
      <c r="R7250" s="9" t="s">
        <v>6751</v>
      </c>
    </row>
    <row r="7251" spans="1:18" x14ac:dyDescent="0.25">
      <c r="A7251" s="6" t="str">
        <f>HYPERLINK("proteomic_fractions_linear_files/Yang_linear_img/6755688.jpg", "6755688")</f>
        <v>6755688</v>
      </c>
      <c r="B7251" s="7"/>
      <c r="C7251" s="6" t="str">
        <f>HYPERLINK("http://www.ncbi.nlm.nih.gov/protein/6755688","Stxbp2")</f>
        <v>Stxbp2</v>
      </c>
      <c r="D7251" s="8"/>
      <c r="E7251" s="8">
        <v>66227</v>
      </c>
      <c r="F7251" s="8"/>
      <c r="G7251" s="15">
        <v>1.2590705829264222</v>
      </c>
      <c r="H7251" s="15">
        <v>1.2590705829264222</v>
      </c>
      <c r="I7251" s="15">
        <v>0.99171611106885349</v>
      </c>
      <c r="J7251" s="15">
        <v>0.99171611106885349</v>
      </c>
      <c r="K7251" s="15">
        <v>1.1126690945709432</v>
      </c>
      <c r="L7251" s="15">
        <v>1.1126690945709432</v>
      </c>
      <c r="M7251" s="15">
        <v>1.1126690945709432</v>
      </c>
      <c r="N7251" s="15">
        <v>1.1126690945709432</v>
      </c>
      <c r="O7251" s="15">
        <v>0.99171611106885349</v>
      </c>
      <c r="P7251" s="15">
        <v>0.99171611106885349</v>
      </c>
      <c r="Q7251" s="8"/>
      <c r="R7251" s="9" t="s">
        <v>6752</v>
      </c>
    </row>
    <row r="7252" spans="1:18" x14ac:dyDescent="0.25">
      <c r="A7252" s="6" t="str">
        <f>HYPERLINK("proteomic_fractions_linear_files/Yang_linear_img/6755690.jpg", "6755690")</f>
        <v>6755690</v>
      </c>
      <c r="B7252" s="7"/>
      <c r="C7252" s="6" t="str">
        <f>HYPERLINK("http://www.ncbi.nlm.nih.gov/protein/6755690","Stxbp3a")</f>
        <v>Stxbp3a</v>
      </c>
      <c r="D7252" s="8"/>
      <c r="E7252" s="8">
        <v>67812</v>
      </c>
      <c r="F7252" s="8"/>
      <c r="G7252" s="15" t="s">
        <v>10</v>
      </c>
      <c r="H7252" s="15" t="s">
        <v>10</v>
      </c>
      <c r="I7252" s="15">
        <v>0.96254799015506365</v>
      </c>
      <c r="J7252" s="15">
        <v>0.96254799015506365</v>
      </c>
      <c r="K7252" s="15">
        <v>1.0799435329659153</v>
      </c>
      <c r="L7252" s="15">
        <v>1.0799435329659153</v>
      </c>
      <c r="M7252" s="15" t="s">
        <v>10</v>
      </c>
      <c r="N7252" s="15" t="s">
        <v>10</v>
      </c>
      <c r="O7252" s="15" t="s">
        <v>10</v>
      </c>
      <c r="P7252" s="15" t="s">
        <v>10</v>
      </c>
      <c r="Q7252" s="8"/>
      <c r="R7252" s="9" t="s">
        <v>6753</v>
      </c>
    </row>
    <row r="7253" spans="1:18" x14ac:dyDescent="0.25">
      <c r="A7253" s="6" t="str">
        <f>HYPERLINK("proteomic_fractions_linear_files/Yang_linear_img/6755692.jpg", "6755692")</f>
        <v>6755692</v>
      </c>
      <c r="B7253" s="7"/>
      <c r="C7253" s="6" t="str">
        <f>HYPERLINK("http://www.ncbi.nlm.nih.gov/protein/6755692","Stxbp4")</f>
        <v>Stxbp4</v>
      </c>
      <c r="D7253" s="8"/>
      <c r="E7253" s="8">
        <v>61558</v>
      </c>
      <c r="F7253" s="8"/>
      <c r="G7253" s="15" t="s">
        <v>10</v>
      </c>
      <c r="H7253" s="15" t="s">
        <v>10</v>
      </c>
      <c r="I7253" s="15" t="s">
        <v>10</v>
      </c>
      <c r="J7253" s="15" t="s">
        <v>10</v>
      </c>
      <c r="K7253" s="15">
        <v>1.1844541974464877</v>
      </c>
      <c r="L7253" s="15">
        <v>1.1844541974464877</v>
      </c>
      <c r="M7253" s="15" t="s">
        <v>10</v>
      </c>
      <c r="N7253" s="15" t="s">
        <v>10</v>
      </c>
      <c r="O7253" s="15">
        <v>1.0556977956539408</v>
      </c>
      <c r="P7253" s="15">
        <v>1.0556977956539408</v>
      </c>
      <c r="Q7253" s="8"/>
      <c r="R7253" s="9" t="s">
        <v>6754</v>
      </c>
    </row>
    <row r="7254" spans="1:18" x14ac:dyDescent="0.25">
      <c r="A7254" s="6" t="str">
        <f>HYPERLINK("proteomic_fractions_linear_files/Yang_linear_img/158749547.jpg", "158749547")</f>
        <v>158749547</v>
      </c>
      <c r="B7254" s="7"/>
      <c r="C7254" s="6" t="str">
        <f>HYPERLINK("http://www.ncbi.nlm.nih.gov/protein/158749547","Stxbp5")</f>
        <v>Stxbp5</v>
      </c>
      <c r="D7254" s="8"/>
      <c r="E7254" s="8">
        <v>123472</v>
      </c>
      <c r="F7254" s="8"/>
      <c r="G7254" s="15" t="s">
        <v>10</v>
      </c>
      <c r="H7254" s="15" t="s">
        <v>10</v>
      </c>
      <c r="I7254" s="15">
        <v>1.2475843181808279</v>
      </c>
      <c r="J7254" s="15">
        <v>1.2475843181808279</v>
      </c>
      <c r="K7254" s="15">
        <v>1.2475843181808279</v>
      </c>
      <c r="L7254" s="15">
        <v>1.2475843181808279</v>
      </c>
      <c r="M7254" s="15" t="s">
        <v>10</v>
      </c>
      <c r="N7254" s="15" t="s">
        <v>10</v>
      </c>
      <c r="O7254" s="15" t="s">
        <v>10</v>
      </c>
      <c r="P7254" s="15" t="s">
        <v>10</v>
      </c>
      <c r="Q7254" s="8"/>
      <c r="R7254" s="9" t="s">
        <v>6755</v>
      </c>
    </row>
    <row r="7255" spans="1:18" x14ac:dyDescent="0.25">
      <c r="A7255" s="6" t="str">
        <f>HYPERLINK("proteomic_fractions_linear_files/Yang_linear_img/308082030.jpg", "308082030")</f>
        <v>308082030</v>
      </c>
      <c r="B7255" s="7"/>
      <c r="C7255" s="6" t="str">
        <f>HYPERLINK("http://www.ncbi.nlm.nih.gov/protein/308082030","Styxl1")</f>
        <v>Styxl1</v>
      </c>
      <c r="D7255" s="8"/>
      <c r="E7255" s="8">
        <v>37530</v>
      </c>
      <c r="F7255" s="8"/>
      <c r="G7255" s="15" t="s">
        <v>10</v>
      </c>
      <c r="H7255" s="15" t="s">
        <v>10</v>
      </c>
      <c r="I7255" s="15" t="s">
        <v>10</v>
      </c>
      <c r="J7255" s="15" t="s">
        <v>10</v>
      </c>
      <c r="K7255" s="15" t="s">
        <v>10</v>
      </c>
      <c r="L7255" s="15" t="s">
        <v>10</v>
      </c>
      <c r="M7255" s="15" t="s">
        <v>10</v>
      </c>
      <c r="N7255" s="15" t="s">
        <v>10</v>
      </c>
      <c r="O7255" s="15">
        <v>2.8895148373981967</v>
      </c>
      <c r="P7255" s="15">
        <v>2.8895148373981967</v>
      </c>
      <c r="Q7255" s="8"/>
      <c r="R7255" s="9" t="s">
        <v>6756</v>
      </c>
    </row>
    <row r="7256" spans="1:18" x14ac:dyDescent="0.25">
      <c r="A7256" s="6" t="str">
        <f>HYPERLINK("proteomic_fractions_linear_files/Yang_linear_img/6755364.jpg", "6755364")</f>
        <v>6755364</v>
      </c>
      <c r="B7256" s="7"/>
      <c r="C7256" s="6" t="str">
        <f>HYPERLINK("http://www.ncbi.nlm.nih.gov/protein/6755364","Sub1")</f>
        <v>Sub1</v>
      </c>
      <c r="D7256" s="8"/>
      <c r="E7256" s="8">
        <v>14296</v>
      </c>
      <c r="F7256" s="8"/>
      <c r="G7256" s="15">
        <v>1.2549956975256404</v>
      </c>
      <c r="H7256" s="15">
        <v>1.2549956975256404</v>
      </c>
      <c r="I7256" s="15">
        <v>428.07857142857148</v>
      </c>
      <c r="J7256" s="15">
        <v>428.07857142857148</v>
      </c>
      <c r="K7256" s="15">
        <v>1.2549956975256404</v>
      </c>
      <c r="L7256" s="15">
        <v>1.2549956975256404</v>
      </c>
      <c r="M7256" s="15">
        <v>428.07857142857148</v>
      </c>
      <c r="N7256" s="15">
        <v>428.07857142857148</v>
      </c>
      <c r="O7256" s="15">
        <v>1.085452735272449</v>
      </c>
      <c r="P7256" s="15">
        <v>1.085452735272449</v>
      </c>
      <c r="Q7256" s="8"/>
      <c r="R7256" s="9" t="s">
        <v>6757</v>
      </c>
    </row>
    <row r="7257" spans="1:18" x14ac:dyDescent="0.25">
      <c r="A7257" s="6" t="str">
        <f>HYPERLINK("proteomic_fractions_linear_files/Yang_linear_img/46849708.jpg", "46849708")</f>
        <v>46849708</v>
      </c>
      <c r="B7257" s="7"/>
      <c r="C7257" s="6" t="str">
        <f>HYPERLINK("http://www.ncbi.nlm.nih.gov/protein/46849708","Sucla2")</f>
        <v>Sucla2</v>
      </c>
      <c r="D7257" s="8"/>
      <c r="E7257" s="8">
        <v>44423</v>
      </c>
      <c r="F7257" s="8"/>
      <c r="G7257" s="15">
        <v>1.2072856734091155</v>
      </c>
      <c r="H7257" s="15">
        <v>1.2072856734091155</v>
      </c>
      <c r="I7257" s="15">
        <v>0.9206208682550624</v>
      </c>
      <c r="J7257" s="15">
        <v>0.9206208682550624</v>
      </c>
      <c r="K7257" s="15">
        <v>1.0028543010673969</v>
      </c>
      <c r="L7257" s="15">
        <v>1.0028543010673969</v>
      </c>
      <c r="M7257" s="15" t="s">
        <v>10</v>
      </c>
      <c r="N7257" s="15" t="s">
        <v>10</v>
      </c>
      <c r="O7257" s="15">
        <v>0.84866650961646795</v>
      </c>
      <c r="P7257" s="15">
        <v>0.84866650961646795</v>
      </c>
      <c r="Q7257" s="8"/>
      <c r="R7257" s="9" t="s">
        <v>6758</v>
      </c>
    </row>
    <row r="7258" spans="1:18" x14ac:dyDescent="0.25">
      <c r="A7258" s="6" t="str">
        <f>HYPERLINK("proteomic_fractions_linear_files/Yang_linear_img/255958286.jpg", "255958286")</f>
        <v>255958286</v>
      </c>
      <c r="B7258" s="7"/>
      <c r="C7258" s="6" t="str">
        <f>HYPERLINK("http://www.ncbi.nlm.nih.gov/protein/255958286","Suclg1")</f>
        <v>Suclg1</v>
      </c>
      <c r="D7258" s="8"/>
      <c r="E7258" s="8">
        <v>32098</v>
      </c>
      <c r="F7258" s="8"/>
      <c r="G7258" s="15">
        <v>0.93391896536603536</v>
      </c>
      <c r="H7258" s="15">
        <v>0.93391896536603536</v>
      </c>
      <c r="I7258" s="15">
        <v>0.93391896536603536</v>
      </c>
      <c r="J7258" s="15">
        <v>0.93391896536603536</v>
      </c>
      <c r="K7258" s="15">
        <v>0.93391896536603536</v>
      </c>
      <c r="L7258" s="15">
        <v>0.93391896536603536</v>
      </c>
      <c r="M7258" s="15" t="s">
        <v>10</v>
      </c>
      <c r="N7258" s="15" t="s">
        <v>10</v>
      </c>
      <c r="O7258" s="15">
        <v>0.87244410305256437</v>
      </c>
      <c r="P7258" s="15">
        <v>0.87244410305256437</v>
      </c>
      <c r="Q7258" s="8"/>
      <c r="R7258" s="9" t="s">
        <v>6759</v>
      </c>
    </row>
    <row r="7259" spans="1:18" x14ac:dyDescent="0.25">
      <c r="A7259" s="6" t="str">
        <f>HYPERLINK("proteomic_fractions_linear_files/Yang_linear_img/165972309.jpg", "165972309")</f>
        <v>165972309</v>
      </c>
      <c r="B7259" s="7"/>
      <c r="C7259" s="6" t="str">
        <f>HYPERLINK("http://www.ncbi.nlm.nih.gov/protein/165972309","Suclg2")</f>
        <v>Suclg2</v>
      </c>
      <c r="D7259" s="8"/>
      <c r="E7259" s="8">
        <v>42695</v>
      </c>
      <c r="F7259" s="8"/>
      <c r="G7259" s="15">
        <v>1.2353620844186297</v>
      </c>
      <c r="H7259" s="15">
        <v>1.2353620844186297</v>
      </c>
      <c r="I7259" s="15">
        <v>0.942030655888901</v>
      </c>
      <c r="J7259" s="15">
        <v>0.942030655888901</v>
      </c>
      <c r="K7259" s="15">
        <v>1.0261764941154761</v>
      </c>
      <c r="L7259" s="15">
        <v>1.0261764941154761</v>
      </c>
      <c r="M7259" s="15" t="s">
        <v>10</v>
      </c>
      <c r="N7259" s="15" t="s">
        <v>10</v>
      </c>
      <c r="O7259" s="15">
        <v>0.86840294007266494</v>
      </c>
      <c r="P7259" s="15">
        <v>0.86840294007266494</v>
      </c>
      <c r="Q7259" s="8"/>
      <c r="R7259" s="9" t="s">
        <v>6760</v>
      </c>
    </row>
    <row r="7260" spans="1:18" x14ac:dyDescent="0.25">
      <c r="A7260" s="6" t="str">
        <f>HYPERLINK("proteomic_fractions_linear_files/Yang_linear_img/70794805.jpg", "70794805")</f>
        <v>70794805</v>
      </c>
      <c r="B7260" s="7"/>
      <c r="C7260" s="6" t="str">
        <f>HYPERLINK("http://www.ncbi.nlm.nih.gov/protein/70794805","Sufu")</f>
        <v>Sufu</v>
      </c>
      <c r="D7260" s="8"/>
      <c r="E7260" s="8">
        <v>53954</v>
      </c>
      <c r="F7260" s="8"/>
      <c r="G7260" s="15" t="s">
        <v>10</v>
      </c>
      <c r="H7260" s="15" t="s">
        <v>10</v>
      </c>
      <c r="I7260" s="15" t="s">
        <v>10</v>
      </c>
      <c r="J7260" s="15" t="s">
        <v>10</v>
      </c>
      <c r="K7260" s="15" t="s">
        <v>10</v>
      </c>
      <c r="L7260" s="15" t="s">
        <v>10</v>
      </c>
      <c r="M7260" s="15" t="s">
        <v>10</v>
      </c>
      <c r="N7260" s="15" t="s">
        <v>10</v>
      </c>
      <c r="O7260" s="15">
        <v>0.98371425240742738</v>
      </c>
      <c r="P7260" s="15">
        <v>0.98371425240742738</v>
      </c>
      <c r="Q7260" s="8"/>
      <c r="R7260" s="9" t="s">
        <v>6761</v>
      </c>
    </row>
    <row r="7261" spans="1:18" x14ac:dyDescent="0.25">
      <c r="A7261" s="6" t="str">
        <f>HYPERLINK("proteomic_fractions_linear_files/Yang_linear_img/70794807.jpg", "70794807")</f>
        <v>70794807</v>
      </c>
      <c r="B7261" s="7"/>
      <c r="C7261" s="6" t="str">
        <f>HYPERLINK("http://www.ncbi.nlm.nih.gov/protein/70794807","Sufu")</f>
        <v>Sufu</v>
      </c>
      <c r="D7261" s="8"/>
      <c r="E7261" s="8">
        <v>53826</v>
      </c>
      <c r="F7261" s="8"/>
      <c r="G7261" s="15" t="s">
        <v>10</v>
      </c>
      <c r="H7261" s="15" t="s">
        <v>10</v>
      </c>
      <c r="I7261" s="15" t="s">
        <v>10</v>
      </c>
      <c r="J7261" s="15" t="s">
        <v>10</v>
      </c>
      <c r="K7261" s="15" t="s">
        <v>10</v>
      </c>
      <c r="L7261" s="15" t="s">
        <v>10</v>
      </c>
      <c r="M7261" s="15" t="s">
        <v>10</v>
      </c>
      <c r="N7261" s="15" t="s">
        <v>10</v>
      </c>
      <c r="O7261" s="15">
        <v>0.98371425240742738</v>
      </c>
      <c r="P7261" s="15">
        <v>0.98371425240742738</v>
      </c>
      <c r="Q7261" s="8"/>
      <c r="R7261" s="9" t="s">
        <v>6762</v>
      </c>
    </row>
    <row r="7262" spans="1:18" x14ac:dyDescent="0.25">
      <c r="A7262" s="6" t="str">
        <f>HYPERLINK("proteomic_fractions_linear_files/Yang_linear_img/23956176.jpg", "23956176")</f>
        <v>23956176</v>
      </c>
      <c r="B7262" s="7"/>
      <c r="C7262" s="6" t="str">
        <f>HYPERLINK("http://www.ncbi.nlm.nih.gov/protein/23956176","Sugt1")</f>
        <v>Sugt1</v>
      </c>
      <c r="D7262" s="8"/>
      <c r="E7262" s="8">
        <v>38028</v>
      </c>
      <c r="F7262" s="8"/>
      <c r="G7262" s="15">
        <v>1.3979097271052916</v>
      </c>
      <c r="H7262" s="15">
        <v>1.3979097271052916</v>
      </c>
      <c r="I7262" s="15">
        <v>0.98266648481906815</v>
      </c>
      <c r="J7262" s="15">
        <v>0.98266648481906815</v>
      </c>
      <c r="K7262" s="15">
        <v>1.0659820579795458</v>
      </c>
      <c r="L7262" s="15">
        <v>1.0659820579795458</v>
      </c>
      <c r="M7262" s="15">
        <v>0.98266648481906815</v>
      </c>
      <c r="N7262" s="15">
        <v>0.98266648481906815</v>
      </c>
      <c r="O7262" s="15">
        <v>0.90929938238092589</v>
      </c>
      <c r="P7262" s="15">
        <v>0.90929938238092589</v>
      </c>
      <c r="Q7262" s="8"/>
      <c r="R7262" s="9" t="s">
        <v>6763</v>
      </c>
    </row>
    <row r="7263" spans="1:18" x14ac:dyDescent="0.25">
      <c r="A7263" s="6" t="str">
        <f>HYPERLINK("proteomic_fractions_linear_files/Yang_linear_img/40254554.jpg", "40254554")</f>
        <v>40254554</v>
      </c>
      <c r="B7263" s="7"/>
      <c r="C7263" s="6" t="str">
        <f>HYPERLINK("http://www.ncbi.nlm.nih.gov/protein/40254554","Sult1c1")</f>
        <v>Sult1c1</v>
      </c>
      <c r="D7263" s="8"/>
      <c r="E7263" s="8">
        <v>35666</v>
      </c>
      <c r="F7263" s="8"/>
      <c r="G7263" s="15" t="s">
        <v>10</v>
      </c>
      <c r="H7263" s="15" t="s">
        <v>10</v>
      </c>
      <c r="I7263" s="15">
        <v>0.77550586938005717</v>
      </c>
      <c r="J7263" s="15">
        <v>0.77550586938005717</v>
      </c>
      <c r="K7263" s="15">
        <v>0.77550586938005717</v>
      </c>
      <c r="L7263" s="15">
        <v>0.77550586938005717</v>
      </c>
      <c r="M7263" s="15" t="s">
        <v>10</v>
      </c>
      <c r="N7263" s="15" t="s">
        <v>10</v>
      </c>
      <c r="O7263" s="15">
        <v>0.72639605876180557</v>
      </c>
      <c r="P7263" s="15">
        <v>0.72639605876180557</v>
      </c>
      <c r="Q7263" s="8"/>
      <c r="R7263" s="9" t="s">
        <v>6764</v>
      </c>
    </row>
    <row r="7264" spans="1:18" x14ac:dyDescent="0.25">
      <c r="A7264" s="6" t="str">
        <f>HYPERLINK("proteomic_fractions_linear_files/Yang_linear_img/34328501.jpg", "34328501")</f>
        <v>34328501</v>
      </c>
      <c r="B7264" s="7"/>
      <c r="C7264" s="6" t="str">
        <f>HYPERLINK("http://www.ncbi.nlm.nih.gov/protein/34328501","Sult1c2")</f>
        <v>Sult1c2</v>
      </c>
      <c r="D7264" s="8"/>
      <c r="E7264" s="8">
        <v>34822</v>
      </c>
      <c r="F7264" s="8"/>
      <c r="G7264" s="15" t="s">
        <v>10</v>
      </c>
      <c r="H7264" s="15" t="s">
        <v>10</v>
      </c>
      <c r="I7264" s="15" t="s">
        <v>10</v>
      </c>
      <c r="J7264" s="15" t="s">
        <v>10</v>
      </c>
      <c r="K7264" s="15" t="s">
        <v>10</v>
      </c>
      <c r="L7264" s="15" t="s">
        <v>10</v>
      </c>
      <c r="M7264" s="15" t="s">
        <v>10</v>
      </c>
      <c r="N7264" s="15" t="s">
        <v>10</v>
      </c>
      <c r="O7264" s="15">
        <v>0.85386876833466085</v>
      </c>
      <c r="P7264" s="15">
        <v>0.85386876833466085</v>
      </c>
      <c r="Q7264" s="8"/>
      <c r="R7264" s="9" t="s">
        <v>6765</v>
      </c>
    </row>
    <row r="7265" spans="1:18" x14ac:dyDescent="0.25">
      <c r="A7265" s="6" t="str">
        <f>HYPERLINK("proteomic_fractions_linear_files/Yang_linear_img/188219649.jpg", "188219649")</f>
        <v>188219649</v>
      </c>
      <c r="B7265" s="7"/>
      <c r="C7265" s="6" t="str">
        <f>HYPERLINK("http://www.ncbi.nlm.nih.gov/protein/188219649","Sult1d1")</f>
        <v>Sult1d1</v>
      </c>
      <c r="D7265" s="8"/>
      <c r="E7265" s="8">
        <v>34952</v>
      </c>
      <c r="F7265" s="8"/>
      <c r="G7265" s="15">
        <v>0.74715023186928575</v>
      </c>
      <c r="H7265" s="15">
        <v>0.74715023186928575</v>
      </c>
      <c r="I7265" s="15">
        <v>0.79766317993377311</v>
      </c>
      <c r="J7265" s="15">
        <v>0.79766317993377311</v>
      </c>
      <c r="K7265" s="15">
        <v>0.79766317993377311</v>
      </c>
      <c r="L7265" s="15">
        <v>0.79766317993377311</v>
      </c>
      <c r="M7265" s="15">
        <v>0.85386876833466085</v>
      </c>
      <c r="N7265" s="15">
        <v>0.85386876833466085</v>
      </c>
      <c r="O7265" s="15">
        <v>0.74715023186928575</v>
      </c>
      <c r="P7265" s="15">
        <v>0.74715023186928575</v>
      </c>
      <c r="Q7265" s="8"/>
      <c r="R7265" s="9" t="s">
        <v>6766</v>
      </c>
    </row>
    <row r="7266" spans="1:18" x14ac:dyDescent="0.25">
      <c r="A7266" s="6" t="str">
        <f>HYPERLINK("proteomic_fractions_linear_files/Yang_linear_img/229092371.jpg", "229092371")</f>
        <v>229092371</v>
      </c>
      <c r="B7266" s="7"/>
      <c r="C7266" s="6" t="str">
        <f>HYPERLINK("http://www.ncbi.nlm.nih.gov/protein/229092371","Sult2b1")</f>
        <v>Sult2b1</v>
      </c>
      <c r="D7266" s="8"/>
      <c r="E7266" s="8">
        <v>38216</v>
      </c>
      <c r="F7266" s="8"/>
      <c r="G7266" s="15" t="s">
        <v>10</v>
      </c>
      <c r="H7266" s="15" t="s">
        <v>10</v>
      </c>
      <c r="I7266" s="15">
        <v>0.90929938238092589</v>
      </c>
      <c r="J7266" s="15">
        <v>0.90929938238092589</v>
      </c>
      <c r="K7266" s="15" t="s">
        <v>10</v>
      </c>
      <c r="L7266" s="15" t="s">
        <v>10</v>
      </c>
      <c r="M7266" s="15" t="s">
        <v>10</v>
      </c>
      <c r="N7266" s="15" t="s">
        <v>10</v>
      </c>
      <c r="O7266" s="15">
        <v>0.84431770672983131</v>
      </c>
      <c r="P7266" s="15">
        <v>0.84431770672983131</v>
      </c>
      <c r="Q7266" s="8"/>
      <c r="R7266" s="9" t="s">
        <v>6767</v>
      </c>
    </row>
    <row r="7267" spans="1:18" x14ac:dyDescent="0.25">
      <c r="A7267" s="6" t="str">
        <f>HYPERLINK("proteomic_fractions_linear_files/Yang_linear_img/171906580.jpg", "171906580")</f>
        <v>171906580</v>
      </c>
      <c r="B7267" s="7"/>
      <c r="C7267" s="6" t="str">
        <f>HYPERLINK("http://www.ncbi.nlm.nih.gov/protein/171906580","Sult3a1")</f>
        <v>Sult3a1</v>
      </c>
      <c r="D7267" s="8"/>
      <c r="E7267" s="8">
        <v>35042</v>
      </c>
      <c r="F7267" s="8"/>
      <c r="G7267" s="15" t="s">
        <v>10</v>
      </c>
      <c r="H7267" s="15" t="s">
        <v>10</v>
      </c>
      <c r="I7267" s="15" t="s">
        <v>10</v>
      </c>
      <c r="J7267" s="15" t="s">
        <v>10</v>
      </c>
      <c r="K7267" s="15" t="s">
        <v>10</v>
      </c>
      <c r="L7267" s="15" t="s">
        <v>10</v>
      </c>
      <c r="M7267" s="15" t="s">
        <v>10</v>
      </c>
      <c r="N7267" s="15" t="s">
        <v>10</v>
      </c>
      <c r="O7267" s="15">
        <v>0.91668779587810256</v>
      </c>
      <c r="P7267" s="15">
        <v>0.91668779587810256</v>
      </c>
      <c r="Q7267" s="8"/>
      <c r="R7267" s="9" t="s">
        <v>6768</v>
      </c>
    </row>
    <row r="7268" spans="1:18" x14ac:dyDescent="0.25">
      <c r="A7268" s="6" t="str">
        <f>HYPERLINK("proteomic_fractions_linear_files/Yang_linear_img/144094256.jpg", "144094256")</f>
        <v>144094256</v>
      </c>
      <c r="B7268" s="7"/>
      <c r="C7268" s="6" t="str">
        <f>HYPERLINK("http://www.ncbi.nlm.nih.gov/protein/144094256","Sumf1")</f>
        <v>Sumf1</v>
      </c>
      <c r="D7268" s="8"/>
      <c r="E7268" s="8">
        <v>37351</v>
      </c>
      <c r="F7268" s="8"/>
      <c r="G7268" s="15" t="s">
        <v>10</v>
      </c>
      <c r="H7268" s="15" t="s">
        <v>10</v>
      </c>
      <c r="I7268" s="15">
        <v>1.0092250384628267</v>
      </c>
      <c r="J7268" s="15">
        <v>1.0092250384628267</v>
      </c>
      <c r="K7268" s="15" t="s">
        <v>10</v>
      </c>
      <c r="L7268" s="15" t="s">
        <v>10</v>
      </c>
      <c r="M7268" s="15" t="s">
        <v>10</v>
      </c>
      <c r="N7268" s="15" t="s">
        <v>10</v>
      </c>
      <c r="O7268" s="15">
        <v>0.93387504136419419</v>
      </c>
      <c r="P7268" s="15">
        <v>0.93387504136419419</v>
      </c>
      <c r="Q7268" s="8"/>
      <c r="R7268" s="9" t="s">
        <v>6769</v>
      </c>
    </row>
    <row r="7269" spans="1:18" x14ac:dyDescent="0.25">
      <c r="A7269" s="6" t="str">
        <f>HYPERLINK("proteomic_fractions_linear_files/Yang_linear_img/19111164.jpg", "19111164")</f>
        <v>19111164</v>
      </c>
      <c r="B7269" s="7"/>
      <c r="C7269" s="6" t="str">
        <f>HYPERLINK("http://www.ncbi.nlm.nih.gov/protein/19111164","Sumo2")</f>
        <v>Sumo2</v>
      </c>
      <c r="D7269" s="8"/>
      <c r="E7269" s="8">
        <v>10740</v>
      </c>
      <c r="F7269" s="8"/>
      <c r="G7269" s="15">
        <v>2.3772961923113636</v>
      </c>
      <c r="H7269" s="15">
        <v>2.3772961923113636</v>
      </c>
      <c r="I7269" s="15">
        <v>1.447949253016525</v>
      </c>
      <c r="J7269" s="15">
        <v>1.447949253016525</v>
      </c>
      <c r="K7269" s="15">
        <v>1.5972672513962698</v>
      </c>
      <c r="L7269" s="15">
        <v>1.5972672513962698</v>
      </c>
      <c r="M7269" s="15">
        <v>1.5972672513962698</v>
      </c>
      <c r="N7269" s="15">
        <v>1.5972672513962698</v>
      </c>
      <c r="O7269" s="15">
        <v>1.447949253016525</v>
      </c>
      <c r="P7269" s="15">
        <v>1.447949253016525</v>
      </c>
      <c r="Q7269" s="8"/>
      <c r="R7269" s="9" t="s">
        <v>6770</v>
      </c>
    </row>
    <row r="7270" spans="1:18" x14ac:dyDescent="0.25">
      <c r="A7270" s="6" t="str">
        <f>HYPERLINK("proteomic_fractions_linear_files/Yang_linear_img/9910556.jpg", "9910556")</f>
        <v>9910556</v>
      </c>
      <c r="B7270" s="7"/>
      <c r="C7270" s="6" t="str">
        <f>HYPERLINK("http://www.ncbi.nlm.nih.gov/protein/9910556","Sumo3")</f>
        <v>Sumo3</v>
      </c>
      <c r="D7270" s="8"/>
      <c r="E7270" s="8">
        <v>12299</v>
      </c>
      <c r="F7270" s="8"/>
      <c r="G7270" s="15">
        <v>2.1791881762854168</v>
      </c>
      <c r="H7270" s="15">
        <v>2.1791881762854168</v>
      </c>
      <c r="I7270" s="15">
        <v>1.327286815265148</v>
      </c>
      <c r="J7270" s="15">
        <v>1.327286815265148</v>
      </c>
      <c r="K7270" s="15">
        <v>1.4641616471132473</v>
      </c>
      <c r="L7270" s="15">
        <v>1.4641616471132473</v>
      </c>
      <c r="M7270" s="15">
        <v>1.4641616471132473</v>
      </c>
      <c r="N7270" s="15">
        <v>1.4641616471132473</v>
      </c>
      <c r="O7270" s="15">
        <v>1.327286815265148</v>
      </c>
      <c r="P7270" s="15">
        <v>1.327286815265148</v>
      </c>
      <c r="Q7270" s="8"/>
      <c r="R7270" s="9" t="s">
        <v>6771</v>
      </c>
    </row>
    <row r="7271" spans="1:18" x14ac:dyDescent="0.25">
      <c r="A7271" s="6" t="str">
        <f>HYPERLINK("proteomic_fractions_linear_files/Yang_linear_img/29789243.jpg", "29789243")</f>
        <v>29789243</v>
      </c>
      <c r="B7271" s="7"/>
      <c r="C7271" s="6" t="str">
        <f>HYPERLINK("http://www.ncbi.nlm.nih.gov/protein/29789243","Sun1")</f>
        <v>Sun1</v>
      </c>
      <c r="D7271" s="8"/>
      <c r="E7271" s="8">
        <v>101846</v>
      </c>
      <c r="F7271" s="8"/>
      <c r="G7271" s="15">
        <v>1.2619767465207545</v>
      </c>
      <c r="H7271" s="15">
        <v>1.2619767465207545</v>
      </c>
      <c r="I7271" s="15" t="s">
        <v>10</v>
      </c>
      <c r="J7271" s="15" t="s">
        <v>10</v>
      </c>
      <c r="K7271" s="15" t="s">
        <v>10</v>
      </c>
      <c r="L7271" s="15" t="s">
        <v>10</v>
      </c>
      <c r="M7271" s="15" t="s">
        <v>10</v>
      </c>
      <c r="N7271" s="15" t="s">
        <v>10</v>
      </c>
      <c r="O7271" s="15" t="s">
        <v>10</v>
      </c>
      <c r="P7271" s="15" t="s">
        <v>10</v>
      </c>
      <c r="Q7271" s="8"/>
      <c r="R7271" s="9" t="s">
        <v>6772</v>
      </c>
    </row>
    <row r="7272" spans="1:18" x14ac:dyDescent="0.25">
      <c r="A7272" s="6" t="str">
        <f>HYPERLINK("proteomic_fractions_linear_files/Yang_linear_img/371120922.jpg", "371120922")</f>
        <v>371120922</v>
      </c>
      <c r="B7272" s="7"/>
      <c r="C7272" s="6" t="str">
        <f>HYPERLINK("http://www.ncbi.nlm.nih.gov/protein/371120922","Sun1")</f>
        <v>Sun1</v>
      </c>
      <c r="D7272" s="8"/>
      <c r="E7272" s="8">
        <v>97793</v>
      </c>
      <c r="F7272" s="8"/>
      <c r="G7272" s="15">
        <v>1.3134860014807854</v>
      </c>
      <c r="H7272" s="15">
        <v>1.3134860014807854</v>
      </c>
      <c r="I7272" s="15" t="s">
        <v>10</v>
      </c>
      <c r="J7272" s="15" t="s">
        <v>10</v>
      </c>
      <c r="K7272" s="15" t="s">
        <v>10</v>
      </c>
      <c r="L7272" s="15" t="s">
        <v>10</v>
      </c>
      <c r="M7272" s="15" t="s">
        <v>10</v>
      </c>
      <c r="N7272" s="15" t="s">
        <v>10</v>
      </c>
      <c r="O7272" s="15" t="s">
        <v>10</v>
      </c>
      <c r="P7272" s="15" t="s">
        <v>10</v>
      </c>
      <c r="Q7272" s="8"/>
      <c r="R7272" s="9" t="s">
        <v>6773</v>
      </c>
    </row>
    <row r="7273" spans="1:18" x14ac:dyDescent="0.25">
      <c r="A7273" s="6" t="str">
        <f>HYPERLINK("proteomic_fractions_linear_files/Yang_linear_img/371120936.jpg", "371120936")</f>
        <v>371120936</v>
      </c>
      <c r="B7273" s="7"/>
      <c r="C7273" s="6" t="str">
        <f>HYPERLINK("http://www.ncbi.nlm.nih.gov/protein/371120936","Sun1")</f>
        <v>Sun1</v>
      </c>
      <c r="D7273" s="8"/>
      <c r="E7273" s="8">
        <v>94376</v>
      </c>
      <c r="F7273" s="8"/>
      <c r="G7273" s="15">
        <v>1.1681017427779943</v>
      </c>
      <c r="H7273" s="15">
        <v>1.3693790228203933</v>
      </c>
      <c r="I7273" s="15" t="s">
        <v>10</v>
      </c>
      <c r="J7273" s="15" t="s">
        <v>10</v>
      </c>
      <c r="K7273" s="15" t="s">
        <v>10</v>
      </c>
      <c r="L7273" s="15" t="s">
        <v>10</v>
      </c>
      <c r="M7273" s="15" t="s">
        <v>10</v>
      </c>
      <c r="N7273" s="15" t="s">
        <v>10</v>
      </c>
      <c r="O7273" s="15" t="s">
        <v>10</v>
      </c>
      <c r="P7273" s="15" t="s">
        <v>10</v>
      </c>
      <c r="Q7273" s="8"/>
      <c r="R7273" s="9" t="s">
        <v>6774</v>
      </c>
    </row>
    <row r="7274" spans="1:18" x14ac:dyDescent="0.25">
      <c r="A7274" s="6" t="str">
        <f>HYPERLINK("proteomic_fractions_linear_files/Yang_linear_img/371121164.jpg", "371121164")</f>
        <v>371121164</v>
      </c>
      <c r="B7274" s="7"/>
      <c r="C7274" s="6" t="str">
        <f>HYPERLINK("http://www.ncbi.nlm.nih.gov/protein/371121164","Sun1")</f>
        <v>Sun1</v>
      </c>
      <c r="D7274" s="8"/>
      <c r="E7274" s="8">
        <v>88072</v>
      </c>
      <c r="F7274" s="8"/>
      <c r="G7274" s="15">
        <v>1.2477450434219486</v>
      </c>
      <c r="H7274" s="15">
        <v>1.4627457743763292</v>
      </c>
      <c r="I7274" s="15" t="s">
        <v>10</v>
      </c>
      <c r="J7274" s="15" t="s">
        <v>10</v>
      </c>
      <c r="K7274" s="15" t="s">
        <v>10</v>
      </c>
      <c r="L7274" s="15" t="s">
        <v>10</v>
      </c>
      <c r="M7274" s="15" t="s">
        <v>10</v>
      </c>
      <c r="N7274" s="15" t="s">
        <v>10</v>
      </c>
      <c r="O7274" s="15" t="s">
        <v>10</v>
      </c>
      <c r="P7274" s="15" t="s">
        <v>10</v>
      </c>
      <c r="Q7274" s="8"/>
      <c r="R7274" s="9" t="s">
        <v>6775</v>
      </c>
    </row>
    <row r="7275" spans="1:18" x14ac:dyDescent="0.25">
      <c r="A7275" s="6" t="str">
        <f>HYPERLINK("proteomic_fractions_linear_files/Yang_linear_img/371121280.jpg", "371121280")</f>
        <v>371121280</v>
      </c>
      <c r="B7275" s="7"/>
      <c r="C7275" s="6" t="str">
        <f>HYPERLINK("http://www.ncbi.nlm.nih.gov/protein/371121280","Sun1")</f>
        <v>Sun1</v>
      </c>
      <c r="D7275" s="8"/>
      <c r="E7275" s="8">
        <v>84540</v>
      </c>
      <c r="F7275" s="8"/>
      <c r="G7275" s="15">
        <v>1.2917831037780172</v>
      </c>
      <c r="H7275" s="15">
        <v>1.5143720958249054</v>
      </c>
      <c r="I7275" s="15" t="s">
        <v>10</v>
      </c>
      <c r="J7275" s="15" t="s">
        <v>10</v>
      </c>
      <c r="K7275" s="15" t="s">
        <v>10</v>
      </c>
      <c r="L7275" s="15" t="s">
        <v>10</v>
      </c>
      <c r="M7275" s="15" t="s">
        <v>10</v>
      </c>
      <c r="N7275" s="15" t="s">
        <v>10</v>
      </c>
      <c r="O7275" s="15" t="s">
        <v>10</v>
      </c>
      <c r="P7275" s="15" t="s">
        <v>10</v>
      </c>
      <c r="Q7275" s="8"/>
      <c r="R7275" s="9" t="s">
        <v>6776</v>
      </c>
    </row>
    <row r="7276" spans="1:18" x14ac:dyDescent="0.25">
      <c r="A7276" s="6" t="str">
        <f>HYPERLINK("proteomic_fractions_linear_files/Yang_linear_img/168693641.jpg", "168693641")</f>
        <v>168693641</v>
      </c>
      <c r="B7276" s="7"/>
      <c r="C7276" s="6" t="str">
        <f>HYPERLINK("http://www.ncbi.nlm.nih.gov/protein/168693641","Sun2")</f>
        <v>Sun2</v>
      </c>
      <c r="D7276" s="8"/>
      <c r="E7276" s="8">
        <v>78048</v>
      </c>
      <c r="F7276" s="8"/>
      <c r="G7276" s="15">
        <v>1.4077123566811727</v>
      </c>
      <c r="H7276" s="15">
        <v>1.4077123566811727</v>
      </c>
      <c r="I7276" s="15" t="s">
        <v>10</v>
      </c>
      <c r="J7276" s="15" t="s">
        <v>10</v>
      </c>
      <c r="K7276" s="15" t="s">
        <v>10</v>
      </c>
      <c r="L7276" s="15" t="s">
        <v>10</v>
      </c>
      <c r="M7276" s="15" t="s">
        <v>10</v>
      </c>
      <c r="N7276" s="15" t="s">
        <v>10</v>
      </c>
      <c r="O7276" s="15" t="s">
        <v>10</v>
      </c>
      <c r="P7276" s="15" t="s">
        <v>10</v>
      </c>
      <c r="Q7276" s="8"/>
      <c r="R7276" s="9" t="s">
        <v>6777</v>
      </c>
    </row>
    <row r="7277" spans="1:18" x14ac:dyDescent="0.25">
      <c r="A7277" s="6" t="str">
        <f>HYPERLINK("proteomic_fractions_linear_files/Yang_linear_img/329299035.jpg", "329299035")</f>
        <v>329299035</v>
      </c>
      <c r="B7277" s="7"/>
      <c r="C7277" s="6" t="str">
        <f>HYPERLINK("http://www.ncbi.nlm.nih.gov/protein/329299035","Sun2")</f>
        <v>Sun2</v>
      </c>
      <c r="D7277" s="8"/>
      <c r="E7277" s="8">
        <v>81475</v>
      </c>
      <c r="F7277" s="8"/>
      <c r="G7277" s="15">
        <v>1.3555748619892773</v>
      </c>
      <c r="H7277" s="15">
        <v>1.3555748619892773</v>
      </c>
      <c r="I7277" s="15" t="s">
        <v>10</v>
      </c>
      <c r="J7277" s="15" t="s">
        <v>10</v>
      </c>
      <c r="K7277" s="15" t="s">
        <v>10</v>
      </c>
      <c r="L7277" s="15" t="s">
        <v>10</v>
      </c>
      <c r="M7277" s="15" t="s">
        <v>10</v>
      </c>
      <c r="N7277" s="15" t="s">
        <v>10</v>
      </c>
      <c r="O7277" s="15" t="s">
        <v>10</v>
      </c>
      <c r="P7277" s="15" t="s">
        <v>10</v>
      </c>
      <c r="Q7277" s="8"/>
      <c r="R7277" s="9" t="s">
        <v>6778</v>
      </c>
    </row>
    <row r="7278" spans="1:18" x14ac:dyDescent="0.25">
      <c r="A7278" s="6" t="str">
        <f>HYPERLINK("proteomic_fractions_linear_files/Yang_linear_img/329299037.jpg", "329299037")</f>
        <v>329299037</v>
      </c>
      <c r="B7278" s="7"/>
      <c r="C7278" s="6" t="str">
        <f>HYPERLINK("http://www.ncbi.nlm.nih.gov/protein/329299037","Sun2")</f>
        <v>Sun2</v>
      </c>
      <c r="D7278" s="8"/>
      <c r="E7278" s="8">
        <v>81231</v>
      </c>
      <c r="F7278" s="8"/>
      <c r="G7278" s="15">
        <v>1.3555748619892773</v>
      </c>
      <c r="H7278" s="15">
        <v>1.3555748619892773</v>
      </c>
      <c r="I7278" s="15" t="s">
        <v>10</v>
      </c>
      <c r="J7278" s="15" t="s">
        <v>10</v>
      </c>
      <c r="K7278" s="15" t="s">
        <v>10</v>
      </c>
      <c r="L7278" s="15" t="s">
        <v>10</v>
      </c>
      <c r="M7278" s="15" t="s">
        <v>10</v>
      </c>
      <c r="N7278" s="15" t="s">
        <v>10</v>
      </c>
      <c r="O7278" s="15" t="s">
        <v>10</v>
      </c>
      <c r="P7278" s="15" t="s">
        <v>10</v>
      </c>
      <c r="Q7278" s="8"/>
      <c r="R7278" s="9" t="s">
        <v>6779</v>
      </c>
    </row>
    <row r="7279" spans="1:18" x14ac:dyDescent="0.25">
      <c r="A7279" s="6" t="str">
        <f>HYPERLINK("proteomic_fractions_linear_files/Yang_linear_img/154350222.jpg", "154350222")</f>
        <v>154350222</v>
      </c>
      <c r="B7279" s="7"/>
      <c r="C7279" s="6" t="str">
        <f>HYPERLINK("http://www.ncbi.nlm.nih.gov/protein/154350222","Supt16")</f>
        <v>Supt16</v>
      </c>
      <c r="D7279" s="8"/>
      <c r="E7279" s="8">
        <v>119708</v>
      </c>
      <c r="F7279" s="8"/>
      <c r="G7279" s="15">
        <v>1.5563819303328363</v>
      </c>
      <c r="H7279" s="15">
        <v>1.5563819303328363</v>
      </c>
      <c r="I7279" s="15">
        <v>49.942500000000003</v>
      </c>
      <c r="J7279" s="15">
        <v>49.942500000000003</v>
      </c>
      <c r="K7279" s="15">
        <v>1.5563819303328363</v>
      </c>
      <c r="L7279" s="15">
        <v>1.5563819303328363</v>
      </c>
      <c r="M7279" s="15">
        <v>1.2787739261353486</v>
      </c>
      <c r="N7279" s="15">
        <v>1.2787739261353486</v>
      </c>
      <c r="O7279" s="15">
        <v>1.2787739261353486</v>
      </c>
      <c r="P7279" s="15">
        <v>1.2787739261353486</v>
      </c>
      <c r="Q7279" s="8"/>
      <c r="R7279" s="9" t="s">
        <v>6780</v>
      </c>
    </row>
    <row r="7280" spans="1:18" x14ac:dyDescent="0.25">
      <c r="A7280" s="6" t="str">
        <f>HYPERLINK("proteomic_fractions_linear_files/Yang_linear_img/6678181.jpg", "6678181")</f>
        <v>6678181</v>
      </c>
      <c r="B7280" s="7"/>
      <c r="C7280" s="6" t="str">
        <f>HYPERLINK("http://www.ncbi.nlm.nih.gov/protein/6678181","Supt4a")</f>
        <v>Supt4a</v>
      </c>
      <c r="D7280" s="8"/>
      <c r="E7280" s="8">
        <v>13062</v>
      </c>
      <c r="F7280" s="8"/>
      <c r="G7280" s="15" t="s">
        <v>10</v>
      </c>
      <c r="H7280" s="15" t="s">
        <v>10</v>
      </c>
      <c r="I7280" s="15">
        <v>1.068142346148973</v>
      </c>
      <c r="J7280" s="15">
        <v>1.068142346148973</v>
      </c>
      <c r="K7280" s="15" t="s">
        <v>10</v>
      </c>
      <c r="L7280" s="15" t="s">
        <v>10</v>
      </c>
      <c r="M7280" s="15">
        <v>1.1167287478361805</v>
      </c>
      <c r="N7280" s="15">
        <v>1.1167287478361805</v>
      </c>
      <c r="O7280" s="15">
        <v>1.0228510786924256</v>
      </c>
      <c r="P7280" s="15">
        <v>1.0228510786924256</v>
      </c>
      <c r="Q7280" s="8"/>
      <c r="R7280" s="9" t="s">
        <v>6781</v>
      </c>
    </row>
    <row r="7281" spans="1:18" x14ac:dyDescent="0.25">
      <c r="A7281" s="6" t="str">
        <f>HYPERLINK("proteomic_fractions_linear_files/Yang_linear_img/22094123.jpg", "22094123")</f>
        <v>22094123</v>
      </c>
      <c r="B7281" s="7"/>
      <c r="C7281" s="6" t="str">
        <f>HYPERLINK("http://www.ncbi.nlm.nih.gov/protein/22094123","Supt5")</f>
        <v>Supt5</v>
      </c>
      <c r="D7281" s="8"/>
      <c r="E7281" s="8">
        <v>120534</v>
      </c>
      <c r="F7281" s="8"/>
      <c r="G7281" s="15" t="s">
        <v>10</v>
      </c>
      <c r="H7281" s="15" t="s">
        <v>10</v>
      </c>
      <c r="I7281" s="15">
        <v>0.28556509529318336</v>
      </c>
      <c r="J7281" s="15">
        <v>0.28556509529318336</v>
      </c>
      <c r="K7281" s="15">
        <v>1.5435192697515732</v>
      </c>
      <c r="L7281" s="15">
        <v>1.5435192697515732</v>
      </c>
      <c r="M7281" s="15">
        <v>0.28556509529318336</v>
      </c>
      <c r="N7281" s="15">
        <v>0.28556509529318336</v>
      </c>
      <c r="O7281" s="15">
        <v>1.5435192697515732</v>
      </c>
      <c r="P7281" s="15">
        <v>1.5435192697515732</v>
      </c>
      <c r="Q7281" s="8"/>
      <c r="R7281" s="9" t="s">
        <v>6782</v>
      </c>
    </row>
    <row r="7282" spans="1:18" x14ac:dyDescent="0.25">
      <c r="A7282" s="6" t="str">
        <f>HYPERLINK("proteomic_fractions_linear_files/Yang_linear_img/166091434.jpg", "166091434")</f>
        <v>166091434</v>
      </c>
      <c r="B7282" s="7"/>
      <c r="C7282" s="6" t="str">
        <f>HYPERLINK("http://www.ncbi.nlm.nih.gov/protein/166091434","Supt6")</f>
        <v>Supt6</v>
      </c>
      <c r="D7282" s="8"/>
      <c r="E7282" s="8">
        <v>198956</v>
      </c>
      <c r="F7282" s="8"/>
      <c r="G7282" s="15">
        <v>1.1726675760193421</v>
      </c>
      <c r="H7282" s="15">
        <v>1.1726675760193421</v>
      </c>
      <c r="I7282" s="15">
        <v>1.1726675760193421</v>
      </c>
      <c r="J7282" s="15">
        <v>1.1726675760193421</v>
      </c>
      <c r="K7282" s="15" t="s">
        <v>10</v>
      </c>
      <c r="L7282" s="15" t="s">
        <v>10</v>
      </c>
      <c r="M7282" s="15">
        <v>1.5164991187763757</v>
      </c>
      <c r="N7282" s="15">
        <v>1.5164991187763757</v>
      </c>
      <c r="O7282" s="15">
        <v>1.1726675760193421</v>
      </c>
      <c r="P7282" s="15">
        <v>1.1726675760193421</v>
      </c>
      <c r="Q7282" s="8"/>
      <c r="R7282" s="9" t="s">
        <v>6783</v>
      </c>
    </row>
    <row r="7283" spans="1:18" x14ac:dyDescent="0.25">
      <c r="A7283" s="6" t="str">
        <f>HYPERLINK("proteomic_fractions_linear_files/Yang_linear_img/31088872.jpg", "31088872")</f>
        <v>31088872</v>
      </c>
      <c r="B7283" s="7"/>
      <c r="C7283" s="6" t="str">
        <f>HYPERLINK("http://www.ncbi.nlm.nih.gov/protein/31088872","Supv3l1")</f>
        <v>Supv3l1</v>
      </c>
      <c r="D7283" s="8"/>
      <c r="E7283" s="8">
        <v>82987</v>
      </c>
      <c r="F7283" s="8"/>
      <c r="G7283" s="15" t="s">
        <v>10</v>
      </c>
      <c r="H7283" s="15" t="s">
        <v>10</v>
      </c>
      <c r="I7283" s="15">
        <v>1.001188656302938</v>
      </c>
      <c r="J7283" s="15">
        <v>1.001188656302938</v>
      </c>
      <c r="K7283" s="15" t="s">
        <v>10</v>
      </c>
      <c r="L7283" s="15" t="s">
        <v>10</v>
      </c>
      <c r="M7283" s="15" t="s">
        <v>10</v>
      </c>
      <c r="N7283" s="15" t="s">
        <v>10</v>
      </c>
      <c r="O7283" s="15" t="s">
        <v>10</v>
      </c>
      <c r="P7283" s="15" t="s">
        <v>10</v>
      </c>
      <c r="Q7283" s="8"/>
      <c r="R7283" s="9" t="s">
        <v>6784</v>
      </c>
    </row>
    <row r="7284" spans="1:18" x14ac:dyDescent="0.25">
      <c r="A7284" s="6" t="str">
        <f>HYPERLINK("proteomic_fractions_linear_files/Yang_linear_img/160707899.jpg", "160707899")</f>
        <v>160707899</v>
      </c>
      <c r="B7284" s="7"/>
      <c r="C7284" s="6" t="str">
        <f>HYPERLINK("http://www.ncbi.nlm.nih.gov/protein/160707899","Surf1")</f>
        <v>Surf1</v>
      </c>
      <c r="D7284" s="8"/>
      <c r="E7284" s="8">
        <v>34667</v>
      </c>
      <c r="F7284" s="8"/>
      <c r="G7284" s="15" t="s">
        <v>10</v>
      </c>
      <c r="H7284" s="15" t="s">
        <v>10</v>
      </c>
      <c r="I7284" s="15">
        <v>0.74715023186928575</v>
      </c>
      <c r="J7284" s="15">
        <v>0.74715023186928575</v>
      </c>
      <c r="K7284" s="15" t="s">
        <v>10</v>
      </c>
      <c r="L7284" s="15" t="s">
        <v>10</v>
      </c>
      <c r="M7284" s="15" t="s">
        <v>10</v>
      </c>
      <c r="N7284" s="15" t="s">
        <v>10</v>
      </c>
      <c r="O7284" s="15" t="s">
        <v>10</v>
      </c>
      <c r="P7284" s="15" t="s">
        <v>10</v>
      </c>
      <c r="Q7284" s="8"/>
      <c r="R7284" s="9" t="s">
        <v>6785</v>
      </c>
    </row>
    <row r="7285" spans="1:18" x14ac:dyDescent="0.25">
      <c r="A7285" s="6" t="str">
        <f>HYPERLINK("proteomic_fractions_linear_files/Yang_linear_img/411147435.jpg", "411147435")</f>
        <v>411147435</v>
      </c>
      <c r="B7285" s="7"/>
      <c r="C7285" s="6" t="str">
        <f>HYPERLINK("http://www.ncbi.nlm.nih.gov/protein/411147435","Surf1")</f>
        <v>Surf1</v>
      </c>
      <c r="D7285" s="8"/>
      <c r="E7285" s="8">
        <v>37014</v>
      </c>
      <c r="F7285" s="8"/>
      <c r="G7285" s="15" t="s">
        <v>10</v>
      </c>
      <c r="H7285" s="15" t="s">
        <v>10</v>
      </c>
      <c r="I7285" s="15">
        <v>0.70676373284932437</v>
      </c>
      <c r="J7285" s="15">
        <v>0.70676373284932437</v>
      </c>
      <c r="K7285" s="15" t="s">
        <v>10</v>
      </c>
      <c r="L7285" s="15" t="s">
        <v>10</v>
      </c>
      <c r="M7285" s="15" t="s">
        <v>10</v>
      </c>
      <c r="N7285" s="15" t="s">
        <v>10</v>
      </c>
      <c r="O7285" s="15" t="s">
        <v>10</v>
      </c>
      <c r="P7285" s="15" t="s">
        <v>10</v>
      </c>
      <c r="Q7285" s="8"/>
      <c r="R7285" s="9" t="s">
        <v>6786</v>
      </c>
    </row>
    <row r="7286" spans="1:18" x14ac:dyDescent="0.25">
      <c r="A7286" s="6" t="str">
        <f>HYPERLINK("proteomic_fractions_linear_files/Yang_linear_img/7305529.jpg", "7305529")</f>
        <v>7305529</v>
      </c>
      <c r="B7286" s="7"/>
      <c r="C7286" s="6" t="str">
        <f>HYPERLINK("http://www.ncbi.nlm.nih.gov/protein/7305529","Surf2")</f>
        <v>Surf2</v>
      </c>
      <c r="D7286" s="8"/>
      <c r="E7286" s="8">
        <v>30224</v>
      </c>
      <c r="F7286" s="8"/>
      <c r="G7286" s="15" t="s">
        <v>10</v>
      </c>
      <c r="H7286" s="15" t="s">
        <v>10</v>
      </c>
      <c r="I7286" s="15" t="s">
        <v>10</v>
      </c>
      <c r="J7286" s="15" t="s">
        <v>10</v>
      </c>
      <c r="K7286" s="15" t="s">
        <v>10</v>
      </c>
      <c r="L7286" s="15" t="s">
        <v>10</v>
      </c>
      <c r="M7286" s="15">
        <v>1.1517792176825061</v>
      </c>
      <c r="N7286" s="15">
        <v>1.1517792176825061</v>
      </c>
      <c r="O7286" s="15" t="s">
        <v>10</v>
      </c>
      <c r="P7286" s="15" t="s">
        <v>10</v>
      </c>
      <c r="Q7286" s="8"/>
      <c r="R7286" s="9" t="s">
        <v>6787</v>
      </c>
    </row>
    <row r="7287" spans="1:18" x14ac:dyDescent="0.25">
      <c r="A7287" s="6" t="str">
        <f>HYPERLINK("proteomic_fractions_linear_files/Yang_linear_img/6755698.jpg", "6755698")</f>
        <v>6755698</v>
      </c>
      <c r="B7287" s="7"/>
      <c r="C7287" s="6" t="str">
        <f>HYPERLINK("http://www.ncbi.nlm.nih.gov/protein/6755698","Surf4")</f>
        <v>Surf4</v>
      </c>
      <c r="D7287" s="8"/>
      <c r="E7287" s="8">
        <v>30250</v>
      </c>
      <c r="F7287" s="8"/>
      <c r="G7287" s="15">
        <v>5.1150957045413943</v>
      </c>
      <c r="H7287" s="15">
        <v>5.1150957045413943</v>
      </c>
      <c r="I7287" s="15">
        <v>1.7706856543333693</v>
      </c>
      <c r="J7287" s="15">
        <v>0.65003832760117575</v>
      </c>
      <c r="K7287" s="15">
        <v>0.72652474235595832</v>
      </c>
      <c r="L7287" s="15">
        <v>0.72652474235595832</v>
      </c>
      <c r="M7287" s="15">
        <v>0.68658137288854237</v>
      </c>
      <c r="N7287" s="15">
        <v>0.68658137288854237</v>
      </c>
      <c r="O7287" s="15" t="s">
        <v>10</v>
      </c>
      <c r="P7287" s="15" t="s">
        <v>10</v>
      </c>
      <c r="Q7287" s="8"/>
      <c r="R7287" s="9" t="s">
        <v>6788</v>
      </c>
    </row>
    <row r="7288" spans="1:18" x14ac:dyDescent="0.25">
      <c r="A7288" s="6" t="str">
        <f>HYPERLINK("proteomic_fractions_linear_files/Yang_linear_img/6678185.jpg", "6678185")</f>
        <v>6678185</v>
      </c>
      <c r="B7288" s="7"/>
      <c r="C7288" s="6" t="str">
        <f>HYPERLINK("http://www.ncbi.nlm.nih.gov/protein/6678185","Surf6")</f>
        <v>Surf6</v>
      </c>
      <c r="D7288" s="8"/>
      <c r="E7288" s="8">
        <v>41104</v>
      </c>
      <c r="F7288" s="8"/>
      <c r="G7288" s="15">
        <v>1.2956236495122215</v>
      </c>
      <c r="H7288" s="15">
        <v>1.2956236495122215</v>
      </c>
      <c r="I7288" s="15" t="s">
        <v>10</v>
      </c>
      <c r="J7288" s="15" t="s">
        <v>10</v>
      </c>
      <c r="K7288" s="15" t="s">
        <v>10</v>
      </c>
      <c r="L7288" s="15" t="s">
        <v>10</v>
      </c>
      <c r="M7288" s="15" t="s">
        <v>10</v>
      </c>
      <c r="N7288" s="15" t="s">
        <v>10</v>
      </c>
      <c r="O7288" s="15" t="s">
        <v>10</v>
      </c>
      <c r="P7288" s="15" t="s">
        <v>10</v>
      </c>
      <c r="Q7288" s="8"/>
      <c r="R7288" s="9" t="s">
        <v>6789</v>
      </c>
    </row>
    <row r="7289" spans="1:18" x14ac:dyDescent="0.25">
      <c r="A7289" s="6" t="str">
        <f>HYPERLINK("proteomic_fractions_linear_files/Yang_linear_img/268607615.jpg", "268607615")</f>
        <v>268607615</v>
      </c>
      <c r="B7289" s="7"/>
      <c r="C7289" s="6" t="str">
        <f>HYPERLINK("http://www.ncbi.nlm.nih.gov/protein/268607615","Suv420h1")</f>
        <v>Suv420h1</v>
      </c>
      <c r="D7289" s="8"/>
      <c r="E7289" s="8">
        <v>95939</v>
      </c>
      <c r="F7289" s="8"/>
      <c r="G7289" s="15" t="s">
        <v>10</v>
      </c>
      <c r="H7289" s="15" t="s">
        <v>10</v>
      </c>
      <c r="I7289" s="15" t="s">
        <v>10</v>
      </c>
      <c r="J7289" s="15" t="s">
        <v>10</v>
      </c>
      <c r="K7289" s="15">
        <v>1.3408502931783017</v>
      </c>
      <c r="L7289" s="15">
        <v>1.3408502931783017</v>
      </c>
      <c r="M7289" s="15" t="s">
        <v>10</v>
      </c>
      <c r="N7289" s="15" t="s">
        <v>10</v>
      </c>
      <c r="O7289" s="15">
        <v>1.3408502931783017</v>
      </c>
      <c r="P7289" s="15">
        <v>1.3408502931783017</v>
      </c>
      <c r="Q7289" s="8"/>
      <c r="R7289" s="9" t="s">
        <v>6790</v>
      </c>
    </row>
    <row r="7290" spans="1:18" x14ac:dyDescent="0.25">
      <c r="A7290" s="6" t="str">
        <f>HYPERLINK("proteomic_fractions_linear_files/Yang_linear_img/268607619.jpg", "268607619")</f>
        <v>268607619</v>
      </c>
      <c r="B7290" s="7"/>
      <c r="C7290" s="6" t="str">
        <f>HYPERLINK("http://www.ncbi.nlm.nih.gov/protein/268607619","Suv420h1")</f>
        <v>Suv420h1</v>
      </c>
      <c r="D7290" s="8"/>
      <c r="E7290" s="8">
        <v>98450</v>
      </c>
      <c r="F7290" s="8"/>
      <c r="G7290" s="15" t="s">
        <v>10</v>
      </c>
      <c r="H7290" s="15" t="s">
        <v>10</v>
      </c>
      <c r="I7290" s="15" t="s">
        <v>10</v>
      </c>
      <c r="J7290" s="15" t="s">
        <v>10</v>
      </c>
      <c r="K7290" s="15">
        <v>1.3134860014807854</v>
      </c>
      <c r="L7290" s="15">
        <v>1.3134860014807854</v>
      </c>
      <c r="M7290" s="15" t="s">
        <v>10</v>
      </c>
      <c r="N7290" s="15" t="s">
        <v>10</v>
      </c>
      <c r="O7290" s="15">
        <v>1.3134860014807854</v>
      </c>
      <c r="P7290" s="15">
        <v>1.3134860014807854</v>
      </c>
      <c r="Q7290" s="8"/>
      <c r="R7290" s="9" t="s">
        <v>6791</v>
      </c>
    </row>
    <row r="7291" spans="1:18" x14ac:dyDescent="0.25">
      <c r="A7291" s="6" t="str">
        <f>HYPERLINK("proteomic_fractions_linear_files/Yang_linear_img/237858757.jpg", "237858757")</f>
        <v>237858757</v>
      </c>
      <c r="B7291" s="7"/>
      <c r="C7291" s="6" t="str">
        <f>HYPERLINK("http://www.ncbi.nlm.nih.gov/protein/237858757","Svip")</f>
        <v>Svip</v>
      </c>
      <c r="D7291" s="8"/>
      <c r="E7291" s="8">
        <v>8232</v>
      </c>
      <c r="F7291" s="8"/>
      <c r="G7291" s="15" t="s">
        <v>10</v>
      </c>
      <c r="H7291" s="15" t="s">
        <v>10</v>
      </c>
      <c r="I7291" s="15" t="s">
        <v>10</v>
      </c>
      <c r="J7291" s="15" t="s">
        <v>10</v>
      </c>
      <c r="K7291" s="15">
        <v>1.5934024177422033</v>
      </c>
      <c r="L7291" s="15">
        <v>1.5934024177422033</v>
      </c>
      <c r="M7291" s="15" t="s">
        <v>10</v>
      </c>
      <c r="N7291" s="15" t="s">
        <v>10</v>
      </c>
      <c r="O7291" s="15" t="s">
        <v>10</v>
      </c>
      <c r="P7291" s="15" t="s">
        <v>10</v>
      </c>
      <c r="Q7291" s="8"/>
      <c r="R7291" s="9" t="s">
        <v>6792</v>
      </c>
    </row>
    <row r="7292" spans="1:18" x14ac:dyDescent="0.25">
      <c r="A7292" s="6" t="str">
        <f>HYPERLINK("proteomic_fractions_linear_files/Yang_linear_img/228008363.jpg", "228008363")</f>
        <v>228008363</v>
      </c>
      <c r="B7292" s="7"/>
      <c r="C7292" s="6" t="str">
        <f>HYPERLINK("http://www.ncbi.nlm.nih.gov/protein/228008363","Swap70")</f>
        <v>Swap70</v>
      </c>
      <c r="D7292" s="8"/>
      <c r="E7292" s="8">
        <v>68865</v>
      </c>
      <c r="F7292" s="8"/>
      <c r="G7292" s="15" t="s">
        <v>10</v>
      </c>
      <c r="H7292" s="15" t="s">
        <v>10</v>
      </c>
      <c r="I7292" s="15">
        <v>1.0642921774156846</v>
      </c>
      <c r="J7292" s="15">
        <v>1.0642921774156846</v>
      </c>
      <c r="K7292" s="15" t="s">
        <v>10</v>
      </c>
      <c r="L7292" s="15" t="s">
        <v>10</v>
      </c>
      <c r="M7292" s="15" t="s">
        <v>10</v>
      </c>
      <c r="N7292" s="15" t="s">
        <v>10</v>
      </c>
      <c r="O7292" s="15">
        <v>1.0642921774156846</v>
      </c>
      <c r="P7292" s="15">
        <v>1.0642921774156846</v>
      </c>
      <c r="Q7292" s="8"/>
      <c r="R7292" s="9" t="s">
        <v>6793</v>
      </c>
    </row>
    <row r="7293" spans="1:18" x14ac:dyDescent="0.25">
      <c r="A7293" s="6" t="str">
        <f>HYPERLINK("proteomic_fractions_linear_files/Yang_linear_img/270265917.jpg", "270265917")</f>
        <v>270265917</v>
      </c>
      <c r="B7293" s="7"/>
      <c r="C7293" s="6" t="str">
        <f>HYPERLINK("http://www.ncbi.nlm.nih.gov/protein/270265917","Syap1")</f>
        <v>Syap1</v>
      </c>
      <c r="D7293" s="8"/>
      <c r="E7293" s="8">
        <v>41219</v>
      </c>
      <c r="F7293" s="8"/>
      <c r="G7293" s="15" t="s">
        <v>10</v>
      </c>
      <c r="H7293" s="15" t="s">
        <v>10</v>
      </c>
      <c r="I7293" s="15">
        <v>1.4334928679413135</v>
      </c>
      <c r="J7293" s="15">
        <v>1.4334928679413135</v>
      </c>
      <c r="K7293" s="15">
        <v>1.4334928679413135</v>
      </c>
      <c r="L7293" s="15">
        <v>1.4334928679413135</v>
      </c>
      <c r="M7293" s="15" t="s">
        <v>10</v>
      </c>
      <c r="N7293" s="15" t="s">
        <v>10</v>
      </c>
      <c r="O7293" s="15">
        <v>1.2956236495122215</v>
      </c>
      <c r="P7293" s="15">
        <v>1.2956236495122215</v>
      </c>
      <c r="Q7293" s="8"/>
      <c r="R7293" s="9" t="s">
        <v>6794</v>
      </c>
    </row>
    <row r="7294" spans="1:18" x14ac:dyDescent="0.25">
      <c r="A7294" s="6" t="str">
        <f>HYPERLINK("proteomic_fractions_linear_files/Yang_linear_img/56550045.jpg", "56550045")</f>
        <v>56550045</v>
      </c>
      <c r="B7294" s="7"/>
      <c r="C7294" s="6" t="str">
        <f>HYPERLINK("http://www.ncbi.nlm.nih.gov/protein/56550045","Syk")</f>
        <v>Syk</v>
      </c>
      <c r="D7294" s="8"/>
      <c r="E7294" s="8">
        <v>71246</v>
      </c>
      <c r="F7294" s="8"/>
      <c r="G7294" s="15" t="s">
        <v>10</v>
      </c>
      <c r="H7294" s="15" t="s">
        <v>10</v>
      </c>
      <c r="I7294" s="15" t="s">
        <v>10</v>
      </c>
      <c r="J7294" s="15" t="s">
        <v>10</v>
      </c>
      <c r="K7294" s="15" t="s">
        <v>10</v>
      </c>
      <c r="L7294" s="15" t="s">
        <v>10</v>
      </c>
      <c r="M7294" s="15" t="s">
        <v>10</v>
      </c>
      <c r="N7294" s="15" t="s">
        <v>10</v>
      </c>
      <c r="O7294" s="15">
        <v>0.92187694831752576</v>
      </c>
      <c r="P7294" s="15">
        <v>0.92187694831752576</v>
      </c>
      <c r="Q7294" s="8"/>
      <c r="R7294" s="9" t="s">
        <v>6795</v>
      </c>
    </row>
    <row r="7295" spans="1:18" x14ac:dyDescent="0.25">
      <c r="A7295" s="6" t="str">
        <f>HYPERLINK("proteomic_fractions_linear_files/Yang_linear_img/226437613.jpg", "226437613")</f>
        <v>226437613</v>
      </c>
      <c r="B7295" s="7"/>
      <c r="C7295" s="6" t="str">
        <f>HYPERLINK("http://www.ncbi.nlm.nih.gov/protein/226437613","Sympk")</f>
        <v>Sympk</v>
      </c>
      <c r="D7295" s="8"/>
      <c r="E7295" s="8">
        <v>142490</v>
      </c>
      <c r="F7295" s="8"/>
      <c r="G7295" s="15">
        <v>1.3152523354925378</v>
      </c>
      <c r="H7295" s="15">
        <v>1.3152523354925378</v>
      </c>
      <c r="I7295" s="15" t="s">
        <v>10</v>
      </c>
      <c r="J7295" s="15" t="s">
        <v>10</v>
      </c>
      <c r="K7295" s="15">
        <v>1.3152523354925378</v>
      </c>
      <c r="L7295" s="15">
        <v>1.3152523354925378</v>
      </c>
      <c r="M7295" s="15">
        <v>1.3152523354925378</v>
      </c>
      <c r="N7295" s="15">
        <v>1.3152523354925378</v>
      </c>
      <c r="O7295" s="15">
        <v>1.3152523354925378</v>
      </c>
      <c r="P7295" s="15">
        <v>1.3152523354925378</v>
      </c>
      <c r="Q7295" s="8"/>
      <c r="R7295" s="9" t="s">
        <v>6796</v>
      </c>
    </row>
    <row r="7296" spans="1:18" x14ac:dyDescent="0.25">
      <c r="A7296" s="6" t="str">
        <f>HYPERLINK("proteomic_fractions_linear_files/Yang_linear_img/85701452.jpg", "85701452")</f>
        <v>85701452</v>
      </c>
      <c r="B7296" s="7"/>
      <c r="C7296" s="6" t="str">
        <f>HYPERLINK("http://www.ncbi.nlm.nih.gov/protein/85701452","Syna")</f>
        <v>Syna</v>
      </c>
      <c r="D7296" s="8"/>
      <c r="E7296" s="8">
        <v>66706</v>
      </c>
      <c r="F7296" s="8"/>
      <c r="G7296" s="15">
        <v>0.79284432283583695</v>
      </c>
      <c r="H7296" s="15">
        <v>0.79284432283583695</v>
      </c>
      <c r="I7296" s="15" t="s">
        <v>10</v>
      </c>
      <c r="J7296" s="15" t="s">
        <v>10</v>
      </c>
      <c r="K7296" s="15">
        <v>0.60458683885407083</v>
      </c>
      <c r="L7296" s="15">
        <v>0.60458683885407083</v>
      </c>
      <c r="M7296" s="15">
        <v>0.55733323019588943</v>
      </c>
      <c r="N7296" s="15">
        <v>0.55733323019588943</v>
      </c>
      <c r="O7296" s="15" t="s">
        <v>10</v>
      </c>
      <c r="P7296" s="15" t="s">
        <v>10</v>
      </c>
      <c r="Q7296" s="8"/>
      <c r="R7296" s="9" t="s">
        <v>6797</v>
      </c>
    </row>
    <row r="7297" spans="1:18" x14ac:dyDescent="0.25">
      <c r="A7297" s="6" t="str">
        <f>HYPERLINK("proteomic_fractions_linear_files/Yang_linear_img/547235396.jpg", "547235396")</f>
        <v>547235396</v>
      </c>
      <c r="B7297" s="7"/>
      <c r="C7297" s="6" t="str">
        <f>HYPERLINK("http://www.ncbi.nlm.nih.gov/protein/547235396","Syncrip")</f>
        <v>Syncrip</v>
      </c>
      <c r="D7297" s="8"/>
      <c r="E7297" s="8">
        <v>62413</v>
      </c>
      <c r="F7297" s="8"/>
      <c r="G7297" s="15">
        <v>1.3403009431152235</v>
      </c>
      <c r="H7297" s="15">
        <v>1.3403009431152235</v>
      </c>
      <c r="I7297" s="15" t="s">
        <v>10</v>
      </c>
      <c r="J7297" s="15" t="s">
        <v>10</v>
      </c>
      <c r="K7297" s="15" t="s">
        <v>10</v>
      </c>
      <c r="L7297" s="15" t="s">
        <v>10</v>
      </c>
      <c r="M7297" s="15" t="s">
        <v>10</v>
      </c>
      <c r="N7297" s="15" t="s">
        <v>10</v>
      </c>
      <c r="O7297" s="15" t="s">
        <v>10</v>
      </c>
      <c r="P7297" s="15" t="s">
        <v>10</v>
      </c>
      <c r="Q7297" s="8"/>
      <c r="R7297" s="9" t="s">
        <v>6798</v>
      </c>
    </row>
    <row r="7298" spans="1:18" x14ac:dyDescent="0.25">
      <c r="A7298" s="6" t="str">
        <f>HYPERLINK("proteomic_fractions_linear_files/Yang_linear_img/114145493.jpg", "114145493")</f>
        <v>114145493</v>
      </c>
      <c r="B7298" s="7"/>
      <c r="C7298" s="6" t="str">
        <f>HYPERLINK("http://www.ncbi.nlm.nih.gov/protein/114145493","Syncrip")</f>
        <v>Syncrip</v>
      </c>
      <c r="D7298" s="8"/>
      <c r="E7298" s="8">
        <v>69502</v>
      </c>
      <c r="F7298" s="8"/>
      <c r="G7298" s="15">
        <v>1.1871236924734836</v>
      </c>
      <c r="H7298" s="15">
        <v>1.1871236924734836</v>
      </c>
      <c r="I7298" s="15">
        <v>0.93504661900777619</v>
      </c>
      <c r="J7298" s="15">
        <v>0.93504661900777619</v>
      </c>
      <c r="K7298" s="15">
        <v>1.0490880034526036</v>
      </c>
      <c r="L7298" s="15">
        <v>1.0490880034526036</v>
      </c>
      <c r="M7298" s="15">
        <v>1.0490880034526036</v>
      </c>
      <c r="N7298" s="15">
        <v>1.0490880034526036</v>
      </c>
      <c r="O7298" s="15">
        <v>0.93504661900777619</v>
      </c>
      <c r="P7298" s="15">
        <v>0.93504661900777619</v>
      </c>
      <c r="Q7298" s="8"/>
      <c r="R7298" s="9" t="s">
        <v>6799</v>
      </c>
    </row>
    <row r="7299" spans="1:18" x14ac:dyDescent="0.25">
      <c r="A7299" s="6" t="str">
        <f>HYPERLINK("proteomic_fractions_linear_files/Yang_linear_img/29788787.jpg", "29788787")</f>
        <v>29788787</v>
      </c>
      <c r="B7299" s="7"/>
      <c r="C7299" s="6" t="str">
        <f>HYPERLINK("http://www.ncbi.nlm.nih.gov/protein/29788787","Syncrip")</f>
        <v>Syncrip</v>
      </c>
      <c r="D7299" s="8"/>
      <c r="E7299" s="8">
        <v>62541</v>
      </c>
      <c r="F7299" s="8"/>
      <c r="G7299" s="15">
        <v>1.3190263249705374</v>
      </c>
      <c r="H7299" s="15">
        <v>1.3190263249705374</v>
      </c>
      <c r="I7299" s="15">
        <v>1.038940687786418</v>
      </c>
      <c r="J7299" s="15">
        <v>1.038940687786418</v>
      </c>
      <c r="K7299" s="15">
        <v>1.1656533371695594</v>
      </c>
      <c r="L7299" s="15">
        <v>1.1656533371695594</v>
      </c>
      <c r="M7299" s="15">
        <v>1.1656533371695594</v>
      </c>
      <c r="N7299" s="15">
        <v>1.1656533371695594</v>
      </c>
      <c r="O7299" s="15">
        <v>1.038940687786418</v>
      </c>
      <c r="P7299" s="15">
        <v>1.038940687786418</v>
      </c>
      <c r="Q7299" s="8"/>
      <c r="R7299" s="9" t="s">
        <v>6800</v>
      </c>
    </row>
    <row r="7300" spans="1:18" x14ac:dyDescent="0.25">
      <c r="A7300" s="6" t="str">
        <f>HYPERLINK("proteomic_fractions_linear_files/Yang_linear_img/119120816.jpg", "119120816")</f>
        <v>119120816</v>
      </c>
      <c r="B7300" s="7"/>
      <c r="C7300" s="6" t="str">
        <f>HYPERLINK("http://www.ncbi.nlm.nih.gov/protein/119120816","Syne1")</f>
        <v>Syne1</v>
      </c>
      <c r="D7300" s="8"/>
      <c r="E7300" s="8">
        <v>108649</v>
      </c>
      <c r="F7300" s="8"/>
      <c r="G7300" s="15" t="s">
        <v>10</v>
      </c>
      <c r="H7300" s="15" t="s">
        <v>10</v>
      </c>
      <c r="I7300" s="15">
        <v>8.7980570446460487</v>
      </c>
      <c r="J7300" s="15">
        <v>8.7980570446460487</v>
      </c>
      <c r="K7300" s="15">
        <v>3.7526931902700897</v>
      </c>
      <c r="L7300" s="15">
        <v>3.7526931902700897</v>
      </c>
      <c r="M7300" s="15" t="s">
        <v>10</v>
      </c>
      <c r="N7300" s="15" t="s">
        <v>10</v>
      </c>
      <c r="O7300" s="15">
        <v>3.7526931902700897</v>
      </c>
      <c r="P7300" s="15">
        <v>3.7526931902700897</v>
      </c>
      <c r="Q7300" s="8"/>
      <c r="R7300" s="9" t="s">
        <v>6801</v>
      </c>
    </row>
    <row r="7301" spans="1:18" x14ac:dyDescent="0.25">
      <c r="A7301" s="6" t="str">
        <f>HYPERLINK("proteomic_fractions_linear_files/Yang_linear_img/119120865.jpg", "119120865")</f>
        <v>119120865</v>
      </c>
      <c r="B7301" s="7"/>
      <c r="C7301" s="6" t="str">
        <f>HYPERLINK("http://www.ncbi.nlm.nih.gov/protein/119120865","Syne1")</f>
        <v>Syne1</v>
      </c>
      <c r="D7301" s="8"/>
      <c r="E7301" s="8">
        <v>344372</v>
      </c>
      <c r="F7301" s="8"/>
      <c r="G7301" s="15" t="s">
        <v>10</v>
      </c>
      <c r="H7301" s="15" t="s">
        <v>10</v>
      </c>
      <c r="I7301" s="15">
        <v>2.7877564472861027</v>
      </c>
      <c r="J7301" s="15">
        <v>2.7877564472861027</v>
      </c>
      <c r="K7301" s="15">
        <v>1.1890801097076737</v>
      </c>
      <c r="L7301" s="15">
        <v>1.1890801097076737</v>
      </c>
      <c r="M7301" s="15" t="s">
        <v>10</v>
      </c>
      <c r="N7301" s="15" t="s">
        <v>10</v>
      </c>
      <c r="O7301" s="15">
        <v>1.1890801097076737</v>
      </c>
      <c r="P7301" s="15">
        <v>1.1890801097076737</v>
      </c>
      <c r="Q7301" s="8"/>
      <c r="R7301" s="9" t="s">
        <v>6802</v>
      </c>
    </row>
    <row r="7302" spans="1:18" x14ac:dyDescent="0.25">
      <c r="A7302" s="6" t="str">
        <f>HYPERLINK("proteomic_fractions_linear_files/Yang_linear_img/145699091.jpg", "145699091")</f>
        <v>145699091</v>
      </c>
      <c r="B7302" s="7"/>
      <c r="C7302" s="6" t="str">
        <f>HYPERLINK("http://www.ncbi.nlm.nih.gov/protein/145699091","Syne2")</f>
        <v>Syne2</v>
      </c>
      <c r="D7302" s="8"/>
      <c r="E7302" s="8">
        <v>782597</v>
      </c>
      <c r="F7302" s="8"/>
      <c r="G7302" s="15">
        <v>0.38541931626628195</v>
      </c>
      <c r="H7302" s="15">
        <v>0.38541931626628195</v>
      </c>
      <c r="I7302" s="15">
        <v>0.38541931626628195</v>
      </c>
      <c r="J7302" s="15">
        <v>0.38541931626628195</v>
      </c>
      <c r="K7302" s="15">
        <v>0.52240556543989758</v>
      </c>
      <c r="L7302" s="15">
        <v>0.52240556543989758</v>
      </c>
      <c r="M7302" s="15">
        <v>0.75797293188927739</v>
      </c>
      <c r="N7302" s="15">
        <v>0.75797293188927739</v>
      </c>
      <c r="O7302" s="15">
        <v>0.52240556543989758</v>
      </c>
      <c r="P7302" s="15">
        <v>0.52240556543989758</v>
      </c>
      <c r="Q7302" s="8"/>
      <c r="R7302" s="9" t="s">
        <v>6803</v>
      </c>
    </row>
    <row r="7303" spans="1:18" x14ac:dyDescent="0.25">
      <c r="A7303" s="6" t="str">
        <f>HYPERLINK("proteomic_fractions_linear_files/Yang_linear_img/46877048.jpg", "46877048")</f>
        <v>46877048</v>
      </c>
      <c r="B7303" s="7"/>
      <c r="C7303" s="6" t="str">
        <f>HYPERLINK("http://www.ncbi.nlm.nih.gov/protein/46877048","Syngr1")</f>
        <v>Syngr1</v>
      </c>
      <c r="D7303" s="8"/>
      <c r="E7303" s="8">
        <v>25522</v>
      </c>
      <c r="F7303" s="8"/>
      <c r="G7303" s="15" t="s">
        <v>10</v>
      </c>
      <c r="H7303" s="15" t="s">
        <v>10</v>
      </c>
      <c r="I7303" s="15">
        <v>0.67576691405226796</v>
      </c>
      <c r="J7303" s="15">
        <v>0.67576691405226796</v>
      </c>
      <c r="K7303" s="15">
        <v>0.7113576601755417</v>
      </c>
      <c r="L7303" s="15">
        <v>0.7113576601755417</v>
      </c>
      <c r="M7303" s="15">
        <v>0.7113576601755417</v>
      </c>
      <c r="N7303" s="15">
        <v>0.7113576601755417</v>
      </c>
      <c r="O7303" s="15" t="s">
        <v>10</v>
      </c>
      <c r="P7303" s="15" t="s">
        <v>10</v>
      </c>
      <c r="Q7303" s="8"/>
      <c r="R7303" s="9" t="s">
        <v>6804</v>
      </c>
    </row>
    <row r="7304" spans="1:18" x14ac:dyDescent="0.25">
      <c r="A7304" s="6" t="str">
        <f>HYPERLINK("proteomic_fractions_linear_files/Yang_linear_img/6678193.jpg", "6678193")</f>
        <v>6678193</v>
      </c>
      <c r="B7304" s="7"/>
      <c r="C7304" s="6" t="str">
        <f>HYPERLINK("http://www.ncbi.nlm.nih.gov/protein/6678193","Syngr1")</f>
        <v>Syngr1</v>
      </c>
      <c r="D7304" s="8"/>
      <c r="E7304" s="8">
        <v>21163</v>
      </c>
      <c r="F7304" s="8"/>
      <c r="G7304" s="15" t="s">
        <v>10</v>
      </c>
      <c r="H7304" s="15" t="s">
        <v>10</v>
      </c>
      <c r="I7304" s="15">
        <v>0.83666379835042703</v>
      </c>
      <c r="J7304" s="15">
        <v>0.83666379835042703</v>
      </c>
      <c r="K7304" s="15">
        <v>0.88072853164590881</v>
      </c>
      <c r="L7304" s="15">
        <v>0.88072853164590881</v>
      </c>
      <c r="M7304" s="15">
        <v>0.88072853164590881</v>
      </c>
      <c r="N7304" s="15">
        <v>0.88072853164590881</v>
      </c>
      <c r="O7304" s="15" t="s">
        <v>10</v>
      </c>
      <c r="P7304" s="15" t="s">
        <v>10</v>
      </c>
      <c r="Q7304" s="8"/>
      <c r="R7304" s="9" t="s">
        <v>6805</v>
      </c>
    </row>
    <row r="7305" spans="1:18" x14ac:dyDescent="0.25">
      <c r="A7305" s="6" t="str">
        <f>HYPERLINK("proteomic_fractions_linear_files/Yang_linear_img/7106429.jpg", "7106429")</f>
        <v>7106429</v>
      </c>
      <c r="B7305" s="7"/>
      <c r="C7305" s="6" t="str">
        <f>HYPERLINK("http://www.ncbi.nlm.nih.gov/protein/7106429","Syngr2")</f>
        <v>Syngr2</v>
      </c>
      <c r="D7305" s="8"/>
      <c r="E7305" s="8">
        <v>24647</v>
      </c>
      <c r="F7305" s="8"/>
      <c r="G7305" s="15">
        <v>0.92438293498869784</v>
      </c>
      <c r="H7305" s="15">
        <v>0.92438293498869784</v>
      </c>
      <c r="I7305" s="15">
        <v>0.6078535317525714</v>
      </c>
      <c r="J7305" s="15">
        <v>0.9821928245310767</v>
      </c>
      <c r="K7305" s="15">
        <v>0.9821928245310767</v>
      </c>
      <c r="L7305" s="15">
        <v>0.9821928245310767</v>
      </c>
      <c r="M7305" s="15">
        <v>0.9821928245310767</v>
      </c>
      <c r="N7305" s="15">
        <v>0.9821928245310767</v>
      </c>
      <c r="O7305" s="15" t="s">
        <v>10</v>
      </c>
      <c r="P7305" s="15" t="s">
        <v>10</v>
      </c>
      <c r="Q7305" s="8"/>
      <c r="R7305" s="9" t="s">
        <v>6806</v>
      </c>
    </row>
    <row r="7306" spans="1:18" x14ac:dyDescent="0.25">
      <c r="A7306" s="6" t="str">
        <f>HYPERLINK("proteomic_fractions_linear_files/Yang_linear_img/31560541.jpg", "31560541")</f>
        <v>31560541</v>
      </c>
      <c r="B7306" s="7"/>
      <c r="C7306" s="6" t="str">
        <f>HYPERLINK("http://www.ncbi.nlm.nih.gov/protein/31560541","Syngr3")</f>
        <v>Syngr3</v>
      </c>
      <c r="D7306" s="8"/>
      <c r="E7306" s="8">
        <v>24430</v>
      </c>
      <c r="F7306" s="8"/>
      <c r="G7306" s="15" t="s">
        <v>10</v>
      </c>
      <c r="H7306" s="15" t="s">
        <v>10</v>
      </c>
      <c r="I7306" s="15" t="s">
        <v>10</v>
      </c>
      <c r="J7306" s="15" t="s">
        <v>10</v>
      </c>
      <c r="K7306" s="15">
        <v>1.0231175255532048</v>
      </c>
      <c r="L7306" s="15">
        <v>1.0231175255532048</v>
      </c>
      <c r="M7306" s="15" t="s">
        <v>10</v>
      </c>
      <c r="N7306" s="15" t="s">
        <v>10</v>
      </c>
      <c r="O7306" s="15" t="s">
        <v>10</v>
      </c>
      <c r="P7306" s="15" t="s">
        <v>10</v>
      </c>
      <c r="Q7306" s="8"/>
      <c r="R7306" s="9" t="s">
        <v>6807</v>
      </c>
    </row>
    <row r="7307" spans="1:18" x14ac:dyDescent="0.25">
      <c r="A7307" s="6" t="str">
        <f>HYPERLINK("proteomic_fractions_linear_files/Yang_linear_img/256773218.jpg", "256773218")</f>
        <v>256773218</v>
      </c>
      <c r="B7307" s="7"/>
      <c r="C7307" s="6" t="str">
        <f>HYPERLINK("http://www.ncbi.nlm.nih.gov/protein/256773218","Synj1")</f>
        <v>Synj1</v>
      </c>
      <c r="D7307" s="8"/>
      <c r="E7307" s="8">
        <v>144465</v>
      </c>
      <c r="F7307" s="8"/>
      <c r="G7307" s="15" t="s">
        <v>10</v>
      </c>
      <c r="H7307" s="15" t="s">
        <v>10</v>
      </c>
      <c r="I7307" s="15" t="s">
        <v>10</v>
      </c>
      <c r="J7307" s="15" t="s">
        <v>10</v>
      </c>
      <c r="K7307" s="15" t="s">
        <v>10</v>
      </c>
      <c r="L7307" s="15" t="s">
        <v>10</v>
      </c>
      <c r="M7307" s="15">
        <v>1.065644938446124</v>
      </c>
      <c r="N7307" s="15">
        <v>1.065644938446124</v>
      </c>
      <c r="O7307" s="15" t="s">
        <v>10</v>
      </c>
      <c r="P7307" s="15" t="s">
        <v>10</v>
      </c>
      <c r="Q7307" s="8"/>
      <c r="R7307" s="9" t="s">
        <v>6808</v>
      </c>
    </row>
    <row r="7308" spans="1:18" x14ac:dyDescent="0.25">
      <c r="A7308" s="6" t="str">
        <f>HYPERLINK("proteomic_fractions_linear_files/Yang_linear_img/256773220.jpg", "256773220")</f>
        <v>256773220</v>
      </c>
      <c r="B7308" s="7"/>
      <c r="C7308" s="6" t="str">
        <f>HYPERLINK("http://www.ncbi.nlm.nih.gov/protein/256773220","Synj1")</f>
        <v>Synj1</v>
      </c>
      <c r="D7308" s="8"/>
      <c r="E7308" s="8">
        <v>176202</v>
      </c>
      <c r="F7308" s="8"/>
      <c r="G7308" s="15" t="s">
        <v>10</v>
      </c>
      <c r="H7308" s="15" t="s">
        <v>10</v>
      </c>
      <c r="I7308" s="15" t="s">
        <v>10</v>
      </c>
      <c r="J7308" s="15" t="s">
        <v>10</v>
      </c>
      <c r="K7308" s="15" t="s">
        <v>10</v>
      </c>
      <c r="L7308" s="15" t="s">
        <v>10</v>
      </c>
      <c r="M7308" s="15">
        <v>0.87189131327410141</v>
      </c>
      <c r="N7308" s="15">
        <v>0.87189131327410141</v>
      </c>
      <c r="O7308" s="15" t="s">
        <v>10</v>
      </c>
      <c r="P7308" s="15" t="s">
        <v>10</v>
      </c>
      <c r="Q7308" s="8"/>
      <c r="R7308" s="9" t="s">
        <v>6809</v>
      </c>
    </row>
    <row r="7309" spans="1:18" x14ac:dyDescent="0.25">
      <c r="A7309" s="6" t="str">
        <f>HYPERLINK("proteomic_fractions_linear_files/Yang_linear_img/13384642.jpg", "13384642")</f>
        <v>13384642</v>
      </c>
      <c r="B7309" s="7"/>
      <c r="C7309" s="6" t="str">
        <f>HYPERLINK("http://www.ncbi.nlm.nih.gov/protein/13384642","Synj2bp")</f>
        <v>Synj2bp</v>
      </c>
      <c r="D7309" s="8"/>
      <c r="E7309" s="8">
        <v>15684</v>
      </c>
      <c r="F7309" s="8"/>
      <c r="G7309" s="15">
        <v>0.90734210761689671</v>
      </c>
      <c r="H7309" s="15">
        <v>0.90734210761689671</v>
      </c>
      <c r="I7309" s="15">
        <v>0.94977114336339286</v>
      </c>
      <c r="J7309" s="15">
        <v>0.94977114336339286</v>
      </c>
      <c r="K7309" s="15">
        <v>0.94977114336339286</v>
      </c>
      <c r="L7309" s="15">
        <v>0.99546511144886096</v>
      </c>
      <c r="M7309" s="15" t="s">
        <v>10</v>
      </c>
      <c r="N7309" s="15" t="s">
        <v>10</v>
      </c>
      <c r="O7309" s="15" t="s">
        <v>10</v>
      </c>
      <c r="P7309" s="15" t="s">
        <v>10</v>
      </c>
      <c r="Q7309" s="8"/>
      <c r="R7309" s="9" t="s">
        <v>6810</v>
      </c>
    </row>
    <row r="7310" spans="1:18" x14ac:dyDescent="0.25">
      <c r="A7310" s="6" t="str">
        <f>HYPERLINK("proteomic_fractions_linear_files/Yang_linear_img/169234726.jpg", "169234726")</f>
        <v>169234726</v>
      </c>
      <c r="B7310" s="7"/>
      <c r="C7310" s="6" t="str">
        <f>HYPERLINK("http://www.ncbi.nlm.nih.gov/protein/169234726","Synrg")</f>
        <v>Synrg</v>
      </c>
      <c r="D7310" s="8"/>
      <c r="E7310" s="8">
        <v>139485</v>
      </c>
      <c r="F7310" s="8"/>
      <c r="G7310" s="15" t="s">
        <v>10</v>
      </c>
      <c r="H7310" s="15" t="s">
        <v>10</v>
      </c>
      <c r="I7310" s="15" t="s">
        <v>10</v>
      </c>
      <c r="J7310" s="15" t="s">
        <v>10</v>
      </c>
      <c r="K7310" s="15" t="s">
        <v>10</v>
      </c>
      <c r="L7310" s="15" t="s">
        <v>10</v>
      </c>
      <c r="M7310" s="15" t="s">
        <v>10</v>
      </c>
      <c r="N7310" s="15" t="s">
        <v>10</v>
      </c>
      <c r="O7310" s="15">
        <v>1.3436390765463335</v>
      </c>
      <c r="P7310" s="15">
        <v>1.3436390765463335</v>
      </c>
      <c r="Q7310" s="8"/>
      <c r="R7310" s="9" t="s">
        <v>6811</v>
      </c>
    </row>
    <row r="7311" spans="1:18" x14ac:dyDescent="0.25">
      <c r="A7311" s="6" t="str">
        <f>HYPERLINK("proteomic_fractions_linear_files/Yang_linear_img/34996507.jpg", "34996507")</f>
        <v>34996507</v>
      </c>
      <c r="B7311" s="7"/>
      <c r="C7311" s="6" t="str">
        <f>HYPERLINK("http://www.ncbi.nlm.nih.gov/protein/34996507","Synrg")</f>
        <v>Synrg</v>
      </c>
      <c r="D7311" s="8"/>
      <c r="E7311" s="8">
        <v>121952</v>
      </c>
      <c r="F7311" s="8"/>
      <c r="G7311" s="15" t="s">
        <v>10</v>
      </c>
      <c r="H7311" s="15" t="s">
        <v>10</v>
      </c>
      <c r="I7311" s="15" t="s">
        <v>10</v>
      </c>
      <c r="J7311" s="15" t="s">
        <v>10</v>
      </c>
      <c r="K7311" s="15" t="s">
        <v>10</v>
      </c>
      <c r="L7311" s="15" t="s">
        <v>10</v>
      </c>
      <c r="M7311" s="15" t="s">
        <v>10</v>
      </c>
      <c r="N7311" s="15" t="s">
        <v>10</v>
      </c>
      <c r="O7311" s="15">
        <v>1.5308674724585276</v>
      </c>
      <c r="P7311" s="15">
        <v>1.5308674724585276</v>
      </c>
      <c r="Q7311" s="8"/>
      <c r="R7311" s="9" t="s">
        <v>6812</v>
      </c>
    </row>
    <row r="7312" spans="1:18" x14ac:dyDescent="0.25">
      <c r="A7312" s="6" t="str">
        <f>HYPERLINK("proteomic_fractions_linear_files/Yang_linear_img/226958374.jpg", "226958374")</f>
        <v>226958374</v>
      </c>
      <c r="B7312" s="7"/>
      <c r="C7312" s="6" t="str">
        <f>HYPERLINK("http://www.ncbi.nlm.nih.gov/protein/226958374","Sypl")</f>
        <v>Sypl</v>
      </c>
      <c r="D7312" s="8"/>
      <c r="E7312" s="8">
        <v>28768</v>
      </c>
      <c r="F7312" s="8"/>
      <c r="G7312" s="15">
        <v>2.0266623305377189</v>
      </c>
      <c r="H7312" s="15">
        <v>2.2570090803635976</v>
      </c>
      <c r="I7312" s="15">
        <v>1.1063473398528822</v>
      </c>
      <c r="J7312" s="15">
        <v>1.1063473398528822</v>
      </c>
      <c r="K7312" s="15">
        <v>1.8317437803448648</v>
      </c>
      <c r="L7312" s="15">
        <v>1.8317437803448648</v>
      </c>
      <c r="M7312" s="15">
        <v>2.5322813876442152</v>
      </c>
      <c r="N7312" s="15">
        <v>2.5322813876442152</v>
      </c>
      <c r="O7312" s="15" t="s">
        <v>10</v>
      </c>
      <c r="P7312" s="15" t="s">
        <v>10</v>
      </c>
      <c r="Q7312" s="8"/>
      <c r="R7312" s="9" t="s">
        <v>6813</v>
      </c>
    </row>
    <row r="7313" spans="1:18" x14ac:dyDescent="0.25">
      <c r="A7313" s="6" t="str">
        <f>HYPERLINK("proteomic_fractions_linear_files/Yang_linear_img/41282044.jpg", "41282044")</f>
        <v>41282044</v>
      </c>
      <c r="B7313" s="7"/>
      <c r="C7313" s="6" t="str">
        <f>HYPERLINK("http://www.ncbi.nlm.nih.gov/protein/41282044","Sypl")</f>
        <v>Sypl</v>
      </c>
      <c r="D7313" s="8"/>
      <c r="E7313" s="8">
        <v>26620</v>
      </c>
      <c r="F7313" s="8"/>
      <c r="G7313" s="15">
        <v>2.1767854661331056</v>
      </c>
      <c r="H7313" s="15">
        <v>2.4241949381683088</v>
      </c>
      <c r="I7313" s="15">
        <v>1.6342810832209433</v>
      </c>
      <c r="J7313" s="15">
        <v>1.6342810832209433</v>
      </c>
      <c r="K7313" s="15">
        <v>1.9674285048148548</v>
      </c>
      <c r="L7313" s="15">
        <v>1.9674285048148548</v>
      </c>
      <c r="M7313" s="15">
        <v>2.7198577867289719</v>
      </c>
      <c r="N7313" s="15">
        <v>2.7198577867289719</v>
      </c>
      <c r="O7313" s="15" t="s">
        <v>10</v>
      </c>
      <c r="P7313" s="15" t="s">
        <v>10</v>
      </c>
      <c r="Q7313" s="8"/>
      <c r="R7313" s="9" t="s">
        <v>6814</v>
      </c>
    </row>
    <row r="7314" spans="1:18" x14ac:dyDescent="0.25">
      <c r="A7314" s="6" t="str">
        <f>HYPERLINK("proteomic_fractions_linear_files/Yang_linear_img/258547102.jpg", "258547102")</f>
        <v>258547102</v>
      </c>
      <c r="B7314" s="7"/>
      <c r="C7314" s="6" t="str">
        <f>HYPERLINK("http://www.ncbi.nlm.nih.gov/protein/258547102","Syvn1")</f>
        <v>Syvn1</v>
      </c>
      <c r="D7314" s="8"/>
      <c r="E7314" s="8">
        <v>65127</v>
      </c>
      <c r="F7314" s="8"/>
      <c r="G7314" s="15" t="s">
        <v>10</v>
      </c>
      <c r="H7314" s="15" t="s">
        <v>10</v>
      </c>
      <c r="I7314" s="15" t="s">
        <v>10</v>
      </c>
      <c r="J7314" s="15" t="s">
        <v>10</v>
      </c>
      <c r="K7314" s="15">
        <v>1.461045864347454</v>
      </c>
      <c r="L7314" s="15">
        <v>1.461045864347454</v>
      </c>
      <c r="M7314" s="15" t="s">
        <v>10</v>
      </c>
      <c r="N7314" s="15" t="s">
        <v>10</v>
      </c>
      <c r="O7314" s="15" t="s">
        <v>10</v>
      </c>
      <c r="P7314" s="15" t="s">
        <v>10</v>
      </c>
      <c r="Q7314" s="8"/>
      <c r="R7314" s="9" t="s">
        <v>6815</v>
      </c>
    </row>
    <row r="7315" spans="1:18" x14ac:dyDescent="0.25">
      <c r="A7315" s="6" t="str">
        <f>HYPERLINK("proteomic_fractions_linear_files/Yang_linear_img/33239391.jpg", "33239391")</f>
        <v>33239391</v>
      </c>
      <c r="B7315" s="7"/>
      <c r="C7315" s="6" t="str">
        <f>HYPERLINK("http://www.ncbi.nlm.nih.gov/protein/33239391","Szrd1")</f>
        <v>Szrd1</v>
      </c>
      <c r="D7315" s="8"/>
      <c r="E7315" s="8">
        <v>14659</v>
      </c>
      <c r="F7315" s="8"/>
      <c r="G7315" s="15" t="s">
        <v>10</v>
      </c>
      <c r="H7315" s="15" t="s">
        <v>10</v>
      </c>
      <c r="I7315" s="15" t="s">
        <v>10</v>
      </c>
      <c r="J7315" s="15" t="s">
        <v>10</v>
      </c>
      <c r="K7315" s="15" t="s">
        <v>10</v>
      </c>
      <c r="L7315" s="15" t="s">
        <v>10</v>
      </c>
      <c r="M7315" s="15" t="s">
        <v>10</v>
      </c>
      <c r="N7315" s="15" t="s">
        <v>10</v>
      </c>
      <c r="O7315" s="15">
        <v>0.81552408615542382</v>
      </c>
      <c r="P7315" s="15">
        <v>0.81552408615542382</v>
      </c>
      <c r="Q7315" s="8"/>
      <c r="R7315" s="9" t="s">
        <v>6816</v>
      </c>
    </row>
    <row r="7316" spans="1:18" x14ac:dyDescent="0.25">
      <c r="A7316" s="6" t="str">
        <f>HYPERLINK("proteomic_fractions_linear_files/Yang_linear_img/71043934.jpg", "71043934")</f>
        <v>71043934</v>
      </c>
      <c r="B7316" s="7"/>
      <c r="C7316" s="6" t="str">
        <f>HYPERLINK("http://www.ncbi.nlm.nih.gov/protein/71043934","Szrd1")</f>
        <v>Szrd1</v>
      </c>
      <c r="D7316" s="8"/>
      <c r="E7316" s="8">
        <v>16867</v>
      </c>
      <c r="F7316" s="8"/>
      <c r="G7316" s="15" t="s">
        <v>10</v>
      </c>
      <c r="H7316" s="15" t="s">
        <v>10</v>
      </c>
      <c r="I7316" s="15" t="s">
        <v>10</v>
      </c>
      <c r="J7316" s="15" t="s">
        <v>10</v>
      </c>
      <c r="K7316" s="15" t="s">
        <v>10</v>
      </c>
      <c r="L7316" s="15" t="s">
        <v>10</v>
      </c>
      <c r="M7316" s="15" t="s">
        <v>10</v>
      </c>
      <c r="N7316" s="15" t="s">
        <v>10</v>
      </c>
      <c r="O7316" s="15">
        <v>0.71958007601949159</v>
      </c>
      <c r="P7316" s="15">
        <v>0.71958007601949159</v>
      </c>
      <c r="Q7316" s="8"/>
      <c r="R7316" s="9" t="s">
        <v>6817</v>
      </c>
    </row>
    <row r="7317" spans="1:18" x14ac:dyDescent="0.25">
      <c r="A7317" s="6" t="str">
        <f>HYPERLINK("proteomic_fractions_linear_files/Yang_linear_img/34328268.jpg", "34328268")</f>
        <v>34328268</v>
      </c>
      <c r="B7317" s="7"/>
      <c r="C7317" s="6" t="str">
        <f>HYPERLINK("http://www.ncbi.nlm.nih.gov/protein/34328268","Tab1")</f>
        <v>Tab1</v>
      </c>
      <c r="D7317" s="8"/>
      <c r="E7317" s="8">
        <v>54485</v>
      </c>
      <c r="F7317" s="8"/>
      <c r="G7317" s="15" t="s">
        <v>10</v>
      </c>
      <c r="H7317" s="15" t="s">
        <v>10</v>
      </c>
      <c r="I7317" s="15" t="s">
        <v>10</v>
      </c>
      <c r="J7317" s="15" t="s">
        <v>10</v>
      </c>
      <c r="K7317" s="15">
        <v>1.2120974690841544</v>
      </c>
      <c r="L7317" s="15">
        <v>1.2120974690841544</v>
      </c>
      <c r="M7317" s="15" t="s">
        <v>10</v>
      </c>
      <c r="N7317" s="15" t="s">
        <v>10</v>
      </c>
      <c r="O7317" s="15">
        <v>1.0883927330665528</v>
      </c>
      <c r="P7317" s="15">
        <v>1.0883927330665528</v>
      </c>
      <c r="Q7317" s="8"/>
      <c r="R7317" s="9" t="s">
        <v>6818</v>
      </c>
    </row>
    <row r="7318" spans="1:18" x14ac:dyDescent="0.25">
      <c r="A7318" s="6" t="str">
        <f>HYPERLINK("proteomic_fractions_linear_files/Yang_linear_img/6678207.jpg", "6678207")</f>
        <v>6678207</v>
      </c>
      <c r="B7318" s="7"/>
      <c r="C7318" s="6" t="str">
        <f>HYPERLINK("http://www.ncbi.nlm.nih.gov/protein/6678207","Tac1")</f>
        <v>Tac1</v>
      </c>
      <c r="D7318" s="8"/>
      <c r="E7318" s="8">
        <v>12966</v>
      </c>
      <c r="F7318" s="8"/>
      <c r="G7318" s="15">
        <v>4.5210159681226036</v>
      </c>
      <c r="H7318" s="15">
        <v>4.5210159681226036</v>
      </c>
      <c r="I7318" s="15" t="s">
        <v>10</v>
      </c>
      <c r="J7318" s="15" t="s">
        <v>10</v>
      </c>
      <c r="K7318" s="15" t="s">
        <v>10</v>
      </c>
      <c r="L7318" s="15" t="s">
        <v>10</v>
      </c>
      <c r="M7318" s="15" t="s">
        <v>10</v>
      </c>
      <c r="N7318" s="15" t="s">
        <v>10</v>
      </c>
      <c r="O7318" s="15" t="s">
        <v>10</v>
      </c>
      <c r="P7318" s="15" t="s">
        <v>10</v>
      </c>
      <c r="Q7318" s="8"/>
      <c r="R7318" s="9" t="s">
        <v>6819</v>
      </c>
    </row>
    <row r="7319" spans="1:18" x14ac:dyDescent="0.25">
      <c r="A7319" s="6" t="str">
        <f>HYPERLINK("proteomic_fractions_linear_files/Yang_linear_img/52486864.jpg", "52486864")</f>
        <v>52486864</v>
      </c>
      <c r="B7319" s="7"/>
      <c r="C7319" s="6" t="str">
        <f>HYPERLINK("http://www.ncbi.nlm.nih.gov/protein/52486864","Tacc2")</f>
        <v>Tacc2</v>
      </c>
      <c r="D7319" s="8"/>
      <c r="E7319" s="8">
        <v>112805</v>
      </c>
      <c r="F7319" s="8"/>
      <c r="G7319" s="15" t="s">
        <v>10</v>
      </c>
      <c r="H7319" s="15" t="s">
        <v>10</v>
      </c>
      <c r="I7319" s="15" t="s">
        <v>10</v>
      </c>
      <c r="J7319" s="15" t="s">
        <v>10</v>
      </c>
      <c r="K7319" s="15" t="s">
        <v>10</v>
      </c>
      <c r="L7319" s="15" t="s">
        <v>10</v>
      </c>
      <c r="M7319" s="15" t="s">
        <v>10</v>
      </c>
      <c r="N7319" s="15" t="s">
        <v>10</v>
      </c>
      <c r="O7319" s="15">
        <v>3.6198544932693788</v>
      </c>
      <c r="P7319" s="15">
        <v>3.6198544932693788</v>
      </c>
      <c r="Q7319" s="8"/>
      <c r="R7319" s="9" t="s">
        <v>6820</v>
      </c>
    </row>
    <row r="7320" spans="1:18" x14ac:dyDescent="0.25">
      <c r="A7320" s="6" t="str">
        <f>HYPERLINK("proteomic_fractions_linear_files/Yang_linear_img/52486915.jpg", "52486915")</f>
        <v>52486915</v>
      </c>
      <c r="B7320" s="7"/>
      <c r="C7320" s="6" t="str">
        <f>HYPERLINK("http://www.ncbi.nlm.nih.gov/protein/52486915","Tacc2")</f>
        <v>Tacc2</v>
      </c>
      <c r="D7320" s="8"/>
      <c r="E7320" s="8">
        <v>123800</v>
      </c>
      <c r="F7320" s="8"/>
      <c r="G7320" s="15" t="s">
        <v>10</v>
      </c>
      <c r="H7320" s="15" t="s">
        <v>10</v>
      </c>
      <c r="I7320" s="15" t="s">
        <v>10</v>
      </c>
      <c r="J7320" s="15" t="s">
        <v>10</v>
      </c>
      <c r="K7320" s="15" t="s">
        <v>10</v>
      </c>
      <c r="L7320" s="15" t="s">
        <v>10</v>
      </c>
      <c r="M7320" s="15" t="s">
        <v>10</v>
      </c>
      <c r="N7320" s="15" t="s">
        <v>10</v>
      </c>
      <c r="O7320" s="15">
        <v>3.29873836886645</v>
      </c>
      <c r="P7320" s="15">
        <v>3.29873836886645</v>
      </c>
      <c r="Q7320" s="8"/>
      <c r="R7320" s="9" t="s">
        <v>6821</v>
      </c>
    </row>
    <row r="7321" spans="1:18" x14ac:dyDescent="0.25">
      <c r="A7321" s="6" t="str">
        <f>HYPERLINK("proteomic_fractions_linear_files/Yang_linear_img/52486843.jpg", "52486843")</f>
        <v>52486843</v>
      </c>
      <c r="B7321" s="7"/>
      <c r="C7321" s="6" t="str">
        <f>HYPERLINK("http://www.ncbi.nlm.nih.gov/protein/52486843","Tacc2")</f>
        <v>Tacc2</v>
      </c>
      <c r="D7321" s="8"/>
      <c r="E7321" s="8">
        <v>305102</v>
      </c>
      <c r="F7321" s="8"/>
      <c r="G7321" s="15" t="s">
        <v>10</v>
      </c>
      <c r="H7321" s="15" t="s">
        <v>10</v>
      </c>
      <c r="I7321" s="15" t="s">
        <v>10</v>
      </c>
      <c r="J7321" s="15" t="s">
        <v>10</v>
      </c>
      <c r="K7321" s="15">
        <v>1.3411264188178353</v>
      </c>
      <c r="L7321" s="15">
        <v>1.3411264188178353</v>
      </c>
      <c r="M7321" s="15" t="s">
        <v>10</v>
      </c>
      <c r="N7321" s="15" t="s">
        <v>10</v>
      </c>
      <c r="O7321" s="15">
        <v>0.98945352339835668</v>
      </c>
      <c r="P7321" s="15">
        <v>0.98945352339835668</v>
      </c>
      <c r="Q7321" s="8"/>
      <c r="R7321" s="9" t="s">
        <v>6822</v>
      </c>
    </row>
    <row r="7322" spans="1:18" x14ac:dyDescent="0.25">
      <c r="A7322" s="6" t="str">
        <f>HYPERLINK("proteomic_fractions_linear_files/Yang_linear_img/94681040.jpg", "94681040")</f>
        <v>94681040</v>
      </c>
      <c r="B7322" s="7"/>
      <c r="C7322" s="6" t="str">
        <f>HYPERLINK("http://www.ncbi.nlm.nih.gov/protein/94681040","Tacc3")</f>
        <v>Tacc3</v>
      </c>
      <c r="D7322" s="8"/>
      <c r="E7322" s="8">
        <v>70338</v>
      </c>
      <c r="F7322" s="8"/>
      <c r="G7322" s="15" t="s">
        <v>10</v>
      </c>
      <c r="H7322" s="15" t="s">
        <v>10</v>
      </c>
      <c r="I7322" s="15" t="s">
        <v>10</v>
      </c>
      <c r="J7322" s="15" t="s">
        <v>10</v>
      </c>
      <c r="K7322" s="15" t="s">
        <v>10</v>
      </c>
      <c r="L7322" s="15" t="s">
        <v>10</v>
      </c>
      <c r="M7322" s="15" t="s">
        <v>10</v>
      </c>
      <c r="N7322" s="15" t="s">
        <v>10</v>
      </c>
      <c r="O7322" s="15">
        <v>1.5685937688733067</v>
      </c>
      <c r="P7322" s="15">
        <v>1.5685937688733067</v>
      </c>
      <c r="Q7322" s="8"/>
      <c r="R7322" s="9" t="s">
        <v>6823</v>
      </c>
    </row>
    <row r="7323" spans="1:18" x14ac:dyDescent="0.25">
      <c r="A7323" s="6" t="str">
        <f>HYPERLINK("proteomic_fractions_linear_files/Yang_linear_img/39930435.jpg", "39930435")</f>
        <v>39930435</v>
      </c>
      <c r="B7323" s="7"/>
      <c r="C7323" s="6" t="str">
        <f>HYPERLINK("http://www.ncbi.nlm.nih.gov/protein/39930435","Taco1")</f>
        <v>Taco1</v>
      </c>
      <c r="D7323" s="8"/>
      <c r="E7323" s="8">
        <v>32183</v>
      </c>
      <c r="F7323" s="8"/>
      <c r="G7323" s="15" t="s">
        <v>10</v>
      </c>
      <c r="H7323" s="15" t="s">
        <v>10</v>
      </c>
      <c r="I7323" s="15">
        <v>0.81719556610703126</v>
      </c>
      <c r="J7323" s="15">
        <v>0.81719556610703126</v>
      </c>
      <c r="K7323" s="15" t="s">
        <v>10</v>
      </c>
      <c r="L7323" s="15" t="s">
        <v>10</v>
      </c>
      <c r="M7323" s="15" t="s">
        <v>10</v>
      </c>
      <c r="N7323" s="15" t="s">
        <v>10</v>
      </c>
      <c r="O7323" s="15" t="s">
        <v>10</v>
      </c>
      <c r="P7323" s="15" t="s">
        <v>10</v>
      </c>
      <c r="Q7323" s="8"/>
      <c r="R7323" s="9" t="s">
        <v>6824</v>
      </c>
    </row>
    <row r="7324" spans="1:18" x14ac:dyDescent="0.25">
      <c r="A7324" s="6" t="str">
        <f>HYPERLINK("proteomic_fractions_linear_files/Yang_linear_img/31560359.jpg", "31560359")</f>
        <v>31560359</v>
      </c>
      <c r="B7324" s="7"/>
      <c r="C7324" s="6" t="str">
        <f>HYPERLINK("http://www.ncbi.nlm.nih.gov/protein/31560359","Tacstd2")</f>
        <v>Tacstd2</v>
      </c>
      <c r="D7324" s="8"/>
      <c r="E7324" s="8">
        <v>33017</v>
      </c>
      <c r="F7324" s="8"/>
      <c r="G7324" s="15" t="s">
        <v>10</v>
      </c>
      <c r="H7324" s="15" t="s">
        <v>10</v>
      </c>
      <c r="I7324" s="15">
        <v>1.609714231212154</v>
      </c>
      <c r="J7324" s="15">
        <v>1.609714231212154</v>
      </c>
      <c r="K7324" s="15">
        <v>1.781006290472541</v>
      </c>
      <c r="L7324" s="15">
        <v>1.781006290472541</v>
      </c>
      <c r="M7324" s="15" t="s">
        <v>10</v>
      </c>
      <c r="N7324" s="15" t="s">
        <v>10</v>
      </c>
      <c r="O7324" s="15" t="s">
        <v>10</v>
      </c>
      <c r="P7324" s="15" t="s">
        <v>10</v>
      </c>
      <c r="Q7324" s="8"/>
      <c r="R7324" s="9" t="s">
        <v>6825</v>
      </c>
    </row>
    <row r="7325" spans="1:18" x14ac:dyDescent="0.25">
      <c r="A7325" s="6" t="str">
        <f>HYPERLINK("proteomic_fractions_linear_files/Yang_linear_img/30794436.jpg", "30794436")</f>
        <v>30794436</v>
      </c>
      <c r="B7325" s="7"/>
      <c r="C7325" s="6" t="str">
        <f>HYPERLINK("http://www.ncbi.nlm.nih.gov/protein/30794436","Taf11")</f>
        <v>Taf11</v>
      </c>
      <c r="D7325" s="8"/>
      <c r="E7325" s="8">
        <v>23202</v>
      </c>
      <c r="F7325" s="8"/>
      <c r="G7325" s="15" t="s">
        <v>10</v>
      </c>
      <c r="H7325" s="15" t="s">
        <v>10</v>
      </c>
      <c r="I7325" s="15" t="s">
        <v>10</v>
      </c>
      <c r="J7325" s="15" t="s">
        <v>10</v>
      </c>
      <c r="K7325" s="15" t="s">
        <v>10</v>
      </c>
      <c r="L7325" s="15" t="s">
        <v>10</v>
      </c>
      <c r="M7325" s="15">
        <v>1.2138352738122635</v>
      </c>
      <c r="N7325" s="15">
        <v>1.2138352738122635</v>
      </c>
      <c r="O7325" s="15" t="s">
        <v>10</v>
      </c>
      <c r="P7325" s="15" t="s">
        <v>10</v>
      </c>
      <c r="Q7325" s="8"/>
      <c r="R7325" s="9" t="s">
        <v>6826</v>
      </c>
    </row>
    <row r="7326" spans="1:18" x14ac:dyDescent="0.25">
      <c r="A7326" s="6" t="str">
        <f>HYPERLINK("proteomic_fractions_linear_files/Yang_linear_img/30794412.jpg", "30794412")</f>
        <v>30794412</v>
      </c>
      <c r="B7326" s="7"/>
      <c r="C7326" s="6" t="str">
        <f>HYPERLINK("http://www.ncbi.nlm.nih.gov/protein/30794412","Taf15")</f>
        <v>Taf15</v>
      </c>
      <c r="D7326" s="8"/>
      <c r="E7326" s="8">
        <v>58470</v>
      </c>
      <c r="F7326" s="8"/>
      <c r="G7326" s="15">
        <v>1.4327354909162735</v>
      </c>
      <c r="H7326" s="15">
        <v>1.4327354909162735</v>
      </c>
      <c r="I7326" s="15">
        <v>1.1285045401817988</v>
      </c>
      <c r="J7326" s="15">
        <v>1.1285045401817988</v>
      </c>
      <c r="K7326" s="15">
        <v>1.2661406938221076</v>
      </c>
      <c r="L7326" s="15">
        <v>1.2661406938221076</v>
      </c>
      <c r="M7326" s="15">
        <v>1.2661406938221076</v>
      </c>
      <c r="N7326" s="15">
        <v>1.2661406938221076</v>
      </c>
      <c r="O7326" s="15">
        <v>1.2661406938221076</v>
      </c>
      <c r="P7326" s="15">
        <v>1.2661406938221076</v>
      </c>
      <c r="Q7326" s="8"/>
      <c r="R7326" s="9" t="s">
        <v>6827</v>
      </c>
    </row>
    <row r="7327" spans="1:18" x14ac:dyDescent="0.25">
      <c r="A7327" s="6" t="str">
        <f>HYPERLINK("proteomic_fractions_linear_files/Yang_linear_img/295317363.jpg", "295317363")</f>
        <v>295317363</v>
      </c>
      <c r="B7327" s="7"/>
      <c r="C7327" s="6" t="str">
        <f>HYPERLINK("http://www.ncbi.nlm.nih.gov/protein/295317363","Taf6l")</f>
        <v>Taf6l</v>
      </c>
      <c r="D7327" s="8"/>
      <c r="E7327" s="8">
        <v>67768</v>
      </c>
      <c r="F7327" s="8"/>
      <c r="G7327" s="15" t="s">
        <v>10</v>
      </c>
      <c r="H7327" s="15" t="s">
        <v>10</v>
      </c>
      <c r="I7327" s="15" t="s">
        <v>10</v>
      </c>
      <c r="J7327" s="15" t="s">
        <v>10</v>
      </c>
      <c r="K7327" s="15">
        <v>1.0799435329659153</v>
      </c>
      <c r="L7327" s="15">
        <v>1.0799435329659153</v>
      </c>
      <c r="M7327" s="15">
        <v>1.0799435329659153</v>
      </c>
      <c r="N7327" s="15">
        <v>1.0799435329659153</v>
      </c>
      <c r="O7327" s="15" t="s">
        <v>10</v>
      </c>
      <c r="P7327" s="15" t="s">
        <v>10</v>
      </c>
      <c r="Q7327" s="8"/>
      <c r="R7327" s="9" t="s">
        <v>6828</v>
      </c>
    </row>
    <row r="7328" spans="1:18" x14ac:dyDescent="0.25">
      <c r="A7328" s="6" t="str">
        <f>HYPERLINK("proteomic_fractions_linear_files/Yang_linear_img/295317365.jpg", "295317365")</f>
        <v>295317365</v>
      </c>
      <c r="B7328" s="7"/>
      <c r="C7328" s="6" t="str">
        <f>HYPERLINK("http://www.ncbi.nlm.nih.gov/protein/295317365","Taf6l")</f>
        <v>Taf6l</v>
      </c>
      <c r="D7328" s="8"/>
      <c r="E7328" s="8">
        <v>65075</v>
      </c>
      <c r="F7328" s="8"/>
      <c r="G7328" s="15" t="s">
        <v>10</v>
      </c>
      <c r="H7328" s="15" t="s">
        <v>10</v>
      </c>
      <c r="I7328" s="15" t="s">
        <v>10</v>
      </c>
      <c r="J7328" s="15" t="s">
        <v>10</v>
      </c>
      <c r="K7328" s="15">
        <v>1.1297870806412653</v>
      </c>
      <c r="L7328" s="15">
        <v>1.1297870806412653</v>
      </c>
      <c r="M7328" s="15">
        <v>1.1297870806412653</v>
      </c>
      <c r="N7328" s="15">
        <v>1.1297870806412653</v>
      </c>
      <c r="O7328" s="15" t="s">
        <v>10</v>
      </c>
      <c r="P7328" s="15" t="s">
        <v>10</v>
      </c>
      <c r="Q7328" s="8"/>
      <c r="R7328" s="9" t="s">
        <v>6829</v>
      </c>
    </row>
    <row r="7329" spans="1:18" x14ac:dyDescent="0.25">
      <c r="A7329" s="6" t="str">
        <f>HYPERLINK("proteomic_fractions_linear_files/Yang_linear_img/283046765.jpg", "283046765")</f>
        <v>283046765</v>
      </c>
      <c r="B7329" s="7"/>
      <c r="C7329" s="6" t="str">
        <f>HYPERLINK("http://www.ncbi.nlm.nih.gov/protein/283046765","Taf7l")</f>
        <v>Taf7l</v>
      </c>
      <c r="D7329" s="8"/>
      <c r="E7329" s="8">
        <v>52774</v>
      </c>
      <c r="F7329" s="8"/>
      <c r="G7329" s="15" t="s">
        <v>10</v>
      </c>
      <c r="H7329" s="15" t="s">
        <v>10</v>
      </c>
      <c r="I7329" s="15" t="s">
        <v>10</v>
      </c>
      <c r="J7329" s="15" t="s">
        <v>10</v>
      </c>
      <c r="K7329" s="15">
        <v>5.6940249931414861</v>
      </c>
      <c r="L7329" s="15">
        <v>5.6940249931414861</v>
      </c>
      <c r="M7329" s="15">
        <v>1.2349672326517798</v>
      </c>
      <c r="N7329" s="15">
        <v>1.2349672326517798</v>
      </c>
      <c r="O7329" s="15" t="s">
        <v>10</v>
      </c>
      <c r="P7329" s="15" t="s">
        <v>10</v>
      </c>
      <c r="Q7329" s="8"/>
      <c r="R7329" s="9" t="s">
        <v>6830</v>
      </c>
    </row>
    <row r="7330" spans="1:18" x14ac:dyDescent="0.25">
      <c r="A7330" s="6" t="str">
        <f>HYPERLINK("proteomic_fractions_linear_files/Yang_linear_img/30519911.jpg", "30519911")</f>
        <v>30519911</v>
      </c>
      <c r="B7330" s="7"/>
      <c r="C7330" s="6" t="str">
        <f>HYPERLINK("http://www.ncbi.nlm.nih.gov/protein/30519911","Tagln2")</f>
        <v>Tagln2</v>
      </c>
      <c r="D7330" s="8"/>
      <c r="E7330" s="8">
        <v>22264</v>
      </c>
      <c r="F7330" s="8"/>
      <c r="G7330" s="15">
        <v>1.3584275859869606</v>
      </c>
      <c r="H7330" s="15">
        <v>1.3584275859869606</v>
      </c>
      <c r="I7330" s="15">
        <v>0.93624732666619426</v>
      </c>
      <c r="J7330" s="15">
        <v>0.93624732666619426</v>
      </c>
      <c r="K7330" s="15">
        <v>0.93624732666619426</v>
      </c>
      <c r="L7330" s="15">
        <v>0.93624732666619426</v>
      </c>
      <c r="M7330" s="15">
        <v>0.93624732666619426</v>
      </c>
      <c r="N7330" s="15">
        <v>0.93624732666619426</v>
      </c>
      <c r="O7330" s="15">
        <v>0.93624732666619426</v>
      </c>
      <c r="P7330" s="15">
        <v>0.93624732666619426</v>
      </c>
      <c r="Q7330" s="8"/>
      <c r="R7330" s="9" t="s">
        <v>6831</v>
      </c>
    </row>
    <row r="7331" spans="1:18" x14ac:dyDescent="0.25">
      <c r="A7331" s="6" t="str">
        <f>HYPERLINK("proteomic_fractions_linear_files/Yang_linear_img/9790125.jpg", "9790125")</f>
        <v>9790125</v>
      </c>
      <c r="B7331" s="7"/>
      <c r="C7331" s="6" t="str">
        <f>HYPERLINK("http://www.ncbi.nlm.nih.gov/protein/9790125","Tagln3")</f>
        <v>Tagln3</v>
      </c>
      <c r="D7331" s="8"/>
      <c r="E7331" s="8">
        <v>22340</v>
      </c>
      <c r="F7331" s="8"/>
      <c r="G7331" s="15" t="s">
        <v>10</v>
      </c>
      <c r="H7331" s="15" t="s">
        <v>10</v>
      </c>
      <c r="I7331" s="15">
        <v>0.51357450898205514</v>
      </c>
      <c r="J7331" s="15">
        <v>0.51357450898205514</v>
      </c>
      <c r="K7331" s="15">
        <v>0.93624732666619426</v>
      </c>
      <c r="L7331" s="15">
        <v>0.93624732666619426</v>
      </c>
      <c r="M7331" s="15" t="s">
        <v>10</v>
      </c>
      <c r="N7331" s="15" t="s">
        <v>10</v>
      </c>
      <c r="O7331" s="15">
        <v>0.93624732666619426</v>
      </c>
      <c r="P7331" s="15">
        <v>0.93624732666619426</v>
      </c>
      <c r="Q7331" s="8"/>
      <c r="R7331" s="9" t="s">
        <v>6832</v>
      </c>
    </row>
    <row r="7332" spans="1:18" x14ac:dyDescent="0.25">
      <c r="A7332" s="6" t="str">
        <f>HYPERLINK("proteomic_fractions_linear_files/Yang_linear_img/33859640.jpg", "33859640")</f>
        <v>33859640</v>
      </c>
      <c r="B7332" s="7"/>
      <c r="C7332" s="6" t="str">
        <f>HYPERLINK("http://www.ncbi.nlm.nih.gov/protein/33859640","Taldo1")</f>
        <v>Taldo1</v>
      </c>
      <c r="D7332" s="8"/>
      <c r="E7332" s="8">
        <v>37256</v>
      </c>
      <c r="F7332" s="8"/>
      <c r="G7332" s="15">
        <v>1.3051344752544662</v>
      </c>
      <c r="H7332" s="15">
        <v>1.3051344752544662</v>
      </c>
      <c r="I7332" s="15">
        <v>0.93387504136419419</v>
      </c>
      <c r="J7332" s="15">
        <v>0.93387504136419419</v>
      </c>
      <c r="K7332" s="15">
        <v>1.0092250384628267</v>
      </c>
      <c r="L7332" s="15">
        <v>1.0092250384628267</v>
      </c>
      <c r="M7332" s="15">
        <v>1.0092250384628267</v>
      </c>
      <c r="N7332" s="15">
        <v>1.0092250384628267</v>
      </c>
      <c r="O7332" s="15">
        <v>0.86713710420901591</v>
      </c>
      <c r="P7332" s="15">
        <v>0.86713710420901591</v>
      </c>
      <c r="Q7332" s="8"/>
      <c r="R7332" s="9" t="s">
        <v>6833</v>
      </c>
    </row>
    <row r="7333" spans="1:18" x14ac:dyDescent="0.25">
      <c r="A7333" s="6" t="str">
        <f>HYPERLINK("proteomic_fractions_linear_files/Yang_linear_img/76559944.jpg", "76559944")</f>
        <v>76559944</v>
      </c>
      <c r="B7333" s="7"/>
      <c r="C7333" s="6" t="str">
        <f>HYPERLINK("http://www.ncbi.nlm.nih.gov/protein/76559944","Tamm41")</f>
        <v>Tamm41</v>
      </c>
      <c r="D7333" s="8"/>
      <c r="E7333" s="8">
        <v>35283</v>
      </c>
      <c r="F7333" s="8"/>
      <c r="G7333" s="15" t="s">
        <v>10</v>
      </c>
      <c r="H7333" s="15" t="s">
        <v>10</v>
      </c>
      <c r="I7333" s="15">
        <v>0.98723932944214809</v>
      </c>
      <c r="J7333" s="15">
        <v>0.98723932944214809</v>
      </c>
      <c r="K7333" s="15" t="s">
        <v>10</v>
      </c>
      <c r="L7333" s="15" t="s">
        <v>10</v>
      </c>
      <c r="M7333" s="15" t="s">
        <v>10</v>
      </c>
      <c r="N7333" s="15" t="s">
        <v>10</v>
      </c>
      <c r="O7333" s="15" t="s">
        <v>10</v>
      </c>
      <c r="P7333" s="15" t="s">
        <v>10</v>
      </c>
      <c r="Q7333" s="8"/>
      <c r="R7333" s="9" t="s">
        <v>6834</v>
      </c>
    </row>
    <row r="7334" spans="1:18" x14ac:dyDescent="0.25">
      <c r="A7334" s="6" t="str">
        <f>HYPERLINK("proteomic_fractions_linear_files/Yang_linear_img/57164407.jpg", "57164407")</f>
        <v>57164407</v>
      </c>
      <c r="B7334" s="7"/>
      <c r="C7334" s="6" t="str">
        <f>HYPERLINK("http://www.ncbi.nlm.nih.gov/protein/57164407","Tanc1")</f>
        <v>Tanc1</v>
      </c>
      <c r="D7334" s="8"/>
      <c r="E7334" s="8">
        <v>200675</v>
      </c>
      <c r="F7334" s="8"/>
      <c r="G7334" s="15">
        <v>4.7710856610269614</v>
      </c>
      <c r="H7334" s="15">
        <v>4.7710856610269614</v>
      </c>
      <c r="I7334" s="15" t="s">
        <v>10</v>
      </c>
      <c r="J7334" s="15" t="s">
        <v>10</v>
      </c>
      <c r="K7334" s="15">
        <v>1.1609992419295974</v>
      </c>
      <c r="L7334" s="15">
        <v>1.1609992419295974</v>
      </c>
      <c r="M7334" s="15">
        <v>0.92918324198975299</v>
      </c>
      <c r="N7334" s="15">
        <v>0.92918324198975299</v>
      </c>
      <c r="O7334" s="15" t="s">
        <v>10</v>
      </c>
      <c r="P7334" s="15" t="s">
        <v>10</v>
      </c>
      <c r="Q7334" s="8"/>
      <c r="R7334" s="9" t="s">
        <v>6835</v>
      </c>
    </row>
    <row r="7335" spans="1:18" x14ac:dyDescent="0.25">
      <c r="A7335" s="6" t="str">
        <f>HYPERLINK("proteomic_fractions_linear_files/Yang_linear_img/124378026.jpg", "124378026")</f>
        <v>124378026</v>
      </c>
      <c r="B7335" s="7"/>
      <c r="C7335" s="6" t="str">
        <f>HYPERLINK("http://www.ncbi.nlm.nih.gov/protein/124378026","Tanc2")</f>
        <v>Tanc2</v>
      </c>
      <c r="D7335" s="8"/>
      <c r="E7335" s="8">
        <v>220133</v>
      </c>
      <c r="F7335" s="8"/>
      <c r="G7335" s="15" t="s">
        <v>10</v>
      </c>
      <c r="H7335" s="15" t="s">
        <v>10</v>
      </c>
      <c r="I7335" s="15">
        <v>9.9071555775812503E-2</v>
      </c>
      <c r="J7335" s="15">
        <v>9.9071555775812503E-2</v>
      </c>
      <c r="K7335" s="15" t="s">
        <v>10</v>
      </c>
      <c r="L7335" s="15" t="s">
        <v>10</v>
      </c>
      <c r="M7335" s="15">
        <v>9.3624732666619415E-2</v>
      </c>
      <c r="N7335" s="15">
        <v>9.3624732666619415E-2</v>
      </c>
      <c r="O7335" s="15" t="s">
        <v>10</v>
      </c>
      <c r="P7335" s="15" t="s">
        <v>10</v>
      </c>
      <c r="Q7335" s="8"/>
      <c r="R7335" s="9" t="s">
        <v>6836</v>
      </c>
    </row>
    <row r="7336" spans="1:18" x14ac:dyDescent="0.25">
      <c r="A7336" s="6" t="str">
        <f>HYPERLINK("proteomic_fractions_linear_files/Yang_linear_img/255918143.jpg", "255918143")</f>
        <v>255918143</v>
      </c>
      <c r="B7336" s="7"/>
      <c r="C7336" s="6" t="str">
        <f>HYPERLINK("http://www.ncbi.nlm.nih.gov/protein/255918143","Tango2")</f>
        <v>Tango2</v>
      </c>
      <c r="D7336" s="8"/>
      <c r="E7336" s="8">
        <v>30743</v>
      </c>
      <c r="F7336" s="8"/>
      <c r="G7336" s="15" t="s">
        <v>10</v>
      </c>
      <c r="H7336" s="15" t="s">
        <v>10</v>
      </c>
      <c r="I7336" s="15" t="s">
        <v>10</v>
      </c>
      <c r="J7336" s="15" t="s">
        <v>10</v>
      </c>
      <c r="K7336" s="15" t="s">
        <v>10</v>
      </c>
      <c r="L7336" s="15" t="s">
        <v>10</v>
      </c>
      <c r="M7336" s="15" t="s">
        <v>10</v>
      </c>
      <c r="N7336" s="15" t="s">
        <v>10</v>
      </c>
      <c r="O7336" s="15">
        <v>0.7920909875250618</v>
      </c>
      <c r="P7336" s="15">
        <v>0.7920909875250618</v>
      </c>
      <c r="Q7336" s="8"/>
      <c r="R7336" s="9" t="s">
        <v>6837</v>
      </c>
    </row>
    <row r="7337" spans="1:18" x14ac:dyDescent="0.25">
      <c r="A7337" s="6" t="str">
        <f>HYPERLINK("proteomic_fractions_linear_files/Yang_linear_img/124358959.jpg", "124358959")</f>
        <v>124358959</v>
      </c>
      <c r="B7337" s="7"/>
      <c r="C7337" s="6" t="str">
        <f>HYPERLINK("http://www.ncbi.nlm.nih.gov/protein/124358959","Taok1")</f>
        <v>Taok1</v>
      </c>
      <c r="D7337" s="8"/>
      <c r="E7337" s="8">
        <v>115920</v>
      </c>
      <c r="F7337" s="8"/>
      <c r="G7337" s="15" t="s">
        <v>10</v>
      </c>
      <c r="H7337" s="15" t="s">
        <v>10</v>
      </c>
      <c r="I7337" s="15">
        <v>51.664655172413795</v>
      </c>
      <c r="J7337" s="15">
        <v>51.664655172413795</v>
      </c>
      <c r="K7337" s="15">
        <v>1.3228695787607054</v>
      </c>
      <c r="L7337" s="15">
        <v>1.3228695787607054</v>
      </c>
      <c r="M7337" s="15" t="s">
        <v>10</v>
      </c>
      <c r="N7337" s="15" t="s">
        <v>10</v>
      </c>
      <c r="O7337" s="15" t="s">
        <v>10</v>
      </c>
      <c r="P7337" s="15" t="s">
        <v>10</v>
      </c>
      <c r="Q7337" s="8"/>
      <c r="R7337" s="9" t="s">
        <v>6838</v>
      </c>
    </row>
    <row r="7338" spans="1:18" x14ac:dyDescent="0.25">
      <c r="A7338" s="6" t="str">
        <f>HYPERLINK("proteomic_fractions_linear_files/Yang_linear_img/255003682.jpg", "255003682")</f>
        <v>255003682</v>
      </c>
      <c r="B7338" s="7"/>
      <c r="C7338" s="6" t="str">
        <f>HYPERLINK("http://www.ncbi.nlm.nih.gov/protein/255003682","Taok2")</f>
        <v>Taok2</v>
      </c>
      <c r="D7338" s="8"/>
      <c r="E7338" s="8">
        <v>119828</v>
      </c>
      <c r="F7338" s="8"/>
      <c r="G7338" s="15">
        <v>0.79139984318820422</v>
      </c>
      <c r="H7338" s="15">
        <v>0.79139984318820422</v>
      </c>
      <c r="I7338" s="15" t="s">
        <v>10</v>
      </c>
      <c r="J7338" s="15" t="s">
        <v>10</v>
      </c>
      <c r="K7338" s="15" t="s">
        <v>10</v>
      </c>
      <c r="L7338" s="15" t="s">
        <v>10</v>
      </c>
      <c r="M7338" s="15" t="s">
        <v>10</v>
      </c>
      <c r="N7338" s="15" t="s">
        <v>10</v>
      </c>
      <c r="O7338" s="15" t="s">
        <v>10</v>
      </c>
      <c r="P7338" s="15" t="s">
        <v>10</v>
      </c>
      <c r="Q7338" s="8"/>
      <c r="R7338" s="9" t="s">
        <v>6839</v>
      </c>
    </row>
    <row r="7339" spans="1:18" x14ac:dyDescent="0.25">
      <c r="A7339" s="6" t="str">
        <f>HYPERLINK("proteomic_fractions_linear_files/Yang_linear_img/124486801.jpg", "124486801")</f>
        <v>124486801</v>
      </c>
      <c r="B7339" s="7"/>
      <c r="C7339" s="6" t="str">
        <f>HYPERLINK("http://www.ncbi.nlm.nih.gov/protein/124486801","Taok3")</f>
        <v>Taok3</v>
      </c>
      <c r="D7339" s="8"/>
      <c r="E7339" s="8">
        <v>105205</v>
      </c>
      <c r="F7339" s="8"/>
      <c r="G7339" s="15" t="s">
        <v>10</v>
      </c>
      <c r="H7339" s="15" t="s">
        <v>10</v>
      </c>
      <c r="I7339" s="15">
        <v>57.07714285714286</v>
      </c>
      <c r="J7339" s="15">
        <v>57.07714285714286</v>
      </c>
      <c r="K7339" s="15">
        <v>1.4614559155832556</v>
      </c>
      <c r="L7339" s="15">
        <v>1.4614559155832556</v>
      </c>
      <c r="M7339" s="15" t="s">
        <v>10</v>
      </c>
      <c r="N7339" s="15" t="s">
        <v>10</v>
      </c>
      <c r="O7339" s="15">
        <v>1.2259202680487331</v>
      </c>
      <c r="P7339" s="15">
        <v>1.2259202680487331</v>
      </c>
      <c r="Q7339" s="8"/>
      <c r="R7339" s="9" t="s">
        <v>6840</v>
      </c>
    </row>
    <row r="7340" spans="1:18" x14ac:dyDescent="0.25">
      <c r="A7340" s="6" t="str">
        <f>HYPERLINK("proteomic_fractions_linear_files/Yang_linear_img/6678219.jpg", "6678219")</f>
        <v>6678219</v>
      </c>
      <c r="B7340" s="7"/>
      <c r="C7340" s="6" t="str">
        <f>HYPERLINK("http://www.ncbi.nlm.nih.gov/protein/6678219","Tapbp")</f>
        <v>Tapbp</v>
      </c>
      <c r="D7340" s="8"/>
      <c r="E7340" s="8">
        <v>47490</v>
      </c>
      <c r="F7340" s="8"/>
      <c r="G7340" s="15">
        <v>1.2504937784168904</v>
      </c>
      <c r="H7340" s="15">
        <v>1.2504937784168904</v>
      </c>
      <c r="I7340" s="15">
        <v>1.0274462890301117</v>
      </c>
      <c r="J7340" s="15">
        <v>1.0274462890301117</v>
      </c>
      <c r="K7340" s="15">
        <v>1.0274462890301117</v>
      </c>
      <c r="L7340" s="15">
        <v>1.0274462890301117</v>
      </c>
      <c r="M7340" s="15">
        <v>1.0274462890301117</v>
      </c>
      <c r="N7340" s="15">
        <v>1.0274462890301117</v>
      </c>
      <c r="O7340" s="15" t="s">
        <v>10</v>
      </c>
      <c r="P7340" s="15" t="s">
        <v>10</v>
      </c>
      <c r="Q7340" s="8"/>
      <c r="R7340" s="9" t="s">
        <v>6841</v>
      </c>
    </row>
    <row r="7341" spans="1:18" x14ac:dyDescent="0.25">
      <c r="A7341" s="6" t="str">
        <f>HYPERLINK("proteomic_fractions_linear_files/Yang_linear_img/70778974.jpg", "70778974")</f>
        <v>70778974</v>
      </c>
      <c r="B7341" s="7"/>
      <c r="C7341" s="6" t="str">
        <f>HYPERLINK("http://www.ncbi.nlm.nih.gov/protein/70778974","Tapbp")</f>
        <v>Tapbp</v>
      </c>
      <c r="D7341" s="8"/>
      <c r="E7341" s="8">
        <v>47589</v>
      </c>
      <c r="F7341" s="8"/>
      <c r="G7341" s="15">
        <v>1.2244418246998718</v>
      </c>
      <c r="H7341" s="15">
        <v>1.2244418246998718</v>
      </c>
      <c r="I7341" s="15">
        <v>1.006041158008651</v>
      </c>
      <c r="J7341" s="15">
        <v>1.006041158008651</v>
      </c>
      <c r="K7341" s="15">
        <v>1.006041158008651</v>
      </c>
      <c r="L7341" s="15">
        <v>1.006041158008651</v>
      </c>
      <c r="M7341" s="15">
        <v>1.006041158008651</v>
      </c>
      <c r="N7341" s="15">
        <v>1.006041158008651</v>
      </c>
      <c r="O7341" s="15" t="s">
        <v>10</v>
      </c>
      <c r="P7341" s="15" t="s">
        <v>10</v>
      </c>
      <c r="Q7341" s="8"/>
      <c r="R7341" s="9" t="s">
        <v>6842</v>
      </c>
    </row>
    <row r="7342" spans="1:18" x14ac:dyDescent="0.25">
      <c r="A7342" s="6" t="str">
        <f>HYPERLINK("proteomic_fractions_linear_files/Yang_linear_img/71143116.jpg", "71143116")</f>
        <v>71143116</v>
      </c>
      <c r="B7342" s="7"/>
      <c r="C7342" s="6" t="str">
        <f>HYPERLINK("http://www.ncbi.nlm.nih.gov/protein/71143116","Tapt1")</f>
        <v>Tapt1</v>
      </c>
      <c r="D7342" s="8"/>
      <c r="E7342" s="8">
        <v>63763</v>
      </c>
      <c r="F7342" s="8"/>
      <c r="G7342" s="15" t="s">
        <v>10</v>
      </c>
      <c r="H7342" s="15" t="s">
        <v>10</v>
      </c>
      <c r="I7342" s="15">
        <v>1.0227072395397552</v>
      </c>
      <c r="J7342" s="15">
        <v>1.0227072395397552</v>
      </c>
      <c r="K7342" s="15" t="s">
        <v>10</v>
      </c>
      <c r="L7342" s="15" t="s">
        <v>10</v>
      </c>
      <c r="M7342" s="15" t="s">
        <v>10</v>
      </c>
      <c r="N7342" s="15" t="s">
        <v>10</v>
      </c>
      <c r="O7342" s="15" t="s">
        <v>10</v>
      </c>
      <c r="P7342" s="15" t="s">
        <v>10</v>
      </c>
      <c r="Q7342" s="8"/>
      <c r="R7342" s="9" t="s">
        <v>6843</v>
      </c>
    </row>
    <row r="7343" spans="1:18" x14ac:dyDescent="0.25">
      <c r="A7343" s="6" t="str">
        <f>HYPERLINK("proteomic_fractions_linear_files/Yang_linear_img/166295185.jpg", "166295185")</f>
        <v>166295185</v>
      </c>
      <c r="B7343" s="7"/>
      <c r="C7343" s="6" t="str">
        <f>HYPERLINK("http://www.ncbi.nlm.nih.gov/protein/166295185","Tarbp2")</f>
        <v>Tarbp2</v>
      </c>
      <c r="D7343" s="8"/>
      <c r="E7343" s="8">
        <v>38711</v>
      </c>
      <c r="F7343" s="8"/>
      <c r="G7343" s="15" t="s">
        <v>10</v>
      </c>
      <c r="H7343" s="15" t="s">
        <v>10</v>
      </c>
      <c r="I7343" s="15" t="s">
        <v>10</v>
      </c>
      <c r="J7343" s="15" t="s">
        <v>10</v>
      </c>
      <c r="K7343" s="15" t="s">
        <v>10</v>
      </c>
      <c r="L7343" s="15" t="s">
        <v>10</v>
      </c>
      <c r="M7343" s="15" t="s">
        <v>10</v>
      </c>
      <c r="N7343" s="15" t="s">
        <v>10</v>
      </c>
      <c r="O7343" s="15">
        <v>1.038649184698019</v>
      </c>
      <c r="P7343" s="15">
        <v>1.038649184698019</v>
      </c>
      <c r="Q7343" s="8"/>
      <c r="R7343" s="9" t="s">
        <v>6844</v>
      </c>
    </row>
    <row r="7344" spans="1:18" x14ac:dyDescent="0.25">
      <c r="A7344" s="6" t="str">
        <f>HYPERLINK("proteomic_fractions_linear_files/Yang_linear_img/21704096.jpg", "21704096")</f>
        <v>21704096</v>
      </c>
      <c r="B7344" s="7"/>
      <c r="C7344" s="6" t="str">
        <f>HYPERLINK("http://www.ncbi.nlm.nih.gov/protein/21704096","Tardbp")</f>
        <v>Tardbp</v>
      </c>
      <c r="D7344" s="8"/>
      <c r="E7344" s="8">
        <v>44417</v>
      </c>
      <c r="F7344" s="8"/>
      <c r="G7344" s="15">
        <v>1.3357547178544058</v>
      </c>
      <c r="H7344" s="15">
        <v>1.3357547178544058</v>
      </c>
      <c r="I7344" s="15">
        <v>1.0028543010673969</v>
      </c>
      <c r="J7344" s="15">
        <v>1.0028543010673969</v>
      </c>
      <c r="K7344" s="15">
        <v>1.0028543010673969</v>
      </c>
      <c r="L7344" s="15">
        <v>1.0028543010673969</v>
      </c>
      <c r="M7344" s="15">
        <v>1.0028543010673969</v>
      </c>
      <c r="N7344" s="15">
        <v>1.0028543010673969</v>
      </c>
      <c r="O7344" s="15">
        <v>0.63450480222004679</v>
      </c>
      <c r="P7344" s="15">
        <v>0.63450480222004679</v>
      </c>
      <c r="Q7344" s="8"/>
      <c r="R7344" s="9" t="s">
        <v>6845</v>
      </c>
    </row>
    <row r="7345" spans="1:18" x14ac:dyDescent="0.25">
      <c r="A7345" s="6" t="str">
        <f>HYPERLINK("proteomic_fractions_linear_files/Yang_linear_img/56682929.jpg", "56682929")</f>
        <v>56682929</v>
      </c>
      <c r="B7345" s="7"/>
      <c r="C7345" s="6" t="str">
        <f>HYPERLINK("http://www.ncbi.nlm.nih.gov/protein/56682929","Tardbp")</f>
        <v>Tardbp</v>
      </c>
      <c r="D7345" s="8"/>
      <c r="E7345" s="8">
        <v>34026</v>
      </c>
      <c r="F7345" s="8"/>
      <c r="G7345" s="15">
        <v>1.7286237525174661</v>
      </c>
      <c r="H7345" s="15">
        <v>1.7286237525174661</v>
      </c>
      <c r="I7345" s="15">
        <v>1.2978114484401608</v>
      </c>
      <c r="J7345" s="15">
        <v>1.2978114484401608</v>
      </c>
      <c r="K7345" s="15">
        <v>1.2978114484401608</v>
      </c>
      <c r="L7345" s="15">
        <v>1.2978114484401608</v>
      </c>
      <c r="M7345" s="15">
        <v>1.2978114484401608</v>
      </c>
      <c r="N7345" s="15">
        <v>1.2978114484401608</v>
      </c>
      <c r="O7345" s="15">
        <v>0.82112386169653118</v>
      </c>
      <c r="P7345" s="15">
        <v>0.82112386169653118</v>
      </c>
      <c r="Q7345" s="8"/>
      <c r="R7345" s="9" t="s">
        <v>6846</v>
      </c>
    </row>
    <row r="7346" spans="1:18" x14ac:dyDescent="0.25">
      <c r="A7346" s="6" t="str">
        <f>HYPERLINK("proteomic_fractions_linear_files/Yang_linear_img/56682931.jpg", "56682931")</f>
        <v>56682931</v>
      </c>
      <c r="B7346" s="7"/>
      <c r="C7346" s="6" t="str">
        <f>HYPERLINK("http://www.ncbi.nlm.nih.gov/protein/56682931","Tardbp")</f>
        <v>Tardbp</v>
      </c>
      <c r="D7346" s="8"/>
      <c r="E7346" s="8">
        <v>33197</v>
      </c>
      <c r="F7346" s="8"/>
      <c r="G7346" s="15">
        <v>1.781006290472541</v>
      </c>
      <c r="H7346" s="15">
        <v>1.781006290472541</v>
      </c>
      <c r="I7346" s="15">
        <v>1.3371390680898627</v>
      </c>
      <c r="J7346" s="15">
        <v>1.3371390680898627</v>
      </c>
      <c r="K7346" s="15">
        <v>1.3371390680898627</v>
      </c>
      <c r="L7346" s="15">
        <v>1.3371390680898627</v>
      </c>
      <c r="M7346" s="15">
        <v>1.3371390680898627</v>
      </c>
      <c r="N7346" s="15">
        <v>1.3371390680898627</v>
      </c>
      <c r="O7346" s="15">
        <v>0.84600640296006246</v>
      </c>
      <c r="P7346" s="15">
        <v>0.84600640296006246</v>
      </c>
      <c r="Q7346" s="8"/>
      <c r="R7346" s="9" t="s">
        <v>6847</v>
      </c>
    </row>
    <row r="7347" spans="1:18" x14ac:dyDescent="0.25">
      <c r="A7347" s="6" t="str">
        <f>HYPERLINK("proteomic_fractions_linear_files/Yang_linear_img/56682933.jpg", "56682933")</f>
        <v>56682933</v>
      </c>
      <c r="B7347" s="7"/>
      <c r="C7347" s="6" t="str">
        <f>HYPERLINK("http://www.ncbi.nlm.nih.gov/protein/56682933","Tardbp")</f>
        <v>Tardbp</v>
      </c>
      <c r="D7347" s="8"/>
      <c r="E7347" s="8">
        <v>34066</v>
      </c>
      <c r="F7347" s="8"/>
      <c r="G7347" s="15">
        <v>1.7286237525174661</v>
      </c>
      <c r="H7347" s="15">
        <v>1.7286237525174661</v>
      </c>
      <c r="I7347" s="15">
        <v>1.2978114484401608</v>
      </c>
      <c r="J7347" s="15">
        <v>1.2978114484401608</v>
      </c>
      <c r="K7347" s="15">
        <v>1.2978114484401608</v>
      </c>
      <c r="L7347" s="15">
        <v>1.2978114484401608</v>
      </c>
      <c r="M7347" s="15">
        <v>1.2978114484401608</v>
      </c>
      <c r="N7347" s="15">
        <v>1.2978114484401608</v>
      </c>
      <c r="O7347" s="15">
        <v>0.82112386169653118</v>
      </c>
      <c r="P7347" s="15">
        <v>0.82112386169653118</v>
      </c>
      <c r="Q7347" s="8"/>
      <c r="R7347" s="9" t="s">
        <v>6848</v>
      </c>
    </row>
    <row r="7348" spans="1:18" x14ac:dyDescent="0.25">
      <c r="A7348" s="6" t="str">
        <f>HYPERLINK("proteomic_fractions_linear_files/Yang_linear_img/56682935.jpg", "56682935")</f>
        <v>56682935</v>
      </c>
      <c r="B7348" s="7"/>
      <c r="C7348" s="6" t="str">
        <f>HYPERLINK("http://www.ncbi.nlm.nih.gov/protein/56682935","Tardbp")</f>
        <v>Tardbp</v>
      </c>
      <c r="D7348" s="8"/>
      <c r="E7348" s="8">
        <v>33465</v>
      </c>
      <c r="F7348" s="8"/>
      <c r="G7348" s="15">
        <v>1.781006290472541</v>
      </c>
      <c r="H7348" s="15">
        <v>1.781006290472541</v>
      </c>
      <c r="I7348" s="15">
        <v>1.3371390680898627</v>
      </c>
      <c r="J7348" s="15">
        <v>1.3371390680898627</v>
      </c>
      <c r="K7348" s="15">
        <v>1.3371390680898627</v>
      </c>
      <c r="L7348" s="15">
        <v>1.3371390680898627</v>
      </c>
      <c r="M7348" s="15">
        <v>1.3371390680898627</v>
      </c>
      <c r="N7348" s="15">
        <v>1.3371390680898627</v>
      </c>
      <c r="O7348" s="15">
        <v>0.84600640296006246</v>
      </c>
      <c r="P7348" s="15">
        <v>0.84600640296006246</v>
      </c>
      <c r="Q7348" s="8"/>
      <c r="R7348" s="9" t="s">
        <v>6849</v>
      </c>
    </row>
    <row r="7349" spans="1:18" x14ac:dyDescent="0.25">
      <c r="A7349" s="6" t="str">
        <f>HYPERLINK("proteomic_fractions_linear_files/Yang_linear_img/27229277.jpg", "27229277")</f>
        <v>27229277</v>
      </c>
      <c r="B7349" s="7"/>
      <c r="C7349" s="6" t="str">
        <f>HYPERLINK("http://www.ncbi.nlm.nih.gov/protein/27229277","Tars")</f>
        <v>Tars</v>
      </c>
      <c r="D7349" s="8"/>
      <c r="E7349" s="8">
        <v>83225</v>
      </c>
      <c r="F7349" s="8"/>
      <c r="G7349" s="15" t="s">
        <v>10</v>
      </c>
      <c r="H7349" s="15" t="s">
        <v>10</v>
      </c>
      <c r="I7349" s="15">
        <v>1.001188656302938</v>
      </c>
      <c r="J7349" s="15">
        <v>1.001188656302938</v>
      </c>
      <c r="K7349" s="15">
        <v>1.1441925443684882</v>
      </c>
      <c r="L7349" s="15">
        <v>1.1441925443684882</v>
      </c>
      <c r="M7349" s="15">
        <v>1.1441925443684882</v>
      </c>
      <c r="N7349" s="15">
        <v>1.1441925443684882</v>
      </c>
      <c r="O7349" s="15">
        <v>1.001188656302938</v>
      </c>
      <c r="P7349" s="15">
        <v>1.001188656302938</v>
      </c>
      <c r="Q7349" s="8"/>
      <c r="R7349" s="9" t="s">
        <v>6850</v>
      </c>
    </row>
    <row r="7350" spans="1:18" x14ac:dyDescent="0.25">
      <c r="A7350" s="6" t="str">
        <f>HYPERLINK("proteomic_fractions_linear_files/Yang_linear_img/254692865.jpg", "254692865")</f>
        <v>254692865</v>
      </c>
      <c r="B7350" s="7"/>
      <c r="C7350" s="6" t="str">
        <f>HYPERLINK("http://www.ncbi.nlm.nih.gov/protein/254692865","Tars2")</f>
        <v>Tars2</v>
      </c>
      <c r="D7350" s="8"/>
      <c r="E7350" s="8">
        <v>81570</v>
      </c>
      <c r="F7350" s="8"/>
      <c r="G7350" s="15">
        <v>1.1581461119827379</v>
      </c>
      <c r="H7350" s="15">
        <v>1.1581461119827379</v>
      </c>
      <c r="I7350" s="15">
        <v>1.0133982740627299</v>
      </c>
      <c r="J7350" s="15">
        <v>1.0133982740627299</v>
      </c>
      <c r="K7350" s="15">
        <v>1.0133982740627299</v>
      </c>
      <c r="L7350" s="15">
        <v>1.0133982740627299</v>
      </c>
      <c r="M7350" s="15" t="s">
        <v>10</v>
      </c>
      <c r="N7350" s="15" t="s">
        <v>10</v>
      </c>
      <c r="O7350" s="15" t="s">
        <v>10</v>
      </c>
      <c r="P7350" s="15" t="s">
        <v>10</v>
      </c>
      <c r="Q7350" s="8"/>
      <c r="R7350" s="9" t="s">
        <v>6851</v>
      </c>
    </row>
    <row r="7351" spans="1:18" x14ac:dyDescent="0.25">
      <c r="A7351" s="6" t="str">
        <f>HYPERLINK("proteomic_fractions_linear_files/Yang_linear_img/254692867.jpg", "254692867")</f>
        <v>254692867</v>
      </c>
      <c r="B7351" s="7"/>
      <c r="C7351" s="6" t="str">
        <f>HYPERLINK("http://www.ncbi.nlm.nih.gov/protein/254692867","Tars2")</f>
        <v>Tars2</v>
      </c>
      <c r="D7351" s="8"/>
      <c r="E7351" s="8">
        <v>78710</v>
      </c>
      <c r="F7351" s="8"/>
      <c r="G7351" s="15">
        <v>1.2021263440833483</v>
      </c>
      <c r="H7351" s="15">
        <v>1.2021263440833483</v>
      </c>
      <c r="I7351" s="15">
        <v>1.0518817528246058</v>
      </c>
      <c r="J7351" s="15">
        <v>1.0518817528246058</v>
      </c>
      <c r="K7351" s="15">
        <v>1.0518817528246058</v>
      </c>
      <c r="L7351" s="15">
        <v>1.0518817528246058</v>
      </c>
      <c r="M7351" s="15" t="s">
        <v>10</v>
      </c>
      <c r="N7351" s="15" t="s">
        <v>10</v>
      </c>
      <c r="O7351" s="15" t="s">
        <v>10</v>
      </c>
      <c r="P7351" s="15" t="s">
        <v>10</v>
      </c>
      <c r="Q7351" s="8"/>
      <c r="R7351" s="9" t="s">
        <v>6852</v>
      </c>
    </row>
    <row r="7352" spans="1:18" x14ac:dyDescent="0.25">
      <c r="A7352" s="6" t="str">
        <f>HYPERLINK("proteomic_fractions_linear_files/Yang_linear_img/254692871.jpg", "254692871")</f>
        <v>254692871</v>
      </c>
      <c r="B7352" s="7"/>
      <c r="C7352" s="6" t="str">
        <f>HYPERLINK("http://www.ncbi.nlm.nih.gov/protein/254692871","Tars2")</f>
        <v>Tars2</v>
      </c>
      <c r="D7352" s="8"/>
      <c r="E7352" s="8">
        <v>72431</v>
      </c>
      <c r="F7352" s="8"/>
      <c r="G7352" s="15">
        <v>1.3189997386470071</v>
      </c>
      <c r="H7352" s="15">
        <v>1.3189997386470071</v>
      </c>
      <c r="I7352" s="15">
        <v>1.1541480343492203</v>
      </c>
      <c r="J7352" s="15">
        <v>1.1541480343492203</v>
      </c>
      <c r="K7352" s="15">
        <v>1.1541480343492203</v>
      </c>
      <c r="L7352" s="15">
        <v>1.1541480343492203</v>
      </c>
      <c r="M7352" s="15" t="s">
        <v>10</v>
      </c>
      <c r="N7352" s="15" t="s">
        <v>10</v>
      </c>
      <c r="O7352" s="15" t="s">
        <v>10</v>
      </c>
      <c r="P7352" s="15" t="s">
        <v>10</v>
      </c>
      <c r="Q7352" s="8"/>
      <c r="R7352" s="9" t="s">
        <v>6853</v>
      </c>
    </row>
    <row r="7353" spans="1:18" x14ac:dyDescent="0.25">
      <c r="A7353" s="6" t="str">
        <f>HYPERLINK("proteomic_fractions_linear_files/Yang_linear_img/254692873.jpg", "254692873")</f>
        <v>254692873</v>
      </c>
      <c r="B7353" s="7"/>
      <c r="C7353" s="6" t="str">
        <f>HYPERLINK("http://www.ncbi.nlm.nih.gov/protein/254692873","Tars2")</f>
        <v>Tars2</v>
      </c>
      <c r="D7353" s="8"/>
      <c r="E7353" s="8">
        <v>47682</v>
      </c>
      <c r="F7353" s="8"/>
      <c r="G7353" s="15">
        <v>1.9784996079705106</v>
      </c>
      <c r="H7353" s="15">
        <v>1.9784996079705106</v>
      </c>
      <c r="I7353" s="15">
        <v>1.7312220515238304</v>
      </c>
      <c r="J7353" s="15">
        <v>1.7312220515238304</v>
      </c>
      <c r="K7353" s="15">
        <v>1.7312220515238304</v>
      </c>
      <c r="L7353" s="15">
        <v>1.7312220515238304</v>
      </c>
      <c r="M7353" s="15" t="s">
        <v>10</v>
      </c>
      <c r="N7353" s="15" t="s">
        <v>10</v>
      </c>
      <c r="O7353" s="15" t="s">
        <v>10</v>
      </c>
      <c r="P7353" s="15" t="s">
        <v>10</v>
      </c>
      <c r="Q7353" s="8"/>
      <c r="R7353" s="9" t="s">
        <v>6854</v>
      </c>
    </row>
    <row r="7354" spans="1:18" x14ac:dyDescent="0.25">
      <c r="A7354" s="6" t="str">
        <f>HYPERLINK("proteomic_fractions_linear_files/Yang_linear_img/227908819.jpg", "227908819")</f>
        <v>227908819</v>
      </c>
      <c r="B7354" s="7"/>
      <c r="C7354" s="6" t="str">
        <f>HYPERLINK("http://www.ncbi.nlm.nih.gov/protein/227908819","Tarsl2")</f>
        <v>Tarsl2</v>
      </c>
      <c r="D7354" s="8"/>
      <c r="E7354" s="8">
        <v>91188</v>
      </c>
      <c r="F7354" s="8"/>
      <c r="G7354" s="15" t="s">
        <v>10</v>
      </c>
      <c r="H7354" s="15" t="s">
        <v>10</v>
      </c>
      <c r="I7354" s="15" t="s">
        <v>10</v>
      </c>
      <c r="J7354" s="15" t="s">
        <v>10</v>
      </c>
      <c r="K7354" s="15">
        <v>1.0436041888196099</v>
      </c>
      <c r="L7354" s="15">
        <v>1.0436041888196099</v>
      </c>
      <c r="M7354" s="15">
        <v>1.206610591441005</v>
      </c>
      <c r="N7354" s="15">
        <v>1.206610591441005</v>
      </c>
      <c r="O7354" s="15">
        <v>0.913172071133449</v>
      </c>
      <c r="P7354" s="15">
        <v>0.913172071133449</v>
      </c>
      <c r="Q7354" s="8"/>
      <c r="R7354" s="9" t="s">
        <v>6855</v>
      </c>
    </row>
    <row r="7355" spans="1:18" x14ac:dyDescent="0.25">
      <c r="A7355" s="6" t="str">
        <f>HYPERLINK("proteomic_fractions_linear_files/Yang_linear_img/13994201.jpg", "13994201")</f>
        <v>13994201</v>
      </c>
      <c r="B7355" s="7"/>
      <c r="C7355" s="6" t="str">
        <f>HYPERLINK("http://www.ncbi.nlm.nih.gov/protein/13994201","Tas1r3")</f>
        <v>Tas1r3</v>
      </c>
      <c r="D7355" s="8"/>
      <c r="E7355" s="8">
        <v>92573</v>
      </c>
      <c r="F7355" s="8"/>
      <c r="G7355" s="15" t="s">
        <v>10</v>
      </c>
      <c r="H7355" s="15" t="s">
        <v>10</v>
      </c>
      <c r="I7355" s="15" t="s">
        <v>10</v>
      </c>
      <c r="J7355" s="15" t="s">
        <v>10</v>
      </c>
      <c r="K7355" s="15" t="s">
        <v>10</v>
      </c>
      <c r="L7355" s="15" t="s">
        <v>10</v>
      </c>
      <c r="M7355" s="15">
        <v>0.51924704929478771</v>
      </c>
      <c r="N7355" s="15">
        <v>0.51924704929478771</v>
      </c>
      <c r="O7355" s="15" t="s">
        <v>10</v>
      </c>
      <c r="P7355" s="15" t="s">
        <v>10</v>
      </c>
      <c r="Q7355" s="8"/>
      <c r="R7355" s="9" t="s">
        <v>6856</v>
      </c>
    </row>
    <row r="7356" spans="1:18" x14ac:dyDescent="0.25">
      <c r="A7356" s="6" t="str">
        <f>HYPERLINK("proteomic_fractions_linear_files/Yang_linear_img/30424744.jpg", "30424744")</f>
        <v>30424744</v>
      </c>
      <c r="B7356" s="7"/>
      <c r="C7356" s="6" t="str">
        <f>HYPERLINK("http://www.ncbi.nlm.nih.gov/protein/30424744","Tatdn1")</f>
        <v>Tatdn1</v>
      </c>
      <c r="D7356" s="8"/>
      <c r="E7356" s="8">
        <v>29671</v>
      </c>
      <c r="F7356" s="8"/>
      <c r="G7356" s="15" t="s">
        <v>10</v>
      </c>
      <c r="H7356" s="15" t="s">
        <v>10</v>
      </c>
      <c r="I7356" s="15" t="s">
        <v>10</v>
      </c>
      <c r="J7356" s="15" t="s">
        <v>10</v>
      </c>
      <c r="K7356" s="15" t="s">
        <v>10</v>
      </c>
      <c r="L7356" s="15" t="s">
        <v>10</v>
      </c>
      <c r="M7356" s="15" t="s">
        <v>10</v>
      </c>
      <c r="N7356" s="15" t="s">
        <v>10</v>
      </c>
      <c r="O7356" s="15">
        <v>0.87167527051416671</v>
      </c>
      <c r="P7356" s="15">
        <v>0.87167527051416671</v>
      </c>
      <c r="Q7356" s="8"/>
      <c r="R7356" s="9" t="s">
        <v>6857</v>
      </c>
    </row>
    <row r="7357" spans="1:18" x14ac:dyDescent="0.25">
      <c r="A7357" s="6" t="str">
        <f>HYPERLINK("proteomic_fractions_linear_files/Yang_linear_img/256773241.jpg", "256773241")</f>
        <v>256773241</v>
      </c>
      <c r="B7357" s="7"/>
      <c r="C7357" s="6" t="str">
        <f>HYPERLINK("http://www.ncbi.nlm.nih.gov/protein/256773241","Tax1bp1")</f>
        <v>Tax1bp1</v>
      </c>
      <c r="D7357" s="8"/>
      <c r="E7357" s="8">
        <v>93500</v>
      </c>
      <c r="F7357" s="8"/>
      <c r="G7357" s="15" t="s">
        <v>10</v>
      </c>
      <c r="H7357" s="15" t="s">
        <v>10</v>
      </c>
      <c r="I7357" s="15" t="s">
        <v>10</v>
      </c>
      <c r="J7357" s="15" t="s">
        <v>10</v>
      </c>
      <c r="K7357" s="15" t="s">
        <v>10</v>
      </c>
      <c r="L7357" s="15" t="s">
        <v>10</v>
      </c>
      <c r="M7357" s="15">
        <v>0.36758911202633177</v>
      </c>
      <c r="N7357" s="15">
        <v>0.36758911202633177</v>
      </c>
      <c r="O7357" s="15" t="s">
        <v>10</v>
      </c>
      <c r="P7357" s="15" t="s">
        <v>10</v>
      </c>
      <c r="Q7357" s="8"/>
      <c r="R7357" s="9" t="s">
        <v>6858</v>
      </c>
    </row>
    <row r="7358" spans="1:18" x14ac:dyDescent="0.25">
      <c r="A7358" s="6" t="str">
        <f>HYPERLINK("proteomic_fractions_linear_files/Yang_linear_img/21313140.jpg", "21313140")</f>
        <v>21313140</v>
      </c>
      <c r="B7358" s="7"/>
      <c r="C7358" s="6" t="str">
        <f>HYPERLINK("http://www.ncbi.nlm.nih.gov/protein/21313140","Tax1bp3")</f>
        <v>Tax1bp3</v>
      </c>
      <c r="D7358" s="8"/>
      <c r="E7358" s="8">
        <v>13592</v>
      </c>
      <c r="F7358" s="8"/>
      <c r="G7358" s="15">
        <v>1.4712457990468766</v>
      </c>
      <c r="H7358" s="15">
        <v>1.4712457990468766</v>
      </c>
      <c r="I7358" s="15">
        <v>0.99184646428118928</v>
      </c>
      <c r="J7358" s="15">
        <v>0.99184646428118928</v>
      </c>
      <c r="K7358" s="15">
        <v>1.085452735272449</v>
      </c>
      <c r="L7358" s="15">
        <v>1.085452735272449</v>
      </c>
      <c r="M7358" s="15">
        <v>1.0369624087050249</v>
      </c>
      <c r="N7358" s="15">
        <v>1.0369624087050249</v>
      </c>
      <c r="O7358" s="15">
        <v>0.99184646428118928</v>
      </c>
      <c r="P7358" s="15">
        <v>0.99184646428118928</v>
      </c>
      <c r="Q7358" s="8"/>
      <c r="R7358" s="9" t="s">
        <v>6859</v>
      </c>
    </row>
    <row r="7359" spans="1:18" x14ac:dyDescent="0.25">
      <c r="A7359" s="6" t="str">
        <f>HYPERLINK("proteomic_fractions_linear_files/Yang_linear_img/120587003.jpg", "120587003")</f>
        <v>120587003</v>
      </c>
      <c r="B7359" s="7"/>
      <c r="C7359" s="6" t="str">
        <f>HYPERLINK("http://www.ncbi.nlm.nih.gov/protein/120587003","Tbc1d1")</f>
        <v>Tbc1d1</v>
      </c>
      <c r="D7359" s="8"/>
      <c r="E7359" s="8">
        <v>131877</v>
      </c>
      <c r="F7359" s="8"/>
      <c r="G7359" s="15" t="s">
        <v>10</v>
      </c>
      <c r="H7359" s="15" t="s">
        <v>10</v>
      </c>
      <c r="I7359" s="15">
        <v>1.1625217510321351</v>
      </c>
      <c r="J7359" s="15">
        <v>1.1625217510321351</v>
      </c>
      <c r="K7359" s="15">
        <v>1.4148926639389421</v>
      </c>
      <c r="L7359" s="15">
        <v>1.4148926639389421</v>
      </c>
      <c r="M7359" s="15">
        <v>1.1625217510321351</v>
      </c>
      <c r="N7359" s="15">
        <v>1.1625217510321351</v>
      </c>
      <c r="O7359" s="15">
        <v>1.1625217510321351</v>
      </c>
      <c r="P7359" s="15">
        <v>1.1625217510321351</v>
      </c>
      <c r="Q7359" s="8"/>
      <c r="R7359" s="9" t="s">
        <v>6860</v>
      </c>
    </row>
    <row r="7360" spans="1:18" x14ac:dyDescent="0.25">
      <c r="A7360" s="6" t="str">
        <f>HYPERLINK("proteomic_fractions_linear_files/Yang_linear_img/19527240.jpg", "19527240")</f>
        <v>19527240</v>
      </c>
      <c r="B7360" s="7"/>
      <c r="C7360" s="6" t="str">
        <f>HYPERLINK("http://www.ncbi.nlm.nih.gov/protein/19527240","Tbc1d10a")</f>
        <v>Tbc1d10a</v>
      </c>
      <c r="D7360" s="8"/>
      <c r="E7360" s="8">
        <v>56072</v>
      </c>
      <c r="F7360" s="8"/>
      <c r="G7360" s="15" t="s">
        <v>10</v>
      </c>
      <c r="H7360" s="15" t="s">
        <v>10</v>
      </c>
      <c r="I7360" s="15" t="s">
        <v>10</v>
      </c>
      <c r="J7360" s="15" t="s">
        <v>10</v>
      </c>
      <c r="K7360" s="15">
        <v>1.1688082737597203</v>
      </c>
      <c r="L7360" s="15">
        <v>1.1688082737597203</v>
      </c>
      <c r="M7360" s="15">
        <v>1.1688082737597203</v>
      </c>
      <c r="N7360" s="15">
        <v>1.1688082737597203</v>
      </c>
      <c r="O7360" s="15">
        <v>1.0495215640284616</v>
      </c>
      <c r="P7360" s="15">
        <v>1.0495215640284616</v>
      </c>
      <c r="Q7360" s="8"/>
      <c r="R7360" s="9" t="s">
        <v>6861</v>
      </c>
    </row>
    <row r="7361" spans="1:18" x14ac:dyDescent="0.25">
      <c r="A7361" s="6" t="str">
        <f>HYPERLINK("proteomic_fractions_linear_files/Yang_linear_img/167614490.jpg", "167614490")</f>
        <v>167614490</v>
      </c>
      <c r="B7361" s="7"/>
      <c r="C7361" s="6" t="str">
        <f>HYPERLINK("http://www.ncbi.nlm.nih.gov/protein/167614490","Tbc1d10b")</f>
        <v>Tbc1d10b</v>
      </c>
      <c r="D7361" s="8"/>
      <c r="E7361" s="8">
        <v>87144</v>
      </c>
      <c r="F7361" s="8"/>
      <c r="G7361" s="15" t="s">
        <v>10</v>
      </c>
      <c r="H7361" s="15" t="s">
        <v>10</v>
      </c>
      <c r="I7361" s="15" t="s">
        <v>10</v>
      </c>
      <c r="J7361" s="15" t="s">
        <v>10</v>
      </c>
      <c r="K7361" s="15">
        <v>1.7638261050142741</v>
      </c>
      <c r="L7361" s="15">
        <v>1.7638261050142741</v>
      </c>
      <c r="M7361" s="15" t="s">
        <v>10</v>
      </c>
      <c r="N7361" s="15" t="s">
        <v>10</v>
      </c>
      <c r="O7361" s="15" t="s">
        <v>10</v>
      </c>
      <c r="P7361" s="15" t="s">
        <v>10</v>
      </c>
      <c r="Q7361" s="8"/>
      <c r="R7361" s="9" t="s">
        <v>6862</v>
      </c>
    </row>
    <row r="7362" spans="1:18" x14ac:dyDescent="0.25">
      <c r="A7362" s="6" t="str">
        <f>HYPERLINK("proteomic_fractions_linear_files/Yang_linear_img/22122839.jpg", "22122839")</f>
        <v>22122839</v>
      </c>
      <c r="B7362" s="7"/>
      <c r="C7362" s="6" t="str">
        <f>HYPERLINK("http://www.ncbi.nlm.nih.gov/protein/22122839","Tbc1d13")</f>
        <v>Tbc1d13</v>
      </c>
      <c r="D7362" s="8"/>
      <c r="E7362" s="8">
        <v>46322</v>
      </c>
      <c r="F7362" s="8"/>
      <c r="G7362" s="15" t="s">
        <v>10</v>
      </c>
      <c r="H7362" s="15" t="s">
        <v>10</v>
      </c>
      <c r="I7362" s="15" t="s">
        <v>10</v>
      </c>
      <c r="J7362" s="15" t="s">
        <v>10</v>
      </c>
      <c r="K7362" s="15">
        <v>0.95925194015142323</v>
      </c>
      <c r="L7362" s="15">
        <v>0.95925194015142323</v>
      </c>
      <c r="M7362" s="15" t="s">
        <v>10</v>
      </c>
      <c r="N7362" s="15" t="s">
        <v>10</v>
      </c>
      <c r="O7362" s="15">
        <v>0.81176796572009979</v>
      </c>
      <c r="P7362" s="15">
        <v>0.81176796572009979</v>
      </c>
      <c r="Q7362" s="8"/>
      <c r="R7362" s="9" t="s">
        <v>6863</v>
      </c>
    </row>
    <row r="7363" spans="1:18" x14ac:dyDescent="0.25">
      <c r="A7363" s="6" t="str">
        <f>HYPERLINK("proteomic_fractions_linear_files/Yang_linear_img/255958202.jpg", "255958202")</f>
        <v>255958202</v>
      </c>
      <c r="B7363" s="7"/>
      <c r="C7363" s="6" t="str">
        <f>HYPERLINK("http://www.ncbi.nlm.nih.gov/protein/255958202","Tbc1d15")</f>
        <v>Tbc1d15</v>
      </c>
      <c r="D7363" s="8"/>
      <c r="E7363" s="8">
        <v>76396</v>
      </c>
      <c r="F7363" s="8"/>
      <c r="G7363" s="15" t="s">
        <v>10</v>
      </c>
      <c r="H7363" s="15" t="s">
        <v>10</v>
      </c>
      <c r="I7363" s="15">
        <v>1.0934034009624192</v>
      </c>
      <c r="J7363" s="15">
        <v>1.0934034009624192</v>
      </c>
      <c r="K7363" s="15">
        <v>1.0934034009624192</v>
      </c>
      <c r="L7363" s="15">
        <v>1.0934034009624192</v>
      </c>
      <c r="M7363" s="15">
        <v>1.0934034009624192</v>
      </c>
      <c r="N7363" s="15">
        <v>1.0934034009624192</v>
      </c>
      <c r="O7363" s="15">
        <v>0.96626526633792431</v>
      </c>
      <c r="P7363" s="15">
        <v>1.0934034009624192</v>
      </c>
      <c r="Q7363" s="8"/>
      <c r="R7363" s="9" t="s">
        <v>6864</v>
      </c>
    </row>
    <row r="7364" spans="1:18" x14ac:dyDescent="0.25">
      <c r="A7364" s="6" t="str">
        <f>HYPERLINK("proteomic_fractions_linear_files/Yang_linear_img/111120337.jpg", "111120337")</f>
        <v>111120337</v>
      </c>
      <c r="B7364" s="7"/>
      <c r="C7364" s="6" t="str">
        <f>HYPERLINK("http://www.ncbi.nlm.nih.gov/protein/111120337","Tbc1d17")</f>
        <v>Tbc1d17</v>
      </c>
      <c r="D7364" s="8"/>
      <c r="E7364" s="8">
        <v>72729</v>
      </c>
      <c r="F7364" s="8"/>
      <c r="G7364" s="15" t="s">
        <v>10</v>
      </c>
      <c r="H7364" s="15" t="s">
        <v>10</v>
      </c>
      <c r="I7364" s="15">
        <v>1.1383377873033405</v>
      </c>
      <c r="J7364" s="15">
        <v>1.1383377873033405</v>
      </c>
      <c r="K7364" s="15">
        <v>1.1383377873033405</v>
      </c>
      <c r="L7364" s="15">
        <v>1.1383377873033405</v>
      </c>
      <c r="M7364" s="15">
        <v>1.1383377873033405</v>
      </c>
      <c r="N7364" s="15">
        <v>1.1383377873033405</v>
      </c>
      <c r="O7364" s="15">
        <v>1.1383377873033405</v>
      </c>
      <c r="P7364" s="15">
        <v>1.1383377873033405</v>
      </c>
      <c r="Q7364" s="8"/>
      <c r="R7364" s="9" t="s">
        <v>6865</v>
      </c>
    </row>
    <row r="7365" spans="1:18" x14ac:dyDescent="0.25">
      <c r="A7365" s="6" t="str">
        <f>HYPERLINK("proteomic_fractions_linear_files/Yang_linear_img/111038126.jpg", "111038126")</f>
        <v>111038126</v>
      </c>
      <c r="B7365" s="7"/>
      <c r="C7365" s="6" t="str">
        <f>HYPERLINK("http://www.ncbi.nlm.nih.gov/protein/111038126","Tbc1d2")</f>
        <v>Tbc1d2</v>
      </c>
      <c r="D7365" s="8"/>
      <c r="E7365" s="8">
        <v>104129</v>
      </c>
      <c r="F7365" s="8"/>
      <c r="G7365" s="15" t="s">
        <v>10</v>
      </c>
      <c r="H7365" s="15" t="s">
        <v>10</v>
      </c>
      <c r="I7365" s="15" t="s">
        <v>10</v>
      </c>
      <c r="J7365" s="15" t="s">
        <v>10</v>
      </c>
      <c r="K7365" s="15">
        <v>1.237707962933817</v>
      </c>
      <c r="L7365" s="15">
        <v>1.237707962933817</v>
      </c>
      <c r="M7365" s="15">
        <v>1.237707962933817</v>
      </c>
      <c r="N7365" s="15">
        <v>1.237707962933817</v>
      </c>
      <c r="O7365" s="15">
        <v>1.237707962933817</v>
      </c>
      <c r="P7365" s="15">
        <v>1.237707962933817</v>
      </c>
      <c r="Q7365" s="8"/>
      <c r="R7365" s="9" t="s">
        <v>6866</v>
      </c>
    </row>
    <row r="7366" spans="1:18" x14ac:dyDescent="0.25">
      <c r="A7366" s="6" t="str">
        <f>HYPERLINK("proteomic_fractions_linear_files/Yang_linear_img/42734463.jpg", "42734463")</f>
        <v>42734463</v>
      </c>
      <c r="B7366" s="7"/>
      <c r="C7366" s="6" t="str">
        <f>HYPERLINK("http://www.ncbi.nlm.nih.gov/protein/42734463","Tbc1d22a")</f>
        <v>Tbc1d22a</v>
      </c>
      <c r="D7366" s="8"/>
      <c r="E7366" s="8">
        <v>59231</v>
      </c>
      <c r="F7366" s="8"/>
      <c r="G7366" s="15" t="s">
        <v>10</v>
      </c>
      <c r="H7366" s="15" t="s">
        <v>10</v>
      </c>
      <c r="I7366" s="15" t="s">
        <v>10</v>
      </c>
      <c r="J7366" s="15" t="s">
        <v>10</v>
      </c>
      <c r="K7366" s="15">
        <v>1.1093773445854971</v>
      </c>
      <c r="L7366" s="15">
        <v>1.1093773445854971</v>
      </c>
      <c r="M7366" s="15">
        <v>1.1093773445854971</v>
      </c>
      <c r="N7366" s="15">
        <v>1.1093773445854971</v>
      </c>
      <c r="O7366" s="15" t="s">
        <v>10</v>
      </c>
      <c r="P7366" s="15" t="s">
        <v>10</v>
      </c>
      <c r="Q7366" s="8"/>
      <c r="R7366" s="9" t="s">
        <v>6867</v>
      </c>
    </row>
    <row r="7367" spans="1:18" x14ac:dyDescent="0.25">
      <c r="A7367" s="6" t="str">
        <f>HYPERLINK("proteomic_fractions_linear_files/Yang_linear_img/38348532.jpg", "38348532")</f>
        <v>38348532</v>
      </c>
      <c r="B7367" s="7"/>
      <c r="C7367" s="6" t="str">
        <f>HYPERLINK("http://www.ncbi.nlm.nih.gov/protein/38348532","Tbc1d22b")</f>
        <v>Tbc1d22b</v>
      </c>
      <c r="D7367" s="8"/>
      <c r="E7367" s="8">
        <v>58997</v>
      </c>
      <c r="F7367" s="8"/>
      <c r="G7367" s="15" t="s">
        <v>10</v>
      </c>
      <c r="H7367" s="15" t="s">
        <v>10</v>
      </c>
      <c r="I7367" s="15" t="s">
        <v>10</v>
      </c>
      <c r="J7367" s="15" t="s">
        <v>10</v>
      </c>
      <c r="K7367" s="15">
        <v>0.99615606077277719</v>
      </c>
      <c r="L7367" s="15">
        <v>0.99615606077277719</v>
      </c>
      <c r="M7367" s="15" t="s">
        <v>10</v>
      </c>
      <c r="N7367" s="15" t="s">
        <v>10</v>
      </c>
      <c r="O7367" s="15" t="s">
        <v>10</v>
      </c>
      <c r="P7367" s="15" t="s">
        <v>10</v>
      </c>
      <c r="Q7367" s="8"/>
      <c r="R7367" s="9" t="s">
        <v>6868</v>
      </c>
    </row>
    <row r="7368" spans="1:18" x14ac:dyDescent="0.25">
      <c r="A7368" s="6" t="str">
        <f>HYPERLINK("proteomic_fractions_linear_files/Yang_linear_img/27754079.jpg", "27754079")</f>
        <v>27754079</v>
      </c>
      <c r="B7368" s="7"/>
      <c r="C7368" s="6" t="str">
        <f>HYPERLINK("http://www.ncbi.nlm.nih.gov/protein/27754079","Tbc1d23")</f>
        <v>Tbc1d23</v>
      </c>
      <c r="D7368" s="8"/>
      <c r="E7368" s="8">
        <v>76295</v>
      </c>
      <c r="F7368" s="8"/>
      <c r="G7368" s="15" t="s">
        <v>10</v>
      </c>
      <c r="H7368" s="15" t="s">
        <v>10</v>
      </c>
      <c r="I7368" s="15" t="s">
        <v>10</v>
      </c>
      <c r="J7368" s="15" t="s">
        <v>10</v>
      </c>
      <c r="K7368" s="15">
        <v>1.0934034009624192</v>
      </c>
      <c r="L7368" s="15">
        <v>1.0934034009624192</v>
      </c>
      <c r="M7368" s="15">
        <v>1.0934034009624192</v>
      </c>
      <c r="N7368" s="15">
        <v>1.0934034009624192</v>
      </c>
      <c r="O7368" s="15">
        <v>0.96626526633792431</v>
      </c>
      <c r="P7368" s="15">
        <v>0.96626526633792431</v>
      </c>
      <c r="Q7368" s="8"/>
      <c r="R7368" s="9" t="s">
        <v>6869</v>
      </c>
    </row>
    <row r="7369" spans="1:18" x14ac:dyDescent="0.25">
      <c r="A7369" s="6" t="str">
        <f>HYPERLINK("proteomic_fractions_linear_files/Yang_linear_img/255522819.jpg", "255522819")</f>
        <v>255522819</v>
      </c>
      <c r="B7369" s="7"/>
      <c r="C7369" s="6" t="str">
        <f>HYPERLINK("http://www.ncbi.nlm.nih.gov/protein/255522819","Tbc1d24")</f>
        <v>Tbc1d24</v>
      </c>
      <c r="D7369" s="8"/>
      <c r="E7369" s="8">
        <v>63105</v>
      </c>
      <c r="F7369" s="8"/>
      <c r="G7369" s="15" t="s">
        <v>10</v>
      </c>
      <c r="H7369" s="15" t="s">
        <v>10</v>
      </c>
      <c r="I7369" s="15" t="s">
        <v>10</v>
      </c>
      <c r="J7369" s="15" t="s">
        <v>10</v>
      </c>
      <c r="K7369" s="15" t="s">
        <v>10</v>
      </c>
      <c r="L7369" s="15" t="s">
        <v>10</v>
      </c>
      <c r="M7369" s="15" t="s">
        <v>10</v>
      </c>
      <c r="N7369" s="15" t="s">
        <v>10</v>
      </c>
      <c r="O7369" s="15">
        <v>0.9329080569141881</v>
      </c>
      <c r="P7369" s="15">
        <v>0.9329080569141881</v>
      </c>
      <c r="Q7369" s="8"/>
      <c r="R7369" s="9" t="s">
        <v>6870</v>
      </c>
    </row>
    <row r="7370" spans="1:18" x14ac:dyDescent="0.25">
      <c r="A7370" s="6" t="str">
        <f>HYPERLINK("proteomic_fractions_linear_files/Yang_linear_img/255522825.jpg", "255522825")</f>
        <v>255522825</v>
      </c>
      <c r="B7370" s="7"/>
      <c r="C7370" s="6" t="str">
        <f>HYPERLINK("http://www.ncbi.nlm.nih.gov/protein/255522825","Tbc1d24")</f>
        <v>Tbc1d24</v>
      </c>
      <c r="D7370" s="8"/>
      <c r="E7370" s="8">
        <v>62503</v>
      </c>
      <c r="F7370" s="8"/>
      <c r="G7370" s="15" t="s">
        <v>10</v>
      </c>
      <c r="H7370" s="15" t="s">
        <v>10</v>
      </c>
      <c r="I7370" s="15" t="s">
        <v>10</v>
      </c>
      <c r="J7370" s="15" t="s">
        <v>10</v>
      </c>
      <c r="K7370" s="15" t="s">
        <v>10</v>
      </c>
      <c r="L7370" s="15" t="s">
        <v>10</v>
      </c>
      <c r="M7370" s="15" t="s">
        <v>10</v>
      </c>
      <c r="N7370" s="15" t="s">
        <v>10</v>
      </c>
      <c r="O7370" s="15">
        <v>0.9329080569141881</v>
      </c>
      <c r="P7370" s="15">
        <v>0.9329080569141881</v>
      </c>
      <c r="Q7370" s="8"/>
      <c r="R7370" s="9" t="s">
        <v>6871</v>
      </c>
    </row>
    <row r="7371" spans="1:18" x14ac:dyDescent="0.25">
      <c r="A7371" s="6" t="str">
        <f>HYPERLINK("proteomic_fractions_linear_files/Yang_linear_img/163644270.jpg", "163644270")</f>
        <v>163644270</v>
      </c>
      <c r="B7371" s="7"/>
      <c r="C7371" s="6" t="str">
        <f>HYPERLINK("http://www.ncbi.nlm.nih.gov/protein/163644270","Tbc1d4")</f>
        <v>Tbc1d4</v>
      </c>
      <c r="D7371" s="8"/>
      <c r="E7371" s="8">
        <v>140201</v>
      </c>
      <c r="F7371" s="8"/>
      <c r="G7371" s="15">
        <v>0.91944020103654978</v>
      </c>
      <c r="H7371" s="15">
        <v>0.91944020103654978</v>
      </c>
      <c r="I7371" s="15" t="s">
        <v>10</v>
      </c>
      <c r="J7371" s="15" t="s">
        <v>10</v>
      </c>
      <c r="K7371" s="15">
        <v>1.3340416545710025</v>
      </c>
      <c r="L7371" s="15">
        <v>1.3340416545710025</v>
      </c>
      <c r="M7371" s="15">
        <v>1.3340416545710025</v>
      </c>
      <c r="N7371" s="15">
        <v>1.3340416545710025</v>
      </c>
      <c r="O7371" s="15">
        <v>1.3340416545710025</v>
      </c>
      <c r="P7371" s="15">
        <v>1.3340416545710025</v>
      </c>
      <c r="Q7371" s="8"/>
      <c r="R7371" s="9" t="s">
        <v>6872</v>
      </c>
    </row>
    <row r="7372" spans="1:18" x14ac:dyDescent="0.25">
      <c r="A7372" s="6" t="str">
        <f>HYPERLINK("proteomic_fractions_linear_files/Yang_linear_img/164518898.jpg", "164518898")</f>
        <v>164518898</v>
      </c>
      <c r="B7372" s="7"/>
      <c r="C7372" s="6" t="str">
        <f>HYPERLINK("http://www.ncbi.nlm.nih.gov/protein/164518898","Tbc1d5")</f>
        <v>Tbc1d5</v>
      </c>
      <c r="D7372" s="8"/>
      <c r="E7372" s="8">
        <v>91706</v>
      </c>
      <c r="F7372" s="8"/>
      <c r="G7372" s="15" t="s">
        <v>10</v>
      </c>
      <c r="H7372" s="15" t="s">
        <v>10</v>
      </c>
      <c r="I7372" s="15" t="s">
        <v>10</v>
      </c>
      <c r="J7372" s="15" t="s">
        <v>10</v>
      </c>
      <c r="K7372" s="15">
        <v>1.193495258925342</v>
      </c>
      <c r="L7372" s="15">
        <v>1.193495258925342</v>
      </c>
      <c r="M7372" s="15">
        <v>1.193495258925342</v>
      </c>
      <c r="N7372" s="15">
        <v>1.193495258925342</v>
      </c>
      <c r="O7372" s="15" t="s">
        <v>10</v>
      </c>
      <c r="P7372" s="15" t="s">
        <v>10</v>
      </c>
      <c r="Q7372" s="8"/>
      <c r="R7372" s="9" t="s">
        <v>6873</v>
      </c>
    </row>
    <row r="7373" spans="1:18" x14ac:dyDescent="0.25">
      <c r="A7373" s="6" t="str">
        <f>HYPERLINK("proteomic_fractions_linear_files/Yang_linear_img/125630636.jpg", "125630636")</f>
        <v>125630636</v>
      </c>
      <c r="B7373" s="7"/>
      <c r="C7373" s="6" t="str">
        <f>HYPERLINK("http://www.ncbi.nlm.nih.gov/protein/125630636","Tbc1d8b")</f>
        <v>Tbc1d8b</v>
      </c>
      <c r="D7373" s="8"/>
      <c r="E7373" s="8">
        <v>127762</v>
      </c>
      <c r="F7373" s="8"/>
      <c r="G7373" s="15" t="s">
        <v>10</v>
      </c>
      <c r="H7373" s="15" t="s">
        <v>10</v>
      </c>
      <c r="I7373" s="15" t="s">
        <v>10</v>
      </c>
      <c r="J7373" s="15" t="s">
        <v>10</v>
      </c>
      <c r="K7373" s="15" t="s">
        <v>10</v>
      </c>
      <c r="L7373" s="15" t="s">
        <v>10</v>
      </c>
      <c r="M7373" s="15" t="s">
        <v>10</v>
      </c>
      <c r="N7373" s="15" t="s">
        <v>10</v>
      </c>
      <c r="O7373" s="15">
        <v>1.1988505557518894</v>
      </c>
      <c r="P7373" s="15">
        <v>1.1988505557518894</v>
      </c>
      <c r="Q7373" s="8"/>
      <c r="R7373" s="9" t="s">
        <v>6874</v>
      </c>
    </row>
    <row r="7374" spans="1:18" x14ac:dyDescent="0.25">
      <c r="A7374" s="6" t="str">
        <f>HYPERLINK("proteomic_fractions_linear_files/Yang_linear_img/162329599.jpg", "162329599")</f>
        <v>162329599</v>
      </c>
      <c r="B7374" s="7"/>
      <c r="C7374" s="6" t="str">
        <f>HYPERLINK("http://www.ncbi.nlm.nih.gov/protein/162329599","Tbc1d9")</f>
        <v>Tbc1d9</v>
      </c>
      <c r="D7374" s="8"/>
      <c r="E7374" s="8">
        <v>142893</v>
      </c>
      <c r="F7374" s="8"/>
      <c r="G7374" s="15" t="s">
        <v>10</v>
      </c>
      <c r="H7374" s="15" t="s">
        <v>10</v>
      </c>
      <c r="I7374" s="15" t="s">
        <v>10</v>
      </c>
      <c r="J7374" s="15" t="s">
        <v>10</v>
      </c>
      <c r="K7374" s="15">
        <v>1.3060547667128697</v>
      </c>
      <c r="L7374" s="15">
        <v>1.3060547667128697</v>
      </c>
      <c r="M7374" s="15" t="s">
        <v>10</v>
      </c>
      <c r="N7374" s="15" t="s">
        <v>10</v>
      </c>
      <c r="O7374" s="15" t="s">
        <v>10</v>
      </c>
      <c r="P7374" s="15" t="s">
        <v>10</v>
      </c>
      <c r="Q7374" s="8"/>
      <c r="R7374" s="9" t="s">
        <v>6875</v>
      </c>
    </row>
    <row r="7375" spans="1:18" x14ac:dyDescent="0.25">
      <c r="A7375" s="6" t="str">
        <f>HYPERLINK("proteomic_fractions_linear_files/Yang_linear_img/30794404.jpg", "30794404")</f>
        <v>30794404</v>
      </c>
      <c r="B7375" s="7"/>
      <c r="C7375" s="6" t="str">
        <f>HYPERLINK("http://www.ncbi.nlm.nih.gov/protein/30794404","Tbc1d9")</f>
        <v>Tbc1d9</v>
      </c>
      <c r="D7375" s="8"/>
      <c r="E7375" s="8">
        <v>115479</v>
      </c>
      <c r="F7375" s="8"/>
      <c r="G7375" s="15" t="s">
        <v>10</v>
      </c>
      <c r="H7375" s="15" t="s">
        <v>10</v>
      </c>
      <c r="I7375" s="15" t="s">
        <v>10</v>
      </c>
      <c r="J7375" s="15" t="s">
        <v>10</v>
      </c>
      <c r="K7375" s="15">
        <v>1.6240507099125248</v>
      </c>
      <c r="L7375" s="15">
        <v>1.6240507099125248</v>
      </c>
      <c r="M7375" s="15" t="s">
        <v>10</v>
      </c>
      <c r="N7375" s="15" t="s">
        <v>10</v>
      </c>
      <c r="O7375" s="15" t="s">
        <v>10</v>
      </c>
      <c r="P7375" s="15" t="s">
        <v>10</v>
      </c>
      <c r="Q7375" s="8"/>
      <c r="R7375" s="9" t="s">
        <v>6876</v>
      </c>
    </row>
    <row r="7376" spans="1:18" x14ac:dyDescent="0.25">
      <c r="A7376" s="6" t="str">
        <f>HYPERLINK("proteomic_fractions_linear_files/Yang_linear_img/124358940.jpg", "124358940")</f>
        <v>124358940</v>
      </c>
      <c r="B7376" s="7"/>
      <c r="C7376" s="6" t="str">
        <f>HYPERLINK("http://www.ncbi.nlm.nih.gov/protein/124358940","Tbc1d9b")</f>
        <v>Tbc1d9b</v>
      </c>
      <c r="D7376" s="8"/>
      <c r="E7376" s="8">
        <v>139794</v>
      </c>
      <c r="F7376" s="8"/>
      <c r="G7376" s="15" t="s">
        <v>10</v>
      </c>
      <c r="H7376" s="15" t="s">
        <v>10</v>
      </c>
      <c r="I7376" s="15">
        <v>1.0960919366874418</v>
      </c>
      <c r="J7376" s="15">
        <v>1.0960919366874418</v>
      </c>
      <c r="K7376" s="15">
        <v>1.3340416545710025</v>
      </c>
      <c r="L7376" s="15">
        <v>1.3340416545710025</v>
      </c>
      <c r="M7376" s="15">
        <v>1.3340416545710025</v>
      </c>
      <c r="N7376" s="15">
        <v>1.3340416545710025</v>
      </c>
      <c r="O7376" s="15">
        <v>1.3340416545710025</v>
      </c>
      <c r="P7376" s="15">
        <v>1.3340416545710025</v>
      </c>
      <c r="Q7376" s="8"/>
      <c r="R7376" s="9" t="s">
        <v>6877</v>
      </c>
    </row>
    <row r="7377" spans="1:18" x14ac:dyDescent="0.25">
      <c r="A7377" s="6" t="str">
        <f>HYPERLINK("proteomic_fractions_linear_files/Yang_linear_img/6678225.jpg", "6678225")</f>
        <v>6678225</v>
      </c>
      <c r="B7377" s="7"/>
      <c r="C7377" s="6" t="str">
        <f>HYPERLINK("http://www.ncbi.nlm.nih.gov/protein/6678225","Tbca")</f>
        <v>Tbca</v>
      </c>
      <c r="D7377" s="8"/>
      <c r="E7377" s="8">
        <v>12627</v>
      </c>
      <c r="F7377" s="8"/>
      <c r="G7377" s="15" t="s">
        <v>10</v>
      </c>
      <c r="H7377" s="15" t="s">
        <v>10</v>
      </c>
      <c r="I7377" s="15" t="s">
        <v>10</v>
      </c>
      <c r="J7377" s="15" t="s">
        <v>10</v>
      </c>
      <c r="K7377" s="15">
        <v>1.068142346148973</v>
      </c>
      <c r="L7377" s="15">
        <v>1.068142346148973</v>
      </c>
      <c r="M7377" s="15" t="s">
        <v>10</v>
      </c>
      <c r="N7377" s="15" t="s">
        <v>10</v>
      </c>
      <c r="O7377" s="15">
        <v>1.1689490995241758</v>
      </c>
      <c r="P7377" s="15">
        <v>1.1689490995241758</v>
      </c>
      <c r="Q7377" s="8"/>
      <c r="R7377" s="9" t="s">
        <v>6878</v>
      </c>
    </row>
    <row r="7378" spans="1:18" x14ac:dyDescent="0.25">
      <c r="A7378" s="6" t="str">
        <f>HYPERLINK("proteomic_fractions_linear_files/Yang_linear_img/170650659.jpg", "170650659")</f>
        <v>170650659</v>
      </c>
      <c r="B7378" s="7"/>
      <c r="C7378" s="6" t="str">
        <f>HYPERLINK("http://www.ncbi.nlm.nih.gov/protein/170650659","Tbcb")</f>
        <v>Tbcb</v>
      </c>
      <c r="D7378" s="8"/>
      <c r="E7378" s="8">
        <v>27255</v>
      </c>
      <c r="F7378" s="8"/>
      <c r="G7378" s="15" t="s">
        <v>10</v>
      </c>
      <c r="H7378" s="15" t="s">
        <v>10</v>
      </c>
      <c r="I7378" s="15">
        <v>1.0340078258400762</v>
      </c>
      <c r="J7378" s="15">
        <v>1.0340078258400762</v>
      </c>
      <c r="K7378" s="15">
        <v>1.1068669219153011</v>
      </c>
      <c r="L7378" s="15">
        <v>1.1068669219153011</v>
      </c>
      <c r="M7378" s="15" t="s">
        <v>10</v>
      </c>
      <c r="N7378" s="15" t="s">
        <v>10</v>
      </c>
      <c r="O7378" s="15">
        <v>0.96852807834907406</v>
      </c>
      <c r="P7378" s="15">
        <v>0.96852807834907406</v>
      </c>
      <c r="Q7378" s="8"/>
      <c r="R7378" s="9" t="s">
        <v>6879</v>
      </c>
    </row>
    <row r="7379" spans="1:18" x14ac:dyDescent="0.25">
      <c r="A7379" s="6" t="str">
        <f>HYPERLINK("proteomic_fractions_linear_files/Yang_linear_img/87044901.jpg", "87044901")</f>
        <v>87044901</v>
      </c>
      <c r="B7379" s="7"/>
      <c r="C7379" s="6" t="str">
        <f>HYPERLINK("http://www.ncbi.nlm.nih.gov/protein/87044901","Tbcc")</f>
        <v>Tbcc</v>
      </c>
      <c r="D7379" s="8"/>
      <c r="E7379" s="8">
        <v>37964</v>
      </c>
      <c r="F7379" s="8"/>
      <c r="G7379" s="15" t="s">
        <v>10</v>
      </c>
      <c r="H7379" s="15" t="s">
        <v>10</v>
      </c>
      <c r="I7379" s="15" t="s">
        <v>10</v>
      </c>
      <c r="J7379" s="15" t="s">
        <v>10</v>
      </c>
      <c r="K7379" s="15">
        <v>1.0659820579795458</v>
      </c>
      <c r="L7379" s="15">
        <v>1.0659820579795458</v>
      </c>
      <c r="M7379" s="15" t="s">
        <v>10</v>
      </c>
      <c r="N7379" s="15" t="s">
        <v>10</v>
      </c>
      <c r="O7379" s="15">
        <v>0.90929938238092589</v>
      </c>
      <c r="P7379" s="15">
        <v>0.90929938238092589</v>
      </c>
      <c r="Q7379" s="8"/>
      <c r="R7379" s="9" t="s">
        <v>6880</v>
      </c>
    </row>
    <row r="7380" spans="1:18" x14ac:dyDescent="0.25">
      <c r="A7380" s="6" t="str">
        <f>HYPERLINK("proteomic_fractions_linear_files/Yang_linear_img/28077067.jpg", "28077067")</f>
        <v>28077067</v>
      </c>
      <c r="B7380" s="7"/>
      <c r="C7380" s="6" t="str">
        <f>HYPERLINK("http://www.ncbi.nlm.nih.gov/protein/28077067","Tbcd")</f>
        <v>Tbcd</v>
      </c>
      <c r="D7380" s="8"/>
      <c r="E7380" s="8">
        <v>133191</v>
      </c>
      <c r="F7380" s="8"/>
      <c r="G7380" s="15" t="s">
        <v>10</v>
      </c>
      <c r="H7380" s="15" t="s">
        <v>10</v>
      </c>
      <c r="I7380" s="15" t="s">
        <v>10</v>
      </c>
      <c r="J7380" s="15" t="s">
        <v>10</v>
      </c>
      <c r="K7380" s="15">
        <v>1.1537809859867807</v>
      </c>
      <c r="L7380" s="15">
        <v>1.1537809859867807</v>
      </c>
      <c r="M7380" s="15">
        <v>1.1537809859867807</v>
      </c>
      <c r="N7380" s="15">
        <v>1.1537809859867807</v>
      </c>
      <c r="O7380" s="15">
        <v>1.1537809859867807</v>
      </c>
      <c r="P7380" s="15">
        <v>1.1537809859867807</v>
      </c>
      <c r="Q7380" s="8"/>
      <c r="R7380" s="9" t="s">
        <v>6881</v>
      </c>
    </row>
    <row r="7381" spans="1:18" x14ac:dyDescent="0.25">
      <c r="A7381" s="6" t="str">
        <f>HYPERLINK("proteomic_fractions_linear_files/Yang_linear_img/31543843.jpg", "31543843")</f>
        <v>31543843</v>
      </c>
      <c r="B7381" s="7"/>
      <c r="C7381" s="6" t="str">
        <f>HYPERLINK("http://www.ncbi.nlm.nih.gov/protein/31543843","Tbce")</f>
        <v>Tbce</v>
      </c>
      <c r="D7381" s="8"/>
      <c r="E7381" s="8">
        <v>58955</v>
      </c>
      <c r="F7381" s="8"/>
      <c r="G7381" s="15" t="s">
        <v>10</v>
      </c>
      <c r="H7381" s="15" t="s">
        <v>10</v>
      </c>
      <c r="I7381" s="15" t="s">
        <v>10</v>
      </c>
      <c r="J7381" s="15" t="s">
        <v>10</v>
      </c>
      <c r="K7381" s="15" t="s">
        <v>10</v>
      </c>
      <c r="L7381" s="15" t="s">
        <v>10</v>
      </c>
      <c r="M7381" s="15" t="s">
        <v>10</v>
      </c>
      <c r="N7381" s="15" t="s">
        <v>10</v>
      </c>
      <c r="O7381" s="15">
        <v>0.90034863779662844</v>
      </c>
      <c r="P7381" s="15">
        <v>0.90034863779662844</v>
      </c>
      <c r="Q7381" s="8"/>
      <c r="R7381" s="9" t="s">
        <v>6882</v>
      </c>
    </row>
    <row r="7382" spans="1:18" x14ac:dyDescent="0.25">
      <c r="A7382" s="6" t="str">
        <f>HYPERLINK("proteomic_fractions_linear_files/Yang_linear_img/27370562.jpg", "27370562")</f>
        <v>27370562</v>
      </c>
      <c r="B7382" s="7"/>
      <c r="C7382" s="6" t="str">
        <f>HYPERLINK("http://www.ncbi.nlm.nih.gov/protein/27370562","Tbcel")</f>
        <v>Tbcel</v>
      </c>
      <c r="D7382" s="8"/>
      <c r="E7382" s="8">
        <v>47901</v>
      </c>
      <c r="F7382" s="8"/>
      <c r="G7382" s="15" t="s">
        <v>10</v>
      </c>
      <c r="H7382" s="15" t="s">
        <v>10</v>
      </c>
      <c r="I7382" s="15">
        <v>0.91928310931178059</v>
      </c>
      <c r="J7382" s="15">
        <v>0.91928310931178059</v>
      </c>
      <c r="K7382" s="15">
        <v>0.91928310931178059</v>
      </c>
      <c r="L7382" s="15">
        <v>0.91928310931178059</v>
      </c>
      <c r="M7382" s="15" t="s">
        <v>10</v>
      </c>
      <c r="N7382" s="15" t="s">
        <v>10</v>
      </c>
      <c r="O7382" s="15">
        <v>0.84390246256714052</v>
      </c>
      <c r="P7382" s="15">
        <v>0.84390246256714052</v>
      </c>
      <c r="Q7382" s="8"/>
      <c r="R7382" s="9" t="s">
        <v>6883</v>
      </c>
    </row>
    <row r="7383" spans="1:18" x14ac:dyDescent="0.25">
      <c r="A7383" s="6" t="str">
        <f>HYPERLINK("proteomic_fractions_linear_files/Yang_linear_img/251823839.jpg", "251823839")</f>
        <v>251823839</v>
      </c>
      <c r="B7383" s="7"/>
      <c r="C7383" s="6" t="str">
        <f>HYPERLINK("http://www.ncbi.nlm.nih.gov/protein/251823839","Tbk1")</f>
        <v>Tbk1</v>
      </c>
      <c r="D7383" s="8"/>
      <c r="E7383" s="8">
        <v>83294</v>
      </c>
      <c r="F7383" s="8"/>
      <c r="G7383" s="15" t="s">
        <v>10</v>
      </c>
      <c r="H7383" s="15" t="s">
        <v>10</v>
      </c>
      <c r="I7383" s="15">
        <v>1.001188656302938</v>
      </c>
      <c r="J7383" s="15">
        <v>1.001188656302938</v>
      </c>
      <c r="K7383" s="15">
        <v>1.1441925443684882</v>
      </c>
      <c r="L7383" s="15">
        <v>1.1441925443684882</v>
      </c>
      <c r="M7383" s="15" t="s">
        <v>10</v>
      </c>
      <c r="N7383" s="15" t="s">
        <v>10</v>
      </c>
      <c r="O7383" s="15">
        <v>1.001188656302938</v>
      </c>
      <c r="P7383" s="15">
        <v>1.001188656302938</v>
      </c>
      <c r="Q7383" s="8"/>
      <c r="R7383" s="9" t="s">
        <v>6884</v>
      </c>
    </row>
    <row r="7384" spans="1:18" x14ac:dyDescent="0.25">
      <c r="A7384" s="6" t="str">
        <f>HYPERLINK("proteomic_fractions_linear_files/Yang_linear_img/33468969.jpg", "33468969")</f>
        <v>33468969</v>
      </c>
      <c r="B7384" s="7"/>
      <c r="C7384" s="6" t="str">
        <f>HYPERLINK("http://www.ncbi.nlm.nih.gov/protein/33468969","Tbl1x")</f>
        <v>Tbl1x</v>
      </c>
      <c r="D7384" s="8"/>
      <c r="E7384" s="8">
        <v>56671</v>
      </c>
      <c r="F7384" s="8"/>
      <c r="G7384" s="15" t="s">
        <v>10</v>
      </c>
      <c r="H7384" s="15" t="s">
        <v>10</v>
      </c>
      <c r="I7384" s="15">
        <v>1.0311089050104185</v>
      </c>
      <c r="J7384" s="15">
        <v>1.0311089050104185</v>
      </c>
      <c r="K7384" s="15">
        <v>1.0311089050104185</v>
      </c>
      <c r="L7384" s="15">
        <v>1.0311089050104185</v>
      </c>
      <c r="M7384" s="15">
        <v>1.0311089050104185</v>
      </c>
      <c r="N7384" s="15">
        <v>1.0311089050104185</v>
      </c>
      <c r="O7384" s="15">
        <v>0.93193981807019433</v>
      </c>
      <c r="P7384" s="15">
        <v>0.93193981807019433</v>
      </c>
      <c r="Q7384" s="8"/>
      <c r="R7384" s="9" t="s">
        <v>6885</v>
      </c>
    </row>
    <row r="7385" spans="1:18" x14ac:dyDescent="0.25">
      <c r="A7385" s="6" t="str">
        <f>HYPERLINK("proteomic_fractions_linear_files/Yang_linear_img/31543001.jpg", "31543001")</f>
        <v>31543001</v>
      </c>
      <c r="B7385" s="7"/>
      <c r="C7385" s="6" t="str">
        <f>HYPERLINK("http://www.ncbi.nlm.nih.gov/protein/31543001","Tbl1xr1")</f>
        <v>Tbl1xr1</v>
      </c>
      <c r="D7385" s="8"/>
      <c r="E7385" s="8">
        <v>55530</v>
      </c>
      <c r="F7385" s="8"/>
      <c r="G7385" s="15" t="s">
        <v>10</v>
      </c>
      <c r="H7385" s="15" t="s">
        <v>10</v>
      </c>
      <c r="I7385" s="15">
        <v>1.0495215640284616</v>
      </c>
      <c r="J7385" s="15">
        <v>1.0495215640284616</v>
      </c>
      <c r="K7385" s="15">
        <v>1.0495215640284616</v>
      </c>
      <c r="L7385" s="15">
        <v>1.0495215640284616</v>
      </c>
      <c r="M7385" s="15">
        <v>1.0495215640284616</v>
      </c>
      <c r="N7385" s="15">
        <v>1.0495215640284616</v>
      </c>
      <c r="O7385" s="15">
        <v>0.94858160053573359</v>
      </c>
      <c r="P7385" s="15">
        <v>0.94858160053573359</v>
      </c>
      <c r="Q7385" s="8"/>
      <c r="R7385" s="9" t="s">
        <v>6886</v>
      </c>
    </row>
    <row r="7386" spans="1:18" x14ac:dyDescent="0.25">
      <c r="A7386" s="6" t="str">
        <f>HYPERLINK("proteomic_fractions_linear_files/Yang_linear_img/31543845.jpg", "31543845")</f>
        <v>31543845</v>
      </c>
      <c r="B7386" s="7"/>
      <c r="C7386" s="6" t="str">
        <f>HYPERLINK("http://www.ncbi.nlm.nih.gov/protein/31543845","Tbl2")</f>
        <v>Tbl2</v>
      </c>
      <c r="D7386" s="8"/>
      <c r="E7386" s="8">
        <v>46536</v>
      </c>
      <c r="F7386" s="8"/>
      <c r="G7386" s="15">
        <v>1.2504937784168904</v>
      </c>
      <c r="H7386" s="15">
        <v>1.2504937784168904</v>
      </c>
      <c r="I7386" s="15">
        <v>0.93884232440352056</v>
      </c>
      <c r="J7386" s="15">
        <v>0.93884232440352056</v>
      </c>
      <c r="K7386" s="15">
        <v>0.93884232440352056</v>
      </c>
      <c r="L7386" s="15">
        <v>0.93884232440352056</v>
      </c>
      <c r="M7386" s="15" t="s">
        <v>10</v>
      </c>
      <c r="N7386" s="15" t="s">
        <v>10</v>
      </c>
      <c r="O7386" s="15" t="s">
        <v>10</v>
      </c>
      <c r="P7386" s="15" t="s">
        <v>10</v>
      </c>
      <c r="Q7386" s="8"/>
      <c r="R7386" s="9" t="s">
        <v>6887</v>
      </c>
    </row>
    <row r="7387" spans="1:18" x14ac:dyDescent="0.25">
      <c r="A7387" s="6" t="str">
        <f>HYPERLINK("proteomic_fractions_linear_files/Yang_linear_img/30102935.jpg", "30102935")</f>
        <v>30102935</v>
      </c>
      <c r="B7387" s="7"/>
      <c r="C7387" s="6" t="str">
        <f>HYPERLINK("http://www.ncbi.nlm.nih.gov/protein/30102935","Tbl3")</f>
        <v>Tbl3</v>
      </c>
      <c r="D7387" s="8"/>
      <c r="E7387" s="8">
        <v>88135</v>
      </c>
      <c r="F7387" s="8"/>
      <c r="G7387" s="15">
        <v>1.2477450434219486</v>
      </c>
      <c r="H7387" s="15">
        <v>1.2477450434219486</v>
      </c>
      <c r="I7387" s="15">
        <v>1.0791816043475513</v>
      </c>
      <c r="J7387" s="15">
        <v>1.0791816043475513</v>
      </c>
      <c r="K7387" s="15">
        <v>1.0791816043475513</v>
      </c>
      <c r="L7387" s="15">
        <v>1.0791816043475513</v>
      </c>
      <c r="M7387" s="15">
        <v>1.0791816043475513</v>
      </c>
      <c r="N7387" s="15">
        <v>1.0791816043475513</v>
      </c>
      <c r="O7387" s="15" t="s">
        <v>10</v>
      </c>
      <c r="P7387" s="15" t="s">
        <v>10</v>
      </c>
      <c r="Q7387" s="8"/>
      <c r="R7387" s="9" t="s">
        <v>6888</v>
      </c>
    </row>
    <row r="7388" spans="1:18" x14ac:dyDescent="0.25">
      <c r="A7388" s="6" t="str">
        <f>HYPERLINK("proteomic_fractions_linear_files/Yang_linear_img/172073171.jpg", "172073171")</f>
        <v>172073171</v>
      </c>
      <c r="B7388" s="7"/>
      <c r="C7388" s="6" t="str">
        <f>HYPERLINK("http://www.ncbi.nlm.nih.gov/protein/172073171","Tbp")</f>
        <v>Tbp</v>
      </c>
      <c r="D7388" s="8"/>
      <c r="E7388" s="8">
        <v>34578</v>
      </c>
      <c r="F7388" s="8"/>
      <c r="G7388" s="15">
        <v>1.2607311213418706</v>
      </c>
      <c r="H7388" s="15">
        <v>1.2607311213418706</v>
      </c>
      <c r="I7388" s="15" t="s">
        <v>10</v>
      </c>
      <c r="J7388" s="15" t="s">
        <v>10</v>
      </c>
      <c r="K7388" s="15">
        <v>0.98723932944214809</v>
      </c>
      <c r="L7388" s="15">
        <v>0.98723932944214809</v>
      </c>
      <c r="M7388" s="15" t="s">
        <v>10</v>
      </c>
      <c r="N7388" s="15" t="s">
        <v>10</v>
      </c>
      <c r="O7388" s="15" t="s">
        <v>10</v>
      </c>
      <c r="P7388" s="15" t="s">
        <v>10</v>
      </c>
      <c r="Q7388" s="8"/>
      <c r="R7388" s="9" t="s">
        <v>6889</v>
      </c>
    </row>
    <row r="7389" spans="1:18" x14ac:dyDescent="0.25">
      <c r="A7389" s="6" t="str">
        <f>HYPERLINK("proteomic_fractions_linear_files/Yang_linear_img/6755811.jpg", "6755811")</f>
        <v>6755811</v>
      </c>
      <c r="B7389" s="7"/>
      <c r="C7389" s="6" t="str">
        <f>HYPERLINK("http://www.ncbi.nlm.nih.gov/protein/6755811","Tbpl1")</f>
        <v>Tbpl1</v>
      </c>
      <c r="D7389" s="8"/>
      <c r="E7389" s="8">
        <v>20755</v>
      </c>
      <c r="F7389" s="8"/>
      <c r="G7389" s="15" t="s">
        <v>10</v>
      </c>
      <c r="H7389" s="15" t="s">
        <v>10</v>
      </c>
      <c r="I7389" s="15">
        <v>0.98083053269791776</v>
      </c>
      <c r="J7389" s="15">
        <v>0.98083053269791776</v>
      </c>
      <c r="K7389" s="15">
        <v>0.98083053269791776</v>
      </c>
      <c r="L7389" s="15">
        <v>1.0378924890799406</v>
      </c>
      <c r="M7389" s="15">
        <v>0.98083053269791776</v>
      </c>
      <c r="N7389" s="15">
        <v>0.98083053269791776</v>
      </c>
      <c r="O7389" s="15">
        <v>1.0378924890799406</v>
      </c>
      <c r="P7389" s="15">
        <v>0.98083053269791776</v>
      </c>
      <c r="Q7389" s="8"/>
      <c r="R7389" s="9" t="s">
        <v>6890</v>
      </c>
    </row>
    <row r="7390" spans="1:18" x14ac:dyDescent="0.25">
      <c r="A7390" s="6" t="str">
        <f>HYPERLINK("proteomic_fractions_linear_files/Yang_linear_img/39979630.jpg", "39979630")</f>
        <v>39979630</v>
      </c>
      <c r="B7390" s="7"/>
      <c r="C7390" s="6" t="str">
        <f>HYPERLINK("http://www.ncbi.nlm.nih.gov/protein/39979630","Tbpl2")</f>
        <v>Tbpl2</v>
      </c>
      <c r="D7390" s="8"/>
      <c r="E7390" s="8">
        <v>38836</v>
      </c>
      <c r="F7390" s="8"/>
      <c r="G7390" s="15" t="s">
        <v>10</v>
      </c>
      <c r="H7390" s="15" t="s">
        <v>10</v>
      </c>
      <c r="I7390" s="15" t="s">
        <v>10</v>
      </c>
      <c r="J7390" s="15" t="s">
        <v>10</v>
      </c>
      <c r="K7390" s="15">
        <v>0.8859840136019278</v>
      </c>
      <c r="L7390" s="15">
        <v>0.8859840136019278</v>
      </c>
      <c r="M7390" s="15" t="s">
        <v>10</v>
      </c>
      <c r="N7390" s="15" t="s">
        <v>10</v>
      </c>
      <c r="O7390" s="15" t="s">
        <v>10</v>
      </c>
      <c r="P7390" s="15" t="s">
        <v>10</v>
      </c>
      <c r="Q7390" s="8"/>
      <c r="R7390" s="9" t="s">
        <v>6891</v>
      </c>
    </row>
    <row r="7391" spans="1:18" x14ac:dyDescent="0.25">
      <c r="A7391" s="6" t="str">
        <f>HYPERLINK("proteomic_fractions_linear_files/Yang_linear_img/20589521.jpg", "20589521")</f>
        <v>20589521</v>
      </c>
      <c r="B7391" s="7"/>
      <c r="C7391" s="6" t="str">
        <f>HYPERLINK("http://www.ncbi.nlm.nih.gov/protein/20589521","Tbrg4")</f>
        <v>Tbrg4</v>
      </c>
      <c r="D7391" s="8"/>
      <c r="E7391" s="8">
        <v>71383</v>
      </c>
      <c r="F7391" s="8"/>
      <c r="G7391" s="15">
        <v>1.0343121160800317</v>
      </c>
      <c r="H7391" s="15">
        <v>1.0343121160800317</v>
      </c>
      <c r="I7391" s="15">
        <v>0.82779165613512462</v>
      </c>
      <c r="J7391" s="15">
        <v>0.82779165613512462</v>
      </c>
      <c r="K7391" s="15">
        <v>0.48666727507711527</v>
      </c>
      <c r="L7391" s="15">
        <v>0.48666727507711527</v>
      </c>
      <c r="M7391" s="15" t="s">
        <v>10</v>
      </c>
      <c r="N7391" s="15" t="s">
        <v>10</v>
      </c>
      <c r="O7391" s="15" t="s">
        <v>10</v>
      </c>
      <c r="P7391" s="15" t="s">
        <v>10</v>
      </c>
      <c r="Q7391" s="8"/>
      <c r="R7391" s="9" t="s">
        <v>6892</v>
      </c>
    </row>
    <row r="7392" spans="1:18" x14ac:dyDescent="0.25">
      <c r="A7392" s="6" t="str">
        <f>HYPERLINK("proteomic_fractions_linear_files/Yang_linear_img/229094709.jpg", "229094709")</f>
        <v>229094709</v>
      </c>
      <c r="B7392" s="7"/>
      <c r="C7392" s="6" t="str">
        <f>HYPERLINK("http://www.ncbi.nlm.nih.gov/protein/229094709","Tcea1")</f>
        <v>Tcea1</v>
      </c>
      <c r="D7392" s="8"/>
      <c r="E7392" s="8">
        <v>33662</v>
      </c>
      <c r="F7392" s="8"/>
      <c r="G7392" s="15" t="s">
        <v>10</v>
      </c>
      <c r="H7392" s="15" t="s">
        <v>10</v>
      </c>
      <c r="I7392" s="15">
        <v>1.0162757803080937</v>
      </c>
      <c r="J7392" s="15">
        <v>1.0162757803080937</v>
      </c>
      <c r="K7392" s="15">
        <v>1.098274306562488</v>
      </c>
      <c r="L7392" s="15">
        <v>1.098274306562488</v>
      </c>
      <c r="M7392" s="15">
        <v>1.098274306562488</v>
      </c>
      <c r="N7392" s="15">
        <v>1.098274306562488</v>
      </c>
      <c r="O7392" s="15">
        <v>0.94364920163922317</v>
      </c>
      <c r="P7392" s="15">
        <v>0.94364920163922317</v>
      </c>
      <c r="Q7392" s="8"/>
      <c r="R7392" s="9" t="s">
        <v>6893</v>
      </c>
    </row>
    <row r="7393" spans="1:18" x14ac:dyDescent="0.25">
      <c r="A7393" s="6" t="str">
        <f>HYPERLINK("proteomic_fractions_linear_files/Yang_linear_img/229094714.jpg", "229094714")</f>
        <v>229094714</v>
      </c>
      <c r="B7393" s="7"/>
      <c r="C7393" s="6" t="str">
        <f>HYPERLINK("http://www.ncbi.nlm.nih.gov/protein/229094714","Tcea1")</f>
        <v>Tcea1</v>
      </c>
      <c r="D7393" s="8"/>
      <c r="E7393" s="8">
        <v>34901</v>
      </c>
      <c r="F7393" s="8"/>
      <c r="G7393" s="15" t="s">
        <v>10</v>
      </c>
      <c r="H7393" s="15" t="s">
        <v>10</v>
      </c>
      <c r="I7393" s="15">
        <v>0.98723932944214809</v>
      </c>
      <c r="J7393" s="15">
        <v>0.98723932944214809</v>
      </c>
      <c r="K7393" s="15">
        <v>1.0668950406607027</v>
      </c>
      <c r="L7393" s="15">
        <v>1.0668950406607027</v>
      </c>
      <c r="M7393" s="15">
        <v>1.0668950406607027</v>
      </c>
      <c r="N7393" s="15">
        <v>1.0668950406607027</v>
      </c>
      <c r="O7393" s="15">
        <v>0.91668779587810256</v>
      </c>
      <c r="P7393" s="15">
        <v>0.91668779587810256</v>
      </c>
      <c r="Q7393" s="8"/>
      <c r="R7393" s="9" t="s">
        <v>6894</v>
      </c>
    </row>
    <row r="7394" spans="1:18" x14ac:dyDescent="0.25">
      <c r="A7394" s="6" t="str">
        <f>HYPERLINK("proteomic_fractions_linear_files/Yang_linear_img/6755728.jpg", "6755728")</f>
        <v>6755728</v>
      </c>
      <c r="B7394" s="7"/>
      <c r="C7394" s="6" t="str">
        <f>HYPERLINK("http://www.ncbi.nlm.nih.gov/protein/6755728","Tcea1")</f>
        <v>Tcea1</v>
      </c>
      <c r="D7394" s="8"/>
      <c r="E7394" s="8">
        <v>33750</v>
      </c>
      <c r="F7394" s="8"/>
      <c r="G7394" s="15" t="s">
        <v>10</v>
      </c>
      <c r="H7394" s="15" t="s">
        <v>10</v>
      </c>
      <c r="I7394" s="15">
        <v>1.0162757803080937</v>
      </c>
      <c r="J7394" s="15">
        <v>1.0162757803080937</v>
      </c>
      <c r="K7394" s="15">
        <v>1.098274306562488</v>
      </c>
      <c r="L7394" s="15">
        <v>1.098274306562488</v>
      </c>
      <c r="M7394" s="15">
        <v>1.098274306562488</v>
      </c>
      <c r="N7394" s="15">
        <v>1.098274306562488</v>
      </c>
      <c r="O7394" s="15">
        <v>0.94364920163922317</v>
      </c>
      <c r="P7394" s="15">
        <v>0.94364920163922317</v>
      </c>
      <c r="Q7394" s="8"/>
      <c r="R7394" s="9" t="s">
        <v>6895</v>
      </c>
    </row>
    <row r="7395" spans="1:18" x14ac:dyDescent="0.25">
      <c r="A7395" s="6" t="str">
        <f>HYPERLINK("proteomic_fractions_linear_files/Yang_linear_img/6678235.jpg", "6678235")</f>
        <v>6678235</v>
      </c>
      <c r="B7395" s="7"/>
      <c r="C7395" s="6" t="str">
        <f>HYPERLINK("http://www.ncbi.nlm.nih.gov/protein/6678235","Tcea2")</f>
        <v>Tcea2</v>
      </c>
      <c r="D7395" s="8"/>
      <c r="E7395" s="8">
        <v>33532</v>
      </c>
      <c r="F7395" s="8"/>
      <c r="G7395" s="15" t="s">
        <v>10</v>
      </c>
      <c r="H7395" s="15" t="s">
        <v>10</v>
      </c>
      <c r="I7395" s="15">
        <v>0.37491821593934194</v>
      </c>
      <c r="J7395" s="15">
        <v>0.37491821593934194</v>
      </c>
      <c r="K7395" s="15">
        <v>1.098274306562488</v>
      </c>
      <c r="L7395" s="15">
        <v>1.098274306562488</v>
      </c>
      <c r="M7395" s="15">
        <v>0.39109011832357454</v>
      </c>
      <c r="N7395" s="15">
        <v>0.39109011832357454</v>
      </c>
      <c r="O7395" s="15">
        <v>0.94364920163922317</v>
      </c>
      <c r="P7395" s="15">
        <v>0.94364920163922317</v>
      </c>
      <c r="Q7395" s="8"/>
      <c r="R7395" s="9" t="s">
        <v>6896</v>
      </c>
    </row>
    <row r="7396" spans="1:18" x14ac:dyDescent="0.25">
      <c r="A7396" s="6" t="str">
        <f>HYPERLINK("proteomic_fractions_linear_files/Yang_linear_img/13385800.jpg", "13385800")</f>
        <v>13385800</v>
      </c>
      <c r="B7396" s="7"/>
      <c r="C7396" s="6" t="str">
        <f>HYPERLINK("http://www.ncbi.nlm.nih.gov/protein/13385800","Tceb2")</f>
        <v>Tceb2</v>
      </c>
      <c r="D7396" s="8"/>
      <c r="E7396" s="8">
        <v>13039</v>
      </c>
      <c r="F7396" s="8"/>
      <c r="G7396" s="15">
        <v>1.6765955592829809</v>
      </c>
      <c r="H7396" s="15">
        <v>1.6765955592829809</v>
      </c>
      <c r="I7396" s="15">
        <v>1.1689490995241758</v>
      </c>
      <c r="J7396" s="15">
        <v>1.1689490995241758</v>
      </c>
      <c r="K7396" s="15">
        <v>1.2251878294755212</v>
      </c>
      <c r="L7396" s="15">
        <v>1.2251878294755212</v>
      </c>
      <c r="M7396" s="15">
        <v>1.1689490995241758</v>
      </c>
      <c r="N7396" s="15">
        <v>1.1689490995241758</v>
      </c>
      <c r="O7396" s="15">
        <v>1.1689490995241758</v>
      </c>
      <c r="P7396" s="15">
        <v>1.1689490995241758</v>
      </c>
      <c r="Q7396" s="8"/>
      <c r="R7396" s="9" t="s">
        <v>6897</v>
      </c>
    </row>
    <row r="7397" spans="1:18" x14ac:dyDescent="0.25">
      <c r="A7397" s="6" t="str">
        <f>HYPERLINK("proteomic_fractions_linear_files/Yang_linear_img/87196334.jpg", "87196334")</f>
        <v>87196334</v>
      </c>
      <c r="B7397" s="7"/>
      <c r="C7397" s="6" t="str">
        <f>HYPERLINK("http://www.ncbi.nlm.nih.gov/protein/87196334","Tcerg1")</f>
        <v>Tcerg1</v>
      </c>
      <c r="D7397" s="8"/>
      <c r="E7397" s="8">
        <v>123657</v>
      </c>
      <c r="F7397" s="8"/>
      <c r="G7397" s="15">
        <v>1.5061760616124222</v>
      </c>
      <c r="H7397" s="15">
        <v>1.5061760616124222</v>
      </c>
      <c r="I7397" s="15">
        <v>1.2375231543245309</v>
      </c>
      <c r="J7397" s="15">
        <v>1.2375231543245309</v>
      </c>
      <c r="K7397" s="15">
        <v>1.5061760616124222</v>
      </c>
      <c r="L7397" s="15">
        <v>1.5061760616124222</v>
      </c>
      <c r="M7397" s="15" t="s">
        <v>10</v>
      </c>
      <c r="N7397" s="15" t="s">
        <v>10</v>
      </c>
      <c r="O7397" s="15" t="s">
        <v>10</v>
      </c>
      <c r="P7397" s="15" t="s">
        <v>10</v>
      </c>
      <c r="Q7397" s="8"/>
      <c r="R7397" s="9" t="s">
        <v>6898</v>
      </c>
    </row>
    <row r="7398" spans="1:18" x14ac:dyDescent="0.25">
      <c r="A7398" s="6" t="str">
        <f>HYPERLINK("proteomic_fractions_linear_files/Yang_linear_img/209863008.jpg", "209863008")</f>
        <v>209863008</v>
      </c>
      <c r="B7398" s="7"/>
      <c r="C7398" s="6" t="str">
        <f>HYPERLINK("http://www.ncbi.nlm.nih.gov/protein/209863008","Tcirg1")</f>
        <v>Tcirg1</v>
      </c>
      <c r="D7398" s="8"/>
      <c r="E7398" s="8">
        <v>93329</v>
      </c>
      <c r="F7398" s="8"/>
      <c r="G7398" s="15">
        <v>1.650030872432708</v>
      </c>
      <c r="H7398" s="15">
        <v>1.650030872432708</v>
      </c>
      <c r="I7398" s="15">
        <v>1.650030872432708</v>
      </c>
      <c r="J7398" s="15">
        <v>1.650030872432708</v>
      </c>
      <c r="K7398" s="15">
        <v>1.650030872432708</v>
      </c>
      <c r="L7398" s="15">
        <v>1.650030872432708</v>
      </c>
      <c r="M7398" s="15" t="s">
        <v>10</v>
      </c>
      <c r="N7398" s="15" t="s">
        <v>10</v>
      </c>
      <c r="O7398" s="15" t="s">
        <v>10</v>
      </c>
      <c r="P7398" s="15" t="s">
        <v>10</v>
      </c>
      <c r="Q7398" s="8"/>
      <c r="R7398" s="9" t="s">
        <v>6899</v>
      </c>
    </row>
    <row r="7399" spans="1:18" x14ac:dyDescent="0.25">
      <c r="A7399" s="6" t="str">
        <f>HYPERLINK("proteomic_fractions_linear_files/Yang_linear_img/312176443.jpg", "312176443")</f>
        <v>312176443</v>
      </c>
      <c r="B7399" s="7"/>
      <c r="C7399" s="6" t="str">
        <f>HYPERLINK("http://www.ncbi.nlm.nih.gov/protein/312176443","Tcof1")</f>
        <v>Tcof1</v>
      </c>
      <c r="D7399" s="8"/>
      <c r="E7399" s="8">
        <v>138425</v>
      </c>
      <c r="F7399" s="8"/>
      <c r="G7399" s="15" t="s">
        <v>10</v>
      </c>
      <c r="H7399" s="15" t="s">
        <v>10</v>
      </c>
      <c r="I7399" s="15">
        <v>43.428260869565221</v>
      </c>
      <c r="J7399" s="15">
        <v>43.428260869565221</v>
      </c>
      <c r="K7399" s="15">
        <v>0.25038678645271872</v>
      </c>
      <c r="L7399" s="15">
        <v>0.25038678645271872</v>
      </c>
      <c r="M7399" s="15" t="s">
        <v>10</v>
      </c>
      <c r="N7399" s="15" t="s">
        <v>10</v>
      </c>
      <c r="O7399" s="15" t="s">
        <v>10</v>
      </c>
      <c r="P7399" s="15" t="s">
        <v>10</v>
      </c>
      <c r="Q7399" s="8"/>
      <c r="R7399" s="9" t="s">
        <v>6900</v>
      </c>
    </row>
    <row r="7400" spans="1:18" x14ac:dyDescent="0.25">
      <c r="A7400" s="6" t="str">
        <f>HYPERLINK("proteomic_fractions_linear_files/Yang_linear_img/6755742.jpg", "6755742")</f>
        <v>6755742</v>
      </c>
      <c r="B7400" s="7"/>
      <c r="C7400" s="6" t="str">
        <f>HYPERLINK("http://www.ncbi.nlm.nih.gov/protein/6755742","Tcof1")</f>
        <v>Tcof1</v>
      </c>
      <c r="D7400" s="8"/>
      <c r="E7400" s="8">
        <v>134871</v>
      </c>
      <c r="F7400" s="8"/>
      <c r="G7400" s="15" t="s">
        <v>10</v>
      </c>
      <c r="H7400" s="15" t="s">
        <v>10</v>
      </c>
      <c r="I7400" s="15">
        <v>44.393333333333338</v>
      </c>
      <c r="J7400" s="15">
        <v>44.393333333333338</v>
      </c>
      <c r="K7400" s="15">
        <v>0.25595093726277912</v>
      </c>
      <c r="L7400" s="15">
        <v>0.25595093726277912</v>
      </c>
      <c r="M7400" s="15" t="s">
        <v>10</v>
      </c>
      <c r="N7400" s="15" t="s">
        <v>10</v>
      </c>
      <c r="O7400" s="15" t="s">
        <v>10</v>
      </c>
      <c r="P7400" s="15" t="s">
        <v>10</v>
      </c>
      <c r="Q7400" s="8"/>
      <c r="R7400" s="9" t="s">
        <v>6901</v>
      </c>
    </row>
    <row r="7401" spans="1:18" x14ac:dyDescent="0.25">
      <c r="A7401" s="6" t="str">
        <f>HYPERLINK("proteomic_fractions_linear_files/Yang_linear_img/110625624.jpg", "110625624")</f>
        <v>110625624</v>
      </c>
      <c r="B7401" s="7"/>
      <c r="C7401" s="6" t="str">
        <f>HYPERLINK("http://www.ncbi.nlm.nih.gov/protein/110625624","Tcp1")</f>
        <v>Tcp1</v>
      </c>
      <c r="D7401" s="8"/>
      <c r="E7401" s="8">
        <v>60318</v>
      </c>
      <c r="F7401" s="8"/>
      <c r="G7401" s="15">
        <v>1.3849776412190642</v>
      </c>
      <c r="H7401" s="15">
        <v>1.3849776412190642</v>
      </c>
      <c r="I7401" s="15">
        <v>1.0908877221757389</v>
      </c>
      <c r="J7401" s="15">
        <v>1.0908877221757389</v>
      </c>
      <c r="K7401" s="15">
        <v>1.0908877221757389</v>
      </c>
      <c r="L7401" s="15">
        <v>1.0908877221757389</v>
      </c>
      <c r="M7401" s="15">
        <v>1.0908877221757389</v>
      </c>
      <c r="N7401" s="15">
        <v>1.0908877221757389</v>
      </c>
      <c r="O7401" s="15">
        <v>0.97955345975989749</v>
      </c>
      <c r="P7401" s="15">
        <v>0.97955345975989749</v>
      </c>
      <c r="Q7401" s="8"/>
      <c r="R7401" s="9" t="s">
        <v>6902</v>
      </c>
    </row>
    <row r="7402" spans="1:18" x14ac:dyDescent="0.25">
      <c r="A7402" s="6" t="str">
        <f>HYPERLINK("proteomic_fractions_linear_files/Yang_linear_img/28893201.jpg", "28893201")</f>
        <v>28893201</v>
      </c>
      <c r="B7402" s="7"/>
      <c r="C7402" s="6" t="str">
        <f>HYPERLINK("http://www.ncbi.nlm.nih.gov/protein/28893201","Tcp11l1")</f>
        <v>Tcp11l1</v>
      </c>
      <c r="D7402" s="8"/>
      <c r="E7402" s="8">
        <v>56201</v>
      </c>
      <c r="F7402" s="8"/>
      <c r="G7402" s="15" t="s">
        <v>10</v>
      </c>
      <c r="H7402" s="15" t="s">
        <v>10</v>
      </c>
      <c r="I7402" s="15" t="s">
        <v>10</v>
      </c>
      <c r="J7402" s="15" t="s">
        <v>10</v>
      </c>
      <c r="K7402" s="15">
        <v>1.0495215640284616</v>
      </c>
      <c r="L7402" s="15">
        <v>1.0495215640284616</v>
      </c>
      <c r="M7402" s="15" t="s">
        <v>10</v>
      </c>
      <c r="N7402" s="15" t="s">
        <v>10</v>
      </c>
      <c r="O7402" s="15">
        <v>0.94858160053573359</v>
      </c>
      <c r="P7402" s="15">
        <v>0.94858160053573359</v>
      </c>
      <c r="Q7402" s="8"/>
      <c r="R7402" s="9" t="s">
        <v>6903</v>
      </c>
    </row>
    <row r="7403" spans="1:18" x14ac:dyDescent="0.25">
      <c r="A7403" s="6" t="str">
        <f>HYPERLINK("proteomic_fractions_linear_files/Yang_linear_img/166706899.jpg", "166706899")</f>
        <v>166706899</v>
      </c>
      <c r="B7403" s="7"/>
      <c r="C7403" s="6" t="str">
        <f>HYPERLINK("http://www.ncbi.nlm.nih.gov/protein/166706899","Tdg")</f>
        <v>Tdg</v>
      </c>
      <c r="D7403" s="8"/>
      <c r="E7403" s="8">
        <v>46748</v>
      </c>
      <c r="F7403" s="8"/>
      <c r="G7403" s="15" t="s">
        <v>10</v>
      </c>
      <c r="H7403" s="15" t="s">
        <v>10</v>
      </c>
      <c r="I7403" s="15" t="s">
        <v>10</v>
      </c>
      <c r="J7403" s="15" t="s">
        <v>10</v>
      </c>
      <c r="K7403" s="15">
        <v>1.3926226240541346</v>
      </c>
      <c r="L7403" s="15">
        <v>1.3926226240541346</v>
      </c>
      <c r="M7403" s="15" t="s">
        <v>10</v>
      </c>
      <c r="N7403" s="15" t="s">
        <v>10</v>
      </c>
      <c r="O7403" s="15" t="s">
        <v>10</v>
      </c>
      <c r="P7403" s="15" t="s">
        <v>10</v>
      </c>
      <c r="Q7403" s="8"/>
      <c r="R7403" s="9" t="s">
        <v>6904</v>
      </c>
    </row>
    <row r="7404" spans="1:18" x14ac:dyDescent="0.25">
      <c r="A7404" s="6" t="str">
        <f>HYPERLINK("proteomic_fractions_linear_files/Yang_linear_img/166706901.jpg", "166706901")</f>
        <v>166706901</v>
      </c>
      <c r="B7404" s="7"/>
      <c r="C7404" s="6" t="str">
        <f>HYPERLINK("http://www.ncbi.nlm.nih.gov/protein/166706901","Tdg")</f>
        <v>Tdg</v>
      </c>
      <c r="D7404" s="8"/>
      <c r="E7404" s="8">
        <v>43986</v>
      </c>
      <c r="F7404" s="8"/>
      <c r="G7404" s="15" t="s">
        <v>10</v>
      </c>
      <c r="H7404" s="15" t="s">
        <v>10</v>
      </c>
      <c r="I7404" s="15" t="s">
        <v>10</v>
      </c>
      <c r="J7404" s="15" t="s">
        <v>10</v>
      </c>
      <c r="K7404" s="15">
        <v>1.4875741666032802</v>
      </c>
      <c r="L7404" s="15">
        <v>1.4875741666032802</v>
      </c>
      <c r="M7404" s="15" t="s">
        <v>10</v>
      </c>
      <c r="N7404" s="15" t="s">
        <v>10</v>
      </c>
      <c r="O7404" s="15" t="s">
        <v>10</v>
      </c>
      <c r="P7404" s="15" t="s">
        <v>10</v>
      </c>
      <c r="Q7404" s="8"/>
      <c r="R7404" s="9" t="s">
        <v>6905</v>
      </c>
    </row>
    <row r="7405" spans="1:18" x14ac:dyDescent="0.25">
      <c r="A7405" s="6" t="str">
        <f>HYPERLINK("proteomic_fractions_linear_files/Yang_linear_img/162417986.jpg", "162417986")</f>
        <v>162417986</v>
      </c>
      <c r="B7405" s="7"/>
      <c r="C7405" s="6" t="str">
        <f>HYPERLINK("http://www.ncbi.nlm.nih.gov/protein/162417986","Tdp1")</f>
        <v>Tdp1</v>
      </c>
      <c r="D7405" s="8"/>
      <c r="E7405" s="8">
        <v>68459</v>
      </c>
      <c r="F7405" s="8"/>
      <c r="G7405" s="15" t="s">
        <v>10</v>
      </c>
      <c r="H7405" s="15" t="s">
        <v>10</v>
      </c>
      <c r="I7405" s="15" t="s">
        <v>10</v>
      </c>
      <c r="J7405" s="15" t="s">
        <v>10</v>
      </c>
      <c r="K7405" s="15">
        <v>1.222039095193292</v>
      </c>
      <c r="L7405" s="15">
        <v>1.222039095193292</v>
      </c>
      <c r="M7405" s="15">
        <v>1.222039095193292</v>
      </c>
      <c r="N7405" s="15">
        <v>1.222039095193292</v>
      </c>
      <c r="O7405" s="15" t="s">
        <v>10</v>
      </c>
      <c r="P7405" s="15" t="s">
        <v>10</v>
      </c>
      <c r="Q7405" s="8"/>
      <c r="R7405" s="9" t="s">
        <v>6906</v>
      </c>
    </row>
    <row r="7406" spans="1:18" x14ac:dyDescent="0.25">
      <c r="A7406" s="6" t="str">
        <f>HYPERLINK("proteomic_fractions_linear_files/Yang_linear_img/9507213.jpg", "9507213")</f>
        <v>9507213</v>
      </c>
      <c r="B7406" s="7"/>
      <c r="C7406" s="6" t="str">
        <f>HYPERLINK("http://www.ncbi.nlm.nih.gov/protein/9507213","Tdp2")</f>
        <v>Tdp2</v>
      </c>
      <c r="D7406" s="8"/>
      <c r="E7406" s="8">
        <v>40903</v>
      </c>
      <c r="F7406" s="8"/>
      <c r="G7406" s="15" t="s">
        <v>10</v>
      </c>
      <c r="H7406" s="15" t="s">
        <v>10</v>
      </c>
      <c r="I7406" s="15">
        <v>1.0762338840723285</v>
      </c>
      <c r="J7406" s="15">
        <v>1.0762338840723285</v>
      </c>
      <c r="K7406" s="15" t="s">
        <v>10</v>
      </c>
      <c r="L7406" s="15" t="s">
        <v>10</v>
      </c>
      <c r="M7406" s="15" t="s">
        <v>10</v>
      </c>
      <c r="N7406" s="15" t="s">
        <v>10</v>
      </c>
      <c r="O7406" s="15">
        <v>0.98798337081031085</v>
      </c>
      <c r="P7406" s="15">
        <v>0.98798337081031085</v>
      </c>
      <c r="Q7406" s="8"/>
      <c r="R7406" s="9" t="s">
        <v>6907</v>
      </c>
    </row>
    <row r="7407" spans="1:18" x14ac:dyDescent="0.25">
      <c r="A7407" s="6" t="str">
        <f>HYPERLINK("proteomic_fractions_linear_files/Yang_linear_img/225703112.jpg", "225703112")</f>
        <v>225703112</v>
      </c>
      <c r="B7407" s="7"/>
      <c r="C7407" s="6" t="str">
        <f>HYPERLINK("http://www.ncbi.nlm.nih.gov/protein/225703112","Tdrd3")</f>
        <v>Tdrd3</v>
      </c>
      <c r="D7407" s="8"/>
      <c r="E7407" s="8">
        <v>82122</v>
      </c>
      <c r="F7407" s="8"/>
      <c r="G7407" s="15" t="s">
        <v>10</v>
      </c>
      <c r="H7407" s="15" t="s">
        <v>10</v>
      </c>
      <c r="I7407" s="15" t="s">
        <v>10</v>
      </c>
      <c r="J7407" s="15" t="s">
        <v>10</v>
      </c>
      <c r="K7407" s="15">
        <v>1.1581461119827379</v>
      </c>
      <c r="L7407" s="15">
        <v>1.1581461119827379</v>
      </c>
      <c r="M7407" s="15" t="s">
        <v>10</v>
      </c>
      <c r="N7407" s="15" t="s">
        <v>10</v>
      </c>
      <c r="O7407" s="15" t="s">
        <v>10</v>
      </c>
      <c r="P7407" s="15" t="s">
        <v>10</v>
      </c>
      <c r="Q7407" s="8"/>
      <c r="R7407" s="9" t="s">
        <v>6908</v>
      </c>
    </row>
    <row r="7408" spans="1:18" x14ac:dyDescent="0.25">
      <c r="A7408" s="6" t="str">
        <f>HYPERLINK("proteomic_fractions_linear_files/Yang_linear_img/359279950.jpg", "359279950")</f>
        <v>359279950</v>
      </c>
      <c r="B7408" s="7"/>
      <c r="C7408" s="6" t="str">
        <f>HYPERLINK("http://www.ncbi.nlm.nih.gov/protein/359279950","Tdrd3")</f>
        <v>Tdrd3</v>
      </c>
      <c r="D7408" s="8"/>
      <c r="E7408" s="8">
        <v>78884</v>
      </c>
      <c r="F7408" s="8"/>
      <c r="G7408" s="15" t="s">
        <v>10</v>
      </c>
      <c r="H7408" s="15" t="s">
        <v>10</v>
      </c>
      <c r="I7408" s="15" t="s">
        <v>10</v>
      </c>
      <c r="J7408" s="15" t="s">
        <v>10</v>
      </c>
      <c r="K7408" s="15">
        <v>1.2021263440833483</v>
      </c>
      <c r="L7408" s="15">
        <v>1.2021263440833483</v>
      </c>
      <c r="M7408" s="15" t="s">
        <v>10</v>
      </c>
      <c r="N7408" s="15" t="s">
        <v>10</v>
      </c>
      <c r="O7408" s="15" t="s">
        <v>10</v>
      </c>
      <c r="P7408" s="15" t="s">
        <v>10</v>
      </c>
      <c r="Q7408" s="8"/>
      <c r="R7408" s="9" t="s">
        <v>6909</v>
      </c>
    </row>
    <row r="7409" spans="1:18" x14ac:dyDescent="0.25">
      <c r="A7409" s="6" t="str">
        <f>HYPERLINK("proteomic_fractions_linear_files/Yang_linear_img/124249058.jpg", "124249058")</f>
        <v>124249058</v>
      </c>
      <c r="B7409" s="7"/>
      <c r="C7409" s="6" t="str">
        <f>HYPERLINK("http://www.ncbi.nlm.nih.gov/protein/124249058","Tecpr1")</f>
        <v>Tecpr1</v>
      </c>
      <c r="D7409" s="8"/>
      <c r="E7409" s="8">
        <v>130135</v>
      </c>
      <c r="F7409" s="8"/>
      <c r="G7409" s="15" t="s">
        <v>10</v>
      </c>
      <c r="H7409" s="15" t="s">
        <v>10</v>
      </c>
      <c r="I7409" s="15">
        <v>1.1804067010480142</v>
      </c>
      <c r="J7409" s="15">
        <v>1.1804067010480142</v>
      </c>
      <c r="K7409" s="15">
        <v>1.4366602433841567</v>
      </c>
      <c r="L7409" s="15">
        <v>1.4366602433841567</v>
      </c>
      <c r="M7409" s="15" t="s">
        <v>10</v>
      </c>
      <c r="N7409" s="15" t="s">
        <v>10</v>
      </c>
      <c r="O7409" s="15">
        <v>1.1804067010480142</v>
      </c>
      <c r="P7409" s="15">
        <v>1.1804067010480142</v>
      </c>
      <c r="Q7409" s="8"/>
      <c r="R7409" s="9" t="s">
        <v>6910</v>
      </c>
    </row>
    <row r="7410" spans="1:18" x14ac:dyDescent="0.25">
      <c r="A7410" s="6" t="str">
        <f>HYPERLINK("proteomic_fractions_linear_files/Yang_linear_img/19923070.jpg", "19923070")</f>
        <v>19923070</v>
      </c>
      <c r="B7410" s="7"/>
      <c r="C7410" s="6" t="str">
        <f>HYPERLINK("http://www.ncbi.nlm.nih.gov/protein/19923070","Tecr")</f>
        <v>Tecr</v>
      </c>
      <c r="D7410" s="8"/>
      <c r="E7410" s="8">
        <v>35959</v>
      </c>
      <c r="F7410" s="8"/>
      <c r="G7410" s="15">
        <v>1.0372590673090165</v>
      </c>
      <c r="H7410" s="15">
        <v>1.0372590673090165</v>
      </c>
      <c r="I7410" s="15">
        <v>0.72639605876180557</v>
      </c>
      <c r="J7410" s="15">
        <v>0.72639605876180557</v>
      </c>
      <c r="K7410" s="15">
        <v>0.72639605876180557</v>
      </c>
      <c r="L7410" s="15">
        <v>0.72639605876180557</v>
      </c>
      <c r="M7410" s="15">
        <v>0.72639605876180557</v>
      </c>
      <c r="N7410" s="15">
        <v>0.72639605876180557</v>
      </c>
      <c r="O7410" s="15" t="s">
        <v>10</v>
      </c>
      <c r="P7410" s="15" t="s">
        <v>10</v>
      </c>
      <c r="Q7410" s="8"/>
      <c r="R7410" s="9" t="s">
        <v>6911</v>
      </c>
    </row>
    <row r="7411" spans="1:18" x14ac:dyDescent="0.25">
      <c r="A7411" s="6" t="str">
        <f>HYPERLINK("proteomic_fractions_linear_files/Yang_linear_img/226342960.jpg", "226342960")</f>
        <v>226342960</v>
      </c>
      <c r="B7411" s="7"/>
      <c r="C7411" s="6" t="str">
        <f>HYPERLINK("http://www.ncbi.nlm.nih.gov/protein/226342960","Tecr")</f>
        <v>Tecr</v>
      </c>
      <c r="D7411" s="8"/>
      <c r="E7411" s="8">
        <v>34113</v>
      </c>
      <c r="F7411" s="8"/>
      <c r="G7411" s="15">
        <v>1.098274306562488</v>
      </c>
      <c r="H7411" s="15">
        <v>1.098274306562488</v>
      </c>
      <c r="I7411" s="15">
        <v>0.76912523868897065</v>
      </c>
      <c r="J7411" s="15">
        <v>0.76912523868897065</v>
      </c>
      <c r="K7411" s="15">
        <v>0.76912523868897065</v>
      </c>
      <c r="L7411" s="15">
        <v>0.76912523868897065</v>
      </c>
      <c r="M7411" s="15">
        <v>0.76912523868897065</v>
      </c>
      <c r="N7411" s="15">
        <v>0.76912523868897065</v>
      </c>
      <c r="O7411" s="15" t="s">
        <v>10</v>
      </c>
      <c r="P7411" s="15" t="s">
        <v>10</v>
      </c>
      <c r="Q7411" s="8"/>
      <c r="R7411" s="9" t="s">
        <v>6912</v>
      </c>
    </row>
    <row r="7412" spans="1:18" x14ac:dyDescent="0.25">
      <c r="A7412" s="6" t="str">
        <f>HYPERLINK("proteomic_fractions_linear_files/Yang_linear_img/134053922.jpg", "134053922")</f>
        <v>134053922</v>
      </c>
      <c r="B7412" s="7"/>
      <c r="C7412" s="6" t="str">
        <f>HYPERLINK("http://www.ncbi.nlm.nih.gov/protein/134053922","Tefm")</f>
        <v>Tefm</v>
      </c>
      <c r="D7412" s="8"/>
      <c r="E7412" s="8">
        <v>37459</v>
      </c>
      <c r="F7412" s="8"/>
      <c r="G7412" s="15" t="s">
        <v>10</v>
      </c>
      <c r="H7412" s="15" t="s">
        <v>10</v>
      </c>
      <c r="I7412" s="15">
        <v>0.86713710420901591</v>
      </c>
      <c r="J7412" s="15">
        <v>0.86713710420901591</v>
      </c>
      <c r="K7412" s="15" t="s">
        <v>10</v>
      </c>
      <c r="L7412" s="15" t="s">
        <v>10</v>
      </c>
      <c r="M7412" s="15" t="s">
        <v>10</v>
      </c>
      <c r="N7412" s="15" t="s">
        <v>10</v>
      </c>
      <c r="O7412" s="15" t="s">
        <v>10</v>
      </c>
      <c r="P7412" s="15" t="s">
        <v>10</v>
      </c>
      <c r="Q7412" s="8"/>
      <c r="R7412" s="9" t="s">
        <v>6913</v>
      </c>
    </row>
    <row r="7413" spans="1:18" x14ac:dyDescent="0.25">
      <c r="A7413" s="6" t="str">
        <f>HYPERLINK("proteomic_fractions_linear_files/Yang_linear_img/117956379.jpg", "117956379")</f>
        <v>117956379</v>
      </c>
      <c r="B7413" s="7"/>
      <c r="C7413" s="6" t="str">
        <f>HYPERLINK("http://www.ncbi.nlm.nih.gov/protein/117956379","Tekt1")</f>
        <v>Tekt1</v>
      </c>
      <c r="D7413" s="8"/>
      <c r="E7413" s="8">
        <v>48510</v>
      </c>
      <c r="F7413" s="8"/>
      <c r="G7413" s="15">
        <v>0.26014733350893116</v>
      </c>
      <c r="H7413" s="15">
        <v>0.26014733350893116</v>
      </c>
      <c r="I7413" s="15" t="s">
        <v>10</v>
      </c>
      <c r="J7413" s="15" t="s">
        <v>10</v>
      </c>
      <c r="K7413" s="15">
        <v>0.26014733350893116</v>
      </c>
      <c r="L7413" s="15">
        <v>0.26014733350893116</v>
      </c>
      <c r="M7413" s="15" t="s">
        <v>10</v>
      </c>
      <c r="N7413" s="15" t="s">
        <v>10</v>
      </c>
      <c r="O7413" s="15" t="s">
        <v>10</v>
      </c>
      <c r="P7413" s="15" t="s">
        <v>10</v>
      </c>
      <c r="Q7413" s="8"/>
      <c r="R7413" s="9" t="s">
        <v>6914</v>
      </c>
    </row>
    <row r="7414" spans="1:18" x14ac:dyDescent="0.25">
      <c r="A7414" s="6" t="str">
        <f>HYPERLINK("proteomic_fractions_linear_files/Yang_linear_img/255683437.jpg", "255683437")</f>
        <v>255683437</v>
      </c>
      <c r="B7414" s="7"/>
      <c r="C7414" s="6" t="str">
        <f>HYPERLINK("http://www.ncbi.nlm.nih.gov/protein/255683437","Telo2")</f>
        <v>Telo2</v>
      </c>
      <c r="D7414" s="8"/>
      <c r="E7414" s="8">
        <v>93182</v>
      </c>
      <c r="F7414" s="8"/>
      <c r="G7414" s="15" t="s">
        <v>10</v>
      </c>
      <c r="H7414" s="15" t="s">
        <v>10</v>
      </c>
      <c r="I7414" s="15" t="s">
        <v>10</v>
      </c>
      <c r="J7414" s="15" t="s">
        <v>10</v>
      </c>
      <c r="K7414" s="15" t="s">
        <v>10</v>
      </c>
      <c r="L7414" s="15" t="s">
        <v>10</v>
      </c>
      <c r="M7414" s="15">
        <v>1.180661976571306</v>
      </c>
      <c r="N7414" s="15">
        <v>1.180661976571306</v>
      </c>
      <c r="O7414" s="15" t="s">
        <v>10</v>
      </c>
      <c r="P7414" s="15" t="s">
        <v>10</v>
      </c>
      <c r="Q7414" s="8"/>
      <c r="R7414" s="9" t="s">
        <v>6915</v>
      </c>
    </row>
    <row r="7415" spans="1:18" x14ac:dyDescent="0.25">
      <c r="A7415" s="6" t="str">
        <f>HYPERLINK("proteomic_fractions_linear_files/Yang_linear_img/254675210.jpg", "254675210")</f>
        <v>254675210</v>
      </c>
      <c r="B7415" s="7"/>
      <c r="C7415" s="6" t="str">
        <f>HYPERLINK("http://www.ncbi.nlm.nih.gov/protein/254675210","Ten1")</f>
        <v>Ten1</v>
      </c>
      <c r="D7415" s="8"/>
      <c r="E7415" s="8">
        <v>17935</v>
      </c>
      <c r="F7415" s="8"/>
      <c r="G7415" s="15" t="s">
        <v>10</v>
      </c>
      <c r="H7415" s="15" t="s">
        <v>10</v>
      </c>
      <c r="I7415" s="15" t="s">
        <v>10</v>
      </c>
      <c r="J7415" s="15" t="s">
        <v>10</v>
      </c>
      <c r="K7415" s="15">
        <v>1.1443022881475706</v>
      </c>
      <c r="L7415" s="15">
        <v>1.1443022881475706</v>
      </c>
      <c r="M7415" s="15">
        <v>1.1443022881475706</v>
      </c>
      <c r="N7415" s="15">
        <v>1.1443022881475706</v>
      </c>
      <c r="O7415" s="15">
        <v>1.1443022881475706</v>
      </c>
      <c r="P7415" s="15">
        <v>1.1443022881475706</v>
      </c>
      <c r="Q7415" s="8"/>
      <c r="R7415" s="9" t="s">
        <v>6916</v>
      </c>
    </row>
    <row r="7416" spans="1:18" x14ac:dyDescent="0.25">
      <c r="A7416" s="6" t="str">
        <f>HYPERLINK("proteomic_fractions_linear_files/Yang_linear_img/119372288.jpg", "119372288")</f>
        <v>119372288</v>
      </c>
      <c r="B7416" s="7"/>
      <c r="C7416" s="6" t="str">
        <f>HYPERLINK("http://www.ncbi.nlm.nih.gov/protein/119372288","Tenc1")</f>
        <v>Tenc1</v>
      </c>
      <c r="D7416" s="8"/>
      <c r="E7416" s="8">
        <v>151882</v>
      </c>
      <c r="F7416" s="8"/>
      <c r="G7416" s="15" t="s">
        <v>10</v>
      </c>
      <c r="H7416" s="15" t="s">
        <v>10</v>
      </c>
      <c r="I7416" s="15">
        <v>39.42828947368421</v>
      </c>
      <c r="J7416" s="15">
        <v>39.42828947368421</v>
      </c>
      <c r="K7416" s="15">
        <v>1.5352687343937439</v>
      </c>
      <c r="L7416" s="15">
        <v>1.5352687343937439</v>
      </c>
      <c r="M7416" s="15" t="s">
        <v>10</v>
      </c>
      <c r="N7416" s="15" t="s">
        <v>10</v>
      </c>
      <c r="O7416" s="15">
        <v>1.228722576578555</v>
      </c>
      <c r="P7416" s="15">
        <v>1.228722576578555</v>
      </c>
      <c r="Q7416" s="8"/>
      <c r="R7416" s="9" t="s">
        <v>6917</v>
      </c>
    </row>
    <row r="7417" spans="1:18" x14ac:dyDescent="0.25">
      <c r="A7417" s="6" t="str">
        <f>HYPERLINK("proteomic_fractions_linear_files/Yang_linear_img/7657413.jpg", "7657413")</f>
        <v>7657413</v>
      </c>
      <c r="B7417" s="7"/>
      <c r="C7417" s="6" t="str">
        <f>HYPERLINK("http://www.ncbi.nlm.nih.gov/protein/7657413","Tenm1")</f>
        <v>Tenm1</v>
      </c>
      <c r="D7417" s="8"/>
      <c r="E7417" s="8">
        <v>305666</v>
      </c>
      <c r="F7417" s="8"/>
      <c r="G7417" s="15" t="s">
        <v>10</v>
      </c>
      <c r="H7417" s="15" t="s">
        <v>10</v>
      </c>
      <c r="I7417" s="15" t="s">
        <v>10</v>
      </c>
      <c r="J7417" s="15" t="s">
        <v>10</v>
      </c>
      <c r="K7417" s="15">
        <v>0.61034585503248484</v>
      </c>
      <c r="L7417" s="15">
        <v>0.61034585503248484</v>
      </c>
      <c r="M7417" s="15" t="s">
        <v>10</v>
      </c>
      <c r="N7417" s="15" t="s">
        <v>10</v>
      </c>
      <c r="O7417" s="15" t="s">
        <v>10</v>
      </c>
      <c r="P7417" s="15" t="s">
        <v>10</v>
      </c>
      <c r="Q7417" s="8"/>
      <c r="R7417" s="9" t="s">
        <v>6918</v>
      </c>
    </row>
    <row r="7418" spans="1:18" x14ac:dyDescent="0.25">
      <c r="A7418" s="6" t="str">
        <f>HYPERLINK("proteomic_fractions_linear_files/Yang_linear_img/6678285.jpg", "6678285")</f>
        <v>6678285</v>
      </c>
      <c r="B7418" s="7"/>
      <c r="C7418" s="6" t="str">
        <f>HYPERLINK("http://www.ncbi.nlm.nih.gov/protein/6678285","Tep1")</f>
        <v>Tep1</v>
      </c>
      <c r="D7418" s="8"/>
      <c r="E7418" s="8">
        <v>291330</v>
      </c>
      <c r="F7418" s="8"/>
      <c r="G7418" s="15" t="s">
        <v>10</v>
      </c>
      <c r="H7418" s="15" t="s">
        <v>10</v>
      </c>
      <c r="I7418" s="15" t="s">
        <v>10</v>
      </c>
      <c r="J7418" s="15" t="s">
        <v>10</v>
      </c>
      <c r="K7418" s="15" t="s">
        <v>10</v>
      </c>
      <c r="L7418" s="15" t="s">
        <v>10</v>
      </c>
      <c r="M7418" s="15">
        <v>2.0394941775577462</v>
      </c>
      <c r="N7418" s="15">
        <v>2.0394941775577462</v>
      </c>
      <c r="O7418" s="15" t="s">
        <v>10</v>
      </c>
      <c r="P7418" s="15" t="s">
        <v>10</v>
      </c>
      <c r="Q7418" s="8"/>
      <c r="R7418" s="9" t="s">
        <v>6919</v>
      </c>
    </row>
    <row r="7419" spans="1:18" x14ac:dyDescent="0.25">
      <c r="A7419" s="6" t="str">
        <f>HYPERLINK("proteomic_fractions_linear_files/Yang_linear_img/133904140.jpg", "133904140")</f>
        <v>133904140</v>
      </c>
      <c r="B7419" s="7"/>
      <c r="C7419" s="6" t="str">
        <f>HYPERLINK("http://www.ncbi.nlm.nih.gov/protein/133904140","Terf2")</f>
        <v>Terf2</v>
      </c>
      <c r="D7419" s="8"/>
      <c r="E7419" s="8">
        <v>51697</v>
      </c>
      <c r="F7419" s="8"/>
      <c r="G7419" s="15">
        <v>1.5980511244835358</v>
      </c>
      <c r="H7419" s="15">
        <v>1.5980511244835358</v>
      </c>
      <c r="I7419" s="15" t="s">
        <v>10</v>
      </c>
      <c r="J7419" s="15" t="s">
        <v>10</v>
      </c>
      <c r="K7419" s="15" t="s">
        <v>10</v>
      </c>
      <c r="L7419" s="15" t="s">
        <v>10</v>
      </c>
      <c r="M7419" s="15" t="s">
        <v>10</v>
      </c>
      <c r="N7419" s="15" t="s">
        <v>10</v>
      </c>
      <c r="O7419" s="15" t="s">
        <v>10</v>
      </c>
      <c r="P7419" s="15" t="s">
        <v>10</v>
      </c>
      <c r="Q7419" s="8"/>
      <c r="R7419" s="9" t="s">
        <v>6920</v>
      </c>
    </row>
    <row r="7420" spans="1:18" x14ac:dyDescent="0.25">
      <c r="A7420" s="6" t="str">
        <f>HYPERLINK("proteomic_fractions_linear_files/Yang_linear_img/133904142.jpg", "133904142")</f>
        <v>133904142</v>
      </c>
      <c r="B7420" s="7"/>
      <c r="C7420" s="6" t="str">
        <f>HYPERLINK("http://www.ncbi.nlm.nih.gov/protein/133904142","Terf2")</f>
        <v>Terf2</v>
      </c>
      <c r="D7420" s="8"/>
      <c r="E7420" s="8">
        <v>60045</v>
      </c>
      <c r="F7420" s="8"/>
      <c r="G7420" s="15">
        <v>1.3849776412190642</v>
      </c>
      <c r="H7420" s="15">
        <v>1.3849776412190642</v>
      </c>
      <c r="I7420" s="15" t="s">
        <v>10</v>
      </c>
      <c r="J7420" s="15" t="s">
        <v>10</v>
      </c>
      <c r="K7420" s="15" t="s">
        <v>10</v>
      </c>
      <c r="L7420" s="15" t="s">
        <v>10</v>
      </c>
      <c r="M7420" s="15" t="s">
        <v>10</v>
      </c>
      <c r="N7420" s="15" t="s">
        <v>10</v>
      </c>
      <c r="O7420" s="15" t="s">
        <v>10</v>
      </c>
      <c r="P7420" s="15" t="s">
        <v>10</v>
      </c>
      <c r="Q7420" s="8"/>
      <c r="R7420" s="9" t="s">
        <v>6921</v>
      </c>
    </row>
    <row r="7421" spans="1:18" x14ac:dyDescent="0.25">
      <c r="A7421" s="6" t="str">
        <f>HYPERLINK("proteomic_fractions_linear_files/Yang_linear_img/6678291.jpg", "6678291")</f>
        <v>6678291</v>
      </c>
      <c r="B7421" s="7"/>
      <c r="C7421" s="6" t="str">
        <f>HYPERLINK("http://www.ncbi.nlm.nih.gov/protein/6678291","Tert")</f>
        <v>Tert</v>
      </c>
      <c r="D7421" s="8"/>
      <c r="E7421" s="8">
        <v>127848</v>
      </c>
      <c r="F7421" s="8"/>
      <c r="G7421" s="15">
        <v>0.17027923648967774</v>
      </c>
      <c r="H7421" s="15">
        <v>0.17027923648967774</v>
      </c>
      <c r="I7421" s="15" t="s">
        <v>10</v>
      </c>
      <c r="J7421" s="15" t="s">
        <v>10</v>
      </c>
      <c r="K7421" s="15" t="s">
        <v>10</v>
      </c>
      <c r="L7421" s="15" t="s">
        <v>10</v>
      </c>
      <c r="M7421" s="15">
        <v>0.19183453604122591</v>
      </c>
      <c r="N7421" s="15">
        <v>0.19183453604122591</v>
      </c>
      <c r="O7421" s="15" t="s">
        <v>10</v>
      </c>
      <c r="P7421" s="15" t="s">
        <v>10</v>
      </c>
      <c r="Q7421" s="8"/>
      <c r="R7421" s="9" t="s">
        <v>6922</v>
      </c>
    </row>
    <row r="7422" spans="1:18" x14ac:dyDescent="0.25">
      <c r="A7422" s="6" t="str">
        <f>HYPERLINK("proteomic_fractions_linear_files/Yang_linear_img/46395466.jpg", "46395466")</f>
        <v>46395466</v>
      </c>
      <c r="B7422" s="7"/>
      <c r="C7422" s="6" t="str">
        <f>HYPERLINK("http://www.ncbi.nlm.nih.gov/protein/46395466","Tes")</f>
        <v>Tes</v>
      </c>
      <c r="D7422" s="8"/>
      <c r="E7422" s="8">
        <v>47561</v>
      </c>
      <c r="F7422" s="8"/>
      <c r="G7422" s="15" t="s">
        <v>10</v>
      </c>
      <c r="H7422" s="15" t="s">
        <v>10</v>
      </c>
      <c r="I7422" s="15">
        <v>1.006041158008651</v>
      </c>
      <c r="J7422" s="15">
        <v>1.006041158008651</v>
      </c>
      <c r="K7422" s="15">
        <v>1.006041158008651</v>
      </c>
      <c r="L7422" s="15">
        <v>1.006041158008651</v>
      </c>
      <c r="M7422" s="15" t="s">
        <v>10</v>
      </c>
      <c r="N7422" s="15" t="s">
        <v>10</v>
      </c>
      <c r="O7422" s="15">
        <v>0.91928310931178059</v>
      </c>
      <c r="P7422" s="15">
        <v>0.91928310931178059</v>
      </c>
      <c r="Q7422" s="8"/>
      <c r="R7422" s="9" t="s">
        <v>6923</v>
      </c>
    </row>
    <row r="7423" spans="1:18" x14ac:dyDescent="0.25">
      <c r="A7423" s="6" t="str">
        <f>HYPERLINK("proteomic_fractions_linear_files/Yang_linear_img/124249335.jpg", "124249335")</f>
        <v>124249335</v>
      </c>
      <c r="B7423" s="7"/>
      <c r="C7423" s="6" t="str">
        <f>HYPERLINK("http://www.ncbi.nlm.nih.gov/protein/124249335","Tex10")</f>
        <v>Tex10</v>
      </c>
      <c r="D7423" s="8"/>
      <c r="E7423" s="8">
        <v>105079</v>
      </c>
      <c r="F7423" s="8"/>
      <c r="G7423" s="15">
        <v>3.8956529308518077</v>
      </c>
      <c r="H7423" s="15">
        <v>3.8956529308518077</v>
      </c>
      <c r="I7423" s="15" t="s">
        <v>10</v>
      </c>
      <c r="J7423" s="15" t="s">
        <v>10</v>
      </c>
      <c r="K7423" s="15">
        <v>1.0457291792488712</v>
      </c>
      <c r="L7423" s="15">
        <v>1.0457291792488712</v>
      </c>
      <c r="M7423" s="15">
        <v>0.90445696364366202</v>
      </c>
      <c r="N7423" s="15">
        <v>0.90445696364366202</v>
      </c>
      <c r="O7423" s="15" t="s">
        <v>10</v>
      </c>
      <c r="P7423" s="15" t="s">
        <v>10</v>
      </c>
      <c r="Q7423" s="8"/>
      <c r="R7423" s="9" t="s">
        <v>6924</v>
      </c>
    </row>
    <row r="7424" spans="1:18" x14ac:dyDescent="0.25">
      <c r="A7424" s="6" t="str">
        <f>HYPERLINK("proteomic_fractions_linear_files/Yang_linear_img/125347370.jpg", "125347370")</f>
        <v>125347370</v>
      </c>
      <c r="B7424" s="7"/>
      <c r="C7424" s="6" t="str">
        <f>HYPERLINK("http://www.ncbi.nlm.nih.gov/protein/125347370","Tex13a")</f>
        <v>Tex13a</v>
      </c>
      <c r="D7424" s="8"/>
      <c r="E7424" s="8">
        <v>42588</v>
      </c>
      <c r="F7424" s="8"/>
      <c r="G7424" s="15" t="s">
        <v>10</v>
      </c>
      <c r="H7424" s="15" t="s">
        <v>10</v>
      </c>
      <c r="I7424" s="15" t="s">
        <v>10</v>
      </c>
      <c r="J7424" s="15" t="s">
        <v>10</v>
      </c>
      <c r="K7424" s="15">
        <v>3.568671421773066</v>
      </c>
      <c r="L7424" s="15">
        <v>3.568671421773066</v>
      </c>
      <c r="M7424" s="15" t="s">
        <v>10</v>
      </c>
      <c r="N7424" s="15" t="s">
        <v>10</v>
      </c>
      <c r="O7424" s="15" t="s">
        <v>10</v>
      </c>
      <c r="P7424" s="15" t="s">
        <v>10</v>
      </c>
      <c r="Q7424" s="8"/>
      <c r="R7424" s="9" t="s">
        <v>6925</v>
      </c>
    </row>
    <row r="7425" spans="1:18" x14ac:dyDescent="0.25">
      <c r="A7425" s="6" t="str">
        <f>HYPERLINK("proteomic_fractions_linear_files/Yang_linear_img/126090850.jpg", "126090850")</f>
        <v>126090850</v>
      </c>
      <c r="B7425" s="7"/>
      <c r="C7425" s="6" t="str">
        <f>HYPERLINK("http://www.ncbi.nlm.nih.gov/protein/126090850","Tex264")</f>
        <v>Tex264</v>
      </c>
      <c r="D7425" s="8"/>
      <c r="E7425" s="8">
        <v>33459</v>
      </c>
      <c r="F7425" s="8"/>
      <c r="G7425" s="15" t="s">
        <v>10</v>
      </c>
      <c r="H7425" s="15" t="s">
        <v>10</v>
      </c>
      <c r="I7425" s="15" t="s">
        <v>10</v>
      </c>
      <c r="J7425" s="15" t="s">
        <v>10</v>
      </c>
      <c r="K7425" s="15">
        <v>1.2274944910067498</v>
      </c>
      <c r="L7425" s="15">
        <v>1.2274944910067498</v>
      </c>
      <c r="M7425" s="15" t="s">
        <v>10</v>
      </c>
      <c r="N7425" s="15" t="s">
        <v>10</v>
      </c>
      <c r="O7425" s="15" t="s">
        <v>10</v>
      </c>
      <c r="P7425" s="15" t="s">
        <v>10</v>
      </c>
      <c r="Q7425" s="8"/>
      <c r="R7425" s="9" t="s">
        <v>6926</v>
      </c>
    </row>
    <row r="7426" spans="1:18" x14ac:dyDescent="0.25">
      <c r="A7426" s="6" t="str">
        <f>HYPERLINK("proteomic_fractions_linear_files/Yang_linear_img/198278417.jpg", "198278417")</f>
        <v>198278417</v>
      </c>
      <c r="B7426" s="7"/>
      <c r="C7426" s="6" t="str">
        <f>HYPERLINK("http://www.ncbi.nlm.nih.gov/protein/198278417","Tex30")</f>
        <v>Tex30</v>
      </c>
      <c r="D7426" s="8"/>
      <c r="E7426" s="8">
        <v>25132</v>
      </c>
      <c r="F7426" s="8"/>
      <c r="G7426" s="15" t="s">
        <v>10</v>
      </c>
      <c r="H7426" s="15" t="s">
        <v>10</v>
      </c>
      <c r="I7426" s="15" t="s">
        <v>10</v>
      </c>
      <c r="J7426" s="15" t="s">
        <v>10</v>
      </c>
      <c r="K7426" s="15">
        <v>0.9821928245310767</v>
      </c>
      <c r="L7426" s="15">
        <v>0.9821928245310767</v>
      </c>
      <c r="M7426" s="15">
        <v>0.9821928245310767</v>
      </c>
      <c r="N7426" s="15">
        <v>0.9821928245310767</v>
      </c>
      <c r="O7426" s="15" t="s">
        <v>10</v>
      </c>
      <c r="P7426" s="15" t="s">
        <v>10</v>
      </c>
      <c r="Q7426" s="8"/>
      <c r="R7426" s="9" t="s">
        <v>6927</v>
      </c>
    </row>
    <row r="7427" spans="1:18" x14ac:dyDescent="0.25">
      <c r="A7427" s="6" t="str">
        <f>HYPERLINK("proteomic_fractions_linear_files/Yang_linear_img/6678303.jpg", "6678303")</f>
        <v>6678303</v>
      </c>
      <c r="B7427" s="7"/>
      <c r="C7427" s="6" t="str">
        <f>HYPERLINK("http://www.ncbi.nlm.nih.gov/protein/6678303","Tfam")</f>
        <v>Tfam</v>
      </c>
      <c r="D7427" s="8"/>
      <c r="E7427" s="8">
        <v>23558</v>
      </c>
      <c r="F7427" s="8"/>
      <c r="G7427" s="15">
        <v>1.3368363689888996</v>
      </c>
      <c r="H7427" s="15">
        <v>1.3368363689888996</v>
      </c>
      <c r="I7427" s="15">
        <v>0.96289889061322687</v>
      </c>
      <c r="J7427" s="15">
        <v>0.96289889061322687</v>
      </c>
      <c r="K7427" s="15" t="s">
        <v>10</v>
      </c>
      <c r="L7427" s="15" t="s">
        <v>10</v>
      </c>
      <c r="M7427" s="15" t="s">
        <v>10</v>
      </c>
      <c r="N7427" s="15" t="s">
        <v>10</v>
      </c>
      <c r="O7427" s="15" t="s">
        <v>10</v>
      </c>
      <c r="P7427" s="15" t="s">
        <v>10</v>
      </c>
      <c r="Q7427" s="8"/>
      <c r="R7427" s="9" t="s">
        <v>6928</v>
      </c>
    </row>
    <row r="7428" spans="1:18" x14ac:dyDescent="0.25">
      <c r="A7428" s="6" t="str">
        <f>HYPERLINK("proteomic_fractions_linear_files/Yang_linear_img/22122569.jpg", "22122569")</f>
        <v>22122569</v>
      </c>
      <c r="B7428" s="7"/>
      <c r="C7428" s="6" t="str">
        <f>HYPERLINK("http://www.ncbi.nlm.nih.gov/protein/22122569","Tfb1m")</f>
        <v>Tfb1m</v>
      </c>
      <c r="D7428" s="8"/>
      <c r="E7428" s="8">
        <v>36039</v>
      </c>
      <c r="F7428" s="8"/>
      <c r="G7428" s="15" t="s">
        <v>10</v>
      </c>
      <c r="H7428" s="15" t="s">
        <v>10</v>
      </c>
      <c r="I7428" s="15">
        <v>0.95981601473542177</v>
      </c>
      <c r="J7428" s="15">
        <v>0.95981601473542177</v>
      </c>
      <c r="K7428" s="15" t="s">
        <v>10</v>
      </c>
      <c r="L7428" s="15" t="s">
        <v>10</v>
      </c>
      <c r="M7428" s="15" t="s">
        <v>10</v>
      </c>
      <c r="N7428" s="15" t="s">
        <v>10</v>
      </c>
      <c r="O7428" s="15" t="s">
        <v>10</v>
      </c>
      <c r="P7428" s="15" t="s">
        <v>10</v>
      </c>
      <c r="Q7428" s="8"/>
      <c r="R7428" s="9" t="s">
        <v>6929</v>
      </c>
    </row>
    <row r="7429" spans="1:18" x14ac:dyDescent="0.25">
      <c r="A7429" s="6" t="str">
        <f>HYPERLINK("proteomic_fractions_linear_files/Yang_linear_img/15628025.jpg", "15628025")</f>
        <v>15628025</v>
      </c>
      <c r="B7429" s="7"/>
      <c r="C7429" s="6" t="str">
        <f>HYPERLINK("http://www.ncbi.nlm.nih.gov/protein/15628025","Tfcp2")</f>
        <v>Tfcp2</v>
      </c>
      <c r="D7429" s="8"/>
      <c r="E7429" s="8">
        <v>56900</v>
      </c>
      <c r="F7429" s="8"/>
      <c r="G7429" s="15" t="s">
        <v>10</v>
      </c>
      <c r="H7429" s="15" t="s">
        <v>10</v>
      </c>
      <c r="I7429" s="15">
        <v>1.1483028654481462</v>
      </c>
      <c r="J7429" s="15">
        <v>1.1483028654481462</v>
      </c>
      <c r="K7429" s="15">
        <v>1.1483028654481462</v>
      </c>
      <c r="L7429" s="15">
        <v>1.1483028654481462</v>
      </c>
      <c r="M7429" s="15">
        <v>1.1483028654481462</v>
      </c>
      <c r="N7429" s="15">
        <v>1.1483028654481462</v>
      </c>
      <c r="O7429" s="15" t="s">
        <v>10</v>
      </c>
      <c r="P7429" s="15" t="s">
        <v>10</v>
      </c>
      <c r="Q7429" s="8"/>
      <c r="R7429" s="9" t="s">
        <v>6930</v>
      </c>
    </row>
    <row r="7430" spans="1:18" x14ac:dyDescent="0.25">
      <c r="A7430" s="6" t="str">
        <f>HYPERLINK("proteomic_fractions_linear_files/Yang_linear_img/239835744.jpg", "239835744")</f>
        <v>239835744</v>
      </c>
      <c r="B7430" s="7"/>
      <c r="C7430" s="6" t="str">
        <f>HYPERLINK("http://www.ncbi.nlm.nih.gov/protein/239835744","Tfeb")</f>
        <v>Tfeb</v>
      </c>
      <c r="D7430" s="8"/>
      <c r="E7430" s="8">
        <v>59295</v>
      </c>
      <c r="F7430" s="8"/>
      <c r="G7430" s="15">
        <v>0.47319002199461119</v>
      </c>
      <c r="H7430" s="15">
        <v>0.47319002199461119</v>
      </c>
      <c r="I7430" s="15" t="s">
        <v>10</v>
      </c>
      <c r="J7430" s="15" t="s">
        <v>10</v>
      </c>
      <c r="K7430" s="15" t="s">
        <v>10</v>
      </c>
      <c r="L7430" s="15" t="s">
        <v>10</v>
      </c>
      <c r="M7430" s="15" t="s">
        <v>10</v>
      </c>
      <c r="N7430" s="15" t="s">
        <v>10</v>
      </c>
      <c r="O7430" s="15" t="s">
        <v>10</v>
      </c>
      <c r="P7430" s="15" t="s">
        <v>10</v>
      </c>
      <c r="Q7430" s="8"/>
      <c r="R7430" s="9" t="s">
        <v>6931</v>
      </c>
    </row>
    <row r="7431" spans="1:18" x14ac:dyDescent="0.25">
      <c r="A7431" s="6" t="str">
        <f>HYPERLINK("proteomic_fractions_linear_files/Yang_linear_img/239835746.jpg", "239835746")</f>
        <v>239835746</v>
      </c>
      <c r="B7431" s="7"/>
      <c r="C7431" s="6" t="str">
        <f>HYPERLINK("http://www.ncbi.nlm.nih.gov/protein/239835746","Tfeb")</f>
        <v>Tfeb</v>
      </c>
      <c r="D7431" s="8"/>
      <c r="E7431" s="8">
        <v>52483</v>
      </c>
      <c r="F7431" s="8"/>
      <c r="G7431" s="15">
        <v>0.53688867880157809</v>
      </c>
      <c r="H7431" s="15">
        <v>0.53688867880157809</v>
      </c>
      <c r="I7431" s="15" t="s">
        <v>10</v>
      </c>
      <c r="J7431" s="15" t="s">
        <v>10</v>
      </c>
      <c r="K7431" s="15" t="s">
        <v>10</v>
      </c>
      <c r="L7431" s="15" t="s">
        <v>10</v>
      </c>
      <c r="M7431" s="15" t="s">
        <v>10</v>
      </c>
      <c r="N7431" s="15" t="s">
        <v>10</v>
      </c>
      <c r="O7431" s="15" t="s">
        <v>10</v>
      </c>
      <c r="P7431" s="15" t="s">
        <v>10</v>
      </c>
      <c r="Q7431" s="8"/>
      <c r="R7431" s="9" t="s">
        <v>6932</v>
      </c>
    </row>
    <row r="7432" spans="1:18" x14ac:dyDescent="0.25">
      <c r="A7432" s="6" t="str">
        <f>HYPERLINK("proteomic_fractions_linear_files/Yang_linear_img/356995942.jpg", "356995942")</f>
        <v>356995942</v>
      </c>
      <c r="B7432" s="7"/>
      <c r="C7432" s="6" t="str">
        <f>HYPERLINK("http://www.ncbi.nlm.nih.gov/protein/356995942","Tfg")</f>
        <v>Tfg</v>
      </c>
      <c r="D7432" s="8"/>
      <c r="E7432" s="8">
        <v>37397</v>
      </c>
      <c r="F7432" s="8"/>
      <c r="G7432" s="15" t="s">
        <v>10</v>
      </c>
      <c r="H7432" s="15" t="s">
        <v>10</v>
      </c>
      <c r="I7432" s="15">
        <v>1.4356910710811102</v>
      </c>
      <c r="J7432" s="15">
        <v>1.4356910710811102</v>
      </c>
      <c r="K7432" s="15">
        <v>1.5884650698809148</v>
      </c>
      <c r="L7432" s="15">
        <v>1.5884650698809148</v>
      </c>
      <c r="M7432" s="15">
        <v>1.4356910710811102</v>
      </c>
      <c r="N7432" s="15">
        <v>1.4356910710811102</v>
      </c>
      <c r="O7432" s="15">
        <v>1.3051344752544662</v>
      </c>
      <c r="P7432" s="15">
        <v>1.3051344752544662</v>
      </c>
      <c r="Q7432" s="8"/>
      <c r="R7432" s="9" t="s">
        <v>6933</v>
      </c>
    </row>
    <row r="7433" spans="1:18" x14ac:dyDescent="0.25">
      <c r="A7433" s="6" t="str">
        <f>HYPERLINK("proteomic_fractions_linear_files/Yang_linear_img/9790261.jpg", "9790261")</f>
        <v>9790261</v>
      </c>
      <c r="B7433" s="7"/>
      <c r="C7433" s="6" t="str">
        <f>HYPERLINK("http://www.ncbi.nlm.nih.gov/protein/9790261","Tfg")</f>
        <v>Tfg</v>
      </c>
      <c r="D7433" s="8"/>
      <c r="E7433" s="8">
        <v>42889</v>
      </c>
      <c r="F7433" s="8"/>
      <c r="G7433" s="15" t="s">
        <v>10</v>
      </c>
      <c r="H7433" s="15" t="s">
        <v>10</v>
      </c>
      <c r="I7433" s="15">
        <v>1.2353620844186297</v>
      </c>
      <c r="J7433" s="15">
        <v>1.2353620844186297</v>
      </c>
      <c r="K7433" s="15">
        <v>1.3668187810603221</v>
      </c>
      <c r="L7433" s="15">
        <v>1.3668187810603221</v>
      </c>
      <c r="M7433" s="15">
        <v>1.2353620844186297</v>
      </c>
      <c r="N7433" s="15">
        <v>1.2353620844186297</v>
      </c>
      <c r="O7433" s="15">
        <v>1.123022688009657</v>
      </c>
      <c r="P7433" s="15">
        <v>1.123022688009657</v>
      </c>
      <c r="Q7433" s="8"/>
      <c r="R7433" s="9" t="s">
        <v>6934</v>
      </c>
    </row>
    <row r="7434" spans="1:18" x14ac:dyDescent="0.25">
      <c r="A7434" s="6" t="str">
        <f>HYPERLINK("proteomic_fractions_linear_files/Yang_linear_img/10190660.jpg", "10190660")</f>
        <v>10190660</v>
      </c>
      <c r="B7434" s="7"/>
      <c r="C7434" s="6" t="str">
        <f>HYPERLINK("http://www.ncbi.nlm.nih.gov/protein/10190660","Tfip11")</f>
        <v>Tfip11</v>
      </c>
      <c r="D7434" s="8"/>
      <c r="E7434" s="8">
        <v>96174</v>
      </c>
      <c r="F7434" s="8"/>
      <c r="G7434" s="15" t="s">
        <v>10</v>
      </c>
      <c r="H7434" s="15" t="s">
        <v>10</v>
      </c>
      <c r="I7434" s="15">
        <v>1.1437662898034529</v>
      </c>
      <c r="J7434" s="15">
        <v>1.1437662898034529</v>
      </c>
      <c r="K7434" s="15">
        <v>1.1437662898034529</v>
      </c>
      <c r="L7434" s="15">
        <v>1.1437662898034529</v>
      </c>
      <c r="M7434" s="15">
        <v>1.1437662898034529</v>
      </c>
      <c r="N7434" s="15">
        <v>1.1437662898034529</v>
      </c>
      <c r="O7434" s="15" t="s">
        <v>10</v>
      </c>
      <c r="P7434" s="15" t="s">
        <v>10</v>
      </c>
      <c r="Q7434" s="8"/>
      <c r="R7434" s="9" t="s">
        <v>6935</v>
      </c>
    </row>
    <row r="7435" spans="1:18" x14ac:dyDescent="0.25">
      <c r="A7435" s="6" t="str">
        <f>HYPERLINK("proteomic_fractions_linear_files/Yang_linear_img/11596855.jpg", "11596855")</f>
        <v>11596855</v>
      </c>
      <c r="B7435" s="7"/>
      <c r="C7435" s="6" t="str">
        <f>HYPERLINK("http://www.ncbi.nlm.nih.gov/protein/11596855","Tfrc")</f>
        <v>Tfrc</v>
      </c>
      <c r="D7435" s="8"/>
      <c r="E7435" s="8">
        <v>85601</v>
      </c>
      <c r="F7435" s="8"/>
      <c r="G7435" s="15">
        <v>1.4967631179664764</v>
      </c>
      <c r="H7435" s="15">
        <v>1.4967631179664764</v>
      </c>
      <c r="I7435" s="15">
        <v>1.2767623700131565</v>
      </c>
      <c r="J7435" s="15">
        <v>1.2767623700131565</v>
      </c>
      <c r="K7435" s="15">
        <v>1.2767623700131565</v>
      </c>
      <c r="L7435" s="15">
        <v>1.2767623700131565</v>
      </c>
      <c r="M7435" s="15">
        <v>1.2767623700131565</v>
      </c>
      <c r="N7435" s="15">
        <v>1.2767623700131565</v>
      </c>
      <c r="O7435" s="15" t="s">
        <v>10</v>
      </c>
      <c r="P7435" s="15" t="s">
        <v>10</v>
      </c>
      <c r="Q7435" s="8"/>
      <c r="R7435" s="9" t="s">
        <v>6936</v>
      </c>
    </row>
    <row r="7436" spans="1:18" x14ac:dyDescent="0.25">
      <c r="A7436" s="6" t="str">
        <f>HYPERLINK("proteomic_fractions_linear_files/Yang_linear_img/6678329.jpg", "6678329")</f>
        <v>6678329</v>
      </c>
      <c r="B7436" s="7"/>
      <c r="C7436" s="6" t="str">
        <f>HYPERLINK("http://www.ncbi.nlm.nih.gov/protein/6678329","Tgm2")</f>
        <v>Tgm2</v>
      </c>
      <c r="D7436" s="8"/>
      <c r="E7436" s="8">
        <v>76930</v>
      </c>
      <c r="F7436" s="8"/>
      <c r="G7436" s="15" t="s">
        <v>10</v>
      </c>
      <c r="H7436" s="15" t="s">
        <v>10</v>
      </c>
      <c r="I7436" s="15">
        <v>1.079203356794076</v>
      </c>
      <c r="J7436" s="15">
        <v>1.079203356794076</v>
      </c>
      <c r="K7436" s="15">
        <v>1.079203356794076</v>
      </c>
      <c r="L7436" s="15">
        <v>1.079203356794076</v>
      </c>
      <c r="M7436" s="15">
        <v>1.079203356794076</v>
      </c>
      <c r="N7436" s="15">
        <v>1.079203356794076</v>
      </c>
      <c r="O7436" s="15">
        <v>1.079203356794076</v>
      </c>
      <c r="P7436" s="15">
        <v>1.079203356794076</v>
      </c>
      <c r="Q7436" s="8"/>
      <c r="R7436" s="9" t="s">
        <v>6937</v>
      </c>
    </row>
    <row r="7437" spans="1:18" x14ac:dyDescent="0.25">
      <c r="A7437" s="6" t="str">
        <f>HYPERLINK("proteomic_fractions_linear_files/Yang_linear_img/227496324.jpg", "227496324")</f>
        <v>227496324</v>
      </c>
      <c r="B7437" s="7"/>
      <c r="C7437" s="6" t="str">
        <f>HYPERLINK("http://www.ncbi.nlm.nih.gov/protein/227496324","Tgs1")</f>
        <v>Tgs1</v>
      </c>
      <c r="D7437" s="8"/>
      <c r="E7437" s="8">
        <v>96660</v>
      </c>
      <c r="F7437" s="8"/>
      <c r="G7437" s="15" t="s">
        <v>10</v>
      </c>
      <c r="H7437" s="15" t="s">
        <v>10</v>
      </c>
      <c r="I7437" s="15" t="s">
        <v>10</v>
      </c>
      <c r="J7437" s="15" t="s">
        <v>10</v>
      </c>
      <c r="K7437" s="15" t="s">
        <v>10</v>
      </c>
      <c r="L7437" s="15" t="s">
        <v>10</v>
      </c>
      <c r="M7437" s="15" t="s">
        <v>10</v>
      </c>
      <c r="N7437" s="15" t="s">
        <v>10</v>
      </c>
      <c r="O7437" s="15">
        <v>1.5819883622292974</v>
      </c>
      <c r="P7437" s="15">
        <v>1.5819883622292974</v>
      </c>
      <c r="Q7437" s="8"/>
      <c r="R7437" s="9" t="s">
        <v>6938</v>
      </c>
    </row>
    <row r="7438" spans="1:18" x14ac:dyDescent="0.25">
      <c r="A7438" s="6" t="str">
        <f>HYPERLINK("proteomic_fractions_linear_files/Yang_linear_img/241982820.jpg", "241982820")</f>
        <v>241982820</v>
      </c>
      <c r="B7438" s="7"/>
      <c r="C7438" s="6" t="str">
        <f>HYPERLINK("http://www.ncbi.nlm.nih.gov/protein/241982820","Thada")</f>
        <v>Thada</v>
      </c>
      <c r="D7438" s="8"/>
      <c r="E7438" s="8">
        <v>217159</v>
      </c>
      <c r="F7438" s="8"/>
      <c r="G7438" s="15" t="s">
        <v>10</v>
      </c>
      <c r="H7438" s="15" t="s">
        <v>10</v>
      </c>
      <c r="I7438" s="15">
        <v>1.0753956111882446</v>
      </c>
      <c r="J7438" s="15">
        <v>1.0753956111882446</v>
      </c>
      <c r="K7438" s="15">
        <v>1.0753956111882446</v>
      </c>
      <c r="L7438" s="15">
        <v>1.0753956111882446</v>
      </c>
      <c r="M7438" s="15">
        <v>1.8849933536379715</v>
      </c>
      <c r="N7438" s="15">
        <v>1.8849933536379715</v>
      </c>
      <c r="O7438" s="15">
        <v>1.0753956111882446</v>
      </c>
      <c r="P7438" s="15">
        <v>1.0753956111882446</v>
      </c>
      <c r="Q7438" s="8"/>
      <c r="R7438" s="9" t="s">
        <v>6939</v>
      </c>
    </row>
    <row r="7439" spans="1:18" x14ac:dyDescent="0.25">
      <c r="A7439" s="6" t="str">
        <f>HYPERLINK("proteomic_fractions_linear_files/Yang_linear_img/47059073.jpg", "47059073")</f>
        <v>47059073</v>
      </c>
      <c r="B7439" s="7"/>
      <c r="C7439" s="6" t="str">
        <f>HYPERLINK("http://www.ncbi.nlm.nih.gov/protein/47059073","Thbs1")</f>
        <v>Thbs1</v>
      </c>
      <c r="D7439" s="8"/>
      <c r="E7439" s="8">
        <v>127720</v>
      </c>
      <c r="F7439" s="8"/>
      <c r="G7439" s="15" t="s">
        <v>10</v>
      </c>
      <c r="H7439" s="15" t="s">
        <v>10</v>
      </c>
      <c r="I7439" s="15">
        <v>0.18054354198998004</v>
      </c>
      <c r="J7439" s="15">
        <v>0.10848320703075508</v>
      </c>
      <c r="K7439" s="15">
        <v>1.8231316220925708</v>
      </c>
      <c r="L7439" s="15">
        <v>1.8231316220925708</v>
      </c>
      <c r="M7439" s="15" t="s">
        <v>10</v>
      </c>
      <c r="N7439" s="15" t="s">
        <v>10</v>
      </c>
      <c r="O7439" s="15">
        <v>1.4591080596870341</v>
      </c>
      <c r="P7439" s="15">
        <v>1.4591080596870341</v>
      </c>
      <c r="Q7439" s="8"/>
      <c r="R7439" s="9" t="s">
        <v>6940</v>
      </c>
    </row>
    <row r="7440" spans="1:18" x14ac:dyDescent="0.25">
      <c r="A7440" s="6" t="str">
        <f>HYPERLINK("proteomic_fractions_linear_files/Yang_linear_img/29243946.jpg", "29243946")</f>
        <v>29243946</v>
      </c>
      <c r="B7440" s="7"/>
      <c r="C7440" s="6" t="str">
        <f>HYPERLINK("http://www.ncbi.nlm.nih.gov/protein/29243946","Thnsl1")</f>
        <v>Thnsl1</v>
      </c>
      <c r="D7440" s="8"/>
      <c r="E7440" s="8">
        <v>82970</v>
      </c>
      <c r="F7440" s="8"/>
      <c r="G7440" s="15" t="s">
        <v>10</v>
      </c>
      <c r="H7440" s="15" t="s">
        <v>10</v>
      </c>
      <c r="I7440" s="15">
        <v>1.001188656302938</v>
      </c>
      <c r="J7440" s="15">
        <v>1.001188656302938</v>
      </c>
      <c r="K7440" s="15" t="s">
        <v>10</v>
      </c>
      <c r="L7440" s="15" t="s">
        <v>10</v>
      </c>
      <c r="M7440" s="15" t="s">
        <v>10</v>
      </c>
      <c r="N7440" s="15" t="s">
        <v>10</v>
      </c>
      <c r="O7440" s="15" t="s">
        <v>10</v>
      </c>
      <c r="P7440" s="15" t="s">
        <v>10</v>
      </c>
      <c r="Q7440" s="8"/>
      <c r="R7440" s="9" t="s">
        <v>6941</v>
      </c>
    </row>
    <row r="7441" spans="1:18" x14ac:dyDescent="0.25">
      <c r="A7441" s="6" t="str">
        <f>HYPERLINK("proteomic_fractions_linear_files/Yang_linear_img/47604972.jpg", "47604972")</f>
        <v>47604972</v>
      </c>
      <c r="B7441" s="7"/>
      <c r="C7441" s="6" t="str">
        <f>HYPERLINK("http://www.ncbi.nlm.nih.gov/protein/47604972","Thnsl1")</f>
        <v>Thnsl1</v>
      </c>
      <c r="D7441" s="8"/>
      <c r="E7441" s="8">
        <v>25576</v>
      </c>
      <c r="F7441" s="8"/>
      <c r="G7441" s="15" t="s">
        <v>10</v>
      </c>
      <c r="H7441" s="15" t="s">
        <v>10</v>
      </c>
      <c r="I7441" s="15">
        <v>3.1961022489670716</v>
      </c>
      <c r="J7441" s="15">
        <v>3.1961022489670716</v>
      </c>
      <c r="K7441" s="15" t="s">
        <v>10</v>
      </c>
      <c r="L7441" s="15" t="s">
        <v>10</v>
      </c>
      <c r="M7441" s="15" t="s">
        <v>10</v>
      </c>
      <c r="N7441" s="15" t="s">
        <v>10</v>
      </c>
      <c r="O7441" s="15" t="s">
        <v>10</v>
      </c>
      <c r="P7441" s="15" t="s">
        <v>10</v>
      </c>
      <c r="Q7441" s="8"/>
      <c r="R7441" s="9" t="s">
        <v>6942</v>
      </c>
    </row>
    <row r="7442" spans="1:18" x14ac:dyDescent="0.25">
      <c r="A7442" s="6" t="str">
        <f>HYPERLINK("proteomic_fractions_linear_files/Yang_linear_img/23956332.jpg", "23956332")</f>
        <v>23956332</v>
      </c>
      <c r="B7442" s="7"/>
      <c r="C7442" s="6" t="str">
        <f>HYPERLINK("http://www.ncbi.nlm.nih.gov/protein/23956332","Thoc1")</f>
        <v>Thoc1</v>
      </c>
      <c r="D7442" s="8"/>
      <c r="E7442" s="8">
        <v>75305</v>
      </c>
      <c r="F7442" s="8"/>
      <c r="G7442" s="15" t="s">
        <v>10</v>
      </c>
      <c r="H7442" s="15" t="s">
        <v>10</v>
      </c>
      <c r="I7442" s="15" t="s">
        <v>10</v>
      </c>
      <c r="J7442" s="15" t="s">
        <v>10</v>
      </c>
      <c r="K7442" s="15">
        <v>1.2662397491011268</v>
      </c>
      <c r="L7442" s="15">
        <v>1.2662397491011268</v>
      </c>
      <c r="M7442" s="15" t="s">
        <v>10</v>
      </c>
      <c r="N7442" s="15" t="s">
        <v>10</v>
      </c>
      <c r="O7442" s="15" t="s">
        <v>10</v>
      </c>
      <c r="P7442" s="15" t="s">
        <v>10</v>
      </c>
      <c r="Q7442" s="8"/>
      <c r="R7442" s="9" t="s">
        <v>6943</v>
      </c>
    </row>
    <row r="7443" spans="1:18" x14ac:dyDescent="0.25">
      <c r="A7443" s="6" t="str">
        <f>HYPERLINK("proteomic_fractions_linear_files/Yang_linear_img/125656163.jpg", "125656163")</f>
        <v>125656163</v>
      </c>
      <c r="B7443" s="7"/>
      <c r="C7443" s="6" t="str">
        <f>HYPERLINK("http://www.ncbi.nlm.nih.gov/protein/125656163","Thoc2")</f>
        <v>Thoc2</v>
      </c>
      <c r="D7443" s="8"/>
      <c r="E7443" s="8">
        <v>182643</v>
      </c>
      <c r="F7443" s="8"/>
      <c r="G7443" s="15">
        <v>1.0205783149723517</v>
      </c>
      <c r="H7443" s="15">
        <v>1.0205783149723517</v>
      </c>
      <c r="I7443" s="15" t="s">
        <v>10</v>
      </c>
      <c r="J7443" s="15" t="s">
        <v>10</v>
      </c>
      <c r="K7443" s="15">
        <v>1.2751958886767709</v>
      </c>
      <c r="L7443" s="15">
        <v>1.2751958886767709</v>
      </c>
      <c r="M7443" s="15" t="s">
        <v>10</v>
      </c>
      <c r="N7443" s="15" t="s">
        <v>10</v>
      </c>
      <c r="O7443" s="15" t="s">
        <v>10</v>
      </c>
      <c r="P7443" s="15" t="s">
        <v>10</v>
      </c>
      <c r="Q7443" s="8"/>
      <c r="R7443" s="9" t="s">
        <v>6944</v>
      </c>
    </row>
    <row r="7444" spans="1:18" x14ac:dyDescent="0.25">
      <c r="A7444" s="6" t="str">
        <f>HYPERLINK("proteomic_fractions_linear_files/Yang_linear_img/254553424.jpg", "254553424")</f>
        <v>254553424</v>
      </c>
      <c r="B7444" s="7"/>
      <c r="C7444" s="6" t="str">
        <f>HYPERLINK("http://www.ncbi.nlm.nih.gov/protein/254553424","Thoc3")</f>
        <v>Thoc3</v>
      </c>
      <c r="D7444" s="8"/>
      <c r="E7444" s="8">
        <v>38607</v>
      </c>
      <c r="F7444" s="8"/>
      <c r="G7444" s="15" t="s">
        <v>10</v>
      </c>
      <c r="H7444" s="15" t="s">
        <v>10</v>
      </c>
      <c r="I7444" s="15" t="s">
        <v>10</v>
      </c>
      <c r="J7444" s="15" t="s">
        <v>10</v>
      </c>
      <c r="K7444" s="15">
        <v>1.038649184698019</v>
      </c>
      <c r="L7444" s="15">
        <v>1.038649184698019</v>
      </c>
      <c r="M7444" s="15" t="s">
        <v>10</v>
      </c>
      <c r="N7444" s="15" t="s">
        <v>10</v>
      </c>
      <c r="O7444" s="15">
        <v>0.8859840136019278</v>
      </c>
      <c r="P7444" s="15">
        <v>0.8859840136019278</v>
      </c>
      <c r="Q7444" s="8"/>
      <c r="R7444" s="9" t="s">
        <v>6945</v>
      </c>
    </row>
    <row r="7445" spans="1:18" x14ac:dyDescent="0.25">
      <c r="A7445" s="6" t="str">
        <f>HYPERLINK("proteomic_fractions_linear_files/Yang_linear_img/56605680.jpg", "56605680")</f>
        <v>56605680</v>
      </c>
      <c r="B7445" s="7"/>
      <c r="C7445" s="6" t="str">
        <f>HYPERLINK("http://www.ncbi.nlm.nih.gov/protein/56605680","Thoc6")</f>
        <v>Thoc6</v>
      </c>
      <c r="D7445" s="8"/>
      <c r="E7445" s="8">
        <v>37184</v>
      </c>
      <c r="F7445" s="8"/>
      <c r="G7445" s="15">
        <v>1.1925834931612289</v>
      </c>
      <c r="H7445" s="15">
        <v>1.1925834931612289</v>
      </c>
      <c r="I7445" s="15" t="s">
        <v>10</v>
      </c>
      <c r="J7445" s="15" t="s">
        <v>10</v>
      </c>
      <c r="K7445" s="15">
        <v>0.93387504136419419</v>
      </c>
      <c r="L7445" s="15">
        <v>0.93387504136419419</v>
      </c>
      <c r="M7445" s="15">
        <v>0.93387504136419419</v>
      </c>
      <c r="N7445" s="15">
        <v>0.93387504136419419</v>
      </c>
      <c r="O7445" s="15">
        <v>0.86713710420901591</v>
      </c>
      <c r="P7445" s="15">
        <v>0.86713710420901591</v>
      </c>
      <c r="Q7445" s="8"/>
      <c r="R7445" s="9" t="s">
        <v>6946</v>
      </c>
    </row>
    <row r="7446" spans="1:18" x14ac:dyDescent="0.25">
      <c r="A7446" s="6" t="str">
        <f>HYPERLINK("proteomic_fractions_linear_files/Yang_linear_img/239916005.jpg", "239916005")</f>
        <v>239916005</v>
      </c>
      <c r="B7446" s="7"/>
      <c r="C7446" s="6" t="str">
        <f>HYPERLINK("http://www.ncbi.nlm.nih.gov/protein/239916005","Thop1")</f>
        <v>Thop1</v>
      </c>
      <c r="D7446" s="8"/>
      <c r="E7446" s="8">
        <v>77896</v>
      </c>
      <c r="F7446" s="8"/>
      <c r="G7446" s="15">
        <v>1.2175382202895451</v>
      </c>
      <c r="H7446" s="15">
        <v>1.2175382202895451</v>
      </c>
      <c r="I7446" s="15">
        <v>1.0653674163223572</v>
      </c>
      <c r="J7446" s="15">
        <v>1.0653674163223572</v>
      </c>
      <c r="K7446" s="15">
        <v>1.2175382202895451</v>
      </c>
      <c r="L7446" s="15">
        <v>1.2175382202895451</v>
      </c>
      <c r="M7446" s="15">
        <v>1.0653674163223572</v>
      </c>
      <c r="N7446" s="15">
        <v>1.0653674163223572</v>
      </c>
      <c r="O7446" s="15">
        <v>1.0653674163223572</v>
      </c>
      <c r="P7446" s="15">
        <v>1.0653674163223572</v>
      </c>
      <c r="Q7446" s="8"/>
      <c r="R7446" s="9" t="s">
        <v>6947</v>
      </c>
    </row>
    <row r="7447" spans="1:18" x14ac:dyDescent="0.25">
      <c r="A7447" s="6" t="str">
        <f>HYPERLINK("proteomic_fractions_linear_files/Yang_linear_img/68533246.jpg", "68533246")</f>
        <v>68533246</v>
      </c>
      <c r="B7447" s="7"/>
      <c r="C7447" s="6" t="str">
        <f>HYPERLINK("http://www.ncbi.nlm.nih.gov/protein/68533246","Thrap3")</f>
        <v>Thrap3</v>
      </c>
      <c r="D7447" s="8"/>
      <c r="E7447" s="8">
        <v>108047</v>
      </c>
      <c r="F7447" s="8"/>
      <c r="G7447" s="15">
        <v>1.7293132559253737</v>
      </c>
      <c r="H7447" s="15">
        <v>1.7293132559253737</v>
      </c>
      <c r="I7447" s="15">
        <v>55.491666666666667</v>
      </c>
      <c r="J7447" s="15">
        <v>55.491666666666667</v>
      </c>
      <c r="K7447" s="15">
        <v>55.491666666666667</v>
      </c>
      <c r="L7447" s="15">
        <v>55.491666666666667</v>
      </c>
      <c r="M7447" s="15">
        <v>55.491666666666667</v>
      </c>
      <c r="N7447" s="15">
        <v>55.491666666666667</v>
      </c>
      <c r="O7447" s="15" t="s">
        <v>10</v>
      </c>
      <c r="P7447" s="15" t="s">
        <v>10</v>
      </c>
      <c r="Q7447" s="8"/>
      <c r="R7447" s="9" t="s">
        <v>6948</v>
      </c>
    </row>
    <row r="7448" spans="1:18" x14ac:dyDescent="0.25">
      <c r="A7448" s="6" t="str">
        <f>HYPERLINK("proteomic_fractions_linear_files/Yang_linear_img/23346499.jpg", "23346499")</f>
        <v>23346499</v>
      </c>
      <c r="B7448" s="7"/>
      <c r="C7448" s="6" t="str">
        <f>HYPERLINK("http://www.ncbi.nlm.nih.gov/protein/23346499","Thtpa")</f>
        <v>Thtpa</v>
      </c>
      <c r="D7448" s="8"/>
      <c r="E7448" s="8">
        <v>24133</v>
      </c>
      <c r="F7448" s="8"/>
      <c r="G7448" s="15" t="s">
        <v>10</v>
      </c>
      <c r="H7448" s="15" t="s">
        <v>10</v>
      </c>
      <c r="I7448" s="15" t="s">
        <v>10</v>
      </c>
      <c r="J7448" s="15" t="s">
        <v>10</v>
      </c>
      <c r="K7448" s="15" t="s">
        <v>10</v>
      </c>
      <c r="L7448" s="15" t="s">
        <v>10</v>
      </c>
      <c r="M7448" s="15" t="s">
        <v>10</v>
      </c>
      <c r="N7448" s="15" t="s">
        <v>10</v>
      </c>
      <c r="O7448" s="15">
        <v>0.90815592794494793</v>
      </c>
      <c r="P7448" s="15">
        <v>0.90815592794494793</v>
      </c>
      <c r="Q7448" s="8"/>
      <c r="R7448" s="9" t="s">
        <v>6949</v>
      </c>
    </row>
    <row r="7449" spans="1:18" x14ac:dyDescent="0.25">
      <c r="A7449" s="6" t="str">
        <f>HYPERLINK("proteomic_fractions_linear_files/Yang_linear_img/21704176.jpg", "21704176")</f>
        <v>21704176</v>
      </c>
      <c r="B7449" s="7"/>
      <c r="C7449" s="6" t="str">
        <f>HYPERLINK("http://www.ncbi.nlm.nih.gov/protein/21704176","Thumpd1")</f>
        <v>Thumpd1</v>
      </c>
      <c r="D7449" s="8"/>
      <c r="E7449" s="8">
        <v>38754</v>
      </c>
      <c r="F7449" s="8"/>
      <c r="G7449" s="15" t="s">
        <v>10</v>
      </c>
      <c r="H7449" s="15" t="s">
        <v>10</v>
      </c>
      <c r="I7449" s="15">
        <v>1.2382045021644936</v>
      </c>
      <c r="J7449" s="15">
        <v>1.2382045021644936</v>
      </c>
      <c r="K7449" s="15">
        <v>1.3620658879487455</v>
      </c>
      <c r="L7449" s="15">
        <v>1.3620658879487455</v>
      </c>
      <c r="M7449" s="15" t="s">
        <v>10</v>
      </c>
      <c r="N7449" s="15" t="s">
        <v>10</v>
      </c>
      <c r="O7449" s="15">
        <v>1.1314253653068069</v>
      </c>
      <c r="P7449" s="15">
        <v>1.1314253653068069</v>
      </c>
      <c r="Q7449" s="8"/>
      <c r="R7449" s="9" t="s">
        <v>6950</v>
      </c>
    </row>
    <row r="7450" spans="1:18" x14ac:dyDescent="0.25">
      <c r="A7450" s="6" t="str">
        <f>HYPERLINK("proteomic_fractions_linear_files/Yang_linear_img/6680129.jpg", "6680129")</f>
        <v>6680129</v>
      </c>
      <c r="B7450" s="7"/>
      <c r="C7450" s="6" t="str">
        <f>HYPERLINK("http://www.ncbi.nlm.nih.gov/protein/6680129","Thumpd3")</f>
        <v>Thumpd3</v>
      </c>
      <c r="D7450" s="8"/>
      <c r="E7450" s="8">
        <v>56300</v>
      </c>
      <c r="F7450" s="8"/>
      <c r="G7450" s="15" t="s">
        <v>10</v>
      </c>
      <c r="H7450" s="15" t="s">
        <v>10</v>
      </c>
      <c r="I7450" s="15">
        <v>1.0495215640284616</v>
      </c>
      <c r="J7450" s="15">
        <v>1.0495215640284616</v>
      </c>
      <c r="K7450" s="15">
        <v>1.0495215640284616</v>
      </c>
      <c r="L7450" s="15">
        <v>1.0495215640284616</v>
      </c>
      <c r="M7450" s="15">
        <v>1.0495215640284616</v>
      </c>
      <c r="N7450" s="15">
        <v>1.0495215640284616</v>
      </c>
      <c r="O7450" s="15">
        <v>0.94858160053573359</v>
      </c>
      <c r="P7450" s="15">
        <v>0.94858160053573359</v>
      </c>
      <c r="Q7450" s="8"/>
      <c r="R7450" s="9" t="s">
        <v>6951</v>
      </c>
    </row>
    <row r="7451" spans="1:18" x14ac:dyDescent="0.25">
      <c r="A7451" s="6" t="str">
        <f>HYPERLINK("proteomic_fractions_linear_files/Yang_linear_img/21362343.jpg", "21362343")</f>
        <v>21362343</v>
      </c>
      <c r="B7451" s="7"/>
      <c r="C7451" s="6" t="str">
        <f>HYPERLINK("http://www.ncbi.nlm.nih.gov/protein/21362343","Thyn1")</f>
        <v>Thyn1</v>
      </c>
      <c r="D7451" s="8"/>
      <c r="E7451" s="8">
        <v>26047</v>
      </c>
      <c r="F7451" s="8"/>
      <c r="G7451" s="15" t="s">
        <v>10</v>
      </c>
      <c r="H7451" s="15" t="s">
        <v>10</v>
      </c>
      <c r="I7451" s="15" t="s">
        <v>10</v>
      </c>
      <c r="J7451" s="15" t="s">
        <v>10</v>
      </c>
      <c r="K7451" s="15">
        <v>1.0057791582855768</v>
      </c>
      <c r="L7451" s="15">
        <v>1.0057791582855768</v>
      </c>
      <c r="M7451" s="15">
        <v>1.0057791582855768</v>
      </c>
      <c r="N7451" s="15">
        <v>1.0057791582855768</v>
      </c>
      <c r="O7451" s="15" t="s">
        <v>10</v>
      </c>
      <c r="P7451" s="15" t="s">
        <v>10</v>
      </c>
      <c r="Q7451" s="8"/>
      <c r="R7451" s="9" t="s">
        <v>6952</v>
      </c>
    </row>
    <row r="7452" spans="1:18" x14ac:dyDescent="0.25">
      <c r="A7452" s="6" t="str">
        <f>HYPERLINK("proteomic_fractions_linear_files/Yang_linear_img/255760009.jpg", "255760009")</f>
        <v>255760009</v>
      </c>
      <c r="B7452" s="7"/>
      <c r="C7452" s="6" t="str">
        <f>HYPERLINK("http://www.ncbi.nlm.nih.gov/protein/255760009","Tia1")</f>
        <v>Tia1</v>
      </c>
      <c r="D7452" s="8"/>
      <c r="E7452" s="8">
        <v>41762</v>
      </c>
      <c r="F7452" s="8"/>
      <c r="G7452" s="15">
        <v>1.2647754673809781</v>
      </c>
      <c r="H7452" s="15">
        <v>1.2647754673809781</v>
      </c>
      <c r="I7452" s="15">
        <v>0.96445995721958921</v>
      </c>
      <c r="J7452" s="15">
        <v>0.96445995721958921</v>
      </c>
      <c r="K7452" s="15">
        <v>0.96445995721958921</v>
      </c>
      <c r="L7452" s="15">
        <v>0.96445995721958921</v>
      </c>
      <c r="M7452" s="15">
        <v>0.96445995721958921</v>
      </c>
      <c r="N7452" s="15">
        <v>0.96445995721958921</v>
      </c>
      <c r="O7452" s="15">
        <v>0.88907920055058554</v>
      </c>
      <c r="P7452" s="15">
        <v>0.88907920055058554</v>
      </c>
      <c r="Q7452" s="8"/>
      <c r="R7452" s="9" t="s">
        <v>6953</v>
      </c>
    </row>
    <row r="7453" spans="1:18" x14ac:dyDescent="0.25">
      <c r="A7453" s="6" t="str">
        <f>HYPERLINK("proteomic_fractions_linear_files/Yang_linear_img/255760011.jpg", "255760011")</f>
        <v>255760011</v>
      </c>
      <c r="B7453" s="7"/>
      <c r="C7453" s="6" t="str">
        <f>HYPERLINK("http://www.ncbi.nlm.nih.gov/protein/255760011","Tia1")</f>
        <v>Tia1</v>
      </c>
      <c r="D7453" s="8"/>
      <c r="E7453" s="8">
        <v>31450</v>
      </c>
      <c r="F7453" s="8"/>
      <c r="G7453" s="15">
        <v>1.7135667622580992</v>
      </c>
      <c r="H7453" s="15">
        <v>1.7135667622580992</v>
      </c>
      <c r="I7453" s="15">
        <v>1.3066876839749273</v>
      </c>
      <c r="J7453" s="15">
        <v>1.3066876839749273</v>
      </c>
      <c r="K7453" s="15">
        <v>1.3066876839749273</v>
      </c>
      <c r="L7453" s="15">
        <v>1.3066876839749273</v>
      </c>
      <c r="M7453" s="15">
        <v>1.3066876839749273</v>
      </c>
      <c r="N7453" s="15">
        <v>1.3066876839749273</v>
      </c>
      <c r="O7453" s="15">
        <v>1.2045589168749868</v>
      </c>
      <c r="P7453" s="15">
        <v>1.2045589168749868</v>
      </c>
      <c r="Q7453" s="8"/>
      <c r="R7453" s="9" t="s">
        <v>6954</v>
      </c>
    </row>
    <row r="7454" spans="1:18" x14ac:dyDescent="0.25">
      <c r="A7454" s="6" t="str">
        <f>HYPERLINK("proteomic_fractions_linear_files/Yang_linear_img/6755783.jpg", "6755783")</f>
        <v>6755783</v>
      </c>
      <c r="B7454" s="7"/>
      <c r="C7454" s="6" t="str">
        <f>HYPERLINK("http://www.ncbi.nlm.nih.gov/protein/6755783","Tia1")</f>
        <v>Tia1</v>
      </c>
      <c r="D7454" s="8"/>
      <c r="E7454" s="8">
        <v>42669</v>
      </c>
      <c r="F7454" s="8"/>
      <c r="G7454" s="15">
        <v>1.2353620844186297</v>
      </c>
      <c r="H7454" s="15">
        <v>1.2353620844186297</v>
      </c>
      <c r="I7454" s="15">
        <v>0.942030655888901</v>
      </c>
      <c r="J7454" s="15">
        <v>0.942030655888901</v>
      </c>
      <c r="K7454" s="15">
        <v>0.942030655888901</v>
      </c>
      <c r="L7454" s="15">
        <v>0.942030655888901</v>
      </c>
      <c r="M7454" s="15">
        <v>0.942030655888901</v>
      </c>
      <c r="N7454" s="15">
        <v>0.942030655888901</v>
      </c>
      <c r="O7454" s="15">
        <v>0.86840294007266494</v>
      </c>
      <c r="P7454" s="15">
        <v>0.86840294007266494</v>
      </c>
      <c r="Q7454" s="8"/>
      <c r="R7454" s="9" t="s">
        <v>6955</v>
      </c>
    </row>
    <row r="7455" spans="1:18" x14ac:dyDescent="0.25">
      <c r="A7455" s="6" t="str">
        <f>HYPERLINK("proteomic_fractions_linear_files/Yang_linear_img/6678349.jpg", "6678349")</f>
        <v>6678349</v>
      </c>
      <c r="B7455" s="7"/>
      <c r="C7455" s="6" t="str">
        <f>HYPERLINK("http://www.ncbi.nlm.nih.gov/protein/6678349","Tial1")</f>
        <v>Tial1</v>
      </c>
      <c r="D7455" s="8"/>
      <c r="E7455" s="8">
        <v>43258</v>
      </c>
      <c r="F7455" s="8"/>
      <c r="G7455" s="15">
        <v>1.2353620844186297</v>
      </c>
      <c r="H7455" s="15">
        <v>1.2353620844186297</v>
      </c>
      <c r="I7455" s="15">
        <v>0.942030655888901</v>
      </c>
      <c r="J7455" s="15">
        <v>0.942030655888901</v>
      </c>
      <c r="K7455" s="15">
        <v>0.942030655888901</v>
      </c>
      <c r="L7455" s="15">
        <v>0.942030655888901</v>
      </c>
      <c r="M7455" s="15">
        <v>0.942030655888901</v>
      </c>
      <c r="N7455" s="15">
        <v>0.942030655888901</v>
      </c>
      <c r="O7455" s="15">
        <v>0.80356689605756237</v>
      </c>
      <c r="P7455" s="15">
        <v>0.80356689605756237</v>
      </c>
      <c r="Q7455" s="8"/>
      <c r="R7455" s="9" t="s">
        <v>6956</v>
      </c>
    </row>
    <row r="7456" spans="1:18" x14ac:dyDescent="0.25">
      <c r="A7456" s="6" t="str">
        <f>HYPERLINK("proteomic_fractions_linear_files/Yang_linear_img/21553067.jpg", "21553067")</f>
        <v>21553067</v>
      </c>
      <c r="B7456" s="7"/>
      <c r="C7456" s="6" t="str">
        <f>HYPERLINK("http://www.ncbi.nlm.nih.gov/protein/21553067","Tifa")</f>
        <v>Tifa</v>
      </c>
      <c r="D7456" s="8"/>
      <c r="E7456" s="8">
        <v>21429</v>
      </c>
      <c r="F7456" s="8"/>
      <c r="G7456" s="15" t="s">
        <v>10</v>
      </c>
      <c r="H7456" s="15" t="s">
        <v>10</v>
      </c>
      <c r="I7456" s="15" t="s">
        <v>10</v>
      </c>
      <c r="J7456" s="15" t="s">
        <v>10</v>
      </c>
      <c r="K7456" s="15" t="s">
        <v>10</v>
      </c>
      <c r="L7456" s="15" t="s">
        <v>10</v>
      </c>
      <c r="M7456" s="15" t="s">
        <v>10</v>
      </c>
      <c r="N7456" s="15" t="s">
        <v>10</v>
      </c>
      <c r="O7456" s="15">
        <v>0.92862618228739402</v>
      </c>
      <c r="P7456" s="15">
        <v>0.92862618228739402</v>
      </c>
      <c r="Q7456" s="8"/>
      <c r="R7456" s="9" t="s">
        <v>6957</v>
      </c>
    </row>
    <row r="7457" spans="1:18" x14ac:dyDescent="0.25">
      <c r="A7457" s="6" t="str">
        <f>HYPERLINK("proteomic_fractions_linear_files/Yang_linear_img/209862977.jpg", "209862977")</f>
        <v>209862977</v>
      </c>
      <c r="B7457" s="7"/>
      <c r="C7457" s="6" t="str">
        <f>HYPERLINK("http://www.ncbi.nlm.nih.gov/protein/209862977","Timeless")</f>
        <v>Timeless</v>
      </c>
      <c r="D7457" s="8"/>
      <c r="E7457" s="8">
        <v>137244</v>
      </c>
      <c r="F7457" s="8"/>
      <c r="G7457" s="15" t="s">
        <v>10</v>
      </c>
      <c r="H7457" s="15" t="s">
        <v>10</v>
      </c>
      <c r="I7457" s="15">
        <v>1.1200939498995754</v>
      </c>
      <c r="J7457" s="15">
        <v>1.1200939498995754</v>
      </c>
      <c r="K7457" s="15">
        <v>1.36325424554701</v>
      </c>
      <c r="L7457" s="15">
        <v>1.36325424554701</v>
      </c>
      <c r="M7457" s="15">
        <v>1.36325424554701</v>
      </c>
      <c r="N7457" s="15">
        <v>1.36325424554701</v>
      </c>
      <c r="O7457" s="15">
        <v>1.36325424554701</v>
      </c>
      <c r="P7457" s="15">
        <v>1.36325424554701</v>
      </c>
      <c r="Q7457" s="8"/>
      <c r="R7457" s="9" t="s">
        <v>6958</v>
      </c>
    </row>
    <row r="7458" spans="1:18" x14ac:dyDescent="0.25">
      <c r="A7458" s="6" t="str">
        <f>HYPERLINK("proteomic_fractions_linear_files/Yang_linear_img/255760015.jpg", "255760015")</f>
        <v>255760015</v>
      </c>
      <c r="B7458" s="7"/>
      <c r="C7458" s="6" t="str">
        <f>HYPERLINK("http://www.ncbi.nlm.nih.gov/protein/255760015","Timeless")</f>
        <v>Timeless</v>
      </c>
      <c r="D7458" s="8"/>
      <c r="E7458" s="8">
        <v>137301</v>
      </c>
      <c r="F7458" s="8"/>
      <c r="G7458" s="15" t="s">
        <v>10</v>
      </c>
      <c r="H7458" s="15" t="s">
        <v>10</v>
      </c>
      <c r="I7458" s="15">
        <v>1.1200939498995754</v>
      </c>
      <c r="J7458" s="15">
        <v>1.1200939498995754</v>
      </c>
      <c r="K7458" s="15">
        <v>1.36325424554701</v>
      </c>
      <c r="L7458" s="15">
        <v>1.36325424554701</v>
      </c>
      <c r="M7458" s="15">
        <v>1.36325424554701</v>
      </c>
      <c r="N7458" s="15">
        <v>1.36325424554701</v>
      </c>
      <c r="O7458" s="15">
        <v>1.36325424554701</v>
      </c>
      <c r="P7458" s="15">
        <v>1.36325424554701</v>
      </c>
      <c r="Q7458" s="8"/>
      <c r="R7458" s="9" t="s">
        <v>6959</v>
      </c>
    </row>
    <row r="7459" spans="1:18" x14ac:dyDescent="0.25">
      <c r="A7459" s="6" t="str">
        <f>HYPERLINK("proteomic_fractions_linear_files/Yang_linear_img/6755789.jpg", "6755789")</f>
        <v>6755789</v>
      </c>
      <c r="B7459" s="7"/>
      <c r="C7459" s="6" t="str">
        <f>HYPERLINK("http://www.ncbi.nlm.nih.gov/protein/6755789","Timeless")</f>
        <v>Timeless</v>
      </c>
      <c r="D7459" s="8"/>
      <c r="E7459" s="8">
        <v>137372</v>
      </c>
      <c r="F7459" s="8"/>
      <c r="G7459" s="15" t="s">
        <v>10</v>
      </c>
      <c r="H7459" s="15" t="s">
        <v>10</v>
      </c>
      <c r="I7459" s="15">
        <v>1.1200939498995754</v>
      </c>
      <c r="J7459" s="15">
        <v>1.1200939498995754</v>
      </c>
      <c r="K7459" s="15">
        <v>1.36325424554701</v>
      </c>
      <c r="L7459" s="15">
        <v>1.36325424554701</v>
      </c>
      <c r="M7459" s="15">
        <v>1.36325424554701</v>
      </c>
      <c r="N7459" s="15">
        <v>1.36325424554701</v>
      </c>
      <c r="O7459" s="15">
        <v>1.36325424554701</v>
      </c>
      <c r="P7459" s="15">
        <v>1.36325424554701</v>
      </c>
      <c r="Q7459" s="8"/>
      <c r="R7459" s="9" t="s">
        <v>6960</v>
      </c>
    </row>
    <row r="7460" spans="1:18" x14ac:dyDescent="0.25">
      <c r="A7460" s="6" t="str">
        <f>HYPERLINK("proteomic_fractions_linear_files/Yang_linear_img/158937240.jpg", "158937240")</f>
        <v>158937240</v>
      </c>
      <c r="B7460" s="7"/>
      <c r="C7460" s="6" t="str">
        <f>HYPERLINK("http://www.ncbi.nlm.nih.gov/protein/158937240","Timm10")</f>
        <v>Timm10</v>
      </c>
      <c r="D7460" s="8"/>
      <c r="E7460" s="8">
        <v>10202</v>
      </c>
      <c r="F7460" s="8"/>
      <c r="G7460" s="15" t="s">
        <v>10</v>
      </c>
      <c r="H7460" s="15" t="s">
        <v>10</v>
      </c>
      <c r="I7460" s="15">
        <v>1.2747219341937626</v>
      </c>
      <c r="J7460" s="15">
        <v>1.2232861292331356</v>
      </c>
      <c r="K7460" s="15" t="s">
        <v>10</v>
      </c>
      <c r="L7460" s="15" t="s">
        <v>10</v>
      </c>
      <c r="M7460" s="15" t="s">
        <v>10</v>
      </c>
      <c r="N7460" s="15" t="s">
        <v>10</v>
      </c>
      <c r="O7460" s="15" t="s">
        <v>10</v>
      </c>
      <c r="P7460" s="15" t="s">
        <v>10</v>
      </c>
      <c r="Q7460" s="8"/>
      <c r="R7460" s="9" t="s">
        <v>6961</v>
      </c>
    </row>
    <row r="7461" spans="1:18" x14ac:dyDescent="0.25">
      <c r="A7461" s="6" t="str">
        <f>HYPERLINK("proteomic_fractions_linear_files/Yang_linear_img/9507187.jpg", "9507187")</f>
        <v>9507187</v>
      </c>
      <c r="B7461" s="7"/>
      <c r="C7461" s="6" t="str">
        <f>HYPERLINK("http://www.ncbi.nlm.nih.gov/protein/9507187","Timm10b")</f>
        <v>Timm10b</v>
      </c>
      <c r="D7461" s="8"/>
      <c r="E7461" s="8">
        <v>11183</v>
      </c>
      <c r="F7461" s="8"/>
      <c r="G7461" s="15" t="s">
        <v>10</v>
      </c>
      <c r="H7461" s="15" t="s">
        <v>10</v>
      </c>
      <c r="I7461" s="15">
        <v>1.3814852994376623</v>
      </c>
      <c r="J7461" s="15">
        <v>1.3814852994376623</v>
      </c>
      <c r="K7461" s="15" t="s">
        <v>10</v>
      </c>
      <c r="L7461" s="15" t="s">
        <v>10</v>
      </c>
      <c r="M7461" s="15" t="s">
        <v>10</v>
      </c>
      <c r="N7461" s="15" t="s">
        <v>10</v>
      </c>
      <c r="O7461" s="15" t="s">
        <v>10</v>
      </c>
      <c r="P7461" s="15" t="s">
        <v>10</v>
      </c>
      <c r="Q7461" s="8"/>
      <c r="R7461" s="9" t="s">
        <v>6962</v>
      </c>
    </row>
    <row r="7462" spans="1:18" x14ac:dyDescent="0.25">
      <c r="A7462" s="6" t="str">
        <f>HYPERLINK("proteomic_fractions_linear_files/Yang_linear_img/7305581.jpg", "7305581")</f>
        <v>7305581</v>
      </c>
      <c r="B7462" s="7"/>
      <c r="C7462" s="6" t="str">
        <f>HYPERLINK("http://www.ncbi.nlm.nih.gov/protein/7305581","Timm13")</f>
        <v>Timm13</v>
      </c>
      <c r="D7462" s="8"/>
      <c r="E7462" s="8">
        <v>10327</v>
      </c>
      <c r="F7462" s="8"/>
      <c r="G7462" s="15">
        <v>1.2232861292331356</v>
      </c>
      <c r="H7462" s="15">
        <v>1.2232861292331356</v>
      </c>
      <c r="I7462" s="15">
        <v>1.2747219341937626</v>
      </c>
      <c r="J7462" s="15">
        <v>1.2747219341937626</v>
      </c>
      <c r="K7462" s="15">
        <v>1.2747219341937626</v>
      </c>
      <c r="L7462" s="15">
        <v>1.2747219341937626</v>
      </c>
      <c r="M7462" s="15" t="s">
        <v>10</v>
      </c>
      <c r="N7462" s="15" t="s">
        <v>10</v>
      </c>
      <c r="O7462" s="15">
        <v>1.2232861292331356</v>
      </c>
      <c r="P7462" s="15">
        <v>1.2232861292331356</v>
      </c>
      <c r="Q7462" s="8"/>
      <c r="R7462" s="9" t="s">
        <v>6963</v>
      </c>
    </row>
    <row r="7463" spans="1:18" x14ac:dyDescent="0.25">
      <c r="A7463" s="6" t="str">
        <f>HYPERLINK("proteomic_fractions_linear_files/Yang_linear_img/33468937.jpg", "33468937")</f>
        <v>33468937</v>
      </c>
      <c r="B7463" s="7"/>
      <c r="C7463" s="6" t="str">
        <f>HYPERLINK("http://www.ncbi.nlm.nih.gov/protein/33468937","Timm17b")</f>
        <v>Timm17b</v>
      </c>
      <c r="D7463" s="8"/>
      <c r="E7463" s="8">
        <v>18221</v>
      </c>
      <c r="F7463" s="8"/>
      <c r="G7463" s="15">
        <v>1.4527921175236111</v>
      </c>
      <c r="H7463" s="15">
        <v>1.4527921175236111</v>
      </c>
      <c r="I7463" s="15">
        <v>1.0275166202535602</v>
      </c>
      <c r="J7463" s="15">
        <v>1.0275166202535602</v>
      </c>
      <c r="K7463" s="15" t="s">
        <v>10</v>
      </c>
      <c r="L7463" s="15" t="s">
        <v>10</v>
      </c>
      <c r="M7463" s="15" t="s">
        <v>10</v>
      </c>
      <c r="N7463" s="15" t="s">
        <v>10</v>
      </c>
      <c r="O7463" s="15" t="s">
        <v>10</v>
      </c>
      <c r="P7463" s="15" t="s">
        <v>10</v>
      </c>
      <c r="Q7463" s="8"/>
      <c r="R7463" s="9" t="s">
        <v>6964</v>
      </c>
    </row>
    <row r="7464" spans="1:18" x14ac:dyDescent="0.25">
      <c r="A7464" s="6" t="str">
        <f>HYPERLINK("proteomic_fractions_linear_files/Yang_linear_img/21313128.jpg", "21313128")</f>
        <v>21313128</v>
      </c>
      <c r="B7464" s="7"/>
      <c r="C7464" s="6" t="str">
        <f>HYPERLINK("http://www.ncbi.nlm.nih.gov/protein/21313128","Timm21")</f>
        <v>Timm21</v>
      </c>
      <c r="D7464" s="8"/>
      <c r="E7464" s="8">
        <v>25890</v>
      </c>
      <c r="F7464" s="8"/>
      <c r="G7464" s="15" t="s">
        <v>10</v>
      </c>
      <c r="H7464" s="15" t="s">
        <v>10</v>
      </c>
      <c r="I7464" s="15">
        <v>0.7113576601755417</v>
      </c>
      <c r="J7464" s="15">
        <v>0.7113576601755417</v>
      </c>
      <c r="K7464" s="15" t="s">
        <v>10</v>
      </c>
      <c r="L7464" s="15" t="s">
        <v>10</v>
      </c>
      <c r="M7464" s="15" t="s">
        <v>10</v>
      </c>
      <c r="N7464" s="15" t="s">
        <v>10</v>
      </c>
      <c r="O7464" s="15" t="s">
        <v>10</v>
      </c>
      <c r="P7464" s="15" t="s">
        <v>10</v>
      </c>
      <c r="Q7464" s="8"/>
      <c r="R7464" s="9" t="s">
        <v>6965</v>
      </c>
    </row>
    <row r="7465" spans="1:18" x14ac:dyDescent="0.25">
      <c r="A7465" s="6" t="str">
        <f>HYPERLINK("proteomic_fractions_linear_files/Yang_linear_img/296785067.jpg", "296785067")</f>
        <v>296785067</v>
      </c>
      <c r="B7465" s="7"/>
      <c r="C7465" s="6" t="str">
        <f>HYPERLINK("http://www.ncbi.nlm.nih.gov/protein/296785067","Timm22")</f>
        <v>Timm22</v>
      </c>
      <c r="D7465" s="8"/>
      <c r="E7465" s="8">
        <v>18477</v>
      </c>
      <c r="F7465" s="8"/>
      <c r="G7465" s="15" t="s">
        <v>10</v>
      </c>
      <c r="H7465" s="15" t="s">
        <v>10</v>
      </c>
      <c r="I7465" s="15">
        <v>1.0833972126686264</v>
      </c>
      <c r="J7465" s="15">
        <v>1.0833972126686264</v>
      </c>
      <c r="K7465" s="15" t="s">
        <v>10</v>
      </c>
      <c r="L7465" s="15" t="s">
        <v>10</v>
      </c>
      <c r="M7465" s="15" t="s">
        <v>10</v>
      </c>
      <c r="N7465" s="15" t="s">
        <v>10</v>
      </c>
      <c r="O7465" s="15" t="s">
        <v>10</v>
      </c>
      <c r="P7465" s="15" t="s">
        <v>10</v>
      </c>
      <c r="Q7465" s="8"/>
      <c r="R7465" s="9" t="s">
        <v>6966</v>
      </c>
    </row>
    <row r="7466" spans="1:18" x14ac:dyDescent="0.25">
      <c r="A7466" s="6" t="str">
        <f>HYPERLINK("proteomic_fractions_linear_files/Yang_linear_img/31543865.jpg", "31543865")</f>
        <v>31543865</v>
      </c>
      <c r="B7466" s="7"/>
      <c r="C7466" s="6" t="str">
        <f>HYPERLINK("http://www.ncbi.nlm.nih.gov/protein/31543865","Timm22")</f>
        <v>Timm22</v>
      </c>
      <c r="D7466" s="8"/>
      <c r="E7466" s="8">
        <v>19983</v>
      </c>
      <c r="F7466" s="8"/>
      <c r="G7466" s="15" t="s">
        <v>10</v>
      </c>
      <c r="H7466" s="15" t="s">
        <v>10</v>
      </c>
      <c r="I7466" s="15">
        <v>0.97505749140176368</v>
      </c>
      <c r="J7466" s="15">
        <v>0.97505749140176368</v>
      </c>
      <c r="K7466" s="15" t="s">
        <v>10</v>
      </c>
      <c r="L7466" s="15" t="s">
        <v>10</v>
      </c>
      <c r="M7466" s="15" t="s">
        <v>10</v>
      </c>
      <c r="N7466" s="15" t="s">
        <v>10</v>
      </c>
      <c r="O7466" s="15" t="s">
        <v>10</v>
      </c>
      <c r="P7466" s="15" t="s">
        <v>10</v>
      </c>
      <c r="Q7466" s="8"/>
      <c r="R7466" s="9" t="s">
        <v>6967</v>
      </c>
    </row>
    <row r="7467" spans="1:18" x14ac:dyDescent="0.25">
      <c r="A7467" s="6" t="str">
        <f>HYPERLINK("proteomic_fractions_linear_files/Yang_linear_img/254675168.jpg", "254675168")</f>
        <v>254675168</v>
      </c>
      <c r="B7467" s="7"/>
      <c r="C7467" s="6" t="str">
        <f>HYPERLINK("http://www.ncbi.nlm.nih.gov/protein/254675168","Timm23")</f>
        <v>Timm23</v>
      </c>
      <c r="D7467" s="8"/>
      <c r="E7467" s="8">
        <v>21778</v>
      </c>
      <c r="F7467" s="8"/>
      <c r="G7467" s="15">
        <v>1.3584275859869606</v>
      </c>
      <c r="H7467" s="15">
        <v>1.3584275859869606</v>
      </c>
      <c r="I7467" s="15">
        <v>0.93624732666619426</v>
      </c>
      <c r="J7467" s="15">
        <v>0.93624732666619426</v>
      </c>
      <c r="K7467" s="15">
        <v>0.93624732666619426</v>
      </c>
      <c r="L7467" s="15">
        <v>0.93624732666619426</v>
      </c>
      <c r="M7467" s="15" t="s">
        <v>10</v>
      </c>
      <c r="N7467" s="15" t="s">
        <v>10</v>
      </c>
      <c r="O7467" s="15" t="s">
        <v>10</v>
      </c>
      <c r="P7467" s="15" t="s">
        <v>10</v>
      </c>
      <c r="Q7467" s="8"/>
      <c r="R7467" s="9" t="s">
        <v>6968</v>
      </c>
    </row>
    <row r="7468" spans="1:18" x14ac:dyDescent="0.25">
      <c r="A7468" s="6" t="str">
        <f>HYPERLINK("proteomic_fractions_linear_files/Yang_linear_img/170763467.jpg", "170763467")</f>
        <v>170763467</v>
      </c>
      <c r="B7468" s="7"/>
      <c r="C7468" s="6" t="str">
        <f>HYPERLINK("http://www.ncbi.nlm.nih.gov/protein/170763467","Timm44")</f>
        <v>Timm44</v>
      </c>
      <c r="D7468" s="8"/>
      <c r="E7468" s="8">
        <v>50960</v>
      </c>
      <c r="F7468" s="8"/>
      <c r="G7468" s="15">
        <v>1.0415797966666878</v>
      </c>
      <c r="H7468" s="15">
        <v>1.0415797966666878</v>
      </c>
      <c r="I7468" s="15">
        <v>0.79426114123966163</v>
      </c>
      <c r="J7468" s="15">
        <v>0.79426114123966163</v>
      </c>
      <c r="K7468" s="15">
        <v>0.86520763229344055</v>
      </c>
      <c r="L7468" s="15">
        <v>0.86520763229344055</v>
      </c>
      <c r="M7468" s="15">
        <v>0.79426114123966163</v>
      </c>
      <c r="N7468" s="15">
        <v>0.79426114123966163</v>
      </c>
      <c r="O7468" s="15" t="s">
        <v>10</v>
      </c>
      <c r="P7468" s="15" t="s">
        <v>10</v>
      </c>
      <c r="Q7468" s="8"/>
      <c r="R7468" s="9" t="s">
        <v>6969</v>
      </c>
    </row>
    <row r="7469" spans="1:18" x14ac:dyDescent="0.25">
      <c r="A7469" s="6" t="str">
        <f>HYPERLINK("proteomic_fractions_linear_files/Yang_linear_img/22094989.jpg", "22094989")</f>
        <v>22094989</v>
      </c>
      <c r="B7469" s="7"/>
      <c r="C7469" s="6" t="str">
        <f>HYPERLINK("http://www.ncbi.nlm.nih.gov/protein/22094989","Timm50")</f>
        <v>Timm50</v>
      </c>
      <c r="D7469" s="8"/>
      <c r="E7469" s="8">
        <v>37647</v>
      </c>
      <c r="F7469" s="8"/>
      <c r="G7469" s="15">
        <v>1.2707888311688225</v>
      </c>
      <c r="H7469" s="15">
        <v>1.2707888311688225</v>
      </c>
      <c r="I7469" s="15">
        <v>0.90929938238092589</v>
      </c>
      <c r="J7469" s="15">
        <v>0.90929938238092589</v>
      </c>
      <c r="K7469" s="15">
        <v>0.98266648481906815</v>
      </c>
      <c r="L7469" s="15">
        <v>0.98266648481906815</v>
      </c>
      <c r="M7469" s="15" t="s">
        <v>10</v>
      </c>
      <c r="N7469" s="15" t="s">
        <v>10</v>
      </c>
      <c r="O7469" s="15" t="s">
        <v>10</v>
      </c>
      <c r="P7469" s="15" t="s">
        <v>10</v>
      </c>
      <c r="Q7469" s="8"/>
      <c r="R7469" s="9" t="s">
        <v>6970</v>
      </c>
    </row>
    <row r="7470" spans="1:18" x14ac:dyDescent="0.25">
      <c r="A7470" s="6" t="str">
        <f>HYPERLINK("proteomic_fractions_linear_files/Yang_linear_img/7305577.jpg", "7305577")</f>
        <v>7305577</v>
      </c>
      <c r="B7470" s="7"/>
      <c r="C7470" s="6" t="str">
        <f>HYPERLINK("http://www.ncbi.nlm.nih.gov/protein/7305577","Timm8a1")</f>
        <v>Timm8a1</v>
      </c>
      <c r="D7470" s="8"/>
      <c r="E7470" s="8">
        <v>10911</v>
      </c>
      <c r="F7470" s="8"/>
      <c r="G7470" s="15">
        <v>1.7728318025486614</v>
      </c>
      <c r="H7470" s="15">
        <v>1.7728318025486614</v>
      </c>
      <c r="I7470" s="15">
        <v>1.2623500454487864</v>
      </c>
      <c r="J7470" s="15">
        <v>1.2623500454487864</v>
      </c>
      <c r="K7470" s="15">
        <v>1.2623500454487864</v>
      </c>
      <c r="L7470" s="15">
        <v>1.2623500454487864</v>
      </c>
      <c r="M7470" s="15" t="s">
        <v>10</v>
      </c>
      <c r="N7470" s="15" t="s">
        <v>10</v>
      </c>
      <c r="O7470" s="15">
        <v>1.2088240020910486</v>
      </c>
      <c r="P7470" s="15">
        <v>1.2088240020910486</v>
      </c>
      <c r="Q7470" s="8"/>
      <c r="R7470" s="9" t="s">
        <v>6971</v>
      </c>
    </row>
    <row r="7471" spans="1:18" x14ac:dyDescent="0.25">
      <c r="A7471" s="6" t="str">
        <f>HYPERLINK("proteomic_fractions_linear_files/Yang_linear_img/83627687.jpg", "83627687")</f>
        <v>83627687</v>
      </c>
      <c r="B7471" s="7"/>
      <c r="C7471" s="6" t="str">
        <f>HYPERLINK("http://www.ncbi.nlm.nih.gov/protein/83627687","Timm8a2")</f>
        <v>Timm8a2</v>
      </c>
      <c r="D7471" s="8"/>
      <c r="E7471" s="8">
        <v>11152</v>
      </c>
      <c r="F7471" s="8"/>
      <c r="G7471" s="15">
        <v>1.7728318025486614</v>
      </c>
      <c r="H7471" s="15">
        <v>1.7728318025486614</v>
      </c>
      <c r="I7471" s="15">
        <v>1.2623500454487864</v>
      </c>
      <c r="J7471" s="15">
        <v>1.2623500454487864</v>
      </c>
      <c r="K7471" s="15">
        <v>1.2623500454487864</v>
      </c>
      <c r="L7471" s="15">
        <v>1.2623500454487864</v>
      </c>
      <c r="M7471" s="15" t="s">
        <v>10</v>
      </c>
      <c r="N7471" s="15" t="s">
        <v>10</v>
      </c>
      <c r="O7471" s="15">
        <v>1.2088240020910486</v>
      </c>
      <c r="P7471" s="15">
        <v>1.2088240020910486</v>
      </c>
      <c r="Q7471" s="8"/>
      <c r="R7471" s="9" t="s">
        <v>6972</v>
      </c>
    </row>
    <row r="7472" spans="1:18" x14ac:dyDescent="0.25">
      <c r="A7472" s="6" t="str">
        <f>HYPERLINK("proteomic_fractions_linear_files/Yang_linear_img/7305579.jpg", "7305579")</f>
        <v>7305579</v>
      </c>
      <c r="B7472" s="7"/>
      <c r="C7472" s="6" t="str">
        <f>HYPERLINK("http://www.ncbi.nlm.nih.gov/protein/7305579","Timm8b")</f>
        <v>Timm8b</v>
      </c>
      <c r="D7472" s="8"/>
      <c r="E7472" s="8">
        <v>9155</v>
      </c>
      <c r="F7472" s="8"/>
      <c r="G7472" s="15">
        <v>2.1667944253372529</v>
      </c>
      <c r="H7472" s="15">
        <v>2.1667944253372529</v>
      </c>
      <c r="I7472" s="15">
        <v>1.4774515581112815</v>
      </c>
      <c r="J7472" s="15">
        <v>1.4774515581112815</v>
      </c>
      <c r="K7472" s="15">
        <v>1.5428722777707389</v>
      </c>
      <c r="L7472" s="15">
        <v>1.5428722777707389</v>
      </c>
      <c r="M7472" s="15" t="s">
        <v>10</v>
      </c>
      <c r="N7472" s="15" t="s">
        <v>10</v>
      </c>
      <c r="O7472" s="15">
        <v>1.4163577046597362</v>
      </c>
      <c r="P7472" s="15">
        <v>1.4163577046597362</v>
      </c>
      <c r="Q7472" s="8"/>
      <c r="R7472" s="9" t="s">
        <v>6973</v>
      </c>
    </row>
    <row r="7473" spans="1:18" x14ac:dyDescent="0.25">
      <c r="A7473" s="6" t="str">
        <f>HYPERLINK("proteomic_fractions_linear_files/Yang_linear_img/67846099;7305573.jpg", "67846099;7305573")</f>
        <v>67846099;7305573</v>
      </c>
      <c r="B7473" s="8"/>
      <c r="C7473" s="6" t="str">
        <f>HYPERLINK("http://www.ncbi.nlm.nih.gov/protein/67846099;7305573","Timm9")</f>
        <v>Timm9</v>
      </c>
      <c r="D7473" s="8"/>
      <c r="E7473" s="8">
        <v>10213</v>
      </c>
      <c r="F7473" s="8"/>
      <c r="G7473" s="15">
        <v>1.2747219341937626</v>
      </c>
      <c r="H7473" s="15">
        <v>1.2747219341937626</v>
      </c>
      <c r="I7473" s="15" t="s">
        <v>10</v>
      </c>
      <c r="J7473" s="15" t="s">
        <v>10</v>
      </c>
      <c r="K7473" s="15" t="s">
        <v>10</v>
      </c>
      <c r="L7473" s="15" t="s">
        <v>10</v>
      </c>
      <c r="M7473" s="15" t="s">
        <v>10</v>
      </c>
      <c r="N7473" s="15" t="s">
        <v>10</v>
      </c>
      <c r="O7473" s="15" t="s">
        <v>10</v>
      </c>
      <c r="P7473" s="15" t="s">
        <v>10</v>
      </c>
      <c r="Q7473" s="8"/>
      <c r="R7473" s="9" t="s">
        <v>6974</v>
      </c>
    </row>
    <row r="7474" spans="1:18" x14ac:dyDescent="0.25">
      <c r="A7474" s="6" t="str">
        <f>HYPERLINK("proteomic_fractions_linear_files/Yang_linear_img/7305573.jpg", "7305573")</f>
        <v>7305573</v>
      </c>
      <c r="B7474" s="7"/>
      <c r="C7474" s="6" t="str">
        <f>HYPERLINK("http://www.ncbi.nlm.nih.gov/protein/7305573","Timm9")</f>
        <v>Timm9</v>
      </c>
      <c r="D7474" s="8"/>
      <c r="E7474" s="8">
        <v>10213</v>
      </c>
      <c r="F7474" s="8"/>
      <c r="G7474" s="15" t="s">
        <v>10</v>
      </c>
      <c r="H7474" s="15" t="s">
        <v>10</v>
      </c>
      <c r="I7474" s="15">
        <v>1.2747219341937626</v>
      </c>
      <c r="J7474" s="15">
        <v>1.2747219341937626</v>
      </c>
      <c r="K7474" s="15">
        <v>1.2232861292331356</v>
      </c>
      <c r="L7474" s="15">
        <v>1.2232861292331356</v>
      </c>
      <c r="M7474" s="15" t="s">
        <v>10</v>
      </c>
      <c r="N7474" s="15" t="s">
        <v>10</v>
      </c>
      <c r="O7474" s="15" t="s">
        <v>10</v>
      </c>
      <c r="P7474" s="15" t="s">
        <v>10</v>
      </c>
      <c r="Q7474" s="8"/>
      <c r="R7474" s="9" t="s">
        <v>6974</v>
      </c>
    </row>
    <row r="7475" spans="1:18" x14ac:dyDescent="0.25">
      <c r="A7475" s="6" t="str">
        <f>HYPERLINK("proteomic_fractions_linear_files/Yang_linear_img/225543444.jpg", "225543444")</f>
        <v>225543444</v>
      </c>
      <c r="B7475" s="7"/>
      <c r="C7475" s="6" t="str">
        <f>HYPERLINK("http://www.ncbi.nlm.nih.gov/protein/225543444","Timmdc1")</f>
        <v>Timmdc1</v>
      </c>
      <c r="D7475" s="8"/>
      <c r="E7475" s="8">
        <v>31660</v>
      </c>
      <c r="F7475" s="8"/>
      <c r="G7475" s="15" t="s">
        <v>10</v>
      </c>
      <c r="H7475" s="15" t="s">
        <v>10</v>
      </c>
      <c r="I7475" s="15">
        <v>0.76733814416490365</v>
      </c>
      <c r="J7475" s="15">
        <v>0.76733814416490365</v>
      </c>
      <c r="K7475" s="15" t="s">
        <v>10</v>
      </c>
      <c r="L7475" s="15" t="s">
        <v>10</v>
      </c>
      <c r="M7475" s="15" t="s">
        <v>10</v>
      </c>
      <c r="N7475" s="15" t="s">
        <v>10</v>
      </c>
      <c r="O7475" s="15" t="s">
        <v>10</v>
      </c>
      <c r="P7475" s="15" t="s">
        <v>10</v>
      </c>
      <c r="Q7475" s="8"/>
      <c r="R7475" s="9" t="s">
        <v>6975</v>
      </c>
    </row>
    <row r="7476" spans="1:18" x14ac:dyDescent="0.25">
      <c r="A7476" s="6" t="str">
        <f>HYPERLINK("proteomic_fractions_linear_files/Yang_linear_img/31542102.jpg", "31542102")</f>
        <v>31542102</v>
      </c>
      <c r="B7476" s="7"/>
      <c r="C7476" s="6" t="str">
        <f>HYPERLINK("http://www.ncbi.nlm.nih.gov/protein/31542102","Tiparp")</f>
        <v>Tiparp</v>
      </c>
      <c r="D7476" s="8"/>
      <c r="E7476" s="8">
        <v>75770</v>
      </c>
      <c r="F7476" s="8"/>
      <c r="G7476" s="15">
        <v>0.393229038048857</v>
      </c>
      <c r="H7476" s="15">
        <v>0.393229038048857</v>
      </c>
      <c r="I7476" s="15" t="s">
        <v>10</v>
      </c>
      <c r="J7476" s="15" t="s">
        <v>10</v>
      </c>
      <c r="K7476" s="15">
        <v>3.9708332189012996</v>
      </c>
      <c r="L7476" s="15">
        <v>3.9708332189012996</v>
      </c>
      <c r="M7476" s="15">
        <v>3.9708332189012996</v>
      </c>
      <c r="N7476" s="15">
        <v>3.9708332189012996</v>
      </c>
      <c r="O7476" s="15">
        <v>3.9708332189012996</v>
      </c>
      <c r="P7476" s="15">
        <v>3.9708332189012996</v>
      </c>
      <c r="Q7476" s="8"/>
      <c r="R7476" s="9" t="s">
        <v>6976</v>
      </c>
    </row>
    <row r="7477" spans="1:18" x14ac:dyDescent="0.25">
      <c r="A7477" s="6" t="str">
        <f>HYPERLINK("proteomic_fractions_linear_files/Yang_linear_img/21313608.jpg", "21313608")</f>
        <v>21313608</v>
      </c>
      <c r="B7477" s="7"/>
      <c r="C7477" s="6" t="str">
        <f>HYPERLINK("http://www.ncbi.nlm.nih.gov/protein/21313608","Tipin")</f>
        <v>Tipin</v>
      </c>
      <c r="D7477" s="8"/>
      <c r="E7477" s="8">
        <v>31366</v>
      </c>
      <c r="F7477" s="8"/>
      <c r="G7477" s="15" t="s">
        <v>10</v>
      </c>
      <c r="H7477" s="15" t="s">
        <v>10</v>
      </c>
      <c r="I7477" s="15" t="s">
        <v>10</v>
      </c>
      <c r="J7477" s="15" t="s">
        <v>10</v>
      </c>
      <c r="K7477" s="15" t="s">
        <v>10</v>
      </c>
      <c r="L7477" s="15" t="s">
        <v>10</v>
      </c>
      <c r="M7477" s="15" t="s">
        <v>10</v>
      </c>
      <c r="N7477" s="15" t="s">
        <v>10</v>
      </c>
      <c r="O7477" s="15">
        <v>1.3066876839749273</v>
      </c>
      <c r="P7477" s="15">
        <v>1.3066876839749273</v>
      </c>
      <c r="Q7477" s="8"/>
      <c r="R7477" s="9" t="s">
        <v>6977</v>
      </c>
    </row>
    <row r="7478" spans="1:18" x14ac:dyDescent="0.25">
      <c r="A7478" s="6" t="str">
        <f>HYPERLINK("proteomic_fractions_linear_files/Yang_linear_img/21704010.jpg", "21704010")</f>
        <v>21704010</v>
      </c>
      <c r="B7478" s="7"/>
      <c r="C7478" s="6" t="str">
        <f>HYPERLINK("http://www.ncbi.nlm.nih.gov/protein/21704010","Tiprl")</f>
        <v>Tiprl</v>
      </c>
      <c r="D7478" s="8"/>
      <c r="E7478" s="8">
        <v>31123</v>
      </c>
      <c r="F7478" s="8"/>
      <c r="G7478" s="15" t="s">
        <v>10</v>
      </c>
      <c r="H7478" s="15" t="s">
        <v>10</v>
      </c>
      <c r="I7478" s="15">
        <v>0.90058746121555033</v>
      </c>
      <c r="J7478" s="15">
        <v>0.90058746121555033</v>
      </c>
      <c r="K7478" s="15">
        <v>0.96404538360364944</v>
      </c>
      <c r="L7478" s="15">
        <v>0.96404538360364944</v>
      </c>
      <c r="M7478" s="15">
        <v>0.90058746121555033</v>
      </c>
      <c r="N7478" s="15">
        <v>0.90058746121555033</v>
      </c>
      <c r="O7478" s="15">
        <v>0.7920909875250618</v>
      </c>
      <c r="P7478" s="15">
        <v>0.7920909875250618</v>
      </c>
      <c r="Q7478" s="8"/>
      <c r="R7478" s="9" t="s">
        <v>6978</v>
      </c>
    </row>
    <row r="7479" spans="1:18" x14ac:dyDescent="0.25">
      <c r="A7479" s="6" t="str">
        <f>HYPERLINK("proteomic_fractions_linear_files/Yang_linear_img/21311861.jpg", "21311861")</f>
        <v>21311861</v>
      </c>
      <c r="B7479" s="7"/>
      <c r="C7479" s="6" t="str">
        <f>HYPERLINK("http://www.ncbi.nlm.nih.gov/protein/21311861","Tjap1")</f>
        <v>Tjap1</v>
      </c>
      <c r="D7479" s="8"/>
      <c r="E7479" s="8">
        <v>59289</v>
      </c>
      <c r="F7479" s="8"/>
      <c r="G7479" s="15" t="s">
        <v>10</v>
      </c>
      <c r="H7479" s="15" t="s">
        <v>10</v>
      </c>
      <c r="I7479" s="15" t="s">
        <v>10</v>
      </c>
      <c r="J7479" s="15" t="s">
        <v>10</v>
      </c>
      <c r="K7479" s="15" t="s">
        <v>10</v>
      </c>
      <c r="L7479" s="15" t="s">
        <v>10</v>
      </c>
      <c r="M7479" s="15" t="s">
        <v>10</v>
      </c>
      <c r="N7479" s="15" t="s">
        <v>10</v>
      </c>
      <c r="O7479" s="15">
        <v>1.4084518385278619</v>
      </c>
      <c r="P7479" s="15">
        <v>1.4084518385278619</v>
      </c>
      <c r="Q7479" s="8"/>
      <c r="R7479" s="9" t="s">
        <v>6979</v>
      </c>
    </row>
    <row r="7480" spans="1:18" x14ac:dyDescent="0.25">
      <c r="A7480" s="6" t="str">
        <f>HYPERLINK("proteomic_fractions_linear_files/Yang_linear_img/254675277.jpg", "254675277")</f>
        <v>254675277</v>
      </c>
      <c r="B7480" s="7"/>
      <c r="C7480" s="6" t="str">
        <f>HYPERLINK("http://www.ncbi.nlm.nih.gov/protein/254675277","Tjp1")</f>
        <v>Tjp1</v>
      </c>
      <c r="D7480" s="8"/>
      <c r="E7480" s="8">
        <v>194611</v>
      </c>
      <c r="F7480" s="8"/>
      <c r="G7480" s="15">
        <v>1.196722295527431</v>
      </c>
      <c r="H7480" s="15">
        <v>1.196722295527431</v>
      </c>
      <c r="I7480" s="15">
        <v>1.196722295527431</v>
      </c>
      <c r="J7480" s="15">
        <v>1.196722295527431</v>
      </c>
      <c r="K7480" s="15">
        <v>1.547606793007686</v>
      </c>
      <c r="L7480" s="15">
        <v>1.547606793007686</v>
      </c>
      <c r="M7480" s="15">
        <v>0.9577734955894377</v>
      </c>
      <c r="N7480" s="15">
        <v>0.9577734955894377</v>
      </c>
      <c r="O7480" s="15">
        <v>0.9577734955894377</v>
      </c>
      <c r="P7480" s="15">
        <v>0.9577734955894377</v>
      </c>
      <c r="Q7480" s="8"/>
      <c r="R7480" s="9" t="s">
        <v>6980</v>
      </c>
    </row>
    <row r="7481" spans="1:18" x14ac:dyDescent="0.25">
      <c r="A7481" s="6" t="str">
        <f>HYPERLINK("proteomic_fractions_linear_files/Yang_linear_img/254675279.jpg", "254675279")</f>
        <v>254675279</v>
      </c>
      <c r="B7481" s="7"/>
      <c r="C7481" s="6" t="str">
        <f>HYPERLINK("http://www.ncbi.nlm.nih.gov/protein/254675279","Tjp1")</f>
        <v>Tjp1</v>
      </c>
      <c r="D7481" s="8"/>
      <c r="E7481" s="8">
        <v>188722</v>
      </c>
      <c r="F7481" s="8"/>
      <c r="G7481" s="15">
        <v>1.2347134795124288</v>
      </c>
      <c r="H7481" s="15">
        <v>1.2347134795124288</v>
      </c>
      <c r="I7481" s="15">
        <v>1.2347134795124288</v>
      </c>
      <c r="J7481" s="15">
        <v>1.2347134795124288</v>
      </c>
      <c r="K7481" s="15">
        <v>1.5967371673888824</v>
      </c>
      <c r="L7481" s="15">
        <v>1.5967371673888824</v>
      </c>
      <c r="M7481" s="15">
        <v>0.98817900338592779</v>
      </c>
      <c r="N7481" s="15">
        <v>0.98817900338592779</v>
      </c>
      <c r="O7481" s="15">
        <v>0.98817900338592779</v>
      </c>
      <c r="P7481" s="15">
        <v>0.98817900338592779</v>
      </c>
      <c r="Q7481" s="8"/>
      <c r="R7481" s="9" t="s">
        <v>6981</v>
      </c>
    </row>
    <row r="7482" spans="1:18" x14ac:dyDescent="0.25">
      <c r="A7482" s="6" t="str">
        <f>HYPERLINK("proteomic_fractions_linear_files/Yang_linear_img/160333863.jpg", "160333863")</f>
        <v>160333863</v>
      </c>
      <c r="B7482" s="7"/>
      <c r="C7482" s="6" t="str">
        <f>HYPERLINK("http://www.ncbi.nlm.nih.gov/protein/160333863","Tjp2")</f>
        <v>Tjp2</v>
      </c>
      <c r="D7482" s="8"/>
      <c r="E7482" s="8">
        <v>131149</v>
      </c>
      <c r="F7482" s="8"/>
      <c r="G7482" s="15">
        <v>1.4256933712972546</v>
      </c>
      <c r="H7482" s="15">
        <v>1.4256933712972546</v>
      </c>
      <c r="I7482" s="15">
        <v>1.1713959628720751</v>
      </c>
      <c r="J7482" s="15">
        <v>1.1713959628720751</v>
      </c>
      <c r="K7482" s="15">
        <v>1.4256933712972546</v>
      </c>
      <c r="L7482" s="15">
        <v>1.4256933712972546</v>
      </c>
      <c r="M7482" s="15">
        <v>1.4256933712972546</v>
      </c>
      <c r="N7482" s="15">
        <v>1.4256933712972546</v>
      </c>
      <c r="O7482" s="15">
        <v>1.4256933712972546</v>
      </c>
      <c r="P7482" s="15">
        <v>1.4256933712972546</v>
      </c>
      <c r="Q7482" s="8"/>
      <c r="R7482" s="9" t="s">
        <v>6982</v>
      </c>
    </row>
    <row r="7483" spans="1:18" x14ac:dyDescent="0.25">
      <c r="A7483" s="6" t="str">
        <f>HYPERLINK("proteomic_fractions_linear_files/Yang_linear_img/312222765.jpg", "312222765")</f>
        <v>312222765</v>
      </c>
      <c r="B7483" s="7"/>
      <c r="C7483" s="6" t="str">
        <f>HYPERLINK("http://www.ncbi.nlm.nih.gov/protein/312222765","Tjp2")</f>
        <v>Tjp2</v>
      </c>
      <c r="D7483" s="8"/>
      <c r="E7483" s="8">
        <v>133740</v>
      </c>
      <c r="F7483" s="8"/>
      <c r="G7483" s="15">
        <v>1.3937748629846296</v>
      </c>
      <c r="H7483" s="15">
        <v>1.3937748629846296</v>
      </c>
      <c r="I7483" s="15">
        <v>1.1451706801212078</v>
      </c>
      <c r="J7483" s="15">
        <v>1.1451706801212078</v>
      </c>
      <c r="K7483" s="15">
        <v>1.3937748629846296</v>
      </c>
      <c r="L7483" s="15">
        <v>1.3937748629846296</v>
      </c>
      <c r="M7483" s="15">
        <v>1.3937748629846296</v>
      </c>
      <c r="N7483" s="15">
        <v>1.3937748629846296</v>
      </c>
      <c r="O7483" s="15">
        <v>1.3937748629846296</v>
      </c>
      <c r="P7483" s="15">
        <v>1.3937748629846296</v>
      </c>
      <c r="Q7483" s="8"/>
      <c r="R7483" s="9" t="s">
        <v>6983</v>
      </c>
    </row>
    <row r="7484" spans="1:18" x14ac:dyDescent="0.25">
      <c r="A7484" s="6" t="str">
        <f>HYPERLINK("proteomic_fractions_linear_files/Yang_linear_img/530788242.jpg", "530788242")</f>
        <v>530788242</v>
      </c>
      <c r="B7484" s="7"/>
      <c r="C7484" s="6" t="str">
        <f>HYPERLINK("http://www.ncbi.nlm.nih.gov/protein/530788242","Tjp3")</f>
        <v>Tjp3</v>
      </c>
      <c r="D7484" s="8"/>
      <c r="E7484" s="8">
        <v>100057</v>
      </c>
      <c r="F7484" s="8"/>
      <c r="G7484" s="15">
        <v>1.5345287113624184</v>
      </c>
      <c r="H7484" s="15">
        <v>1.5345287113624184</v>
      </c>
      <c r="I7484" s="15" t="s">
        <v>10</v>
      </c>
      <c r="J7484" s="15" t="s">
        <v>10</v>
      </c>
      <c r="K7484" s="15" t="s">
        <v>10</v>
      </c>
      <c r="L7484" s="15" t="s">
        <v>10</v>
      </c>
      <c r="M7484" s="15" t="s">
        <v>10</v>
      </c>
      <c r="N7484" s="15" t="s">
        <v>10</v>
      </c>
      <c r="O7484" s="15" t="s">
        <v>10</v>
      </c>
      <c r="P7484" s="15" t="s">
        <v>10</v>
      </c>
      <c r="Q7484" s="8"/>
      <c r="R7484" s="9" t="s">
        <v>6984</v>
      </c>
    </row>
    <row r="7485" spans="1:18" x14ac:dyDescent="0.25">
      <c r="A7485" s="6" t="str">
        <f>HYPERLINK("proteomic_fractions_linear_files/Yang_linear_img/114052811.jpg", "114052811")</f>
        <v>114052811</v>
      </c>
      <c r="B7485" s="7"/>
      <c r="C7485" s="6" t="str">
        <f>HYPERLINK("http://www.ncbi.nlm.nih.gov/protein/114052811","Tjp3")</f>
        <v>Tjp3</v>
      </c>
      <c r="D7485" s="8"/>
      <c r="E7485" s="8">
        <v>99039</v>
      </c>
      <c r="F7485" s="8"/>
      <c r="G7485" s="15">
        <v>1.5500290013761802</v>
      </c>
      <c r="H7485" s="15">
        <v>1.5500290013761802</v>
      </c>
      <c r="I7485" s="15">
        <v>1.5500290013761802</v>
      </c>
      <c r="J7485" s="15">
        <v>1.5500290013761802</v>
      </c>
      <c r="K7485" s="15">
        <v>1.5500290013761802</v>
      </c>
      <c r="L7485" s="15">
        <v>1.5500290013761802</v>
      </c>
      <c r="M7485" s="15">
        <v>1.5500290013761802</v>
      </c>
      <c r="N7485" s="15">
        <v>1.5500290013761802</v>
      </c>
      <c r="O7485" s="15">
        <v>1.8865235519185894</v>
      </c>
      <c r="P7485" s="15">
        <v>1.8865235519185894</v>
      </c>
      <c r="Q7485" s="8"/>
      <c r="R7485" s="9" t="s">
        <v>6985</v>
      </c>
    </row>
    <row r="7486" spans="1:18" x14ac:dyDescent="0.25">
      <c r="A7486" s="6" t="str">
        <f>HYPERLINK("proteomic_fractions_linear_files/Yang_linear_img/6678359.jpg", "6678359")</f>
        <v>6678359</v>
      </c>
      <c r="B7486" s="7"/>
      <c r="C7486" s="6" t="str">
        <f>HYPERLINK("http://www.ncbi.nlm.nih.gov/protein/6678359","Tkt")</f>
        <v>Tkt</v>
      </c>
      <c r="D7486" s="8"/>
      <c r="E7486" s="8">
        <v>67500</v>
      </c>
      <c r="F7486" s="8"/>
      <c r="G7486" s="15">
        <v>1.222039095193292</v>
      </c>
      <c r="H7486" s="15">
        <v>1.222039095193292</v>
      </c>
      <c r="I7486" s="15">
        <v>1.0799435329659153</v>
      </c>
      <c r="J7486" s="15">
        <v>1.0799435329659153</v>
      </c>
      <c r="K7486" s="15">
        <v>1.0799435329659153</v>
      </c>
      <c r="L7486" s="15">
        <v>1.0799435329659153</v>
      </c>
      <c r="M7486" s="15">
        <v>1.0799435329659153</v>
      </c>
      <c r="N7486" s="15">
        <v>1.0799435329659153</v>
      </c>
      <c r="O7486" s="15">
        <v>0.96254799015506365</v>
      </c>
      <c r="P7486" s="15">
        <v>0.96254799015506365</v>
      </c>
      <c r="Q7486" s="8"/>
      <c r="R7486" s="9" t="s">
        <v>6986</v>
      </c>
    </row>
    <row r="7487" spans="1:18" x14ac:dyDescent="0.25">
      <c r="A7487" s="6" t="str">
        <f>HYPERLINK("proteomic_fractions_linear_files/Yang_linear_img/148287022.jpg", "148287022")</f>
        <v>148287022</v>
      </c>
      <c r="B7487" s="7"/>
      <c r="C7487" s="6" t="str">
        <f>HYPERLINK("http://www.ncbi.nlm.nih.gov/protein/148287022","Tktl2")</f>
        <v>Tktl2</v>
      </c>
      <c r="D7487" s="8"/>
      <c r="E7487" s="8">
        <v>68351</v>
      </c>
      <c r="F7487" s="8"/>
      <c r="G7487" s="15" t="s">
        <v>10</v>
      </c>
      <c r="H7487" s="15" t="s">
        <v>10</v>
      </c>
      <c r="I7487" s="15" t="s">
        <v>10</v>
      </c>
      <c r="J7487" s="15" t="s">
        <v>10</v>
      </c>
      <c r="K7487" s="15">
        <v>1.0799435329659153</v>
      </c>
      <c r="L7487" s="15">
        <v>1.0799435329659153</v>
      </c>
      <c r="M7487" s="15" t="s">
        <v>10</v>
      </c>
      <c r="N7487" s="15" t="s">
        <v>10</v>
      </c>
      <c r="O7487" s="15" t="s">
        <v>10</v>
      </c>
      <c r="P7487" s="15" t="s">
        <v>10</v>
      </c>
      <c r="Q7487" s="8"/>
      <c r="R7487" s="9" t="s">
        <v>6987</v>
      </c>
    </row>
    <row r="7488" spans="1:18" x14ac:dyDescent="0.25">
      <c r="A7488" s="6" t="str">
        <f>HYPERLINK("proteomic_fractions_linear_files/Yang_linear_img/409191601;148287022.jpg", "409191601;148287022")</f>
        <v>409191601;148287022</v>
      </c>
      <c r="B7488" s="8"/>
      <c r="C7488" s="6" t="str">
        <f>HYPERLINK("http://www.ncbi.nlm.nih.gov/protein/409191601;148287022","Tktl2")</f>
        <v>Tktl2</v>
      </c>
      <c r="D7488" s="8"/>
      <c r="E7488" s="8">
        <v>68351</v>
      </c>
      <c r="F7488" s="8"/>
      <c r="G7488" s="15" t="s">
        <v>10</v>
      </c>
      <c r="H7488" s="15" t="s">
        <v>10</v>
      </c>
      <c r="I7488" s="15" t="s">
        <v>10</v>
      </c>
      <c r="J7488" s="15" t="s">
        <v>10</v>
      </c>
      <c r="K7488" s="15" t="s">
        <v>10</v>
      </c>
      <c r="L7488" s="15" t="s">
        <v>10</v>
      </c>
      <c r="M7488" s="15">
        <v>1.0799435329659153</v>
      </c>
      <c r="N7488" s="15">
        <v>1.0799435329659153</v>
      </c>
      <c r="O7488" s="15" t="s">
        <v>10</v>
      </c>
      <c r="P7488" s="15" t="s">
        <v>10</v>
      </c>
      <c r="Q7488" s="8"/>
      <c r="R7488" s="9" t="s">
        <v>6987</v>
      </c>
    </row>
    <row r="7489" spans="1:18" x14ac:dyDescent="0.25">
      <c r="A7489" s="6" t="str">
        <f>HYPERLINK("proteomic_fractions_linear_files/Yang_linear_img/21539617.jpg", "21539617")</f>
        <v>21539617</v>
      </c>
      <c r="B7489" s="7"/>
      <c r="C7489" s="6" t="str">
        <f>HYPERLINK("http://www.ncbi.nlm.nih.gov/protein/21539617","Tlcd1")</f>
        <v>Tlcd1</v>
      </c>
      <c r="D7489" s="8"/>
      <c r="E7489" s="8">
        <v>25699</v>
      </c>
      <c r="F7489" s="8"/>
      <c r="G7489" s="15" t="s">
        <v>10</v>
      </c>
      <c r="H7489" s="15" t="s">
        <v>10</v>
      </c>
      <c r="I7489" s="15">
        <v>0.79220927640985661</v>
      </c>
      <c r="J7489" s="15">
        <v>0.79220927640985661</v>
      </c>
      <c r="K7489" s="15">
        <v>0.83829777964149044</v>
      </c>
      <c r="L7489" s="15">
        <v>0.83829777964149044</v>
      </c>
      <c r="M7489" s="15" t="s">
        <v>10</v>
      </c>
      <c r="N7489" s="15" t="s">
        <v>10</v>
      </c>
      <c r="O7489" s="15" t="s">
        <v>10</v>
      </c>
      <c r="P7489" s="15" t="s">
        <v>10</v>
      </c>
      <c r="Q7489" s="8"/>
      <c r="R7489" s="9" t="s">
        <v>6988</v>
      </c>
    </row>
    <row r="7490" spans="1:18" x14ac:dyDescent="0.25">
      <c r="A7490" s="6" t="str">
        <f>HYPERLINK("proteomic_fractions_linear_files/Yang_linear_img/145207950.jpg", "145207950")</f>
        <v>145207950</v>
      </c>
      <c r="B7490" s="7"/>
      <c r="C7490" s="6" t="str">
        <f>HYPERLINK("http://www.ncbi.nlm.nih.gov/protein/145207950","Tle3")</f>
        <v>Tle3</v>
      </c>
      <c r="D7490" s="8"/>
      <c r="E7490" s="8">
        <v>82553</v>
      </c>
      <c r="F7490" s="8"/>
      <c r="G7490" s="15" t="s">
        <v>10</v>
      </c>
      <c r="H7490" s="15" t="s">
        <v>10</v>
      </c>
      <c r="I7490" s="15" t="s">
        <v>10</v>
      </c>
      <c r="J7490" s="15" t="s">
        <v>10</v>
      </c>
      <c r="K7490" s="15" t="s">
        <v>10</v>
      </c>
      <c r="L7490" s="15" t="s">
        <v>10</v>
      </c>
      <c r="M7490" s="15" t="s">
        <v>10</v>
      </c>
      <c r="N7490" s="15" t="s">
        <v>10</v>
      </c>
      <c r="O7490" s="15">
        <v>1.1441925443684882</v>
      </c>
      <c r="P7490" s="15">
        <v>1.1441925443684882</v>
      </c>
      <c r="Q7490" s="8"/>
      <c r="R7490" s="9" t="s">
        <v>6989</v>
      </c>
    </row>
    <row r="7491" spans="1:18" x14ac:dyDescent="0.25">
      <c r="A7491" s="6" t="str">
        <f>HYPERLINK("proteomic_fractions_linear_files/Yang_linear_img/145207972.jpg", "145207972")</f>
        <v>145207972</v>
      </c>
      <c r="B7491" s="7"/>
      <c r="C7491" s="6" t="str">
        <f>HYPERLINK("http://www.ncbi.nlm.nih.gov/protein/145207972","Tle3")</f>
        <v>Tle3</v>
      </c>
      <c r="D7491" s="8"/>
      <c r="E7491" s="8">
        <v>83316</v>
      </c>
      <c r="F7491" s="8"/>
      <c r="G7491" s="15" t="s">
        <v>10</v>
      </c>
      <c r="H7491" s="15" t="s">
        <v>10</v>
      </c>
      <c r="I7491" s="15" t="s">
        <v>10</v>
      </c>
      <c r="J7491" s="15" t="s">
        <v>10</v>
      </c>
      <c r="K7491" s="15" t="s">
        <v>10</v>
      </c>
      <c r="L7491" s="15" t="s">
        <v>10</v>
      </c>
      <c r="M7491" s="15" t="s">
        <v>10</v>
      </c>
      <c r="N7491" s="15" t="s">
        <v>10</v>
      </c>
      <c r="O7491" s="15">
        <v>1.1441925443684882</v>
      </c>
      <c r="P7491" s="15">
        <v>1.1441925443684882</v>
      </c>
      <c r="Q7491" s="8"/>
      <c r="R7491" s="9" t="s">
        <v>6990</v>
      </c>
    </row>
    <row r="7492" spans="1:18" x14ac:dyDescent="0.25">
      <c r="A7492" s="6" t="str">
        <f>HYPERLINK("proteomic_fractions_linear_files/Yang_linear_img/145207988.jpg", "145207988")</f>
        <v>145207988</v>
      </c>
      <c r="B7492" s="7"/>
      <c r="C7492" s="6" t="str">
        <f>HYPERLINK("http://www.ncbi.nlm.nih.gov/protein/145207988","Tle3")</f>
        <v>Tle3</v>
      </c>
      <c r="D7492" s="8"/>
      <c r="E7492" s="8">
        <v>84377</v>
      </c>
      <c r="F7492" s="8"/>
      <c r="G7492" s="15" t="s">
        <v>10</v>
      </c>
      <c r="H7492" s="15" t="s">
        <v>10</v>
      </c>
      <c r="I7492" s="15" t="s">
        <v>10</v>
      </c>
      <c r="J7492" s="15" t="s">
        <v>10</v>
      </c>
      <c r="K7492" s="15" t="s">
        <v>10</v>
      </c>
      <c r="L7492" s="15" t="s">
        <v>10</v>
      </c>
      <c r="M7492" s="15" t="s">
        <v>10</v>
      </c>
      <c r="N7492" s="15" t="s">
        <v>10</v>
      </c>
      <c r="O7492" s="15">
        <v>1.1305712045545775</v>
      </c>
      <c r="P7492" s="15">
        <v>1.1305712045545775</v>
      </c>
      <c r="Q7492" s="8"/>
      <c r="R7492" s="9" t="s">
        <v>6991</v>
      </c>
    </row>
    <row r="7493" spans="1:18" x14ac:dyDescent="0.25">
      <c r="A7493" s="6" t="str">
        <f>HYPERLINK("proteomic_fractions_linear_files/Yang_linear_img/227116327.jpg", "227116327")</f>
        <v>227116327</v>
      </c>
      <c r="B7493" s="7"/>
      <c r="C7493" s="6" t="str">
        <f>HYPERLINK("http://www.ncbi.nlm.nih.gov/protein/227116327","Tln1")</f>
        <v>Tln1</v>
      </c>
      <c r="D7493" s="8"/>
      <c r="E7493" s="8">
        <v>269691</v>
      </c>
      <c r="F7493" s="8"/>
      <c r="G7493" s="15">
        <v>0.86429943565870027</v>
      </c>
      <c r="H7493" s="15">
        <v>0.86429943565870027</v>
      </c>
      <c r="I7493" s="15">
        <v>0.86429943565870027</v>
      </c>
      <c r="J7493" s="15">
        <v>0.86429943565870027</v>
      </c>
      <c r="K7493" s="15">
        <v>1.1177160171722176</v>
      </c>
      <c r="L7493" s="15">
        <v>1.1177160171722176</v>
      </c>
      <c r="M7493" s="15">
        <v>1.1177160171722176</v>
      </c>
      <c r="N7493" s="15">
        <v>1.1177160171722176</v>
      </c>
      <c r="O7493" s="15">
        <v>1.1177160171722176</v>
      </c>
      <c r="P7493" s="15">
        <v>1.1177160171722176</v>
      </c>
      <c r="Q7493" s="8"/>
      <c r="R7493" s="9" t="s">
        <v>6992</v>
      </c>
    </row>
    <row r="7494" spans="1:18" x14ac:dyDescent="0.25">
      <c r="A7494" s="6" t="str">
        <f>HYPERLINK("proteomic_fractions_linear_files/Yang_linear_img/163310736.jpg", "163310736")</f>
        <v>163310736</v>
      </c>
      <c r="B7494" s="7"/>
      <c r="C7494" s="6" t="str">
        <f>HYPERLINK("http://www.ncbi.nlm.nih.gov/protein/163310736","Tln2")</f>
        <v>Tln2</v>
      </c>
      <c r="D7494" s="8"/>
      <c r="E7494" s="8">
        <v>271537</v>
      </c>
      <c r="F7494" s="8"/>
      <c r="G7494" s="15" t="s">
        <v>10</v>
      </c>
      <c r="H7494" s="15" t="s">
        <v>10</v>
      </c>
      <c r="I7494" s="15">
        <v>0.85794429274944506</v>
      </c>
      <c r="J7494" s="15">
        <v>0.85794429274944506</v>
      </c>
      <c r="K7494" s="15">
        <v>1.1094975170459513</v>
      </c>
      <c r="L7494" s="15">
        <v>1.1094975170459513</v>
      </c>
      <c r="M7494" s="15">
        <v>1.1094975170459513</v>
      </c>
      <c r="N7494" s="15">
        <v>1.1094975170459513</v>
      </c>
      <c r="O7494" s="15">
        <v>1.1094975170459513</v>
      </c>
      <c r="P7494" s="15">
        <v>1.1094975170459513</v>
      </c>
      <c r="Q7494" s="8"/>
      <c r="R7494" s="9" t="s">
        <v>6993</v>
      </c>
    </row>
    <row r="7495" spans="1:18" x14ac:dyDescent="0.25">
      <c r="A7495" s="6" t="str">
        <f>HYPERLINK("proteomic_fractions_linear_files/Yang_linear_img/45429999.jpg", "45429999")</f>
        <v>45429999</v>
      </c>
      <c r="B7495" s="7"/>
      <c r="C7495" s="6" t="str">
        <f>HYPERLINK("http://www.ncbi.nlm.nih.gov/protein/45429999","Tlr13")</f>
        <v>Tlr13</v>
      </c>
      <c r="D7495" s="8"/>
      <c r="E7495" s="8">
        <v>106698</v>
      </c>
      <c r="F7495" s="8"/>
      <c r="G7495" s="15" t="s">
        <v>10</v>
      </c>
      <c r="H7495" s="15" t="s">
        <v>10</v>
      </c>
      <c r="I7495" s="15" t="s">
        <v>10</v>
      </c>
      <c r="J7495" s="15" t="s">
        <v>10</v>
      </c>
      <c r="K7495" s="15">
        <v>1.7454750620555173</v>
      </c>
      <c r="L7495" s="15">
        <v>1.7454750620555173</v>
      </c>
      <c r="M7495" s="15" t="s">
        <v>10</v>
      </c>
      <c r="N7495" s="15" t="s">
        <v>10</v>
      </c>
      <c r="O7495" s="15" t="s">
        <v>10</v>
      </c>
      <c r="P7495" s="15" t="s">
        <v>10</v>
      </c>
      <c r="Q7495" s="8"/>
      <c r="R7495" s="9" t="s">
        <v>6994</v>
      </c>
    </row>
    <row r="7496" spans="1:18" x14ac:dyDescent="0.25">
      <c r="A7496" s="6" t="str">
        <f>HYPERLINK("proteomic_fractions_linear_files/Yang_linear_img/18875360.jpg", "18875360")</f>
        <v>18875360</v>
      </c>
      <c r="B7496" s="7"/>
      <c r="C7496" s="6" t="str">
        <f>HYPERLINK("http://www.ncbi.nlm.nih.gov/protein/18875360","Tlr7")</f>
        <v>Tlr7</v>
      </c>
      <c r="D7496" s="8"/>
      <c r="E7496" s="8">
        <v>118668</v>
      </c>
      <c r="F7496" s="8"/>
      <c r="G7496" s="15">
        <v>0.31379265901785369</v>
      </c>
      <c r="H7496" s="15">
        <v>0.31379265901785369</v>
      </c>
      <c r="I7496" s="15">
        <v>0.21975006819684875</v>
      </c>
      <c r="J7496" s="15">
        <v>0.21975006819684875</v>
      </c>
      <c r="K7496" s="15">
        <v>0.21975006819684875</v>
      </c>
      <c r="L7496" s="15">
        <v>0.21975006819684875</v>
      </c>
      <c r="M7496" s="15">
        <v>0.21975006819684875</v>
      </c>
      <c r="N7496" s="15">
        <v>0.21975006819684875</v>
      </c>
      <c r="O7496" s="15">
        <v>0.18315749807293069</v>
      </c>
      <c r="P7496" s="15">
        <v>0.18315749807293069</v>
      </c>
      <c r="Q7496" s="8"/>
      <c r="R7496" s="9" t="s">
        <v>6995</v>
      </c>
    </row>
    <row r="7497" spans="1:18" x14ac:dyDescent="0.25">
      <c r="A7497" s="6" t="str">
        <f>HYPERLINK("proteomic_fractions_linear_files/Yang_linear_img/229324850.jpg", "229324850")</f>
        <v>229324850</v>
      </c>
      <c r="B7497" s="7"/>
      <c r="C7497" s="6" t="str">
        <f>HYPERLINK("http://www.ncbi.nlm.nih.gov/protein/229324850","Tm2d2")</f>
        <v>Tm2d2</v>
      </c>
      <c r="D7497" s="8"/>
      <c r="E7497" s="8">
        <v>19219</v>
      </c>
      <c r="F7497" s="8"/>
      <c r="G7497" s="15" t="s">
        <v>10</v>
      </c>
      <c r="H7497" s="15" t="s">
        <v>10</v>
      </c>
      <c r="I7497" s="15">
        <v>1.572916152195428</v>
      </c>
      <c r="J7497" s="15">
        <v>1.572916152195428</v>
      </c>
      <c r="K7497" s="15" t="s">
        <v>10</v>
      </c>
      <c r="L7497" s="15" t="s">
        <v>10</v>
      </c>
      <c r="M7497" s="15" t="s">
        <v>10</v>
      </c>
      <c r="N7497" s="15" t="s">
        <v>10</v>
      </c>
      <c r="O7497" s="15" t="s">
        <v>10</v>
      </c>
      <c r="P7497" s="15" t="s">
        <v>10</v>
      </c>
      <c r="Q7497" s="8"/>
      <c r="R7497" s="9" t="s">
        <v>6996</v>
      </c>
    </row>
    <row r="7498" spans="1:18" x14ac:dyDescent="0.25">
      <c r="A7498" s="6" t="str">
        <f>HYPERLINK("proteomic_fractions_linear_files/Yang_linear_img/119964708.jpg", "119964708")</f>
        <v>119964708</v>
      </c>
      <c r="B7498" s="7"/>
      <c r="C7498" s="6" t="str">
        <f>HYPERLINK("http://www.ncbi.nlm.nih.gov/protein/119964708","Tm7sf3")</f>
        <v>Tm7sf3</v>
      </c>
      <c r="D7498" s="8"/>
      <c r="E7498" s="8">
        <v>61008</v>
      </c>
      <c r="F7498" s="8"/>
      <c r="G7498" s="15" t="s">
        <v>10</v>
      </c>
      <c r="H7498" s="15" t="s">
        <v>10</v>
      </c>
      <c r="I7498" s="15" t="s">
        <v>10</v>
      </c>
      <c r="J7498" s="15" t="s">
        <v>10</v>
      </c>
      <c r="K7498" s="15">
        <v>1.0730043168941694</v>
      </c>
      <c r="L7498" s="15">
        <v>1.0730043168941694</v>
      </c>
      <c r="M7498" s="15" t="s">
        <v>10</v>
      </c>
      <c r="N7498" s="15" t="s">
        <v>10</v>
      </c>
      <c r="O7498" s="15" t="s">
        <v>10</v>
      </c>
      <c r="P7498" s="15" t="s">
        <v>10</v>
      </c>
      <c r="Q7498" s="8"/>
      <c r="R7498" s="9" t="s">
        <v>6997</v>
      </c>
    </row>
    <row r="7499" spans="1:18" x14ac:dyDescent="0.25">
      <c r="A7499" s="6" t="str">
        <f>HYPERLINK("proteomic_fractions_linear_files/Yang_linear_img/27229185.jpg", "27229185")</f>
        <v>27229185</v>
      </c>
      <c r="B7499" s="7"/>
      <c r="C7499" s="6" t="str">
        <f>HYPERLINK("http://www.ncbi.nlm.nih.gov/protein/27229185","Tm9sf1")</f>
        <v>Tm9sf1</v>
      </c>
      <c r="D7499" s="8"/>
      <c r="E7499" s="8">
        <v>66010</v>
      </c>
      <c r="F7499" s="8"/>
      <c r="G7499" s="15" t="s">
        <v>10</v>
      </c>
      <c r="H7499" s="15" t="s">
        <v>10</v>
      </c>
      <c r="I7499" s="15">
        <v>6.1976296627187848</v>
      </c>
      <c r="J7499" s="15">
        <v>6.1976296627187848</v>
      </c>
      <c r="K7499" s="15">
        <v>0.8905031452362705</v>
      </c>
      <c r="L7499" s="15">
        <v>0.8905031452362705</v>
      </c>
      <c r="M7499" s="15" t="s">
        <v>10</v>
      </c>
      <c r="N7499" s="15" t="s">
        <v>10</v>
      </c>
      <c r="O7499" s="15" t="s">
        <v>10</v>
      </c>
      <c r="P7499" s="15" t="s">
        <v>10</v>
      </c>
      <c r="Q7499" s="8"/>
      <c r="R7499" s="9" t="s">
        <v>6998</v>
      </c>
    </row>
    <row r="7500" spans="1:18" x14ac:dyDescent="0.25">
      <c r="A7500" s="6" t="str">
        <f>HYPERLINK("proteomic_fractions_linear_files/Yang_linear_img/188528894.jpg", "188528894")</f>
        <v>188528894</v>
      </c>
      <c r="B7500" s="7"/>
      <c r="C7500" s="6" t="str">
        <f>HYPERLINK("http://www.ncbi.nlm.nih.gov/protein/188528894","Tm9sf2")</f>
        <v>Tm9sf2</v>
      </c>
      <c r="D7500" s="8"/>
      <c r="E7500" s="8">
        <v>72476</v>
      </c>
      <c r="F7500" s="8"/>
      <c r="G7500" s="15">
        <v>0.90907310181311574</v>
      </c>
      <c r="H7500" s="15">
        <v>0.90907310181311574</v>
      </c>
      <c r="I7500" s="15">
        <v>0.67069410533910068</v>
      </c>
      <c r="J7500" s="15">
        <v>0.67069410533910068</v>
      </c>
      <c r="K7500" s="15">
        <v>0.81629454979991456</v>
      </c>
      <c r="L7500" s="15">
        <v>0.81629454979991456</v>
      </c>
      <c r="M7500" s="15">
        <v>83.237500000000011</v>
      </c>
      <c r="N7500" s="15">
        <v>83.237500000000011</v>
      </c>
      <c r="O7500" s="15" t="s">
        <v>10</v>
      </c>
      <c r="P7500" s="15" t="s">
        <v>10</v>
      </c>
      <c r="Q7500" s="8"/>
      <c r="R7500" s="9" t="s">
        <v>6999</v>
      </c>
    </row>
    <row r="7501" spans="1:18" x14ac:dyDescent="0.25">
      <c r="A7501" s="6" t="str">
        <f>HYPERLINK("proteomic_fractions_linear_files/Yang_linear_img/19111162.jpg", "19111162")</f>
        <v>19111162</v>
      </c>
      <c r="B7501" s="7"/>
      <c r="C7501" s="6" t="str">
        <f>HYPERLINK("http://www.ncbi.nlm.nih.gov/protein/19111162","Tm9sf3")</f>
        <v>Tm9sf3</v>
      </c>
      <c r="D7501" s="8"/>
      <c r="E7501" s="8">
        <v>64967</v>
      </c>
      <c r="F7501" s="8"/>
      <c r="G7501" s="15" t="s">
        <v>10</v>
      </c>
      <c r="H7501" s="15" t="s">
        <v>10</v>
      </c>
      <c r="I7501" s="15">
        <v>6.2929778113759971</v>
      </c>
      <c r="J7501" s="15">
        <v>4.6428203790230578</v>
      </c>
      <c r="K7501" s="15">
        <v>0.81723953276924732</v>
      </c>
      <c r="L7501" s="15">
        <v>0.81723953276924732</v>
      </c>
      <c r="M7501" s="15" t="s">
        <v>10</v>
      </c>
      <c r="N7501" s="15" t="s">
        <v>10</v>
      </c>
      <c r="O7501" s="15" t="s">
        <v>10</v>
      </c>
      <c r="P7501" s="15" t="s">
        <v>10</v>
      </c>
      <c r="Q7501" s="8"/>
      <c r="R7501" s="9" t="s">
        <v>7000</v>
      </c>
    </row>
    <row r="7502" spans="1:18" x14ac:dyDescent="0.25">
      <c r="A7502" s="6" t="str">
        <f>HYPERLINK("proteomic_fractions_linear_files/Yang_linear_img/31542095.jpg", "31542095")</f>
        <v>31542095</v>
      </c>
      <c r="B7502" s="7"/>
      <c r="C7502" s="6" t="str">
        <f>HYPERLINK("http://www.ncbi.nlm.nih.gov/protein/31542095","Tm9sf4")</f>
        <v>Tm9sf4</v>
      </c>
      <c r="D7502" s="8"/>
      <c r="E7502" s="8">
        <v>72085</v>
      </c>
      <c r="F7502" s="8"/>
      <c r="G7502" s="15" t="s">
        <v>10</v>
      </c>
      <c r="H7502" s="15" t="s">
        <v>10</v>
      </c>
      <c r="I7502" s="15">
        <v>0.73778568930557054</v>
      </c>
      <c r="J7502" s="15">
        <v>0.73778568930557054</v>
      </c>
      <c r="K7502" s="15">
        <v>0.81629454979991456</v>
      </c>
      <c r="L7502" s="15">
        <v>0.81629454979991456</v>
      </c>
      <c r="M7502" s="15" t="s">
        <v>10</v>
      </c>
      <c r="N7502" s="15" t="s">
        <v>10</v>
      </c>
      <c r="O7502" s="15" t="s">
        <v>10</v>
      </c>
      <c r="P7502" s="15" t="s">
        <v>10</v>
      </c>
      <c r="Q7502" s="8"/>
      <c r="R7502" s="9" t="s">
        <v>7001</v>
      </c>
    </row>
    <row r="7503" spans="1:18" x14ac:dyDescent="0.25">
      <c r="A7503" s="6" t="str">
        <f>HYPERLINK("proteomic_fractions_linear_files/Yang_linear_img/309264231.jpg", "309264231")</f>
        <v>309264231</v>
      </c>
      <c r="B7503" s="7"/>
      <c r="C7503" s="6" t="str">
        <f>HYPERLINK("http://www.ncbi.nlm.nih.gov/protein/309264231","Tma7-ps")</f>
        <v>Tma7-ps</v>
      </c>
      <c r="D7503" s="8"/>
      <c r="E7503" s="8">
        <v>6935</v>
      </c>
      <c r="F7503" s="8"/>
      <c r="G7503" s="15">
        <v>1.8995805747145049</v>
      </c>
      <c r="H7503" s="15">
        <v>1.8995805747145049</v>
      </c>
      <c r="I7503" s="15" t="s">
        <v>10</v>
      </c>
      <c r="J7503" s="15" t="s">
        <v>10</v>
      </c>
      <c r="K7503" s="15">
        <v>1.9836929285623786</v>
      </c>
      <c r="L7503" s="15">
        <v>1.9836929285623786</v>
      </c>
      <c r="M7503" s="15">
        <v>1.8995805747145049</v>
      </c>
      <c r="N7503" s="15">
        <v>1.8995805747145049</v>
      </c>
      <c r="O7503" s="15">
        <v>1.821031334562518</v>
      </c>
      <c r="P7503" s="15">
        <v>1.821031334562518</v>
      </c>
      <c r="Q7503" s="8"/>
      <c r="R7503" s="9" t="s">
        <v>8240</v>
      </c>
    </row>
    <row r="7504" spans="1:18" x14ac:dyDescent="0.25">
      <c r="A7504" s="6" t="str">
        <f>HYPERLINK("proteomic_fractions_linear_files/Yang_linear_img/283945625.jpg", "283945625")</f>
        <v>283945625</v>
      </c>
      <c r="B7504" s="7"/>
      <c r="C7504" s="6" t="str">
        <f>HYPERLINK("http://www.ncbi.nlm.nih.gov/protein/283945625","Tmbim6")</f>
        <v>Tmbim6</v>
      </c>
      <c r="D7504" s="8"/>
      <c r="E7504" s="8">
        <v>26347</v>
      </c>
      <c r="F7504" s="8"/>
      <c r="G7504" s="15">
        <v>11.607050947557646</v>
      </c>
      <c r="H7504" s="15">
        <v>11.607050947557646</v>
      </c>
      <c r="I7504" s="15" t="s">
        <v>10</v>
      </c>
      <c r="J7504" s="15" t="s">
        <v>10</v>
      </c>
      <c r="K7504" s="15" t="s">
        <v>10</v>
      </c>
      <c r="L7504" s="15" t="s">
        <v>10</v>
      </c>
      <c r="M7504" s="15" t="s">
        <v>10</v>
      </c>
      <c r="N7504" s="15" t="s">
        <v>10</v>
      </c>
      <c r="O7504" s="15" t="s">
        <v>10</v>
      </c>
      <c r="P7504" s="15" t="s">
        <v>10</v>
      </c>
      <c r="Q7504" s="8"/>
      <c r="R7504" s="9" t="s">
        <v>7002</v>
      </c>
    </row>
    <row r="7505" spans="1:18" x14ac:dyDescent="0.25">
      <c r="A7505" s="6" t="str">
        <f>HYPERLINK("proteomic_fractions_linear_files/Yang_linear_img/283945625;283945630.jpg", "283945625;283945630")</f>
        <v>283945625;283945630</v>
      </c>
      <c r="B7505" s="8"/>
      <c r="C7505" s="6" t="str">
        <f>HYPERLINK("http://www.ncbi.nlm.nih.gov/protein/283945625;283945630","Tmbim6")</f>
        <v>Tmbim6</v>
      </c>
      <c r="D7505" s="8"/>
      <c r="E7505" s="8">
        <v>26347</v>
      </c>
      <c r="F7505" s="8"/>
      <c r="G7505" s="15" t="s">
        <v>10</v>
      </c>
      <c r="H7505" s="15" t="s">
        <v>10</v>
      </c>
      <c r="I7505" s="15" t="s">
        <v>10</v>
      </c>
      <c r="J7505" s="15" t="s">
        <v>10</v>
      </c>
      <c r="K7505" s="15">
        <v>0.75004422415520289</v>
      </c>
      <c r="L7505" s="15">
        <v>0.75004422415520289</v>
      </c>
      <c r="M7505" s="15" t="s">
        <v>10</v>
      </c>
      <c r="N7505" s="15" t="s">
        <v>10</v>
      </c>
      <c r="O7505" s="15" t="s">
        <v>10</v>
      </c>
      <c r="P7505" s="15" t="s">
        <v>10</v>
      </c>
      <c r="Q7505" s="8"/>
      <c r="R7505" s="9" t="s">
        <v>7002</v>
      </c>
    </row>
    <row r="7506" spans="1:18" x14ac:dyDescent="0.25">
      <c r="A7506" s="6" t="str">
        <f>HYPERLINK("proteomic_fractions_linear_files/Yang_linear_img/283945630.jpg", "283945630")</f>
        <v>283945630</v>
      </c>
      <c r="B7506" s="7"/>
      <c r="C7506" s="6" t="str">
        <f>HYPERLINK("http://www.ncbi.nlm.nih.gov/protein/283945630","Tmbim6")</f>
        <v>Tmbim6</v>
      </c>
      <c r="D7506" s="8"/>
      <c r="E7506" s="8">
        <v>26347</v>
      </c>
      <c r="F7506" s="8"/>
      <c r="G7506" s="15" t="s">
        <v>10</v>
      </c>
      <c r="H7506" s="15" t="s">
        <v>10</v>
      </c>
      <c r="I7506" s="15">
        <v>0.7113576601755417</v>
      </c>
      <c r="J7506" s="15">
        <v>0.7113576601755417</v>
      </c>
      <c r="K7506" s="15" t="s">
        <v>10</v>
      </c>
      <c r="L7506" s="15" t="s">
        <v>10</v>
      </c>
      <c r="M7506" s="15">
        <v>0.75004422415520289</v>
      </c>
      <c r="N7506" s="15">
        <v>0.75004422415520289</v>
      </c>
      <c r="O7506" s="15" t="s">
        <v>10</v>
      </c>
      <c r="P7506" s="15" t="s">
        <v>10</v>
      </c>
      <c r="Q7506" s="8"/>
      <c r="R7506" s="9" t="s">
        <v>7002</v>
      </c>
    </row>
    <row r="7507" spans="1:18" x14ac:dyDescent="0.25">
      <c r="A7507" s="6" t="str">
        <f>HYPERLINK("proteomic_fractions_linear_files/Yang_linear_img/31542282.jpg", "31542282")</f>
        <v>31542282</v>
      </c>
      <c r="B7507" s="7"/>
      <c r="C7507" s="6" t="str">
        <f>HYPERLINK("http://www.ncbi.nlm.nih.gov/protein/31542282","Tmc7")</f>
        <v>Tmc7</v>
      </c>
      <c r="D7507" s="8"/>
      <c r="E7507" s="8">
        <v>83206</v>
      </c>
      <c r="F7507" s="8"/>
      <c r="G7507" s="15" t="s">
        <v>10</v>
      </c>
      <c r="H7507" s="15" t="s">
        <v>10</v>
      </c>
      <c r="I7507" s="15" t="s">
        <v>10</v>
      </c>
      <c r="J7507" s="15" t="s">
        <v>10</v>
      </c>
      <c r="K7507" s="15">
        <v>0.38655509464739263</v>
      </c>
      <c r="L7507" s="15">
        <v>0.38655509464739263</v>
      </c>
      <c r="M7507" s="15" t="s">
        <v>10</v>
      </c>
      <c r="N7507" s="15" t="s">
        <v>10</v>
      </c>
      <c r="O7507" s="15" t="s">
        <v>10</v>
      </c>
      <c r="P7507" s="15" t="s">
        <v>10</v>
      </c>
      <c r="Q7507" s="8"/>
      <c r="R7507" s="9" t="s">
        <v>7003</v>
      </c>
    </row>
    <row r="7508" spans="1:18" x14ac:dyDescent="0.25">
      <c r="A7508" s="6" t="str">
        <f>HYPERLINK("proteomic_fractions_linear_files/Yang_linear_img/87116677.jpg", "87116677")</f>
        <v>87116677</v>
      </c>
      <c r="B7508" s="7"/>
      <c r="C7508" s="6" t="str">
        <f>HYPERLINK("http://www.ncbi.nlm.nih.gov/protein/87116677","Tmco1")</f>
        <v>Tmco1</v>
      </c>
      <c r="D7508" s="8"/>
      <c r="E7508" s="8">
        <v>19130</v>
      </c>
      <c r="F7508" s="8"/>
      <c r="G7508" s="15">
        <v>1.572916152195428</v>
      </c>
      <c r="H7508" s="15">
        <v>1.572916152195428</v>
      </c>
      <c r="I7508" s="15">
        <v>1.0840758519292775</v>
      </c>
      <c r="J7508" s="15">
        <v>1.0840758519292775</v>
      </c>
      <c r="K7508" s="15">
        <v>1.0840758519292775</v>
      </c>
      <c r="L7508" s="15">
        <v>1.0840758519292775</v>
      </c>
      <c r="M7508" s="15">
        <v>1.0840758519292775</v>
      </c>
      <c r="N7508" s="15">
        <v>1.0840758519292775</v>
      </c>
      <c r="O7508" s="15" t="s">
        <v>10</v>
      </c>
      <c r="P7508" s="15" t="s">
        <v>10</v>
      </c>
      <c r="Q7508" s="8"/>
      <c r="R7508" s="9" t="s">
        <v>7004</v>
      </c>
    </row>
    <row r="7509" spans="1:18" x14ac:dyDescent="0.25">
      <c r="A7509" s="6" t="str">
        <f>HYPERLINK("proteomic_fractions_linear_files/Yang_linear_img/21313340.jpg", "21313340")</f>
        <v>21313340</v>
      </c>
      <c r="B7509" s="7"/>
      <c r="C7509" s="6" t="str">
        <f>HYPERLINK("http://www.ncbi.nlm.nih.gov/protein/21313340","Tmco4")</f>
        <v>Tmco4</v>
      </c>
      <c r="D7509" s="8"/>
      <c r="E7509" s="8">
        <v>67814</v>
      </c>
      <c r="F7509" s="8"/>
      <c r="G7509" s="15" t="s">
        <v>10</v>
      </c>
      <c r="H7509" s="15" t="s">
        <v>10</v>
      </c>
      <c r="I7509" s="15">
        <v>1.222039095193292</v>
      </c>
      <c r="J7509" s="15">
        <v>1.222039095193292</v>
      </c>
      <c r="K7509" s="15" t="s">
        <v>10</v>
      </c>
      <c r="L7509" s="15" t="s">
        <v>10</v>
      </c>
      <c r="M7509" s="15">
        <v>1.222039095193292</v>
      </c>
      <c r="N7509" s="15">
        <v>1.222039095193292</v>
      </c>
      <c r="O7509" s="15" t="s">
        <v>10</v>
      </c>
      <c r="P7509" s="15" t="s">
        <v>10</v>
      </c>
      <c r="Q7509" s="8"/>
      <c r="R7509" s="9" t="s">
        <v>7005</v>
      </c>
    </row>
    <row r="7510" spans="1:18" x14ac:dyDescent="0.25">
      <c r="A7510" s="6" t="str">
        <f>HYPERLINK("proteomic_fractions_linear_files/Yang_linear_img/112181164.jpg", "112181164")</f>
        <v>112181164</v>
      </c>
      <c r="B7510" s="7"/>
      <c r="C7510" s="6" t="str">
        <f>HYPERLINK("http://www.ncbi.nlm.nih.gov/protein/112181164","Tmco6")</f>
        <v>Tmco6</v>
      </c>
      <c r="D7510" s="8"/>
      <c r="E7510" s="8">
        <v>54784</v>
      </c>
      <c r="F7510" s="8"/>
      <c r="G7510" s="15" t="s">
        <v>10</v>
      </c>
      <c r="H7510" s="15" t="s">
        <v>10</v>
      </c>
      <c r="I7510" s="15" t="s">
        <v>10</v>
      </c>
      <c r="J7510" s="15" t="s">
        <v>10</v>
      </c>
      <c r="K7510" s="15" t="s">
        <v>10</v>
      </c>
      <c r="L7510" s="15" t="s">
        <v>10</v>
      </c>
      <c r="M7510" s="15">
        <v>0.87799955608027735</v>
      </c>
      <c r="N7510" s="15">
        <v>0.87799955608027735</v>
      </c>
      <c r="O7510" s="15">
        <v>0.80228344085391756</v>
      </c>
      <c r="P7510" s="15">
        <v>0.80228344085391756</v>
      </c>
      <c r="Q7510" s="8"/>
      <c r="R7510" s="9" t="s">
        <v>7006</v>
      </c>
    </row>
    <row r="7511" spans="1:18" x14ac:dyDescent="0.25">
      <c r="A7511" s="6" t="str">
        <f>HYPERLINK("proteomic_fractions_linear_files/Yang_linear_img/85362703.jpg", "85362703")</f>
        <v>85362703</v>
      </c>
      <c r="B7511" s="7"/>
      <c r="C7511" s="6" t="str">
        <f>HYPERLINK("http://www.ncbi.nlm.nih.gov/protein/85362703","Tmed1")</f>
        <v>Tmed1</v>
      </c>
      <c r="D7511" s="8"/>
      <c r="E7511" s="8">
        <v>22985</v>
      </c>
      <c r="F7511" s="8"/>
      <c r="G7511" s="15" t="s">
        <v>10</v>
      </c>
      <c r="H7511" s="15" t="s">
        <v>10</v>
      </c>
      <c r="I7511" s="15">
        <v>1.2138352738122635</v>
      </c>
      <c r="J7511" s="15">
        <v>1.2138352738122635</v>
      </c>
      <c r="K7511" s="15">
        <v>1.2138352738122635</v>
      </c>
      <c r="L7511" s="15">
        <v>1.2138352738122635</v>
      </c>
      <c r="M7511" s="15" t="s">
        <v>10</v>
      </c>
      <c r="N7511" s="15" t="s">
        <v>10</v>
      </c>
      <c r="O7511" s="15" t="s">
        <v>10</v>
      </c>
      <c r="P7511" s="15" t="s">
        <v>10</v>
      </c>
      <c r="Q7511" s="8"/>
      <c r="R7511" s="9" t="s">
        <v>7007</v>
      </c>
    </row>
    <row r="7512" spans="1:18" x14ac:dyDescent="0.25">
      <c r="A7512" s="6" t="str">
        <f>HYPERLINK("proteomic_fractions_linear_files/Yang_linear_img/21312062.jpg", "21312062")</f>
        <v>21312062</v>
      </c>
      <c r="B7512" s="7"/>
      <c r="C7512" s="6" t="str">
        <f>HYPERLINK("http://www.ncbi.nlm.nih.gov/protein/21312062","Tmed10")</f>
        <v>Tmed10</v>
      </c>
      <c r="D7512" s="8"/>
      <c r="E7512" s="8">
        <v>21748</v>
      </c>
      <c r="F7512" s="8"/>
      <c r="G7512" s="15">
        <v>1.2690096044400936</v>
      </c>
      <c r="H7512" s="15">
        <v>1.2690096044400936</v>
      </c>
      <c r="I7512" s="15">
        <v>0.88641590127433068</v>
      </c>
      <c r="J7512" s="15">
        <v>0.88641590127433068</v>
      </c>
      <c r="K7512" s="15">
        <v>0.88641590127433068</v>
      </c>
      <c r="L7512" s="15">
        <v>0.88641590127433068</v>
      </c>
      <c r="M7512" s="15">
        <v>0.88641590127433068</v>
      </c>
      <c r="N7512" s="15">
        <v>0.88641590127433068</v>
      </c>
      <c r="O7512" s="15" t="s">
        <v>10</v>
      </c>
      <c r="P7512" s="15" t="s">
        <v>10</v>
      </c>
      <c r="Q7512" s="8"/>
      <c r="R7512" s="9" t="s">
        <v>7008</v>
      </c>
    </row>
    <row r="7513" spans="1:18" x14ac:dyDescent="0.25">
      <c r="A7513" s="6" t="str">
        <f>HYPERLINK("proteomic_fractions_linear_files/Yang_linear_img/281427153.jpg", "281427153")</f>
        <v>281427153</v>
      </c>
      <c r="B7513" s="7"/>
      <c r="C7513" s="6" t="str">
        <f>HYPERLINK("http://www.ncbi.nlm.nih.gov/protein/281427153","Tmed3")</f>
        <v>Tmed3</v>
      </c>
      <c r="D7513" s="8"/>
      <c r="E7513" s="8">
        <v>22637</v>
      </c>
      <c r="F7513" s="8"/>
      <c r="G7513" s="15">
        <v>0.89554092115896833</v>
      </c>
      <c r="H7513" s="15">
        <v>0.89554092115896833</v>
      </c>
      <c r="I7513" s="15">
        <v>0.94764096829038047</v>
      </c>
      <c r="J7513" s="15">
        <v>0.94764096829038047</v>
      </c>
      <c r="K7513" s="15">
        <v>0.94764096829038047</v>
      </c>
      <c r="L7513" s="15">
        <v>0.94764096829038047</v>
      </c>
      <c r="M7513" s="15">
        <v>0.94764096829038047</v>
      </c>
      <c r="N7513" s="15">
        <v>0.94764096829038047</v>
      </c>
      <c r="O7513" s="15" t="s">
        <v>10</v>
      </c>
      <c r="P7513" s="15" t="s">
        <v>10</v>
      </c>
      <c r="Q7513" s="8"/>
      <c r="R7513" s="9" t="s">
        <v>7009</v>
      </c>
    </row>
    <row r="7514" spans="1:18" x14ac:dyDescent="0.25">
      <c r="A7514" s="6" t="str">
        <f>HYPERLINK("proteomic_fractions_linear_files/Yang_linear_img/19527236.jpg", "19527236")</f>
        <v>19527236</v>
      </c>
      <c r="B7514" s="7"/>
      <c r="C7514" s="6" t="str">
        <f>HYPERLINK("http://www.ncbi.nlm.nih.gov/protein/19527236","Tmed4")</f>
        <v>Tmed4</v>
      </c>
      <c r="D7514" s="8"/>
      <c r="E7514" s="8">
        <v>23193</v>
      </c>
      <c r="F7514" s="8"/>
      <c r="G7514" s="15">
        <v>1.0047640597703238</v>
      </c>
      <c r="H7514" s="15">
        <v>1.3949596893797211</v>
      </c>
      <c r="I7514" s="15">
        <v>0.94764096829038047</v>
      </c>
      <c r="J7514" s="15">
        <v>0.94764096829038047</v>
      </c>
      <c r="K7514" s="15">
        <v>0.94764096829038047</v>
      </c>
      <c r="L7514" s="15">
        <v>0.94764096829038047</v>
      </c>
      <c r="M7514" s="15">
        <v>1.0047640597703238</v>
      </c>
      <c r="N7514" s="15">
        <v>1.0047640597703238</v>
      </c>
      <c r="O7514" s="15" t="s">
        <v>10</v>
      </c>
      <c r="P7514" s="15" t="s">
        <v>10</v>
      </c>
      <c r="Q7514" s="8"/>
      <c r="R7514" s="9" t="s">
        <v>7010</v>
      </c>
    </row>
    <row r="7515" spans="1:18" x14ac:dyDescent="0.25">
      <c r="A7515" s="6" t="str">
        <f>HYPERLINK("proteomic_fractions_linear_files/Yang_linear_img/21746165.jpg", "21746165")</f>
        <v>21746165</v>
      </c>
      <c r="B7515" s="7"/>
      <c r="C7515" s="6" t="str">
        <f>HYPERLINK("http://www.ncbi.nlm.nih.gov/protein/21746165","Tmed5")</f>
        <v>Tmed5</v>
      </c>
      <c r="D7515" s="8"/>
      <c r="E7515" s="8">
        <v>23411</v>
      </c>
      <c r="F7515" s="8"/>
      <c r="G7515" s="15">
        <v>1.3949596893797211</v>
      </c>
      <c r="H7515" s="15">
        <v>1.3949596893797211</v>
      </c>
      <c r="I7515" s="15">
        <v>0.94764096829038047</v>
      </c>
      <c r="J7515" s="15">
        <v>0.94764096829038047</v>
      </c>
      <c r="K7515" s="15">
        <v>1.0047640597703238</v>
      </c>
      <c r="L7515" s="15">
        <v>1.0047640597703238</v>
      </c>
      <c r="M7515" s="15">
        <v>1.0047640597703238</v>
      </c>
      <c r="N7515" s="15">
        <v>1.0047640597703238</v>
      </c>
      <c r="O7515" s="15" t="s">
        <v>10</v>
      </c>
      <c r="P7515" s="15" t="s">
        <v>10</v>
      </c>
      <c r="Q7515" s="8"/>
      <c r="R7515" s="9" t="s">
        <v>7011</v>
      </c>
    </row>
    <row r="7516" spans="1:18" x14ac:dyDescent="0.25">
      <c r="A7516" s="6" t="str">
        <f>HYPERLINK("proteomic_fractions_linear_files/Yang_linear_img/255003819.jpg", "255003819")</f>
        <v>255003819</v>
      </c>
      <c r="B7516" s="7"/>
      <c r="C7516" s="6" t="str">
        <f>HYPERLINK("http://www.ncbi.nlm.nih.gov/protein/255003819","Tmed7")</f>
        <v>Tmed7</v>
      </c>
      <c r="D7516" s="8"/>
      <c r="E7516" s="8">
        <v>21735</v>
      </c>
      <c r="F7516" s="8"/>
      <c r="G7516" s="15">
        <v>1.5706080241125084</v>
      </c>
      <c r="H7516" s="15">
        <v>1.5706080241125084</v>
      </c>
      <c r="I7516" s="15">
        <v>1.1161282096944054</v>
      </c>
      <c r="J7516" s="15">
        <v>1.0504351533962475</v>
      </c>
      <c r="K7516" s="15">
        <v>1.1161282096944054</v>
      </c>
      <c r="L7516" s="15">
        <v>1.1161282096944054</v>
      </c>
      <c r="M7516" s="15">
        <v>1.1161282096944054</v>
      </c>
      <c r="N7516" s="15">
        <v>1.1161282096944054</v>
      </c>
      <c r="O7516" s="15" t="s">
        <v>10</v>
      </c>
      <c r="P7516" s="15" t="s">
        <v>10</v>
      </c>
      <c r="Q7516" s="8"/>
      <c r="R7516" s="9" t="s">
        <v>7012</v>
      </c>
    </row>
    <row r="7517" spans="1:18" x14ac:dyDescent="0.25">
      <c r="A7517" s="6" t="str">
        <f>HYPERLINK("proteomic_fractions_linear_files/Yang_linear_img/145966911.jpg", "145966911")</f>
        <v>145966911</v>
      </c>
      <c r="B7517" s="7"/>
      <c r="C7517" s="6" t="str">
        <f>HYPERLINK("http://www.ncbi.nlm.nih.gov/protein/145966911","Tmed9")</f>
        <v>Tmed9</v>
      </c>
      <c r="D7517" s="8"/>
      <c r="E7517" s="8">
        <v>23322</v>
      </c>
      <c r="F7517" s="8"/>
      <c r="G7517" s="15">
        <v>1.3949596893797211</v>
      </c>
      <c r="H7517" s="15">
        <v>1.3949596893797211</v>
      </c>
      <c r="I7517" s="15">
        <v>0.94764096829038047</v>
      </c>
      <c r="J7517" s="15">
        <v>0.94764096829038047</v>
      </c>
      <c r="K7517" s="15">
        <v>0.94764096829038047</v>
      </c>
      <c r="L7517" s="15">
        <v>0.94764096829038047</v>
      </c>
      <c r="M7517" s="15">
        <v>1.0047640597703238</v>
      </c>
      <c r="N7517" s="15">
        <v>1.0047640597703238</v>
      </c>
      <c r="O7517" s="15" t="s">
        <v>10</v>
      </c>
      <c r="P7517" s="15" t="s">
        <v>10</v>
      </c>
      <c r="Q7517" s="8"/>
      <c r="R7517" s="9" t="s">
        <v>7013</v>
      </c>
    </row>
    <row r="7518" spans="1:18" x14ac:dyDescent="0.25">
      <c r="A7518" s="6" t="str">
        <f>HYPERLINK("proteomic_fractions_linear_files/Yang_linear_img/145966766.jpg", "145966766")</f>
        <v>145966766</v>
      </c>
      <c r="B7518" s="7"/>
      <c r="C7518" s="6" t="str">
        <f>HYPERLINK("http://www.ncbi.nlm.nih.gov/protein/145966766","Tmem102")</f>
        <v>Tmem102</v>
      </c>
      <c r="D7518" s="8"/>
      <c r="E7518" s="8">
        <v>54792</v>
      </c>
      <c r="F7518" s="8"/>
      <c r="G7518" s="15" t="s">
        <v>10</v>
      </c>
      <c r="H7518" s="15" t="s">
        <v>10</v>
      </c>
      <c r="I7518" s="15" t="s">
        <v>10</v>
      </c>
      <c r="J7518" s="15" t="s">
        <v>10</v>
      </c>
      <c r="K7518" s="15">
        <v>1.1900593332826241</v>
      </c>
      <c r="L7518" s="15">
        <v>1.1900593332826241</v>
      </c>
      <c r="M7518" s="15">
        <v>1.1900593332826241</v>
      </c>
      <c r="N7518" s="15">
        <v>1.1900593332826241</v>
      </c>
      <c r="O7518" s="15" t="s">
        <v>10</v>
      </c>
      <c r="P7518" s="15" t="s">
        <v>10</v>
      </c>
      <c r="Q7518" s="8"/>
      <c r="R7518" s="9" t="s">
        <v>7014</v>
      </c>
    </row>
    <row r="7519" spans="1:18" x14ac:dyDescent="0.25">
      <c r="A7519" s="6" t="str">
        <f>HYPERLINK("proteomic_fractions_linear_files/Yang_linear_img/188035856.jpg", "188035856")</f>
        <v>188035856</v>
      </c>
      <c r="B7519" s="7"/>
      <c r="C7519" s="6" t="str">
        <f>HYPERLINK("http://www.ncbi.nlm.nih.gov/protein/188035856","Tmem106b")</f>
        <v>Tmem106b</v>
      </c>
      <c r="D7519" s="8"/>
      <c r="E7519" s="8">
        <v>31041</v>
      </c>
      <c r="F7519" s="8"/>
      <c r="G7519" s="15" t="s">
        <v>10</v>
      </c>
      <c r="H7519" s="15" t="s">
        <v>10</v>
      </c>
      <c r="I7519" s="15">
        <v>1.0349700921204383</v>
      </c>
      <c r="J7519" s="15">
        <v>1.0349700921204383</v>
      </c>
      <c r="K7519" s="15">
        <v>1.1146250493701673</v>
      </c>
      <c r="L7519" s="15">
        <v>1.1146250493701673</v>
      </c>
      <c r="M7519" s="15">
        <v>1.1146250493701673</v>
      </c>
      <c r="N7519" s="15">
        <v>1.1146250493701673</v>
      </c>
      <c r="O7519" s="15" t="s">
        <v>10</v>
      </c>
      <c r="P7519" s="15" t="s">
        <v>10</v>
      </c>
      <c r="Q7519" s="8"/>
      <c r="R7519" s="9" t="s">
        <v>7015</v>
      </c>
    </row>
    <row r="7520" spans="1:18" x14ac:dyDescent="0.25">
      <c r="A7520" s="6" t="str">
        <f>HYPERLINK("proteomic_fractions_linear_files/Yang_linear_img/19527378.jpg", "19527378")</f>
        <v>19527378</v>
      </c>
      <c r="B7520" s="7"/>
      <c r="C7520" s="6" t="str">
        <f>HYPERLINK("http://www.ncbi.nlm.nih.gov/protein/19527378","Tmem109")</f>
        <v>Tmem109</v>
      </c>
      <c r="D7520" s="8"/>
      <c r="E7520" s="8">
        <v>22796</v>
      </c>
      <c r="F7520" s="8"/>
      <c r="G7520" s="15">
        <v>1.0047640597703238</v>
      </c>
      <c r="H7520" s="15">
        <v>1.0047640597703238</v>
      </c>
      <c r="I7520" s="15">
        <v>0.7639104245808247</v>
      </c>
      <c r="J7520" s="15">
        <v>0.7639104245808247</v>
      </c>
      <c r="K7520" s="15">
        <v>0.84787607947979449</v>
      </c>
      <c r="L7520" s="15">
        <v>0.84787607947979449</v>
      </c>
      <c r="M7520" s="15">
        <v>0.80414344193756893</v>
      </c>
      <c r="N7520" s="15">
        <v>0.80414344193756893</v>
      </c>
      <c r="O7520" s="15" t="s">
        <v>10</v>
      </c>
      <c r="P7520" s="15" t="s">
        <v>10</v>
      </c>
      <c r="Q7520" s="8"/>
      <c r="R7520" s="9" t="s">
        <v>7016</v>
      </c>
    </row>
    <row r="7521" spans="1:18" x14ac:dyDescent="0.25">
      <c r="A7521" s="6" t="str">
        <f>HYPERLINK("proteomic_fractions_linear_files/Yang_linear_img/27734998.jpg", "27734998")</f>
        <v>27734998</v>
      </c>
      <c r="B7521" s="7"/>
      <c r="C7521" s="6" t="str">
        <f>HYPERLINK("http://www.ncbi.nlm.nih.gov/protein/27734998","Tmem11")</f>
        <v>Tmem11</v>
      </c>
      <c r="D7521" s="8"/>
      <c r="E7521" s="8">
        <v>21180</v>
      </c>
      <c r="F7521" s="8"/>
      <c r="G7521" s="15" t="s">
        <v>10</v>
      </c>
      <c r="H7521" s="15" t="s">
        <v>10</v>
      </c>
      <c r="I7521" s="15">
        <v>0.92862618228739402</v>
      </c>
      <c r="J7521" s="15">
        <v>0.92862618228739402</v>
      </c>
      <c r="K7521" s="15" t="s">
        <v>10</v>
      </c>
      <c r="L7521" s="15" t="s">
        <v>10</v>
      </c>
      <c r="M7521" s="15" t="s">
        <v>10</v>
      </c>
      <c r="N7521" s="15" t="s">
        <v>10</v>
      </c>
      <c r="O7521" s="15" t="s">
        <v>10</v>
      </c>
      <c r="P7521" s="15" t="s">
        <v>10</v>
      </c>
      <c r="Q7521" s="8"/>
      <c r="R7521" s="9" t="s">
        <v>7017</v>
      </c>
    </row>
    <row r="7522" spans="1:18" x14ac:dyDescent="0.25">
      <c r="A7522" s="6" t="str">
        <f>HYPERLINK("proteomic_fractions_linear_files/Yang_linear_img/281182922.jpg", "281182922")</f>
        <v>281182922</v>
      </c>
      <c r="B7522" s="7"/>
      <c r="C7522" s="6" t="str">
        <f>HYPERLINK("http://www.ncbi.nlm.nih.gov/protein/281182922","Tmem11")</f>
        <v>Tmem11</v>
      </c>
      <c r="D7522" s="8"/>
      <c r="E7522" s="8">
        <v>19677</v>
      </c>
      <c r="F7522" s="8"/>
      <c r="G7522" s="15" t="s">
        <v>10</v>
      </c>
      <c r="H7522" s="15" t="s">
        <v>10</v>
      </c>
      <c r="I7522" s="15">
        <v>0.97505749140176368</v>
      </c>
      <c r="J7522" s="15">
        <v>0.97505749140176368</v>
      </c>
      <c r="K7522" s="15" t="s">
        <v>10</v>
      </c>
      <c r="L7522" s="15" t="s">
        <v>10</v>
      </c>
      <c r="M7522" s="15" t="s">
        <v>10</v>
      </c>
      <c r="N7522" s="15" t="s">
        <v>10</v>
      </c>
      <c r="O7522" s="15" t="s">
        <v>10</v>
      </c>
      <c r="P7522" s="15" t="s">
        <v>10</v>
      </c>
      <c r="Q7522" s="8"/>
      <c r="R7522" s="9" t="s">
        <v>7018</v>
      </c>
    </row>
    <row r="7523" spans="1:18" x14ac:dyDescent="0.25">
      <c r="A7523" s="6" t="str">
        <f>HYPERLINK("proteomic_fractions_linear_files/Yang_linear_img/9790165.jpg", "9790165")</f>
        <v>9790165</v>
      </c>
      <c r="B7523" s="7"/>
      <c r="C7523" s="6" t="str">
        <f>HYPERLINK("http://www.ncbi.nlm.nih.gov/protein/9790165","Tmem115")</f>
        <v>Tmem115</v>
      </c>
      <c r="D7523" s="8"/>
      <c r="E7523" s="8">
        <v>37968</v>
      </c>
      <c r="F7523" s="8"/>
      <c r="G7523" s="15" t="s">
        <v>10</v>
      </c>
      <c r="H7523" s="15" t="s">
        <v>10</v>
      </c>
      <c r="I7523" s="15">
        <v>0.84431770672983131</v>
      </c>
      <c r="J7523" s="15">
        <v>0.84431770672983131</v>
      </c>
      <c r="K7523" s="15" t="s">
        <v>10</v>
      </c>
      <c r="L7523" s="15" t="s">
        <v>10</v>
      </c>
      <c r="M7523" s="15" t="s">
        <v>10</v>
      </c>
      <c r="N7523" s="15" t="s">
        <v>10</v>
      </c>
      <c r="O7523" s="15" t="s">
        <v>10</v>
      </c>
      <c r="P7523" s="15" t="s">
        <v>10</v>
      </c>
      <c r="Q7523" s="8"/>
      <c r="R7523" s="9" t="s">
        <v>7019</v>
      </c>
    </row>
    <row r="7524" spans="1:18" x14ac:dyDescent="0.25">
      <c r="A7524" s="6" t="str">
        <f>HYPERLINK("proteomic_fractions_linear_files/Yang_linear_img/29789387.jpg", "29789387")</f>
        <v>29789387</v>
      </c>
      <c r="B7524" s="7"/>
      <c r="C7524" s="6" t="str">
        <f>HYPERLINK("http://www.ncbi.nlm.nih.gov/protein/29789387","Tmem120a")</f>
        <v>Tmem120a</v>
      </c>
      <c r="D7524" s="8"/>
      <c r="E7524" s="8">
        <v>40620</v>
      </c>
      <c r="F7524" s="8"/>
      <c r="G7524" s="15" t="s">
        <v>10</v>
      </c>
      <c r="H7524" s="15" t="s">
        <v>10</v>
      </c>
      <c r="I7524" s="15">
        <v>0.84276528123110206</v>
      </c>
      <c r="J7524" s="15">
        <v>0.84276528123110206</v>
      </c>
      <c r="K7524" s="15">
        <v>0.84276528123110206</v>
      </c>
      <c r="L7524" s="15">
        <v>0.84276528123110206</v>
      </c>
      <c r="M7524" s="15" t="s">
        <v>10</v>
      </c>
      <c r="N7524" s="15" t="s">
        <v>10</v>
      </c>
      <c r="O7524" s="15" t="s">
        <v>10</v>
      </c>
      <c r="P7524" s="15" t="s">
        <v>10</v>
      </c>
      <c r="Q7524" s="8"/>
      <c r="R7524" s="9" t="s">
        <v>7020</v>
      </c>
    </row>
    <row r="7525" spans="1:18" x14ac:dyDescent="0.25">
      <c r="A7525" s="6" t="str">
        <f>HYPERLINK("proteomic_fractions_linear_files/Yang_linear_img/58037123.jpg", "58037123")</f>
        <v>58037123</v>
      </c>
      <c r="B7525" s="7"/>
      <c r="C7525" s="6" t="str">
        <f>HYPERLINK("http://www.ncbi.nlm.nih.gov/protein/58037123","Tmem126b")</f>
        <v>Tmem126b</v>
      </c>
      <c r="D7525" s="8"/>
      <c r="E7525" s="8">
        <v>25313</v>
      </c>
      <c r="F7525" s="8"/>
      <c r="G7525" s="15" t="s">
        <v>10</v>
      </c>
      <c r="H7525" s="15" t="s">
        <v>10</v>
      </c>
      <c r="I7525" s="15">
        <v>0.73981196658256332</v>
      </c>
      <c r="J7525" s="15">
        <v>0.73981196658256332</v>
      </c>
      <c r="K7525" s="15" t="s">
        <v>10</v>
      </c>
      <c r="L7525" s="15" t="s">
        <v>10</v>
      </c>
      <c r="M7525" s="15" t="s">
        <v>10</v>
      </c>
      <c r="N7525" s="15" t="s">
        <v>10</v>
      </c>
      <c r="O7525" s="15" t="s">
        <v>10</v>
      </c>
      <c r="P7525" s="15" t="s">
        <v>10</v>
      </c>
      <c r="Q7525" s="8"/>
      <c r="R7525" s="9" t="s">
        <v>7021</v>
      </c>
    </row>
    <row r="7526" spans="1:18" x14ac:dyDescent="0.25">
      <c r="A7526" s="6" t="str">
        <f>HYPERLINK("proteomic_fractions_linear_files/Yang_linear_img/21624623.jpg", "21624623")</f>
        <v>21624623</v>
      </c>
      <c r="B7526" s="7"/>
      <c r="C7526" s="6" t="str">
        <f>HYPERLINK("http://www.ncbi.nlm.nih.gov/protein/21624623","Tmem138")</f>
        <v>Tmem138</v>
      </c>
      <c r="D7526" s="8"/>
      <c r="E7526" s="8">
        <v>19019</v>
      </c>
      <c r="F7526" s="8"/>
      <c r="G7526" s="15" t="s">
        <v>10</v>
      </c>
      <c r="H7526" s="15" t="s">
        <v>10</v>
      </c>
      <c r="I7526" s="15">
        <v>0.87981444845300116</v>
      </c>
      <c r="J7526" s="15">
        <v>0.87981444845300116</v>
      </c>
      <c r="K7526" s="15" t="s">
        <v>10</v>
      </c>
      <c r="L7526" s="15" t="s">
        <v>10</v>
      </c>
      <c r="M7526" s="15" t="s">
        <v>10</v>
      </c>
      <c r="N7526" s="15" t="s">
        <v>10</v>
      </c>
      <c r="O7526" s="15" t="s">
        <v>10</v>
      </c>
      <c r="P7526" s="15" t="s">
        <v>10</v>
      </c>
      <c r="Q7526" s="8"/>
      <c r="R7526" s="9" t="s">
        <v>7022</v>
      </c>
    </row>
    <row r="7527" spans="1:18" x14ac:dyDescent="0.25">
      <c r="A7527" s="6" t="str">
        <f>HYPERLINK("proteomic_fractions_linear_files/Yang_linear_img/120952692.jpg", "120952692")</f>
        <v>120952692</v>
      </c>
      <c r="B7527" s="7"/>
      <c r="C7527" s="6" t="str">
        <f>HYPERLINK("http://www.ncbi.nlm.nih.gov/protein/120952692","Tmem147")</f>
        <v>Tmem147</v>
      </c>
      <c r="D7527" s="8"/>
      <c r="E7527" s="8">
        <v>25204</v>
      </c>
      <c r="F7527" s="8"/>
      <c r="G7527" s="15" t="s">
        <v>10</v>
      </c>
      <c r="H7527" s="15" t="s">
        <v>10</v>
      </c>
      <c r="I7527" s="15">
        <v>0.70279759061435865</v>
      </c>
      <c r="J7527" s="15">
        <v>0.70279759061435865</v>
      </c>
      <c r="K7527" s="15" t="s">
        <v>10</v>
      </c>
      <c r="L7527" s="15" t="s">
        <v>10</v>
      </c>
      <c r="M7527" s="15" t="s">
        <v>10</v>
      </c>
      <c r="N7527" s="15" t="s">
        <v>10</v>
      </c>
      <c r="O7527" s="15" t="s">
        <v>10</v>
      </c>
      <c r="P7527" s="15" t="s">
        <v>10</v>
      </c>
      <c r="Q7527" s="8"/>
      <c r="R7527" s="9" t="s">
        <v>7023</v>
      </c>
    </row>
    <row r="7528" spans="1:18" x14ac:dyDescent="0.25">
      <c r="A7528" s="6" t="str">
        <f>HYPERLINK("proteomic_fractions_linear_files/Yang_linear_img/13384766.jpg", "13384766")</f>
        <v>13384766</v>
      </c>
      <c r="B7528" s="7"/>
      <c r="C7528" s="6" t="str">
        <f>HYPERLINK("http://www.ncbi.nlm.nih.gov/protein/13384766","Tmem14c")</f>
        <v>Tmem14c</v>
      </c>
      <c r="D7528" s="8"/>
      <c r="E7528" s="8">
        <v>11511</v>
      </c>
      <c r="F7528" s="8"/>
      <c r="G7528" s="15" t="s">
        <v>10</v>
      </c>
      <c r="H7528" s="15" t="s">
        <v>10</v>
      </c>
      <c r="I7528" s="15">
        <v>1.0622682784948021</v>
      </c>
      <c r="J7528" s="15">
        <v>1.0622682784948021</v>
      </c>
      <c r="K7528" s="15">
        <v>1.0194051076942798</v>
      </c>
      <c r="L7528" s="15">
        <v>1.0194051076942798</v>
      </c>
      <c r="M7528" s="15" t="s">
        <v>10</v>
      </c>
      <c r="N7528" s="15" t="s">
        <v>10</v>
      </c>
      <c r="O7528" s="15" t="s">
        <v>10</v>
      </c>
      <c r="P7528" s="15" t="s">
        <v>10</v>
      </c>
      <c r="Q7528" s="8"/>
      <c r="R7528" s="9" t="s">
        <v>7024</v>
      </c>
    </row>
    <row r="7529" spans="1:18" x14ac:dyDescent="0.25">
      <c r="A7529" s="6" t="str">
        <f>HYPERLINK("proteomic_fractions_linear_files/Yang_linear_img/58037143.jpg", "58037143")</f>
        <v>58037143</v>
      </c>
      <c r="B7529" s="7"/>
      <c r="C7529" s="6" t="str">
        <f>HYPERLINK("http://www.ncbi.nlm.nih.gov/protein/58037143","Tmem160")</f>
        <v>Tmem160</v>
      </c>
      <c r="D7529" s="8"/>
      <c r="E7529" s="8">
        <v>19456</v>
      </c>
      <c r="F7529" s="8"/>
      <c r="G7529" s="15" t="s">
        <v>10</v>
      </c>
      <c r="H7529" s="15" t="s">
        <v>10</v>
      </c>
      <c r="I7529" s="15">
        <v>0.64383480485954514</v>
      </c>
      <c r="J7529" s="15">
        <v>0.64383480485954514</v>
      </c>
      <c r="K7529" s="15" t="s">
        <v>10</v>
      </c>
      <c r="L7529" s="15" t="s">
        <v>10</v>
      </c>
      <c r="M7529" s="15" t="s">
        <v>10</v>
      </c>
      <c r="N7529" s="15" t="s">
        <v>10</v>
      </c>
      <c r="O7529" s="15" t="s">
        <v>10</v>
      </c>
      <c r="P7529" s="15" t="s">
        <v>10</v>
      </c>
      <c r="Q7529" s="8"/>
      <c r="R7529" s="9" t="s">
        <v>7025</v>
      </c>
    </row>
    <row r="7530" spans="1:18" x14ac:dyDescent="0.25">
      <c r="A7530" s="6" t="str">
        <f>HYPERLINK("proteomic_fractions_linear_files/Yang_linear_img/111154067.jpg", "111154067")</f>
        <v>111154067</v>
      </c>
      <c r="B7530" s="7"/>
      <c r="C7530" s="6" t="str">
        <f>HYPERLINK("http://www.ncbi.nlm.nih.gov/protein/111154067","Tmem165")</f>
        <v>Tmem165</v>
      </c>
      <c r="D7530" s="8"/>
      <c r="E7530" s="8">
        <v>31339</v>
      </c>
      <c r="F7530" s="8"/>
      <c r="G7530" s="15" t="s">
        <v>10</v>
      </c>
      <c r="H7530" s="15" t="s">
        <v>10</v>
      </c>
      <c r="I7530" s="15">
        <v>1.0349700921204383</v>
      </c>
      <c r="J7530" s="15">
        <v>1.0349700921204383</v>
      </c>
      <c r="K7530" s="15">
        <v>1.2045589168749868</v>
      </c>
      <c r="L7530" s="15">
        <v>1.2045589168749868</v>
      </c>
      <c r="M7530" s="15" t="s">
        <v>10</v>
      </c>
      <c r="N7530" s="15" t="s">
        <v>10</v>
      </c>
      <c r="O7530" s="15" t="s">
        <v>10</v>
      </c>
      <c r="P7530" s="15" t="s">
        <v>10</v>
      </c>
      <c r="Q7530" s="8"/>
      <c r="R7530" s="9" t="s">
        <v>7026</v>
      </c>
    </row>
    <row r="7531" spans="1:18" x14ac:dyDescent="0.25">
      <c r="A7531" s="6" t="str">
        <f>HYPERLINK("proteomic_fractions_linear_files/Yang_linear_img/225007607.jpg", "225007607")</f>
        <v>225007607</v>
      </c>
      <c r="B7531" s="7"/>
      <c r="C7531" s="6" t="str">
        <f>HYPERLINK("http://www.ncbi.nlm.nih.gov/protein/225007607","Tmem167")</f>
        <v>Tmem167</v>
      </c>
      <c r="D7531" s="8"/>
      <c r="E7531" s="8">
        <v>5157</v>
      </c>
      <c r="F7531" s="8"/>
      <c r="G7531" s="15">
        <v>1198.6200000000001</v>
      </c>
      <c r="H7531" s="15">
        <v>1198.6200000000001</v>
      </c>
      <c r="I7531" s="15">
        <v>2.5494438683875251</v>
      </c>
      <c r="J7531" s="15">
        <v>2.5494438683875251</v>
      </c>
      <c r="K7531" s="15">
        <v>2.4465722584662712</v>
      </c>
      <c r="L7531" s="15">
        <v>2.4465722584662712</v>
      </c>
      <c r="M7531" s="15" t="s">
        <v>10</v>
      </c>
      <c r="N7531" s="15" t="s">
        <v>10</v>
      </c>
      <c r="O7531" s="15" t="s">
        <v>10</v>
      </c>
      <c r="P7531" s="15" t="s">
        <v>10</v>
      </c>
      <c r="Q7531" s="8"/>
      <c r="R7531" s="9" t="s">
        <v>7027</v>
      </c>
    </row>
    <row r="7532" spans="1:18" x14ac:dyDescent="0.25">
      <c r="A7532" s="6" t="str">
        <f>HYPERLINK("proteomic_fractions_linear_files/Yang_linear_img/27532967.jpg", "27532967")</f>
        <v>27532967</v>
      </c>
      <c r="B7532" s="7"/>
      <c r="C7532" s="6" t="str">
        <f>HYPERLINK("http://www.ncbi.nlm.nih.gov/protein/27532967","Tmem168")</f>
        <v>Tmem168</v>
      </c>
      <c r="D7532" s="8"/>
      <c r="E7532" s="8">
        <v>79543</v>
      </c>
      <c r="F7532" s="8"/>
      <c r="G7532" s="15" t="s">
        <v>10</v>
      </c>
      <c r="H7532" s="15" t="s">
        <v>10</v>
      </c>
      <c r="I7532" s="15">
        <v>0.81816579163180414</v>
      </c>
      <c r="J7532" s="15">
        <v>0.81816579163180414</v>
      </c>
      <c r="K7532" s="15" t="s">
        <v>10</v>
      </c>
      <c r="L7532" s="15" t="s">
        <v>10</v>
      </c>
      <c r="M7532" s="15" t="s">
        <v>10</v>
      </c>
      <c r="N7532" s="15" t="s">
        <v>10</v>
      </c>
      <c r="O7532" s="15" t="s">
        <v>10</v>
      </c>
      <c r="P7532" s="15" t="s">
        <v>10</v>
      </c>
      <c r="Q7532" s="8"/>
      <c r="R7532" s="9" t="s">
        <v>7028</v>
      </c>
    </row>
    <row r="7533" spans="1:18" x14ac:dyDescent="0.25">
      <c r="A7533" s="6" t="str">
        <f>HYPERLINK("proteomic_fractions_linear_files/Yang_linear_img/254692993.jpg", "254692993")</f>
        <v>254692993</v>
      </c>
      <c r="B7533" s="7"/>
      <c r="C7533" s="6" t="str">
        <f>HYPERLINK("http://www.ncbi.nlm.nih.gov/protein/254692993","Tmem173")</f>
        <v>Tmem173</v>
      </c>
      <c r="D7533" s="8"/>
      <c r="E7533" s="8">
        <v>42699</v>
      </c>
      <c r="F7533" s="8"/>
      <c r="G7533" s="15" t="s">
        <v>10</v>
      </c>
      <c r="H7533" s="15" t="s">
        <v>10</v>
      </c>
      <c r="I7533" s="15" t="s">
        <v>10</v>
      </c>
      <c r="J7533" s="15" t="s">
        <v>10</v>
      </c>
      <c r="K7533" s="15">
        <v>0.86840294007266494</v>
      </c>
      <c r="L7533" s="15">
        <v>0.86840294007266494</v>
      </c>
      <c r="M7533" s="15" t="s">
        <v>10</v>
      </c>
      <c r="N7533" s="15" t="s">
        <v>10</v>
      </c>
      <c r="O7533" s="15" t="s">
        <v>10</v>
      </c>
      <c r="P7533" s="15" t="s">
        <v>10</v>
      </c>
      <c r="Q7533" s="8"/>
      <c r="R7533" s="9" t="s">
        <v>7029</v>
      </c>
    </row>
    <row r="7534" spans="1:18" x14ac:dyDescent="0.25">
      <c r="A7534" s="6" t="str">
        <f>HYPERLINK("proteomic_fractions_linear_files/Yang_linear_img/254587930.jpg", "254587930")</f>
        <v>254587930</v>
      </c>
      <c r="B7534" s="7"/>
      <c r="C7534" s="6" t="str">
        <f>HYPERLINK("http://www.ncbi.nlm.nih.gov/protein/254587930","Tmem175")</f>
        <v>Tmem175</v>
      </c>
      <c r="D7534" s="8"/>
      <c r="E7534" s="8">
        <v>55447</v>
      </c>
      <c r="F7534" s="8"/>
      <c r="G7534" s="15" t="s">
        <v>10</v>
      </c>
      <c r="H7534" s="15" t="s">
        <v>10</v>
      </c>
      <c r="I7534" s="15">
        <v>0.80228344085391756</v>
      </c>
      <c r="J7534" s="15">
        <v>0.80228344085391756</v>
      </c>
      <c r="K7534" s="15" t="s">
        <v>10</v>
      </c>
      <c r="L7534" s="15" t="s">
        <v>10</v>
      </c>
      <c r="M7534" s="15" t="s">
        <v>10</v>
      </c>
      <c r="N7534" s="15" t="s">
        <v>10</v>
      </c>
      <c r="O7534" s="15" t="s">
        <v>10</v>
      </c>
      <c r="P7534" s="15" t="s">
        <v>10</v>
      </c>
      <c r="Q7534" s="8"/>
      <c r="R7534" s="9" t="s">
        <v>7030</v>
      </c>
    </row>
    <row r="7535" spans="1:18" x14ac:dyDescent="0.25">
      <c r="A7535" s="6" t="str">
        <f>HYPERLINK("proteomic_fractions_linear_files/Yang_linear_img/254587932.jpg", "254587932")</f>
        <v>254587932</v>
      </c>
      <c r="B7535" s="7"/>
      <c r="C7535" s="6" t="str">
        <f>HYPERLINK("http://www.ncbi.nlm.nih.gov/protein/254587932","Tmem175")</f>
        <v>Tmem175</v>
      </c>
      <c r="D7535" s="8"/>
      <c r="E7535" s="8">
        <v>55319</v>
      </c>
      <c r="F7535" s="8"/>
      <c r="G7535" s="15" t="s">
        <v>10</v>
      </c>
      <c r="H7535" s="15" t="s">
        <v>10</v>
      </c>
      <c r="I7535" s="15">
        <v>0.80228344085391756</v>
      </c>
      <c r="J7535" s="15">
        <v>0.80228344085391756</v>
      </c>
      <c r="K7535" s="15" t="s">
        <v>10</v>
      </c>
      <c r="L7535" s="15" t="s">
        <v>10</v>
      </c>
      <c r="M7535" s="15" t="s">
        <v>10</v>
      </c>
      <c r="N7535" s="15" t="s">
        <v>10</v>
      </c>
      <c r="O7535" s="15" t="s">
        <v>10</v>
      </c>
      <c r="P7535" s="15" t="s">
        <v>10</v>
      </c>
      <c r="Q7535" s="8"/>
      <c r="R7535" s="9" t="s">
        <v>7031</v>
      </c>
    </row>
    <row r="7536" spans="1:18" x14ac:dyDescent="0.25">
      <c r="A7536" s="6" t="str">
        <f>HYPERLINK("proteomic_fractions_linear_files/Yang_linear_img/12746434.jpg", "12746434")</f>
        <v>12746434</v>
      </c>
      <c r="B7536" s="7"/>
      <c r="C7536" s="6" t="str">
        <f>HYPERLINK("http://www.ncbi.nlm.nih.gov/protein/12746434","Tmem176b")</f>
        <v>Tmem176b</v>
      </c>
      <c r="D7536" s="8"/>
      <c r="E7536" s="8">
        <v>28236</v>
      </c>
      <c r="F7536" s="8"/>
      <c r="G7536" s="15" t="s">
        <v>10</v>
      </c>
      <c r="H7536" s="15" t="s">
        <v>10</v>
      </c>
      <c r="I7536" s="15">
        <v>0.45525783364062949</v>
      </c>
      <c r="J7536" s="15">
        <v>0.45525783364062949</v>
      </c>
      <c r="K7536" s="15" t="s">
        <v>10</v>
      </c>
      <c r="L7536" s="15" t="s">
        <v>10</v>
      </c>
      <c r="M7536" s="15" t="s">
        <v>10</v>
      </c>
      <c r="N7536" s="15" t="s">
        <v>10</v>
      </c>
      <c r="O7536" s="15" t="s">
        <v>10</v>
      </c>
      <c r="P7536" s="15" t="s">
        <v>10</v>
      </c>
      <c r="Q7536" s="8"/>
      <c r="R7536" s="9" t="s">
        <v>7032</v>
      </c>
    </row>
    <row r="7537" spans="1:18" x14ac:dyDescent="0.25">
      <c r="A7537" s="6" t="str">
        <f>HYPERLINK("proteomic_fractions_linear_files/Yang_linear_img/27228988.jpg", "27228988")</f>
        <v>27228988</v>
      </c>
      <c r="B7537" s="7"/>
      <c r="C7537" s="6" t="str">
        <f>HYPERLINK("http://www.ncbi.nlm.nih.gov/protein/27228988","Tmem186")</f>
        <v>Tmem186</v>
      </c>
      <c r="D7537" s="8"/>
      <c r="E7537" s="8">
        <v>24501</v>
      </c>
      <c r="F7537" s="8"/>
      <c r="G7537" s="15" t="s">
        <v>10</v>
      </c>
      <c r="H7537" s="15" t="s">
        <v>10</v>
      </c>
      <c r="I7537" s="15">
        <v>0.70279759061435865</v>
      </c>
      <c r="J7537" s="15">
        <v>0.70279759061435865</v>
      </c>
      <c r="K7537" s="15">
        <v>0.70279759061435865</v>
      </c>
      <c r="L7537" s="15">
        <v>0.70279759061435865</v>
      </c>
      <c r="M7537" s="15" t="s">
        <v>10</v>
      </c>
      <c r="N7537" s="15" t="s">
        <v>10</v>
      </c>
      <c r="O7537" s="15" t="s">
        <v>10</v>
      </c>
      <c r="P7537" s="15" t="s">
        <v>10</v>
      </c>
      <c r="Q7537" s="8"/>
      <c r="R7537" s="9" t="s">
        <v>7033</v>
      </c>
    </row>
    <row r="7538" spans="1:18" x14ac:dyDescent="0.25">
      <c r="A7538" s="6" t="str">
        <f>HYPERLINK("proteomic_fractions_linear_files/Yang_linear_img/21704060.jpg", "21704060")</f>
        <v>21704060</v>
      </c>
      <c r="B7538" s="7"/>
      <c r="C7538" s="6" t="str">
        <f>HYPERLINK("http://www.ncbi.nlm.nih.gov/protein/21704060","Tmem189")</f>
        <v>Tmem189</v>
      </c>
      <c r="D7538" s="8"/>
      <c r="E7538" s="8">
        <v>31003</v>
      </c>
      <c r="F7538" s="8"/>
      <c r="G7538" s="15">
        <v>1.2045589168749868</v>
      </c>
      <c r="H7538" s="15">
        <v>1.2045589168749868</v>
      </c>
      <c r="I7538" s="15" t="s">
        <v>10</v>
      </c>
      <c r="J7538" s="15" t="s">
        <v>10</v>
      </c>
      <c r="K7538" s="15" t="s">
        <v>10</v>
      </c>
      <c r="L7538" s="15" t="s">
        <v>10</v>
      </c>
      <c r="M7538" s="15" t="s">
        <v>10</v>
      </c>
      <c r="N7538" s="15" t="s">
        <v>10</v>
      </c>
      <c r="O7538" s="15" t="s">
        <v>10</v>
      </c>
      <c r="P7538" s="15" t="s">
        <v>10</v>
      </c>
      <c r="Q7538" s="8"/>
      <c r="R7538" s="9" t="s">
        <v>7034</v>
      </c>
    </row>
    <row r="7539" spans="1:18" x14ac:dyDescent="0.25">
      <c r="A7539" s="6" t="str">
        <f>HYPERLINK("proteomic_fractions_linear_files/Yang_linear_img/19526846.jpg", "19526846")</f>
        <v>19526846</v>
      </c>
      <c r="B7539" s="7"/>
      <c r="C7539" s="6" t="str">
        <f>HYPERLINK("http://www.ncbi.nlm.nih.gov/protein/19526846","Tmem19")</f>
        <v>Tmem19</v>
      </c>
      <c r="D7539" s="8"/>
      <c r="E7539" s="8">
        <v>36165</v>
      </c>
      <c r="F7539" s="8"/>
      <c r="G7539" s="15" t="s">
        <v>10</v>
      </c>
      <c r="H7539" s="15" t="s">
        <v>10</v>
      </c>
      <c r="I7539" s="15">
        <v>0.72639605876180557</v>
      </c>
      <c r="J7539" s="15">
        <v>0.72639605876180557</v>
      </c>
      <c r="K7539" s="15" t="s">
        <v>10</v>
      </c>
      <c r="L7539" s="15" t="s">
        <v>10</v>
      </c>
      <c r="M7539" s="15" t="s">
        <v>10</v>
      </c>
      <c r="N7539" s="15" t="s">
        <v>10</v>
      </c>
      <c r="O7539" s="15" t="s">
        <v>10</v>
      </c>
      <c r="P7539" s="15" t="s">
        <v>10</v>
      </c>
      <c r="Q7539" s="8"/>
      <c r="R7539" s="9" t="s">
        <v>7035</v>
      </c>
    </row>
    <row r="7540" spans="1:18" x14ac:dyDescent="0.25">
      <c r="A7540" s="6" t="str">
        <f>HYPERLINK("proteomic_fractions_linear_files/Yang_linear_img/254939603.jpg", "254939603")</f>
        <v>254939603</v>
      </c>
      <c r="B7540" s="7"/>
      <c r="C7540" s="6" t="str">
        <f>HYPERLINK("http://www.ncbi.nlm.nih.gov/protein/254939603","Tmem192")</f>
        <v>Tmem192</v>
      </c>
      <c r="D7540" s="8"/>
      <c r="E7540" s="8">
        <v>25264</v>
      </c>
      <c r="F7540" s="8"/>
      <c r="G7540" s="15" t="s">
        <v>10</v>
      </c>
      <c r="H7540" s="15" t="s">
        <v>10</v>
      </c>
      <c r="I7540" s="15">
        <v>1.0460103246170001</v>
      </c>
      <c r="J7540" s="15">
        <v>1.0460103246170001</v>
      </c>
      <c r="K7540" s="15">
        <v>1.1167284519072824</v>
      </c>
      <c r="L7540" s="15">
        <v>1.1167284519072824</v>
      </c>
      <c r="M7540" s="15" t="s">
        <v>10</v>
      </c>
      <c r="N7540" s="15" t="s">
        <v>10</v>
      </c>
      <c r="O7540" s="15" t="s">
        <v>10</v>
      </c>
      <c r="P7540" s="15" t="s">
        <v>10</v>
      </c>
      <c r="Q7540" s="8"/>
      <c r="R7540" s="9" t="s">
        <v>7036</v>
      </c>
    </row>
    <row r="7541" spans="1:18" x14ac:dyDescent="0.25">
      <c r="A7541" s="6" t="str">
        <f>HYPERLINK("proteomic_fractions_linear_files/Yang_linear_img/58037311.jpg", "58037311")</f>
        <v>58037311</v>
      </c>
      <c r="B7541" s="7"/>
      <c r="C7541" s="6" t="str">
        <f>HYPERLINK("http://www.ncbi.nlm.nih.gov/protein/58037311","Tmem192")</f>
        <v>Tmem192</v>
      </c>
      <c r="D7541" s="8"/>
      <c r="E7541" s="8">
        <v>30205</v>
      </c>
      <c r="F7541" s="8"/>
      <c r="G7541" s="15" t="s">
        <v>10</v>
      </c>
      <c r="H7541" s="15" t="s">
        <v>10</v>
      </c>
      <c r="I7541" s="15">
        <v>0.87167527051416671</v>
      </c>
      <c r="J7541" s="15">
        <v>0.87167527051416671</v>
      </c>
      <c r="K7541" s="15">
        <v>0.93060704325606869</v>
      </c>
      <c r="L7541" s="15">
        <v>0.93060704325606869</v>
      </c>
      <c r="M7541" s="15" t="s">
        <v>10</v>
      </c>
      <c r="N7541" s="15" t="s">
        <v>10</v>
      </c>
      <c r="O7541" s="15" t="s">
        <v>10</v>
      </c>
      <c r="P7541" s="15" t="s">
        <v>10</v>
      </c>
      <c r="Q7541" s="8"/>
      <c r="R7541" s="9" t="s">
        <v>7037</v>
      </c>
    </row>
    <row r="7542" spans="1:18" x14ac:dyDescent="0.25">
      <c r="A7542" s="6" t="str">
        <f>HYPERLINK("proteomic_fractions_linear_files/Yang_linear_img/76253926.jpg", "76253926")</f>
        <v>76253926</v>
      </c>
      <c r="B7542" s="7"/>
      <c r="C7542" s="6" t="str">
        <f>HYPERLINK("http://www.ncbi.nlm.nih.gov/protein/76253926","Tmem2")</f>
        <v>Tmem2</v>
      </c>
      <c r="D7542" s="8"/>
      <c r="E7542" s="8">
        <v>153671</v>
      </c>
      <c r="F7542" s="8"/>
      <c r="G7542" s="15" t="s">
        <v>10</v>
      </c>
      <c r="H7542" s="15" t="s">
        <v>10</v>
      </c>
      <c r="I7542" s="15">
        <v>1.5153301794016174</v>
      </c>
      <c r="J7542" s="15">
        <v>1.5153301794016174</v>
      </c>
      <c r="K7542" s="15">
        <v>1.5153301794016174</v>
      </c>
      <c r="L7542" s="15">
        <v>1.5153301794016174</v>
      </c>
      <c r="M7542" s="15" t="s">
        <v>10</v>
      </c>
      <c r="N7542" s="15" t="s">
        <v>10</v>
      </c>
      <c r="O7542" s="15" t="s">
        <v>10</v>
      </c>
      <c r="P7542" s="15" t="s">
        <v>10</v>
      </c>
      <c r="Q7542" s="8"/>
      <c r="R7542" s="9" t="s">
        <v>7038</v>
      </c>
    </row>
    <row r="7543" spans="1:18" x14ac:dyDescent="0.25">
      <c r="A7543" s="6" t="str">
        <f>HYPERLINK("proteomic_fractions_linear_files/Yang_linear_img/331284197.jpg", "331284197")</f>
        <v>331284197</v>
      </c>
      <c r="B7543" s="7"/>
      <c r="C7543" s="6" t="str">
        <f>HYPERLINK("http://www.ncbi.nlm.nih.gov/protein/331284197","Tmem200c")</f>
        <v>Tmem200c</v>
      </c>
      <c r="D7543" s="8"/>
      <c r="E7543" s="8">
        <v>66053</v>
      </c>
      <c r="F7543" s="8"/>
      <c r="G7543" s="15" t="s">
        <v>10</v>
      </c>
      <c r="H7543" s="15" t="s">
        <v>10</v>
      </c>
      <c r="I7543" s="15">
        <v>0.52353600803750278</v>
      </c>
      <c r="J7543" s="15">
        <v>0.52353600803750278</v>
      </c>
      <c r="K7543" s="15" t="s">
        <v>10</v>
      </c>
      <c r="L7543" s="15" t="s">
        <v>10</v>
      </c>
      <c r="M7543" s="15">
        <v>0.52353600803750278</v>
      </c>
      <c r="N7543" s="15">
        <v>0.52353600803750278</v>
      </c>
      <c r="O7543" s="15" t="s">
        <v>10</v>
      </c>
      <c r="P7543" s="15" t="s">
        <v>10</v>
      </c>
      <c r="Q7543" s="8"/>
      <c r="R7543" s="9" t="s">
        <v>7039</v>
      </c>
    </row>
    <row r="7544" spans="1:18" x14ac:dyDescent="0.25">
      <c r="A7544" s="6" t="str">
        <f>HYPERLINK("proteomic_fractions_linear_files/Yang_linear_img/31982159.jpg", "31982159")</f>
        <v>31982159</v>
      </c>
      <c r="B7544" s="7"/>
      <c r="C7544" s="6" t="str">
        <f>HYPERLINK("http://www.ncbi.nlm.nih.gov/protein/31982159","Tmem205")</f>
        <v>Tmem205</v>
      </c>
      <c r="D7544" s="8"/>
      <c r="E7544" s="8">
        <v>21049</v>
      </c>
      <c r="F7544" s="8"/>
      <c r="G7544" s="15">
        <v>1.2452503864488096</v>
      </c>
      <c r="H7544" s="15">
        <v>1.2452503864488096</v>
      </c>
      <c r="I7544" s="15">
        <v>0.88072853164590881</v>
      </c>
      <c r="J7544" s="15">
        <v>0.88072853164590881</v>
      </c>
      <c r="K7544" s="15" t="s">
        <v>10</v>
      </c>
      <c r="L7544" s="15" t="s">
        <v>10</v>
      </c>
      <c r="M7544" s="15" t="s">
        <v>10</v>
      </c>
      <c r="N7544" s="15" t="s">
        <v>10</v>
      </c>
      <c r="O7544" s="15" t="s">
        <v>10</v>
      </c>
      <c r="P7544" s="15" t="s">
        <v>10</v>
      </c>
      <c r="Q7544" s="8"/>
      <c r="R7544" s="9" t="s">
        <v>7040</v>
      </c>
    </row>
    <row r="7545" spans="1:18" x14ac:dyDescent="0.25">
      <c r="A7545" s="6" t="str">
        <f>HYPERLINK("proteomic_fractions_linear_files/Yang_linear_img/359718989.jpg", "359718989")</f>
        <v>359718989</v>
      </c>
      <c r="B7545" s="7"/>
      <c r="C7545" s="6" t="str">
        <f>HYPERLINK("http://www.ncbi.nlm.nih.gov/protein/359718989","Tmem205")</f>
        <v>Tmem205</v>
      </c>
      <c r="D7545" s="8"/>
      <c r="E7545" s="8">
        <v>27061</v>
      </c>
      <c r="F7545" s="8"/>
      <c r="G7545" s="15">
        <v>0.96852807834907406</v>
      </c>
      <c r="H7545" s="15">
        <v>0.96852807834907406</v>
      </c>
      <c r="I7545" s="15">
        <v>0.68501108016904011</v>
      </c>
      <c r="J7545" s="15">
        <v>0.68501108016904011</v>
      </c>
      <c r="K7545" s="15" t="s">
        <v>10</v>
      </c>
      <c r="L7545" s="15" t="s">
        <v>10</v>
      </c>
      <c r="M7545" s="15" t="s">
        <v>10</v>
      </c>
      <c r="N7545" s="15" t="s">
        <v>10</v>
      </c>
      <c r="O7545" s="15" t="s">
        <v>10</v>
      </c>
      <c r="P7545" s="15" t="s">
        <v>10</v>
      </c>
      <c r="Q7545" s="8"/>
      <c r="R7545" s="9" t="s">
        <v>7041</v>
      </c>
    </row>
    <row r="7546" spans="1:18" x14ac:dyDescent="0.25">
      <c r="A7546" s="6" t="str">
        <f>HYPERLINK("proteomic_fractions_linear_files/Yang_linear_img/13384906.jpg", "13384906")</f>
        <v>13384906</v>
      </c>
      <c r="B7546" s="7"/>
      <c r="C7546" s="6" t="str">
        <f>HYPERLINK("http://www.ncbi.nlm.nih.gov/protein/13384906","Tmem208")</f>
        <v>Tmem208</v>
      </c>
      <c r="D7546" s="8"/>
      <c r="E7546" s="8">
        <v>19493</v>
      </c>
      <c r="F7546" s="8"/>
      <c r="G7546" s="15" t="s">
        <v>10</v>
      </c>
      <c r="H7546" s="15" t="s">
        <v>10</v>
      </c>
      <c r="I7546" s="15">
        <v>0.87981444845300116</v>
      </c>
      <c r="J7546" s="15">
        <v>0.87981444845300116</v>
      </c>
      <c r="K7546" s="15" t="s">
        <v>10</v>
      </c>
      <c r="L7546" s="15" t="s">
        <v>10</v>
      </c>
      <c r="M7546" s="15" t="s">
        <v>10</v>
      </c>
      <c r="N7546" s="15" t="s">
        <v>10</v>
      </c>
      <c r="O7546" s="15" t="s">
        <v>10</v>
      </c>
      <c r="P7546" s="15" t="s">
        <v>10</v>
      </c>
      <c r="Q7546" s="8"/>
      <c r="R7546" s="9" t="s">
        <v>7042</v>
      </c>
    </row>
    <row r="7547" spans="1:18" x14ac:dyDescent="0.25">
      <c r="A7547" s="6" t="str">
        <f>HYPERLINK("proteomic_fractions_linear_files/Yang_linear_img/31559970.jpg", "31559970")</f>
        <v>31559970</v>
      </c>
      <c r="B7547" s="7"/>
      <c r="C7547" s="6" t="str">
        <f>HYPERLINK("http://www.ncbi.nlm.nih.gov/protein/31559970","Tmem214")</f>
        <v>Tmem214</v>
      </c>
      <c r="D7547" s="8"/>
      <c r="E7547" s="8">
        <v>76299</v>
      </c>
      <c r="F7547" s="8"/>
      <c r="G7547" s="15" t="s">
        <v>10</v>
      </c>
      <c r="H7547" s="15" t="s">
        <v>10</v>
      </c>
      <c r="I7547" s="15">
        <v>0.96626526633792431</v>
      </c>
      <c r="J7547" s="15">
        <v>0.96626526633792431</v>
      </c>
      <c r="K7547" s="15">
        <v>1.0934034009624192</v>
      </c>
      <c r="L7547" s="15">
        <v>1.0934034009624192</v>
      </c>
      <c r="M7547" s="15" t="s">
        <v>10</v>
      </c>
      <c r="N7547" s="15" t="s">
        <v>10</v>
      </c>
      <c r="O7547" s="15" t="s">
        <v>10</v>
      </c>
      <c r="P7547" s="15" t="s">
        <v>10</v>
      </c>
      <c r="Q7547" s="8"/>
      <c r="R7547" s="9" t="s">
        <v>7043</v>
      </c>
    </row>
    <row r="7548" spans="1:18" x14ac:dyDescent="0.25">
      <c r="A7548" s="6" t="str">
        <f>HYPERLINK("proteomic_fractions_linear_files/Yang_linear_img/213972600.jpg", "213972600")</f>
        <v>213972600</v>
      </c>
      <c r="B7548" s="7"/>
      <c r="C7548" s="6" t="str">
        <f>HYPERLINK("http://www.ncbi.nlm.nih.gov/protein/213972600","Tmem230")</f>
        <v>Tmem230</v>
      </c>
      <c r="D7548" s="8"/>
      <c r="E7548" s="8">
        <v>13057</v>
      </c>
      <c r="F7548" s="8"/>
      <c r="G7548" s="15" t="s">
        <v>10</v>
      </c>
      <c r="H7548" s="15" t="s">
        <v>10</v>
      </c>
      <c r="I7548" s="15">
        <v>1.2251878294755212</v>
      </c>
      <c r="J7548" s="15">
        <v>1.2251878294755212</v>
      </c>
      <c r="K7548" s="15" t="s">
        <v>10</v>
      </c>
      <c r="L7548" s="15" t="s">
        <v>10</v>
      </c>
      <c r="M7548" s="15" t="s">
        <v>10</v>
      </c>
      <c r="N7548" s="15" t="s">
        <v>10</v>
      </c>
      <c r="O7548" s="15" t="s">
        <v>10</v>
      </c>
      <c r="P7548" s="15" t="s">
        <v>10</v>
      </c>
      <c r="Q7548" s="8"/>
      <c r="R7548" s="9" t="s">
        <v>7044</v>
      </c>
    </row>
    <row r="7549" spans="1:18" x14ac:dyDescent="0.25">
      <c r="A7549" s="6" t="str">
        <f>HYPERLINK("proteomic_fractions_linear_files/Yang_linear_img/75677480.jpg", "75677480")</f>
        <v>75677480</v>
      </c>
      <c r="B7549" s="7"/>
      <c r="C7549" s="6" t="str">
        <f>HYPERLINK("http://www.ncbi.nlm.nih.gov/protein/75677480","Tmem231")</f>
        <v>Tmem231</v>
      </c>
      <c r="D7549" s="8"/>
      <c r="E7549" s="8">
        <v>36130</v>
      </c>
      <c r="F7549" s="8"/>
      <c r="G7549" s="15" t="s">
        <v>10</v>
      </c>
      <c r="H7549" s="15" t="s">
        <v>10</v>
      </c>
      <c r="I7549" s="15">
        <v>0.95981601473542177</v>
      </c>
      <c r="J7549" s="15">
        <v>0.95981601473542177</v>
      </c>
      <c r="K7549" s="15">
        <v>0.95981601473542177</v>
      </c>
      <c r="L7549" s="15">
        <v>0.95981601473542177</v>
      </c>
      <c r="M7549" s="15" t="s">
        <v>10</v>
      </c>
      <c r="N7549" s="15" t="s">
        <v>10</v>
      </c>
      <c r="O7549" s="15" t="s">
        <v>10</v>
      </c>
      <c r="P7549" s="15" t="s">
        <v>10</v>
      </c>
      <c r="Q7549" s="8"/>
      <c r="R7549" s="9" t="s">
        <v>7045</v>
      </c>
    </row>
    <row r="7550" spans="1:18" x14ac:dyDescent="0.25">
      <c r="A7550" s="6" t="str">
        <f>HYPERLINK("proteomic_fractions_linear_files/Yang_linear_img/395132459;395132466.jpg", "395132459;395132466")</f>
        <v>395132459;395132466</v>
      </c>
      <c r="B7550" s="8"/>
      <c r="C7550" s="6" t="str">
        <f>HYPERLINK("http://www.ncbi.nlm.nih.gov/protein/395132459;395132466","Tmem254b")</f>
        <v>Tmem254b</v>
      </c>
      <c r="D7550" s="8"/>
      <c r="E7550" s="8">
        <v>14805</v>
      </c>
      <c r="F7550" s="8"/>
      <c r="G7550" s="15">
        <v>1.4530494847119166</v>
      </c>
      <c r="H7550" s="15">
        <v>1.4530494847119166</v>
      </c>
      <c r="I7550" s="15" t="s">
        <v>10</v>
      </c>
      <c r="J7550" s="15" t="s">
        <v>10</v>
      </c>
      <c r="K7550" s="15" t="s">
        <v>10</v>
      </c>
      <c r="L7550" s="15" t="s">
        <v>10</v>
      </c>
      <c r="M7550" s="15" t="s">
        <v>10</v>
      </c>
      <c r="N7550" s="15" t="s">
        <v>10</v>
      </c>
      <c r="O7550" s="15" t="s">
        <v>10</v>
      </c>
      <c r="P7550" s="15" t="s">
        <v>10</v>
      </c>
      <c r="Q7550" s="8"/>
      <c r="R7550" s="9" t="s">
        <v>7046</v>
      </c>
    </row>
    <row r="7551" spans="1:18" x14ac:dyDescent="0.25">
      <c r="A7551" s="6" t="str">
        <f>HYPERLINK("proteomic_fractions_linear_files/Yang_linear_img/395132457.jpg", "395132457")</f>
        <v>395132457</v>
      </c>
      <c r="B7551" s="7"/>
      <c r="C7551" s="6" t="str">
        <f>HYPERLINK("http://www.ncbi.nlm.nih.gov/protein/395132457","Tmem254b")</f>
        <v>Tmem254b</v>
      </c>
      <c r="D7551" s="8"/>
      <c r="E7551" s="8">
        <v>14107</v>
      </c>
      <c r="F7551" s="8"/>
      <c r="G7551" s="15">
        <v>1.5568387336199108</v>
      </c>
      <c r="H7551" s="15">
        <v>1.5568387336199108</v>
      </c>
      <c r="I7551" s="15">
        <v>0.99184646428118928</v>
      </c>
      <c r="J7551" s="15">
        <v>0.99184646428118928</v>
      </c>
      <c r="K7551" s="15">
        <v>1.085452735272449</v>
      </c>
      <c r="L7551" s="15">
        <v>1.085452735272449</v>
      </c>
      <c r="M7551" s="15">
        <v>1.0369624087050249</v>
      </c>
      <c r="N7551" s="15">
        <v>1.0369624087050249</v>
      </c>
      <c r="O7551" s="15" t="s">
        <v>10</v>
      </c>
      <c r="P7551" s="15" t="s">
        <v>10</v>
      </c>
      <c r="Q7551" s="8"/>
      <c r="R7551" s="9" t="s">
        <v>7047</v>
      </c>
    </row>
    <row r="7552" spans="1:18" x14ac:dyDescent="0.25">
      <c r="A7552" s="6" t="str">
        <f>HYPERLINK("proteomic_fractions_linear_files/Yang_linear_img/395132466.jpg", "395132466")</f>
        <v>395132466</v>
      </c>
      <c r="B7552" s="7"/>
      <c r="C7552" s="6" t="str">
        <f>HYPERLINK("http://www.ncbi.nlm.nih.gov/protein/395132466","Tmem254c")</f>
        <v>Tmem254c</v>
      </c>
      <c r="D7552" s="8"/>
      <c r="E7552" s="8">
        <v>14805</v>
      </c>
      <c r="F7552" s="8"/>
      <c r="G7552" s="15" t="s">
        <v>10</v>
      </c>
      <c r="H7552" s="15" t="s">
        <v>10</v>
      </c>
      <c r="I7552" s="15">
        <v>0.92572336666244337</v>
      </c>
      <c r="J7552" s="15">
        <v>0.92572336666244337</v>
      </c>
      <c r="K7552" s="15" t="s">
        <v>10</v>
      </c>
      <c r="L7552" s="15" t="s">
        <v>10</v>
      </c>
      <c r="M7552" s="15" t="s">
        <v>10</v>
      </c>
      <c r="N7552" s="15" t="s">
        <v>10</v>
      </c>
      <c r="O7552" s="15" t="s">
        <v>10</v>
      </c>
      <c r="P7552" s="15" t="s">
        <v>10</v>
      </c>
      <c r="Q7552" s="8"/>
      <c r="R7552" s="9" t="s">
        <v>7048</v>
      </c>
    </row>
    <row r="7553" spans="1:18" x14ac:dyDescent="0.25">
      <c r="A7553" s="6" t="str">
        <f>HYPERLINK("proteomic_fractions_linear_files/Yang_linear_img/110625730.jpg", "110625730")</f>
        <v>110625730</v>
      </c>
      <c r="B7553" s="7"/>
      <c r="C7553" s="6" t="str">
        <f>HYPERLINK("http://www.ncbi.nlm.nih.gov/protein/110625730","Tmem256")</f>
        <v>Tmem256</v>
      </c>
      <c r="D7553" s="8"/>
      <c r="E7553" s="8">
        <v>9014</v>
      </c>
      <c r="F7553" s="8"/>
      <c r="G7553" s="15">
        <v>2.0550332405071203</v>
      </c>
      <c r="H7553" s="15">
        <v>2.0550332405071203</v>
      </c>
      <c r="I7553" s="15" t="s">
        <v>10</v>
      </c>
      <c r="J7553" s="15" t="s">
        <v>10</v>
      </c>
      <c r="K7553" s="15">
        <v>1.3592068102590398</v>
      </c>
      <c r="L7553" s="15">
        <v>1.3592068102590398</v>
      </c>
      <c r="M7553" s="15" t="s">
        <v>10</v>
      </c>
      <c r="N7553" s="15" t="s">
        <v>10</v>
      </c>
      <c r="O7553" s="15" t="s">
        <v>10</v>
      </c>
      <c r="P7553" s="15" t="s">
        <v>10</v>
      </c>
      <c r="Q7553" s="8"/>
      <c r="R7553" s="9" t="s">
        <v>7049</v>
      </c>
    </row>
    <row r="7554" spans="1:18" x14ac:dyDescent="0.25">
      <c r="A7554" s="6" t="str">
        <f>HYPERLINK("proteomic_fractions_linear_files/Yang_linear_img/19526900.jpg", "19526900")</f>
        <v>19526900</v>
      </c>
      <c r="B7554" s="7"/>
      <c r="C7554" s="6" t="str">
        <f>HYPERLINK("http://www.ncbi.nlm.nih.gov/protein/19526900","Tmem30a")</f>
        <v>Tmem30a</v>
      </c>
      <c r="D7554" s="8"/>
      <c r="E7554" s="8">
        <v>40930</v>
      </c>
      <c r="F7554" s="8"/>
      <c r="G7554" s="15" t="s">
        <v>10</v>
      </c>
      <c r="H7554" s="15" t="s">
        <v>10</v>
      </c>
      <c r="I7554" s="15" t="s">
        <v>10</v>
      </c>
      <c r="J7554" s="15" t="s">
        <v>10</v>
      </c>
      <c r="K7554" s="15">
        <v>2.0267965481254597</v>
      </c>
      <c r="L7554" s="15">
        <v>2.0267965481254597</v>
      </c>
      <c r="M7554" s="15" t="s">
        <v>10</v>
      </c>
      <c r="N7554" s="15" t="s">
        <v>10</v>
      </c>
      <c r="O7554" s="15" t="s">
        <v>10</v>
      </c>
      <c r="P7554" s="15" t="s">
        <v>10</v>
      </c>
      <c r="Q7554" s="8"/>
      <c r="R7554" s="9" t="s">
        <v>7050</v>
      </c>
    </row>
    <row r="7555" spans="1:18" x14ac:dyDescent="0.25">
      <c r="A7555" s="6" t="str">
        <f>HYPERLINK("proteomic_fractions_linear_files/Yang_linear_img/22267448.jpg", "22267448")</f>
        <v>22267448</v>
      </c>
      <c r="B7555" s="7"/>
      <c r="C7555" s="6" t="str">
        <f>HYPERLINK("http://www.ncbi.nlm.nih.gov/protein/22267448","Tmem33")</f>
        <v>Tmem33</v>
      </c>
      <c r="D7555" s="8"/>
      <c r="E7555" s="8">
        <v>27900</v>
      </c>
      <c r="F7555" s="8"/>
      <c r="G7555" s="15">
        <v>0.73562289952343829</v>
      </c>
      <c r="H7555" s="15">
        <v>0.73562289952343829</v>
      </c>
      <c r="I7555" s="15">
        <v>0.77841936680995538</v>
      </c>
      <c r="J7555" s="15">
        <v>0.77841936680995538</v>
      </c>
      <c r="K7555" s="15">
        <v>0.82534190623990877</v>
      </c>
      <c r="L7555" s="15">
        <v>0.82534190623990877</v>
      </c>
      <c r="M7555" s="15">
        <v>0.77841936680995538</v>
      </c>
      <c r="N7555" s="15">
        <v>0.77841936680995538</v>
      </c>
      <c r="O7555" s="15" t="s">
        <v>10</v>
      </c>
      <c r="P7555" s="15" t="s">
        <v>10</v>
      </c>
      <c r="Q7555" s="8"/>
      <c r="R7555" s="9" t="s">
        <v>7051</v>
      </c>
    </row>
    <row r="7556" spans="1:18" x14ac:dyDescent="0.25">
      <c r="A7556" s="6" t="str">
        <f>HYPERLINK("proteomic_fractions_linear_files/Yang_linear_img/68533251.jpg", "68533251")</f>
        <v>68533251</v>
      </c>
      <c r="B7556" s="7"/>
      <c r="C7556" s="6" t="str">
        <f>HYPERLINK("http://www.ncbi.nlm.nih.gov/protein/68533251","Tmem33")</f>
        <v>Tmem33</v>
      </c>
      <c r="D7556" s="8"/>
      <c r="E7556" s="8">
        <v>27801</v>
      </c>
      <c r="F7556" s="8"/>
      <c r="G7556" s="15">
        <v>0.73562289952343829</v>
      </c>
      <c r="H7556" s="15">
        <v>0.73562289952343829</v>
      </c>
      <c r="I7556" s="15">
        <v>0.77841936680995538</v>
      </c>
      <c r="J7556" s="15">
        <v>0.77841936680995538</v>
      </c>
      <c r="K7556" s="15">
        <v>0.82534190623990877</v>
      </c>
      <c r="L7556" s="15">
        <v>0.82534190623990877</v>
      </c>
      <c r="M7556" s="15">
        <v>0.77841936680995538</v>
      </c>
      <c r="N7556" s="15">
        <v>0.77841936680995538</v>
      </c>
      <c r="O7556" s="15" t="s">
        <v>10</v>
      </c>
      <c r="P7556" s="15" t="s">
        <v>10</v>
      </c>
      <c r="Q7556" s="8"/>
      <c r="R7556" s="9" t="s">
        <v>7052</v>
      </c>
    </row>
    <row r="7557" spans="1:18" x14ac:dyDescent="0.25">
      <c r="A7557" s="6" t="str">
        <f>HYPERLINK("proteomic_fractions_linear_files/Yang_linear_img/85662379.jpg", "85662379")</f>
        <v>85662379</v>
      </c>
      <c r="B7557" s="7"/>
      <c r="C7557" s="6" t="str">
        <f>HYPERLINK("http://www.ncbi.nlm.nih.gov/protein/85662379","Tmem41b")</f>
        <v>Tmem41b</v>
      </c>
      <c r="D7557" s="8"/>
      <c r="E7557" s="8">
        <v>32298</v>
      </c>
      <c r="F7557" s="8"/>
      <c r="G7557" s="15" t="s">
        <v>10</v>
      </c>
      <c r="H7557" s="15" t="s">
        <v>10</v>
      </c>
      <c r="I7557" s="15">
        <v>0.68111694595871097</v>
      </c>
      <c r="J7557" s="15">
        <v>0.68111694595871097</v>
      </c>
      <c r="K7557" s="15" t="s">
        <v>10</v>
      </c>
      <c r="L7557" s="15" t="s">
        <v>10</v>
      </c>
      <c r="M7557" s="15" t="s">
        <v>10</v>
      </c>
      <c r="N7557" s="15" t="s">
        <v>10</v>
      </c>
      <c r="O7557" s="15" t="s">
        <v>10</v>
      </c>
      <c r="P7557" s="15" t="s">
        <v>10</v>
      </c>
      <c r="Q7557" s="8"/>
      <c r="R7557" s="9" t="s">
        <v>7053</v>
      </c>
    </row>
    <row r="7558" spans="1:18" x14ac:dyDescent="0.25">
      <c r="A7558" s="6" t="str">
        <f>HYPERLINK("proteomic_fractions_linear_files/Yang_linear_img/21311891.jpg", "21311891")</f>
        <v>21311891</v>
      </c>
      <c r="B7558" s="7"/>
      <c r="C7558" s="6" t="str">
        <f>HYPERLINK("http://www.ncbi.nlm.nih.gov/protein/21311891","Tmem43")</f>
        <v>Tmem43</v>
      </c>
      <c r="D7558" s="8"/>
      <c r="E7558" s="8">
        <v>44652</v>
      </c>
      <c r="F7558" s="8"/>
      <c r="G7558" s="15">
        <v>1.1804571028889128</v>
      </c>
      <c r="H7558" s="15">
        <v>1.1804571028889128</v>
      </c>
      <c r="I7558" s="15">
        <v>0.90016262673828318</v>
      </c>
      <c r="J7558" s="15">
        <v>0.90016262673828318</v>
      </c>
      <c r="K7558" s="15">
        <v>0.90016262673828318</v>
      </c>
      <c r="L7558" s="15">
        <v>0.90016262673828318</v>
      </c>
      <c r="M7558" s="15" t="s">
        <v>10</v>
      </c>
      <c r="N7558" s="15" t="s">
        <v>10</v>
      </c>
      <c r="O7558" s="15" t="s">
        <v>10</v>
      </c>
      <c r="P7558" s="15" t="s">
        <v>10</v>
      </c>
      <c r="Q7558" s="8"/>
      <c r="R7558" s="9" t="s">
        <v>7054</v>
      </c>
    </row>
    <row r="7559" spans="1:18" x14ac:dyDescent="0.25">
      <c r="A7559" s="6" t="str">
        <f>HYPERLINK("proteomic_fractions_linear_files/Yang_linear_img/21450349.jpg", "21450349")</f>
        <v>21450349</v>
      </c>
      <c r="B7559" s="7"/>
      <c r="C7559" s="6" t="str">
        <f>HYPERLINK("http://www.ncbi.nlm.nih.gov/protein/21450349","Tmem45b")</f>
        <v>Tmem45b</v>
      </c>
      <c r="D7559" s="8"/>
      <c r="E7559" s="8">
        <v>32257</v>
      </c>
      <c r="F7559" s="8"/>
      <c r="G7559" s="15" t="s">
        <v>10</v>
      </c>
      <c r="H7559" s="15" t="s">
        <v>10</v>
      </c>
      <c r="I7559" s="15" t="s">
        <v>10</v>
      </c>
      <c r="J7559" s="15" t="s">
        <v>10</v>
      </c>
      <c r="K7559" s="15">
        <v>0.72217416795992018</v>
      </c>
      <c r="L7559" s="15">
        <v>0.72217416795992018</v>
      </c>
      <c r="M7559" s="15" t="s">
        <v>10</v>
      </c>
      <c r="N7559" s="15" t="s">
        <v>10</v>
      </c>
      <c r="O7559" s="15" t="s">
        <v>10</v>
      </c>
      <c r="P7559" s="15" t="s">
        <v>10</v>
      </c>
      <c r="Q7559" s="8"/>
      <c r="R7559" s="9" t="s">
        <v>7055</v>
      </c>
    </row>
    <row r="7560" spans="1:18" x14ac:dyDescent="0.25">
      <c r="A7560" s="6" t="str">
        <f>HYPERLINK("proteomic_fractions_linear_files/Yang_linear_img/34610239.jpg", "34610239")</f>
        <v>34610239</v>
      </c>
      <c r="B7560" s="7"/>
      <c r="C7560" s="6" t="str">
        <f>HYPERLINK("http://www.ncbi.nlm.nih.gov/protein/34610239","Tmem50a")</f>
        <v>Tmem50a</v>
      </c>
      <c r="D7560" s="8"/>
      <c r="E7560" s="8">
        <v>17364</v>
      </c>
      <c r="F7560" s="8"/>
      <c r="G7560" s="15" t="s">
        <v>10</v>
      </c>
      <c r="H7560" s="15" t="s">
        <v>10</v>
      </c>
      <c r="I7560" s="15">
        <v>0.89390225257731093</v>
      </c>
      <c r="J7560" s="15">
        <v>0.89390225257731093</v>
      </c>
      <c r="K7560" s="15" t="s">
        <v>10</v>
      </c>
      <c r="L7560" s="15" t="s">
        <v>10</v>
      </c>
      <c r="M7560" s="15" t="s">
        <v>10</v>
      </c>
      <c r="N7560" s="15" t="s">
        <v>10</v>
      </c>
      <c r="O7560" s="15" t="s">
        <v>10</v>
      </c>
      <c r="P7560" s="15" t="s">
        <v>10</v>
      </c>
      <c r="Q7560" s="8"/>
      <c r="R7560" s="9" t="s">
        <v>7056</v>
      </c>
    </row>
    <row r="7561" spans="1:18" x14ac:dyDescent="0.25">
      <c r="A7561" s="6" t="str">
        <f>HYPERLINK("proteomic_fractions_linear_files/Yang_linear_img/21313410.jpg", "21313410")</f>
        <v>21313410</v>
      </c>
      <c r="B7561" s="7"/>
      <c r="C7561" s="6" t="str">
        <f>HYPERLINK("http://www.ncbi.nlm.nih.gov/protein/21313410","Tmem50b")</f>
        <v>Tmem50b</v>
      </c>
      <c r="D7561" s="8"/>
      <c r="E7561" s="8">
        <v>17817</v>
      </c>
      <c r="F7561" s="8"/>
      <c r="G7561" s="15">
        <v>0.80652631788168594</v>
      </c>
      <c r="H7561" s="15">
        <v>0.80652631788168594</v>
      </c>
      <c r="I7561" s="15">
        <v>0.84424101632301585</v>
      </c>
      <c r="J7561" s="15">
        <v>0.84424101632301585</v>
      </c>
      <c r="K7561" s="15">
        <v>0.84424101632301585</v>
      </c>
      <c r="L7561" s="15">
        <v>0.84424101632301585</v>
      </c>
      <c r="M7561" s="15">
        <v>0.84424101632301585</v>
      </c>
      <c r="N7561" s="15">
        <v>0.84424101632301585</v>
      </c>
      <c r="O7561" s="15" t="s">
        <v>10</v>
      </c>
      <c r="P7561" s="15" t="s">
        <v>10</v>
      </c>
      <c r="Q7561" s="8"/>
      <c r="R7561" s="9" t="s">
        <v>7057</v>
      </c>
    </row>
    <row r="7562" spans="1:18" x14ac:dyDescent="0.25">
      <c r="A7562" s="6" t="str">
        <f>HYPERLINK("proteomic_fractions_linear_files/Yang_linear_img/21312268.jpg", "21312268")</f>
        <v>21312268</v>
      </c>
      <c r="B7562" s="7"/>
      <c r="C7562" s="6" t="str">
        <f>HYPERLINK("http://www.ncbi.nlm.nih.gov/protein/21312268","Tmem55a")</f>
        <v>Tmem55a</v>
      </c>
      <c r="D7562" s="8"/>
      <c r="E7562" s="8">
        <v>27907</v>
      </c>
      <c r="F7562" s="8"/>
      <c r="G7562" s="15" t="s">
        <v>10</v>
      </c>
      <c r="H7562" s="15" t="s">
        <v>10</v>
      </c>
      <c r="I7562" s="15">
        <v>0.93393778983660714</v>
      </c>
      <c r="J7562" s="15">
        <v>0.93393778983660714</v>
      </c>
      <c r="K7562" s="15">
        <v>0.99707897491721642</v>
      </c>
      <c r="L7562" s="15">
        <v>0.99707897491721642</v>
      </c>
      <c r="M7562" s="15" t="s">
        <v>10</v>
      </c>
      <c r="N7562" s="15" t="s">
        <v>10</v>
      </c>
      <c r="O7562" s="15" t="s">
        <v>10</v>
      </c>
      <c r="P7562" s="15" t="s">
        <v>10</v>
      </c>
      <c r="Q7562" s="8"/>
      <c r="R7562" s="9" t="s">
        <v>7058</v>
      </c>
    </row>
    <row r="7563" spans="1:18" x14ac:dyDescent="0.25">
      <c r="A7563" s="6" t="str">
        <f>HYPERLINK("proteomic_fractions_linear_files/Yang_linear_img/84095197.jpg", "84095197")</f>
        <v>84095197</v>
      </c>
      <c r="B7563" s="7"/>
      <c r="C7563" s="6" t="str">
        <f>HYPERLINK("http://www.ncbi.nlm.nih.gov/protein/84095197","Tmem55b")</f>
        <v>Tmem55b</v>
      </c>
      <c r="D7563" s="8"/>
      <c r="E7563" s="8">
        <v>29916</v>
      </c>
      <c r="F7563" s="8"/>
      <c r="G7563" s="15" t="s">
        <v>10</v>
      </c>
      <c r="H7563" s="15" t="s">
        <v>10</v>
      </c>
      <c r="I7563" s="15">
        <v>0.99618022972377107</v>
      </c>
      <c r="J7563" s="15">
        <v>0.99618022972377107</v>
      </c>
      <c r="K7563" s="15">
        <v>0.99618022972377107</v>
      </c>
      <c r="L7563" s="15">
        <v>0.99618022972377107</v>
      </c>
      <c r="M7563" s="15">
        <v>0.99618022972377107</v>
      </c>
      <c r="N7563" s="15">
        <v>0.99618022972377107</v>
      </c>
      <c r="O7563" s="15" t="s">
        <v>10</v>
      </c>
      <c r="P7563" s="15" t="s">
        <v>10</v>
      </c>
      <c r="Q7563" s="8"/>
      <c r="R7563" s="9" t="s">
        <v>7059</v>
      </c>
    </row>
    <row r="7564" spans="1:18" x14ac:dyDescent="0.25">
      <c r="A7564" s="6" t="str">
        <f>HYPERLINK("proteomic_fractions_linear_files/Yang_linear_img/227330571.jpg", "227330571")</f>
        <v>227330571</v>
      </c>
      <c r="B7564" s="7"/>
      <c r="C7564" s="6" t="str">
        <f>HYPERLINK("http://www.ncbi.nlm.nih.gov/protein/227330571","Tmem59")</f>
        <v>Tmem59</v>
      </c>
      <c r="D7564" s="8"/>
      <c r="E7564" s="8">
        <v>32914</v>
      </c>
      <c r="F7564" s="8"/>
      <c r="G7564" s="15" t="s">
        <v>10</v>
      </c>
      <c r="H7564" s="15" t="s">
        <v>10</v>
      </c>
      <c r="I7564" s="15">
        <v>0.43992344611728323</v>
      </c>
      <c r="J7564" s="15">
        <v>0.43992344611728323</v>
      </c>
      <c r="K7564" s="15" t="s">
        <v>10</v>
      </c>
      <c r="L7564" s="15" t="s">
        <v>10</v>
      </c>
      <c r="M7564" s="15" t="s">
        <v>10</v>
      </c>
      <c r="N7564" s="15" t="s">
        <v>10</v>
      </c>
      <c r="O7564" s="15" t="s">
        <v>10</v>
      </c>
      <c r="P7564" s="15" t="s">
        <v>10</v>
      </c>
      <c r="Q7564" s="8"/>
      <c r="R7564" s="9" t="s">
        <v>7060</v>
      </c>
    </row>
    <row r="7565" spans="1:18" x14ac:dyDescent="0.25">
      <c r="A7565" s="6" t="str">
        <f>HYPERLINK("proteomic_fractions_linear_files/Yang_linear_img/21450147.jpg", "21450147")</f>
        <v>21450147</v>
      </c>
      <c r="B7565" s="7"/>
      <c r="C7565" s="6" t="str">
        <f>HYPERLINK("http://www.ncbi.nlm.nih.gov/protein/21450147","Tmem63a")</f>
        <v>Tmem63a</v>
      </c>
      <c r="D7565" s="8"/>
      <c r="E7565" s="8">
        <v>91729</v>
      </c>
      <c r="F7565" s="8"/>
      <c r="G7565" s="15">
        <v>1.6679659906113244</v>
      </c>
      <c r="H7565" s="15">
        <v>1.6679659906113244</v>
      </c>
      <c r="I7565" s="15">
        <v>3.2802535286575956</v>
      </c>
      <c r="J7565" s="15">
        <v>3.2802535286575956</v>
      </c>
      <c r="K7565" s="15">
        <v>1.3991481320121408</v>
      </c>
      <c r="L7565" s="15">
        <v>1.3991481320121408</v>
      </c>
      <c r="M7565" s="15" t="s">
        <v>10</v>
      </c>
      <c r="N7565" s="15" t="s">
        <v>10</v>
      </c>
      <c r="O7565" s="15" t="s">
        <v>10</v>
      </c>
      <c r="P7565" s="15" t="s">
        <v>10</v>
      </c>
      <c r="Q7565" s="8"/>
      <c r="R7565" s="9" t="s">
        <v>7061</v>
      </c>
    </row>
    <row r="7566" spans="1:18" x14ac:dyDescent="0.25">
      <c r="A7566" s="6" t="str">
        <f>HYPERLINK("proteomic_fractions_linear_files/Yang_linear_img/226342964.jpg", "226342964")</f>
        <v>226342964</v>
      </c>
      <c r="B7566" s="7"/>
      <c r="C7566" s="6" t="str">
        <f>HYPERLINK("http://www.ncbi.nlm.nih.gov/protein/226342964","Tmem63b")</f>
        <v>Tmem63b</v>
      </c>
      <c r="D7566" s="8"/>
      <c r="E7566" s="8">
        <v>94644</v>
      </c>
      <c r="F7566" s="8"/>
      <c r="G7566" s="15" t="s">
        <v>10</v>
      </c>
      <c r="H7566" s="15" t="s">
        <v>10</v>
      </c>
      <c r="I7566" s="15" t="s">
        <v>10</v>
      </c>
      <c r="J7566" s="15" t="s">
        <v>10</v>
      </c>
      <c r="K7566" s="15">
        <v>1.6152933803814931</v>
      </c>
      <c r="L7566" s="15">
        <v>1.6152933803814931</v>
      </c>
      <c r="M7566" s="15" t="s">
        <v>10</v>
      </c>
      <c r="N7566" s="15" t="s">
        <v>10</v>
      </c>
      <c r="O7566" s="15" t="s">
        <v>10</v>
      </c>
      <c r="P7566" s="15" t="s">
        <v>10</v>
      </c>
      <c r="Q7566" s="8"/>
      <c r="R7566" s="9" t="s">
        <v>7062</v>
      </c>
    </row>
    <row r="7567" spans="1:18" x14ac:dyDescent="0.25">
      <c r="A7567" s="6" t="str">
        <f>HYPERLINK("proteomic_fractions_linear_files/Yang_linear_img/70778812.jpg", "70778812")</f>
        <v>70778812</v>
      </c>
      <c r="B7567" s="7"/>
      <c r="C7567" s="6" t="str">
        <f>HYPERLINK("http://www.ncbi.nlm.nih.gov/protein/70778812","Tmem65")</f>
        <v>Tmem65</v>
      </c>
      <c r="D7567" s="8"/>
      <c r="E7567" s="8">
        <v>24787</v>
      </c>
      <c r="F7567" s="8"/>
      <c r="G7567" s="15" t="s">
        <v>10</v>
      </c>
      <c r="H7567" s="15" t="s">
        <v>10</v>
      </c>
      <c r="I7567" s="15">
        <v>0.70279759061435865</v>
      </c>
      <c r="J7567" s="15">
        <v>0.70279759061435865</v>
      </c>
      <c r="K7567" s="15" t="s">
        <v>10</v>
      </c>
      <c r="L7567" s="15" t="s">
        <v>10</v>
      </c>
      <c r="M7567" s="15" t="s">
        <v>10</v>
      </c>
      <c r="N7567" s="15" t="s">
        <v>10</v>
      </c>
      <c r="O7567" s="15" t="s">
        <v>10</v>
      </c>
      <c r="P7567" s="15" t="s">
        <v>10</v>
      </c>
      <c r="Q7567" s="8"/>
      <c r="R7567" s="9" t="s">
        <v>7063</v>
      </c>
    </row>
    <row r="7568" spans="1:18" x14ac:dyDescent="0.25">
      <c r="A7568" s="6" t="str">
        <f>HYPERLINK("proteomic_fractions_linear_files/Yang_linear_img/158631230.jpg", "158631230")</f>
        <v>158631230</v>
      </c>
      <c r="B7568" s="7"/>
      <c r="C7568" s="6" t="str">
        <f>HYPERLINK("http://www.ncbi.nlm.nih.gov/protein/158631230","Tmem66")</f>
        <v>Tmem66</v>
      </c>
      <c r="D7568" s="8"/>
      <c r="E7568" s="8">
        <v>38574</v>
      </c>
      <c r="F7568" s="8"/>
      <c r="G7568" s="15" t="s">
        <v>10</v>
      </c>
      <c r="H7568" s="15" t="s">
        <v>10</v>
      </c>
      <c r="I7568" s="15">
        <v>0.71585157173543745</v>
      </c>
      <c r="J7568" s="15">
        <v>0.71585157173543745</v>
      </c>
      <c r="K7568" s="15" t="s">
        <v>10</v>
      </c>
      <c r="L7568" s="15" t="s">
        <v>10</v>
      </c>
      <c r="M7568" s="15" t="s">
        <v>10</v>
      </c>
      <c r="N7568" s="15" t="s">
        <v>10</v>
      </c>
      <c r="O7568" s="15" t="s">
        <v>10</v>
      </c>
      <c r="P7568" s="15" t="s">
        <v>10</v>
      </c>
      <c r="Q7568" s="8"/>
      <c r="R7568" s="9" t="s">
        <v>7064</v>
      </c>
    </row>
    <row r="7569" spans="1:18" x14ac:dyDescent="0.25">
      <c r="A7569" s="6" t="str">
        <f>HYPERLINK("proteomic_fractions_linear_files/Yang_linear_img/117647263.jpg", "117647263")</f>
        <v>117647263</v>
      </c>
      <c r="B7569" s="7"/>
      <c r="C7569" s="6" t="str">
        <f>HYPERLINK("http://www.ncbi.nlm.nih.gov/protein/117647263","Tmem70")</f>
        <v>Tmem70</v>
      </c>
      <c r="D7569" s="8"/>
      <c r="E7569" s="8">
        <v>20074</v>
      </c>
      <c r="F7569" s="8"/>
      <c r="G7569" s="15" t="s">
        <v>10</v>
      </c>
      <c r="H7569" s="15" t="s">
        <v>10</v>
      </c>
      <c r="I7569" s="15">
        <v>0.87849698826794831</v>
      </c>
      <c r="J7569" s="15">
        <v>0.87849698826794831</v>
      </c>
      <c r="K7569" s="15" t="s">
        <v>10</v>
      </c>
      <c r="L7569" s="15" t="s">
        <v>10</v>
      </c>
      <c r="M7569" s="15" t="s">
        <v>10</v>
      </c>
      <c r="N7569" s="15" t="s">
        <v>10</v>
      </c>
      <c r="O7569" s="15" t="s">
        <v>10</v>
      </c>
      <c r="P7569" s="15" t="s">
        <v>10</v>
      </c>
      <c r="Q7569" s="8"/>
      <c r="R7569" s="9" t="s">
        <v>7065</v>
      </c>
    </row>
    <row r="7570" spans="1:18" x14ac:dyDescent="0.25">
      <c r="A7570" s="6" t="str">
        <f>HYPERLINK("proteomic_fractions_linear_files/Yang_linear_img/117647265.jpg", "117647265")</f>
        <v>117647265</v>
      </c>
      <c r="B7570" s="7"/>
      <c r="C7570" s="6" t="str">
        <f>HYPERLINK("http://www.ncbi.nlm.nih.gov/protein/117647265","Tmem70")</f>
        <v>Tmem70</v>
      </c>
      <c r="D7570" s="8"/>
      <c r="E7570" s="8">
        <v>28272</v>
      </c>
      <c r="F7570" s="8"/>
      <c r="G7570" s="15" t="s">
        <v>10</v>
      </c>
      <c r="H7570" s="15" t="s">
        <v>10</v>
      </c>
      <c r="I7570" s="15">
        <v>0.62749784876282022</v>
      </c>
      <c r="J7570" s="15">
        <v>0.62749784876282022</v>
      </c>
      <c r="K7570" s="15" t="s">
        <v>10</v>
      </c>
      <c r="L7570" s="15" t="s">
        <v>10</v>
      </c>
      <c r="M7570" s="15" t="s">
        <v>10</v>
      </c>
      <c r="N7570" s="15" t="s">
        <v>10</v>
      </c>
      <c r="O7570" s="15" t="s">
        <v>10</v>
      </c>
      <c r="P7570" s="15" t="s">
        <v>10</v>
      </c>
      <c r="Q7570" s="8"/>
      <c r="R7570" s="9" t="s">
        <v>7066</v>
      </c>
    </row>
    <row r="7571" spans="1:18" x14ac:dyDescent="0.25">
      <c r="A7571" s="6" t="str">
        <f>HYPERLINK("proteomic_fractions_linear_files/Yang_linear_img/160333201.jpg", "160333201")</f>
        <v>160333201</v>
      </c>
      <c r="B7571" s="7"/>
      <c r="C7571" s="6" t="str">
        <f>HYPERLINK("http://www.ncbi.nlm.nih.gov/protein/160333201","Tmem87a")</f>
        <v>Tmem87a</v>
      </c>
      <c r="D7571" s="8"/>
      <c r="E7571" s="8">
        <v>63758</v>
      </c>
      <c r="F7571" s="8"/>
      <c r="G7571" s="15" t="s">
        <v>10</v>
      </c>
      <c r="H7571" s="15" t="s">
        <v>10</v>
      </c>
      <c r="I7571" s="15">
        <v>1.483874705977883</v>
      </c>
      <c r="J7571" s="15">
        <v>1.483874705977883</v>
      </c>
      <c r="K7571" s="15">
        <v>2.0112754397674526</v>
      </c>
      <c r="L7571" s="15">
        <v>2.0112754397674526</v>
      </c>
      <c r="M7571" s="15" t="s">
        <v>10</v>
      </c>
      <c r="N7571" s="15" t="s">
        <v>10</v>
      </c>
      <c r="O7571" s="15" t="s">
        <v>10</v>
      </c>
      <c r="P7571" s="15" t="s">
        <v>10</v>
      </c>
      <c r="Q7571" s="8"/>
      <c r="R7571" s="9" t="s">
        <v>7067</v>
      </c>
    </row>
    <row r="7572" spans="1:18" x14ac:dyDescent="0.25">
      <c r="A7572" s="6" t="str">
        <f>HYPERLINK("proteomic_fractions_linear_files/Yang_linear_img/160333204.jpg", "160333204")</f>
        <v>160333204</v>
      </c>
      <c r="B7572" s="7"/>
      <c r="C7572" s="6" t="str">
        <f>HYPERLINK("http://www.ncbi.nlm.nih.gov/protein/160333204","Tmem87a")</f>
        <v>Tmem87a</v>
      </c>
      <c r="D7572" s="8"/>
      <c r="E7572" s="8">
        <v>63679</v>
      </c>
      <c r="F7572" s="8"/>
      <c r="G7572" s="15" t="s">
        <v>10</v>
      </c>
      <c r="H7572" s="15" t="s">
        <v>10</v>
      </c>
      <c r="I7572" s="15">
        <v>1.483874705977883</v>
      </c>
      <c r="J7572" s="15">
        <v>1.483874705977883</v>
      </c>
      <c r="K7572" s="15">
        <v>2.0112754397674526</v>
      </c>
      <c r="L7572" s="15">
        <v>2.0112754397674526</v>
      </c>
      <c r="M7572" s="15" t="s">
        <v>10</v>
      </c>
      <c r="N7572" s="15" t="s">
        <v>10</v>
      </c>
      <c r="O7572" s="15" t="s">
        <v>10</v>
      </c>
      <c r="P7572" s="15" t="s">
        <v>10</v>
      </c>
      <c r="Q7572" s="8"/>
      <c r="R7572" s="9" t="s">
        <v>7068</v>
      </c>
    </row>
    <row r="7573" spans="1:18" x14ac:dyDescent="0.25">
      <c r="A7573" s="6" t="str">
        <f>HYPERLINK("proteomic_fractions_linear_files/Yang_linear_img/160333208.jpg", "160333208")</f>
        <v>160333208</v>
      </c>
      <c r="B7573" s="7"/>
      <c r="C7573" s="6" t="str">
        <f>HYPERLINK("http://www.ncbi.nlm.nih.gov/protein/160333208","Tmem87a")</f>
        <v>Tmem87a</v>
      </c>
      <c r="D7573" s="8"/>
      <c r="E7573" s="8">
        <v>63550</v>
      </c>
      <c r="F7573" s="8"/>
      <c r="G7573" s="15" t="s">
        <v>10</v>
      </c>
      <c r="H7573" s="15" t="s">
        <v>10</v>
      </c>
      <c r="I7573" s="15">
        <v>1.483874705977883</v>
      </c>
      <c r="J7573" s="15">
        <v>1.483874705977883</v>
      </c>
      <c r="K7573" s="15">
        <v>2.0112754397674526</v>
      </c>
      <c r="L7573" s="15">
        <v>2.0112754397674526</v>
      </c>
      <c r="M7573" s="15" t="s">
        <v>10</v>
      </c>
      <c r="N7573" s="15" t="s">
        <v>10</v>
      </c>
      <c r="O7573" s="15" t="s">
        <v>10</v>
      </c>
      <c r="P7573" s="15" t="s">
        <v>10</v>
      </c>
      <c r="Q7573" s="8"/>
      <c r="R7573" s="9" t="s">
        <v>7069</v>
      </c>
    </row>
    <row r="7574" spans="1:18" x14ac:dyDescent="0.25">
      <c r="A7574" s="6" t="str">
        <f>HYPERLINK("proteomic_fractions_linear_files/Yang_linear_img/254553287.jpg", "254553287")</f>
        <v>254553287</v>
      </c>
      <c r="B7574" s="7"/>
      <c r="C7574" s="6" t="str">
        <f>HYPERLINK("http://www.ncbi.nlm.nih.gov/protein/254553287","Tmem89")</f>
        <v>Tmem89</v>
      </c>
      <c r="D7574" s="8"/>
      <c r="E7574" s="8">
        <v>16184</v>
      </c>
      <c r="F7574" s="8"/>
      <c r="G7574" s="15">
        <v>1.0447796575379389</v>
      </c>
      <c r="H7574" s="15">
        <v>1.0447796575379389</v>
      </c>
      <c r="I7574" s="15" t="s">
        <v>10</v>
      </c>
      <c r="J7574" s="15" t="s">
        <v>10</v>
      </c>
      <c r="K7574" s="15" t="s">
        <v>10</v>
      </c>
      <c r="L7574" s="15" t="s">
        <v>10</v>
      </c>
      <c r="M7574" s="15" t="s">
        <v>10</v>
      </c>
      <c r="N7574" s="15" t="s">
        <v>10</v>
      </c>
      <c r="O7574" s="15" t="s">
        <v>10</v>
      </c>
      <c r="P7574" s="15" t="s">
        <v>10</v>
      </c>
      <c r="Q7574" s="8"/>
      <c r="R7574" s="9" t="s">
        <v>7070</v>
      </c>
    </row>
    <row r="7575" spans="1:18" x14ac:dyDescent="0.25">
      <c r="A7575" s="6" t="str">
        <f>HYPERLINK("proteomic_fractions_linear_files/Yang_linear_img/236466816.jpg", "236466816")</f>
        <v>236466816</v>
      </c>
      <c r="B7575" s="7"/>
      <c r="C7575" s="6" t="str">
        <f>HYPERLINK("http://www.ncbi.nlm.nih.gov/protein/236466816","Tmem9")</f>
        <v>Tmem9</v>
      </c>
      <c r="D7575" s="8"/>
      <c r="E7575" s="8">
        <v>18613</v>
      </c>
      <c r="F7575" s="8"/>
      <c r="G7575" s="15" t="s">
        <v>10</v>
      </c>
      <c r="H7575" s="15" t="s">
        <v>10</v>
      </c>
      <c r="I7575" s="15" t="s">
        <v>10</v>
      </c>
      <c r="J7575" s="15" t="s">
        <v>10</v>
      </c>
      <c r="K7575" s="15">
        <v>1.0840758519292775</v>
      </c>
      <c r="L7575" s="15">
        <v>1.0840758519292775</v>
      </c>
      <c r="M7575" s="15" t="s">
        <v>10</v>
      </c>
      <c r="N7575" s="15" t="s">
        <v>10</v>
      </c>
      <c r="O7575" s="15" t="s">
        <v>10</v>
      </c>
      <c r="P7575" s="15" t="s">
        <v>10</v>
      </c>
      <c r="Q7575" s="8"/>
      <c r="R7575" s="9" t="s">
        <v>7071</v>
      </c>
    </row>
    <row r="7576" spans="1:18" x14ac:dyDescent="0.25">
      <c r="A7576" s="6" t="str">
        <f>HYPERLINK("proteomic_fractions_linear_files/Yang_linear_img/19526880.jpg", "19526880")</f>
        <v>19526880</v>
      </c>
      <c r="B7576" s="7"/>
      <c r="C7576" s="6" t="str">
        <f>HYPERLINK("http://www.ncbi.nlm.nih.gov/protein/19526880","Tmem97")</f>
        <v>Tmem97</v>
      </c>
      <c r="D7576" s="8"/>
      <c r="E7576" s="8">
        <v>20680</v>
      </c>
      <c r="F7576" s="8"/>
      <c r="G7576" s="15" t="s">
        <v>10</v>
      </c>
      <c r="H7576" s="15" t="s">
        <v>10</v>
      </c>
      <c r="I7576" s="15">
        <v>0.79602259621938198</v>
      </c>
      <c r="J7576" s="15">
        <v>0.79602259621938198</v>
      </c>
      <c r="K7576" s="15" t="s">
        <v>10</v>
      </c>
      <c r="L7576" s="15" t="s">
        <v>10</v>
      </c>
      <c r="M7576" s="15" t="s">
        <v>10</v>
      </c>
      <c r="N7576" s="15" t="s">
        <v>10</v>
      </c>
      <c r="O7576" s="15" t="s">
        <v>10</v>
      </c>
      <c r="P7576" s="15" t="s">
        <v>10</v>
      </c>
      <c r="Q7576" s="8"/>
      <c r="R7576" s="9" t="s">
        <v>7072</v>
      </c>
    </row>
    <row r="7577" spans="1:18" x14ac:dyDescent="0.25">
      <c r="A7577" s="6" t="str">
        <f>HYPERLINK("proteomic_fractions_linear_files/Yang_linear_img/10092671.jpg", "10092671")</f>
        <v>10092671</v>
      </c>
      <c r="B7577" s="7"/>
      <c r="C7577" s="6" t="str">
        <f>HYPERLINK("http://www.ncbi.nlm.nih.gov/protein/10092671","Tmem9b")</f>
        <v>Tmem9b</v>
      </c>
      <c r="D7577" s="8"/>
      <c r="E7577" s="8">
        <v>19161</v>
      </c>
      <c r="F7577" s="8"/>
      <c r="G7577" s="15" t="s">
        <v>10</v>
      </c>
      <c r="H7577" s="15" t="s">
        <v>10</v>
      </c>
      <c r="I7577" s="15">
        <v>1.0263763067386986</v>
      </c>
      <c r="J7577" s="15">
        <v>1.0263763067386986</v>
      </c>
      <c r="K7577" s="15">
        <v>1.0840758519292775</v>
      </c>
      <c r="L7577" s="15">
        <v>1.0840758519292775</v>
      </c>
      <c r="M7577" s="15" t="s">
        <v>10</v>
      </c>
      <c r="N7577" s="15" t="s">
        <v>10</v>
      </c>
      <c r="O7577" s="15" t="s">
        <v>10</v>
      </c>
      <c r="P7577" s="15" t="s">
        <v>10</v>
      </c>
      <c r="Q7577" s="8"/>
      <c r="R7577" s="9" t="s">
        <v>7073</v>
      </c>
    </row>
    <row r="7578" spans="1:18" x14ac:dyDescent="0.25">
      <c r="A7578" s="6" t="str">
        <f>HYPERLINK("proteomic_fractions_linear_files/Yang_linear_img/8394460.jpg", "8394460")</f>
        <v>8394460</v>
      </c>
      <c r="B7578" s="7"/>
      <c r="C7578" s="6" t="str">
        <f>HYPERLINK("http://www.ncbi.nlm.nih.gov/protein/8394460","Tmod3")</f>
        <v>Tmod3</v>
      </c>
      <c r="D7578" s="8"/>
      <c r="E7578" s="8">
        <v>39372</v>
      </c>
      <c r="F7578" s="8"/>
      <c r="G7578" s="15">
        <v>1.3620658879487455</v>
      </c>
      <c r="H7578" s="15">
        <v>1.3620658879487455</v>
      </c>
      <c r="I7578" s="15">
        <v>1.038649184698019</v>
      </c>
      <c r="J7578" s="15">
        <v>1.038649184698019</v>
      </c>
      <c r="K7578" s="15">
        <v>1.038649184698019</v>
      </c>
      <c r="L7578" s="15">
        <v>1.038649184698019</v>
      </c>
      <c r="M7578" s="15">
        <v>1.038649184698019</v>
      </c>
      <c r="N7578" s="15">
        <v>0.95746990828524592</v>
      </c>
      <c r="O7578" s="15">
        <v>0.8859840136019278</v>
      </c>
      <c r="P7578" s="15">
        <v>0.8859840136019278</v>
      </c>
      <c r="Q7578" s="8"/>
      <c r="R7578" s="9" t="s">
        <v>7074</v>
      </c>
    </row>
    <row r="7579" spans="1:18" x14ac:dyDescent="0.25">
      <c r="A7579" s="6" t="str">
        <f>HYPERLINK("proteomic_fractions_linear_files/Yang_linear_img/121949760.jpg", "121949760")</f>
        <v>121949760</v>
      </c>
      <c r="B7579" s="7"/>
      <c r="C7579" s="6" t="str">
        <f>HYPERLINK("http://www.ncbi.nlm.nih.gov/protein/121949760","Tmpo")</f>
        <v>Tmpo</v>
      </c>
      <c r="D7579" s="8"/>
      <c r="E7579" s="8">
        <v>75037</v>
      </c>
      <c r="F7579" s="8"/>
      <c r="G7579" s="15">
        <v>0.97914880322242992</v>
      </c>
      <c r="H7579" s="15">
        <v>0.97914880322242992</v>
      </c>
      <c r="I7579" s="15">
        <v>0.70827426173334773</v>
      </c>
      <c r="J7579" s="15">
        <v>0.70827426173334773</v>
      </c>
      <c r="K7579" s="15">
        <v>1.2662397491011268</v>
      </c>
      <c r="L7579" s="15">
        <v>1.2662397491011268</v>
      </c>
      <c r="M7579" s="15">
        <v>1.1079821129752514</v>
      </c>
      <c r="N7579" s="15">
        <v>1.1079821129752514</v>
      </c>
      <c r="O7579" s="15">
        <v>0.27463254915541696</v>
      </c>
      <c r="P7579" s="15">
        <v>0.27463254915541696</v>
      </c>
      <c r="Q7579" s="8"/>
      <c r="R7579" s="9" t="s">
        <v>7075</v>
      </c>
    </row>
    <row r="7580" spans="1:18" x14ac:dyDescent="0.25">
      <c r="A7580" s="6" t="str">
        <f>HYPERLINK("proteomic_fractions_linear_files/Yang_linear_img/121949763.jpg", "121949763")</f>
        <v>121949763</v>
      </c>
      <c r="B7580" s="7"/>
      <c r="C7580" s="6" t="str">
        <f>HYPERLINK("http://www.ncbi.nlm.nih.gov/protein/121949763","Tmpo")</f>
        <v>Tmpo</v>
      </c>
      <c r="D7580" s="8"/>
      <c r="E7580" s="8">
        <v>42519</v>
      </c>
      <c r="F7580" s="8"/>
      <c r="G7580" s="15">
        <v>1.707817680039122</v>
      </c>
      <c r="H7580" s="15">
        <v>1.707817680039122</v>
      </c>
      <c r="I7580" s="15">
        <v>1.2353620844186297</v>
      </c>
      <c r="J7580" s="15">
        <v>1.2353620844186297</v>
      </c>
      <c r="K7580" s="15">
        <v>2.20855770192057</v>
      </c>
      <c r="L7580" s="15">
        <v>2.20855770192057</v>
      </c>
      <c r="M7580" s="15">
        <v>1.9325269412359036</v>
      </c>
      <c r="N7580" s="15">
        <v>1.9325269412359036</v>
      </c>
      <c r="O7580" s="15">
        <v>0.47901026015479703</v>
      </c>
      <c r="P7580" s="15">
        <v>0.47901026015479703</v>
      </c>
      <c r="Q7580" s="8"/>
      <c r="R7580" s="9" t="s">
        <v>7076</v>
      </c>
    </row>
    <row r="7581" spans="1:18" x14ac:dyDescent="0.25">
      <c r="A7581" s="6" t="str">
        <f>HYPERLINK("proteomic_fractions_linear_files/Yang_linear_img/121949765.jpg", "121949765")</f>
        <v>121949765</v>
      </c>
      <c r="B7581" s="7"/>
      <c r="C7581" s="6" t="str">
        <f>HYPERLINK("http://www.ncbi.nlm.nih.gov/protein/121949765","Tmpo")</f>
        <v>Tmpo</v>
      </c>
      <c r="D7581" s="8"/>
      <c r="E7581" s="8">
        <v>50242</v>
      </c>
      <c r="F7581" s="8"/>
      <c r="G7581" s="15">
        <v>1.4687232048336449</v>
      </c>
      <c r="H7581" s="15">
        <v>1.4687232048336449</v>
      </c>
      <c r="I7581" s="15">
        <v>1.0624113926000216</v>
      </c>
      <c r="J7581" s="15">
        <v>1.0624113926000216</v>
      </c>
      <c r="K7581" s="15">
        <v>1.8993596236516901</v>
      </c>
      <c r="L7581" s="15">
        <v>1.8993596236516901</v>
      </c>
      <c r="M7581" s="15">
        <v>1.6619731694628772</v>
      </c>
      <c r="N7581" s="15">
        <v>1.6619731694628772</v>
      </c>
      <c r="O7581" s="15">
        <v>0.41194882373312547</v>
      </c>
      <c r="P7581" s="15">
        <v>0.41194882373312547</v>
      </c>
      <c r="Q7581" s="8"/>
      <c r="R7581" s="9" t="s">
        <v>7077</v>
      </c>
    </row>
    <row r="7582" spans="1:18" x14ac:dyDescent="0.25">
      <c r="A7582" s="6" t="str">
        <f>HYPERLINK("proteomic_fractions_linear_files/Yang_linear_img/121949767.jpg", "121949767")</f>
        <v>121949767</v>
      </c>
      <c r="B7582" s="7"/>
      <c r="C7582" s="6" t="str">
        <f>HYPERLINK("http://www.ncbi.nlm.nih.gov/protein/121949767","Tmpo")</f>
        <v>Tmpo</v>
      </c>
      <c r="D7582" s="8"/>
      <c r="E7582" s="8">
        <v>45919</v>
      </c>
      <c r="F7582" s="8"/>
      <c r="G7582" s="15">
        <v>1.596438266123527</v>
      </c>
      <c r="H7582" s="15">
        <v>1.596438266123527</v>
      </c>
      <c r="I7582" s="15">
        <v>1.1547949919565452</v>
      </c>
      <c r="J7582" s="15">
        <v>1.1547949919565452</v>
      </c>
      <c r="K7582" s="15">
        <v>2.0645213300561851</v>
      </c>
      <c r="L7582" s="15">
        <v>2.0645213300561851</v>
      </c>
      <c r="M7582" s="15">
        <v>1.8064925755031274</v>
      </c>
      <c r="N7582" s="15">
        <v>1.8064925755031274</v>
      </c>
      <c r="O7582" s="15">
        <v>0.44777046057948416</v>
      </c>
      <c r="P7582" s="15">
        <v>0.44777046057948416</v>
      </c>
      <c r="Q7582" s="8"/>
      <c r="R7582" s="9" t="s">
        <v>7078</v>
      </c>
    </row>
    <row r="7583" spans="1:18" x14ac:dyDescent="0.25">
      <c r="A7583" s="6" t="str">
        <f>HYPERLINK("proteomic_fractions_linear_files/Yang_linear_img/121949769.jpg", "121949769")</f>
        <v>121949769</v>
      </c>
      <c r="B7583" s="7"/>
      <c r="C7583" s="6" t="str">
        <f>HYPERLINK("http://www.ncbi.nlm.nih.gov/protein/121949769","Tmpo")</f>
        <v>Tmpo</v>
      </c>
      <c r="D7583" s="8"/>
      <c r="E7583" s="8">
        <v>38371</v>
      </c>
      <c r="F7583" s="8"/>
      <c r="G7583" s="15">
        <v>1.9325305326758486</v>
      </c>
      <c r="H7583" s="15">
        <v>1.9325305326758486</v>
      </c>
      <c r="I7583" s="15">
        <v>1.3979097271052916</v>
      </c>
      <c r="J7583" s="15">
        <v>1.3979097271052916</v>
      </c>
      <c r="K7583" s="15">
        <v>2.4991573995416978</v>
      </c>
      <c r="L7583" s="15">
        <v>2.4991573995416978</v>
      </c>
      <c r="M7583" s="15">
        <v>2.1868068019248383</v>
      </c>
      <c r="N7583" s="15">
        <v>2.1868068019248383</v>
      </c>
      <c r="O7583" s="15">
        <v>0.54203792596463873</v>
      </c>
      <c r="P7583" s="15">
        <v>0.54203792596463873</v>
      </c>
      <c r="Q7583" s="8"/>
      <c r="R7583" s="9" t="s">
        <v>7079</v>
      </c>
    </row>
    <row r="7584" spans="1:18" x14ac:dyDescent="0.25">
      <c r="A7584" s="6" t="str">
        <f>HYPERLINK("proteomic_fractions_linear_files/Yang_linear_img/121949779.jpg", "121949779")</f>
        <v>121949779</v>
      </c>
      <c r="B7584" s="7"/>
      <c r="C7584" s="6" t="str">
        <f>HYPERLINK("http://www.ncbi.nlm.nih.gov/protein/121949779","Tmpo")</f>
        <v>Tmpo</v>
      </c>
      <c r="D7584" s="8"/>
      <c r="E7584" s="8">
        <v>24859</v>
      </c>
      <c r="F7584" s="8"/>
      <c r="G7584" s="15">
        <v>2.9374464096672899</v>
      </c>
      <c r="H7584" s="15">
        <v>2.9374464096672899</v>
      </c>
      <c r="I7584" s="15">
        <v>2.1248227852000432</v>
      </c>
      <c r="J7584" s="15">
        <v>2.1248227852000432</v>
      </c>
      <c r="K7584" s="15">
        <v>3.7987192473033802</v>
      </c>
      <c r="L7584" s="15">
        <v>3.7987192473033802</v>
      </c>
      <c r="M7584" s="15">
        <v>3.3239463389257544</v>
      </c>
      <c r="N7584" s="15">
        <v>3.3239463389257544</v>
      </c>
      <c r="O7584" s="15">
        <v>0.82389764746625094</v>
      </c>
      <c r="P7584" s="15">
        <v>0.82389764746625094</v>
      </c>
      <c r="Q7584" s="8"/>
      <c r="R7584" s="9" t="s">
        <v>7080</v>
      </c>
    </row>
    <row r="7585" spans="1:18" x14ac:dyDescent="0.25">
      <c r="A7585" s="6" t="str">
        <f>HYPERLINK("proteomic_fractions_linear_files/Yang_linear_img/317008614.jpg", "317008614")</f>
        <v>317008614</v>
      </c>
      <c r="B7585" s="7"/>
      <c r="C7585" s="6" t="str">
        <f>HYPERLINK("http://www.ncbi.nlm.nih.gov/protein/317008614","Tmppe")</f>
        <v>Tmppe</v>
      </c>
      <c r="D7585" s="8"/>
      <c r="E7585" s="8">
        <v>49271</v>
      </c>
      <c r="F7585" s="8"/>
      <c r="G7585" s="15" t="s">
        <v>10</v>
      </c>
      <c r="H7585" s="15" t="s">
        <v>10</v>
      </c>
      <c r="I7585" s="15" t="s">
        <v>10</v>
      </c>
      <c r="J7585" s="15" t="s">
        <v>10</v>
      </c>
      <c r="K7585" s="15">
        <v>0.90052222952990757</v>
      </c>
      <c r="L7585" s="15">
        <v>0.90052222952990757</v>
      </c>
      <c r="M7585" s="15" t="s">
        <v>10</v>
      </c>
      <c r="N7585" s="15" t="s">
        <v>10</v>
      </c>
      <c r="O7585" s="15" t="s">
        <v>10</v>
      </c>
      <c r="P7585" s="15" t="s">
        <v>10</v>
      </c>
      <c r="Q7585" s="8"/>
      <c r="R7585" s="9" t="s">
        <v>7081</v>
      </c>
    </row>
    <row r="7586" spans="1:18" x14ac:dyDescent="0.25">
      <c r="A7586" s="6" t="str">
        <f>HYPERLINK("proteomic_fractions_linear_files/Yang_linear_img/148747219.jpg", "148747219")</f>
        <v>148747219</v>
      </c>
      <c r="B7586" s="7"/>
      <c r="C7586" s="6" t="str">
        <f>HYPERLINK("http://www.ncbi.nlm.nih.gov/protein/148747219","Tmprss11bnl")</f>
        <v>Tmprss11bnl</v>
      </c>
      <c r="D7586" s="8"/>
      <c r="E7586" s="8">
        <v>46582</v>
      </c>
      <c r="F7586" s="8"/>
      <c r="G7586" s="15" t="s">
        <v>10</v>
      </c>
      <c r="H7586" s="15" t="s">
        <v>10</v>
      </c>
      <c r="I7586" s="15" t="s">
        <v>10</v>
      </c>
      <c r="J7586" s="15" t="s">
        <v>10</v>
      </c>
      <c r="K7586" s="15" t="s">
        <v>10</v>
      </c>
      <c r="L7586" s="15" t="s">
        <v>10</v>
      </c>
      <c r="M7586" s="15" t="s">
        <v>10</v>
      </c>
      <c r="N7586" s="15" t="s">
        <v>10</v>
      </c>
      <c r="O7586" s="15">
        <v>2.0205953443103088</v>
      </c>
      <c r="P7586" s="15">
        <v>2.0205953443103088</v>
      </c>
      <c r="Q7586" s="8"/>
      <c r="R7586" s="9" t="s">
        <v>7082</v>
      </c>
    </row>
    <row r="7587" spans="1:18" x14ac:dyDescent="0.25">
      <c r="A7587" s="6" t="str">
        <f>HYPERLINK("proteomic_fractions_linear_files/Yang_linear_img/188536038.jpg", "188536038")</f>
        <v>188536038</v>
      </c>
      <c r="B7587" s="7"/>
      <c r="C7587" s="6" t="str">
        <f>HYPERLINK("http://www.ncbi.nlm.nih.gov/protein/188536038","Tmprss11g")</f>
        <v>Tmprss11g</v>
      </c>
      <c r="D7587" s="8"/>
      <c r="E7587" s="8">
        <v>46483</v>
      </c>
      <c r="F7587" s="8"/>
      <c r="G7587" s="15">
        <v>0.36340162001319615</v>
      </c>
      <c r="H7587" s="15">
        <v>0.36340162001319615</v>
      </c>
      <c r="I7587" s="15" t="s">
        <v>10</v>
      </c>
      <c r="J7587" s="15" t="s">
        <v>10</v>
      </c>
      <c r="K7587" s="15">
        <v>0.40207172096878446</v>
      </c>
      <c r="L7587" s="15">
        <v>0.40207172096878446</v>
      </c>
      <c r="M7587" s="15" t="s">
        <v>10</v>
      </c>
      <c r="N7587" s="15" t="s">
        <v>10</v>
      </c>
      <c r="O7587" s="15" t="s">
        <v>10</v>
      </c>
      <c r="P7587" s="15" t="s">
        <v>10</v>
      </c>
      <c r="Q7587" s="8"/>
      <c r="R7587" s="9" t="s">
        <v>7083</v>
      </c>
    </row>
    <row r="7588" spans="1:18" x14ac:dyDescent="0.25">
      <c r="A7588" s="6" t="str">
        <f>HYPERLINK("proteomic_fractions_linear_files/Yang_linear_img/34328226.jpg", "34328226")</f>
        <v>34328226</v>
      </c>
      <c r="B7588" s="7"/>
      <c r="C7588" s="6" t="str">
        <f>HYPERLINK("http://www.ncbi.nlm.nih.gov/protein/34328226","Tmprss2")</f>
        <v>Tmprss2</v>
      </c>
      <c r="D7588" s="8"/>
      <c r="E7588" s="8">
        <v>53395</v>
      </c>
      <c r="F7588" s="8"/>
      <c r="G7588" s="15" t="s">
        <v>10</v>
      </c>
      <c r="H7588" s="15" t="s">
        <v>10</v>
      </c>
      <c r="I7588" s="15">
        <v>0.49340109651745284</v>
      </c>
      <c r="J7588" s="15">
        <v>0.49340109651745284</v>
      </c>
      <c r="K7588" s="15">
        <v>0.49340109651745284</v>
      </c>
      <c r="L7588" s="15">
        <v>0.49340109651745284</v>
      </c>
      <c r="M7588" s="15" t="s">
        <v>10</v>
      </c>
      <c r="N7588" s="15" t="s">
        <v>10</v>
      </c>
      <c r="O7588" s="15">
        <v>0.43602968631542349</v>
      </c>
      <c r="P7588" s="15">
        <v>0.43602968631542349</v>
      </c>
      <c r="Q7588" s="8"/>
      <c r="R7588" s="9" t="s">
        <v>7084</v>
      </c>
    </row>
    <row r="7589" spans="1:18" x14ac:dyDescent="0.25">
      <c r="A7589" s="6" t="str">
        <f>HYPERLINK("proteomic_fractions_linear_files/Yang_linear_img/21703806.jpg", "21703806")</f>
        <v>21703806</v>
      </c>
      <c r="B7589" s="7"/>
      <c r="C7589" s="6" t="str">
        <f>HYPERLINK("http://www.ncbi.nlm.nih.gov/protein/21703806","Tmprss4")</f>
        <v>Tmprss4</v>
      </c>
      <c r="D7589" s="8"/>
      <c r="E7589" s="8">
        <v>47365</v>
      </c>
      <c r="F7589" s="8"/>
      <c r="G7589" s="15" t="s">
        <v>10</v>
      </c>
      <c r="H7589" s="15" t="s">
        <v>10</v>
      </c>
      <c r="I7589" s="15" t="s">
        <v>10</v>
      </c>
      <c r="J7589" s="15" t="s">
        <v>10</v>
      </c>
      <c r="K7589" s="15">
        <v>1.3926226240541346</v>
      </c>
      <c r="L7589" s="15">
        <v>1.3926226240541346</v>
      </c>
      <c r="M7589" s="15" t="s">
        <v>10</v>
      </c>
      <c r="N7589" s="15" t="s">
        <v>10</v>
      </c>
      <c r="O7589" s="15" t="s">
        <v>10</v>
      </c>
      <c r="P7589" s="15" t="s">
        <v>10</v>
      </c>
      <c r="Q7589" s="8"/>
      <c r="R7589" s="9" t="s">
        <v>7085</v>
      </c>
    </row>
    <row r="7590" spans="1:18" x14ac:dyDescent="0.25">
      <c r="A7590" s="6" t="str">
        <f>HYPERLINK("proteomic_fractions_linear_files/Yang_linear_img/126517491.jpg", "126517491")</f>
        <v>126517491</v>
      </c>
      <c r="B7590" s="7"/>
      <c r="C7590" s="6" t="str">
        <f>HYPERLINK("http://www.ncbi.nlm.nih.gov/protein/126517491","Tmsb15b1")</f>
        <v>Tmsb15b1</v>
      </c>
      <c r="D7590" s="8"/>
      <c r="E7590" s="8">
        <v>5118</v>
      </c>
      <c r="F7590" s="8"/>
      <c r="G7590" s="15" t="s">
        <v>10</v>
      </c>
      <c r="H7590" s="15" t="s">
        <v>10</v>
      </c>
      <c r="I7590" s="15" t="s">
        <v>10</v>
      </c>
      <c r="J7590" s="15" t="s">
        <v>10</v>
      </c>
      <c r="K7590" s="15" t="s">
        <v>10</v>
      </c>
      <c r="L7590" s="15" t="s">
        <v>10</v>
      </c>
      <c r="M7590" s="15" t="s">
        <v>10</v>
      </c>
      <c r="N7590" s="15" t="s">
        <v>10</v>
      </c>
      <c r="O7590" s="15">
        <v>2.6594128046003069</v>
      </c>
      <c r="P7590" s="15">
        <v>2.6594128046003069</v>
      </c>
      <c r="Q7590" s="8"/>
      <c r="R7590" s="9" t="s">
        <v>7086</v>
      </c>
    </row>
    <row r="7591" spans="1:18" x14ac:dyDescent="0.25">
      <c r="A7591" s="6" t="str">
        <f>HYPERLINK("proteomic_fractions_linear_files/Yang_linear_img/124378056.jpg", "124378056")</f>
        <v>124378056</v>
      </c>
      <c r="B7591" s="7"/>
      <c r="C7591" s="6" t="str">
        <f>HYPERLINK("http://www.ncbi.nlm.nih.gov/protein/124378056","Tmsb15b2")</f>
        <v>Tmsb15b2</v>
      </c>
      <c r="D7591" s="8"/>
      <c r="E7591" s="8">
        <v>5116</v>
      </c>
      <c r="F7591" s="8"/>
      <c r="G7591" s="15" t="s">
        <v>10</v>
      </c>
      <c r="H7591" s="15" t="s">
        <v>10</v>
      </c>
      <c r="I7591" s="15" t="s">
        <v>10</v>
      </c>
      <c r="J7591" s="15" t="s">
        <v>10</v>
      </c>
      <c r="K7591" s="15" t="s">
        <v>10</v>
      </c>
      <c r="L7591" s="15" t="s">
        <v>10</v>
      </c>
      <c r="M7591" s="15" t="s">
        <v>10</v>
      </c>
      <c r="N7591" s="15" t="s">
        <v>10</v>
      </c>
      <c r="O7591" s="15">
        <v>2.6594128046003069</v>
      </c>
      <c r="P7591" s="15">
        <v>2.6594128046003069</v>
      </c>
      <c r="Q7591" s="8"/>
      <c r="R7591" s="9" t="s">
        <v>7086</v>
      </c>
    </row>
    <row r="7592" spans="1:18" x14ac:dyDescent="0.25">
      <c r="A7592" s="6" t="str">
        <f>HYPERLINK("proteomic_fractions_linear_files/Yang_linear_img/46402291.jpg", "46402291")</f>
        <v>46402291</v>
      </c>
      <c r="B7592" s="7"/>
      <c r="C7592" s="6" t="str">
        <f>HYPERLINK("http://www.ncbi.nlm.nih.gov/protein/46402291","Tmsb15l")</f>
        <v>Tmsb15l</v>
      </c>
      <c r="D7592" s="8"/>
      <c r="E7592" s="8">
        <v>9094</v>
      </c>
      <c r="F7592" s="8"/>
      <c r="G7592" s="15" t="s">
        <v>10</v>
      </c>
      <c r="H7592" s="15" t="s">
        <v>10</v>
      </c>
      <c r="I7592" s="15" t="s">
        <v>10</v>
      </c>
      <c r="J7592" s="15" t="s">
        <v>10</v>
      </c>
      <c r="K7592" s="15" t="s">
        <v>10</v>
      </c>
      <c r="L7592" s="15" t="s">
        <v>10</v>
      </c>
      <c r="M7592" s="15" t="s">
        <v>10</v>
      </c>
      <c r="N7592" s="15" t="s">
        <v>10</v>
      </c>
      <c r="O7592" s="15">
        <v>1.4774515581112815</v>
      </c>
      <c r="P7592" s="15">
        <v>1.4774515581112815</v>
      </c>
      <c r="Q7592" s="8"/>
      <c r="R7592" s="9" t="s">
        <v>7087</v>
      </c>
    </row>
    <row r="7593" spans="1:18" x14ac:dyDescent="0.25">
      <c r="A7593" s="6" t="str">
        <f>HYPERLINK("proteomic_fractions_linear_files/Yang_linear_img/10946578.jpg", "10946578")</f>
        <v>10946578</v>
      </c>
      <c r="B7593" s="7"/>
      <c r="C7593" s="6" t="str">
        <f>HYPERLINK("http://www.ncbi.nlm.nih.gov/protein/10946578","Tmsb4x")</f>
        <v>Tmsb4x</v>
      </c>
      <c r="D7593" s="8"/>
      <c r="E7593" s="8">
        <v>4921</v>
      </c>
      <c r="F7593" s="8"/>
      <c r="G7593" s="15" t="s">
        <v>10</v>
      </c>
      <c r="H7593" s="15" t="s">
        <v>10</v>
      </c>
      <c r="I7593" s="15">
        <v>2.5494438683875251</v>
      </c>
      <c r="J7593" s="15">
        <v>2.5494438683875251</v>
      </c>
      <c r="K7593" s="15">
        <v>2.7771700999873299</v>
      </c>
      <c r="L7593" s="15">
        <v>2.7771700999873299</v>
      </c>
      <c r="M7593" s="15" t="s">
        <v>10</v>
      </c>
      <c r="N7593" s="15" t="s">
        <v>10</v>
      </c>
      <c r="O7593" s="15">
        <v>2.5494438683875251</v>
      </c>
      <c r="P7593" s="15">
        <v>2.5494438683875251</v>
      </c>
      <c r="Q7593" s="8"/>
      <c r="R7593" s="9" t="s">
        <v>7088</v>
      </c>
    </row>
    <row r="7594" spans="1:18" x14ac:dyDescent="0.25">
      <c r="A7594" s="6" t="str">
        <f>HYPERLINK("proteomic_fractions_linear_files/Yang_linear_img/75677476.jpg", "75677476")</f>
        <v>75677476</v>
      </c>
      <c r="B7594" s="7"/>
      <c r="C7594" s="6" t="str">
        <f>HYPERLINK("http://www.ncbi.nlm.nih.gov/protein/75677476","Tmtc3")</f>
        <v>Tmtc3</v>
      </c>
      <c r="D7594" s="8"/>
      <c r="E7594" s="8">
        <v>74094</v>
      </c>
      <c r="F7594" s="8"/>
      <c r="G7594" s="15" t="s">
        <v>10</v>
      </c>
      <c r="H7594" s="15" t="s">
        <v>10</v>
      </c>
      <c r="I7594" s="15">
        <v>1.4838049165017766</v>
      </c>
      <c r="J7594" s="15">
        <v>1.4838049165017766</v>
      </c>
      <c r="K7594" s="15">
        <v>1.4838049165017766</v>
      </c>
      <c r="L7594" s="15">
        <v>1.4838049165017766</v>
      </c>
      <c r="M7594" s="15" t="s">
        <v>10</v>
      </c>
      <c r="N7594" s="15" t="s">
        <v>10</v>
      </c>
      <c r="O7594" s="15" t="s">
        <v>10</v>
      </c>
      <c r="P7594" s="15" t="s">
        <v>10</v>
      </c>
      <c r="Q7594" s="8"/>
      <c r="R7594" s="9" t="s">
        <v>7089</v>
      </c>
    </row>
    <row r="7595" spans="1:18" x14ac:dyDescent="0.25">
      <c r="A7595" s="6" t="str">
        <f>HYPERLINK("proteomic_fractions_linear_files/Yang_linear_img/158517929.jpg", "158517929")</f>
        <v>158517929</v>
      </c>
      <c r="B7595" s="7"/>
      <c r="C7595" s="6" t="str">
        <f>HYPERLINK("http://www.ncbi.nlm.nih.gov/protein/158517929","Tmtc3")</f>
        <v>Tmtc3</v>
      </c>
      <c r="D7595" s="8"/>
      <c r="E7595" s="8">
        <v>104081</v>
      </c>
      <c r="F7595" s="8"/>
      <c r="G7595" s="15">
        <v>1.0557842675108795</v>
      </c>
      <c r="H7595" s="15">
        <v>1.0557842675108795</v>
      </c>
      <c r="I7595" s="15">
        <v>1.0557842675108795</v>
      </c>
      <c r="J7595" s="15">
        <v>1.0557842675108795</v>
      </c>
      <c r="K7595" s="15">
        <v>1.0557842675108795</v>
      </c>
      <c r="L7595" s="15">
        <v>1.0557842675108795</v>
      </c>
      <c r="M7595" s="15" t="s">
        <v>10</v>
      </c>
      <c r="N7595" s="15" t="s">
        <v>10</v>
      </c>
      <c r="O7595" s="15" t="s">
        <v>10</v>
      </c>
      <c r="P7595" s="15" t="s">
        <v>10</v>
      </c>
      <c r="Q7595" s="8"/>
      <c r="R7595" s="9" t="s">
        <v>7090</v>
      </c>
    </row>
    <row r="7596" spans="1:18" x14ac:dyDescent="0.25">
      <c r="A7596" s="6" t="str">
        <f>HYPERLINK("proteomic_fractions_linear_files/Yang_linear_img/11967945.jpg", "11967945")</f>
        <v>11967945</v>
      </c>
      <c r="B7596" s="7"/>
      <c r="C7596" s="6" t="str">
        <f>HYPERLINK("http://www.ncbi.nlm.nih.gov/protein/11967945","Tmub1")</f>
        <v>Tmub1</v>
      </c>
      <c r="D7596" s="8"/>
      <c r="E7596" s="8">
        <v>23590</v>
      </c>
      <c r="F7596" s="8"/>
      <c r="G7596" s="15" t="s">
        <v>10</v>
      </c>
      <c r="H7596" s="15" t="s">
        <v>10</v>
      </c>
      <c r="I7596" s="15">
        <v>1.1632588040700858</v>
      </c>
      <c r="J7596" s="15">
        <v>1.1632588040700858</v>
      </c>
      <c r="K7596" s="15" t="s">
        <v>10</v>
      </c>
      <c r="L7596" s="15" t="s">
        <v>10</v>
      </c>
      <c r="M7596" s="15" t="s">
        <v>10</v>
      </c>
      <c r="N7596" s="15" t="s">
        <v>10</v>
      </c>
      <c r="O7596" s="15" t="s">
        <v>10</v>
      </c>
      <c r="P7596" s="15" t="s">
        <v>10</v>
      </c>
      <c r="Q7596" s="8"/>
      <c r="R7596" s="9" t="s">
        <v>7091</v>
      </c>
    </row>
    <row r="7597" spans="1:18" x14ac:dyDescent="0.25">
      <c r="A7597" s="6" t="str">
        <f>HYPERLINK("proteomic_fractions_linear_files/Yang_linear_img/33859722.jpg", "33859722")</f>
        <v>33859722</v>
      </c>
      <c r="B7597" s="7"/>
      <c r="C7597" s="6" t="str">
        <f>HYPERLINK("http://www.ncbi.nlm.nih.gov/protein/33859722","Tmx1")</f>
        <v>Tmx1</v>
      </c>
      <c r="D7597" s="8"/>
      <c r="E7597" s="8">
        <v>28707</v>
      </c>
      <c r="F7597" s="8"/>
      <c r="G7597" s="15">
        <v>1.2876319456249858</v>
      </c>
      <c r="H7597" s="15">
        <v>1.2876319456249858</v>
      </c>
      <c r="I7597" s="15">
        <v>0.90173303846293107</v>
      </c>
      <c r="J7597" s="15">
        <v>0.90173303846293107</v>
      </c>
      <c r="K7597" s="15">
        <v>0.96269694129938133</v>
      </c>
      <c r="L7597" s="15">
        <v>0.96269694129938133</v>
      </c>
      <c r="M7597" s="15">
        <v>0.96269694129938133</v>
      </c>
      <c r="N7597" s="15">
        <v>0.96269694129938133</v>
      </c>
      <c r="O7597" s="15" t="s">
        <v>10</v>
      </c>
      <c r="P7597" s="15" t="s">
        <v>10</v>
      </c>
      <c r="Q7597" s="8"/>
      <c r="R7597" s="9" t="s">
        <v>7092</v>
      </c>
    </row>
    <row r="7598" spans="1:18" x14ac:dyDescent="0.25">
      <c r="A7598" s="6" t="str">
        <f>HYPERLINK("proteomic_fractions_linear_files/Yang_linear_img/21313210.jpg", "21313210")</f>
        <v>21313210</v>
      </c>
      <c r="B7598" s="7"/>
      <c r="C7598" s="6" t="str">
        <f>HYPERLINK("http://www.ncbi.nlm.nih.gov/protein/21313210","Tmx2")</f>
        <v>Tmx2</v>
      </c>
      <c r="D7598" s="8"/>
      <c r="E7598" s="8">
        <v>28667</v>
      </c>
      <c r="F7598" s="8"/>
      <c r="G7598" s="15">
        <v>1.3968040759731981</v>
      </c>
      <c r="H7598" s="15">
        <v>1.3968040759731981</v>
      </c>
      <c r="I7598" s="15">
        <v>1.0305312721280391</v>
      </c>
      <c r="J7598" s="15">
        <v>1.0305312721280391</v>
      </c>
      <c r="K7598" s="15">
        <v>1.0305312721280391</v>
      </c>
      <c r="L7598" s="15">
        <v>1.0305312721280391</v>
      </c>
      <c r="M7598" s="15" t="s">
        <v>10</v>
      </c>
      <c r="N7598" s="15" t="s">
        <v>10</v>
      </c>
      <c r="O7598" s="15" t="s">
        <v>10</v>
      </c>
      <c r="P7598" s="15" t="s">
        <v>10</v>
      </c>
      <c r="Q7598" s="8"/>
      <c r="R7598" s="9" t="s">
        <v>7093</v>
      </c>
    </row>
    <row r="7599" spans="1:18" x14ac:dyDescent="0.25">
      <c r="A7599" s="6" t="str">
        <f>HYPERLINK("proteomic_fractions_linear_files/Yang_linear_img/117606385.jpg", "117606385")</f>
        <v>117606385</v>
      </c>
      <c r="B7599" s="7"/>
      <c r="C7599" s="6" t="str">
        <f>HYPERLINK("http://www.ncbi.nlm.nih.gov/protein/117606385","Tmx3")</f>
        <v>Tmx3</v>
      </c>
      <c r="D7599" s="8"/>
      <c r="E7599" s="8">
        <v>48824</v>
      </c>
      <c r="F7599" s="8"/>
      <c r="G7599" s="15" t="s">
        <v>10</v>
      </c>
      <c r="H7599" s="15" t="s">
        <v>10</v>
      </c>
      <c r="I7599" s="15">
        <v>1.0840932577551241</v>
      </c>
      <c r="J7599" s="15">
        <v>1.0840932577551241</v>
      </c>
      <c r="K7599" s="15">
        <v>1.1994532160325275</v>
      </c>
      <c r="L7599" s="15">
        <v>1.1994532160325275</v>
      </c>
      <c r="M7599" s="15" t="s">
        <v>10</v>
      </c>
      <c r="N7599" s="15" t="s">
        <v>10</v>
      </c>
      <c r="O7599" s="15" t="s">
        <v>10</v>
      </c>
      <c r="P7599" s="15" t="s">
        <v>10</v>
      </c>
      <c r="Q7599" s="8"/>
      <c r="R7599" s="9" t="s">
        <v>7094</v>
      </c>
    </row>
    <row r="7600" spans="1:18" x14ac:dyDescent="0.25">
      <c r="A7600" s="6" t="str">
        <f>HYPERLINK("proteomic_fractions_linear_files/Yang_linear_img/112817607.jpg", "112817607")</f>
        <v>112817607</v>
      </c>
      <c r="B7600" s="7"/>
      <c r="C7600" s="6" t="str">
        <f>HYPERLINK("http://www.ncbi.nlm.nih.gov/protein/112817607","Tmx4")</f>
        <v>Tmx4</v>
      </c>
      <c r="D7600" s="8"/>
      <c r="E7600" s="8">
        <v>35216</v>
      </c>
      <c r="F7600" s="8"/>
      <c r="G7600" s="15">
        <v>1.6792345024455386</v>
      </c>
      <c r="H7600" s="15">
        <v>1.6792345024455386</v>
      </c>
      <c r="I7600" s="15">
        <v>1.2607311213418706</v>
      </c>
      <c r="J7600" s="15">
        <v>1.2607311213418706</v>
      </c>
      <c r="K7600" s="15">
        <v>1.37971358812615</v>
      </c>
      <c r="L7600" s="15">
        <v>1.37971358812615</v>
      </c>
      <c r="M7600" s="15" t="s">
        <v>10</v>
      </c>
      <c r="N7600" s="15" t="s">
        <v>10</v>
      </c>
      <c r="O7600" s="15" t="s">
        <v>10</v>
      </c>
      <c r="P7600" s="15" t="s">
        <v>10</v>
      </c>
      <c r="Q7600" s="8"/>
      <c r="R7600" s="9" t="s">
        <v>7095</v>
      </c>
    </row>
    <row r="7601" spans="1:18" x14ac:dyDescent="0.25">
      <c r="A7601" s="6" t="str">
        <f>HYPERLINK("proteomic_fractions_linear_files/Yang_linear_img/194394239.jpg", "194394239")</f>
        <v>194394239</v>
      </c>
      <c r="B7601" s="7"/>
      <c r="C7601" s="6" t="str">
        <f>HYPERLINK("http://www.ncbi.nlm.nih.gov/protein/194394239","Tnfaip2")</f>
        <v>Tnfaip2</v>
      </c>
      <c r="D7601" s="8"/>
      <c r="E7601" s="8">
        <v>77971</v>
      </c>
      <c r="F7601" s="8"/>
      <c r="G7601" s="15" t="s">
        <v>10</v>
      </c>
      <c r="H7601" s="15" t="s">
        <v>10</v>
      </c>
      <c r="I7601" s="15" t="s">
        <v>10</v>
      </c>
      <c r="J7601" s="15" t="s">
        <v>10</v>
      </c>
      <c r="K7601" s="15">
        <v>0.83914440167364523</v>
      </c>
      <c r="L7601" s="15">
        <v>0.83914440167364523</v>
      </c>
      <c r="M7601" s="15" t="s">
        <v>10</v>
      </c>
      <c r="N7601" s="15" t="s">
        <v>10</v>
      </c>
      <c r="O7601" s="15" t="s">
        <v>10</v>
      </c>
      <c r="P7601" s="15" t="s">
        <v>10</v>
      </c>
      <c r="Q7601" s="8"/>
      <c r="R7601" s="9" t="s">
        <v>7096</v>
      </c>
    </row>
    <row r="7602" spans="1:18" x14ac:dyDescent="0.25">
      <c r="A7602" s="6" t="str">
        <f>HYPERLINK("proteomic_fractions_linear_files/Yang_linear_img/295444879.jpg", "295444879")</f>
        <v>295444879</v>
      </c>
      <c r="B7602" s="7"/>
      <c r="C7602" s="6" t="str">
        <f>HYPERLINK("http://www.ncbi.nlm.nih.gov/protein/295444879","Tnfaip8")</f>
        <v>Tnfaip8</v>
      </c>
      <c r="D7602" s="8"/>
      <c r="E7602" s="8">
        <v>24191</v>
      </c>
      <c r="F7602" s="8"/>
      <c r="G7602" s="15" t="s">
        <v>10</v>
      </c>
      <c r="H7602" s="15" t="s">
        <v>10</v>
      </c>
      <c r="I7602" s="15">
        <v>0.85822671611067802</v>
      </c>
      <c r="J7602" s="15">
        <v>0.85822671611067802</v>
      </c>
      <c r="K7602" s="15">
        <v>0.85822671611067802</v>
      </c>
      <c r="L7602" s="15">
        <v>0.85822671611067802</v>
      </c>
      <c r="M7602" s="15">
        <v>0.85822671611067802</v>
      </c>
      <c r="N7602" s="15">
        <v>0.85822671611067802</v>
      </c>
      <c r="O7602" s="15">
        <v>0.81254790950146971</v>
      </c>
      <c r="P7602" s="15">
        <v>0.85822671611067802</v>
      </c>
      <c r="Q7602" s="8"/>
      <c r="R7602" s="9" t="s">
        <v>7097</v>
      </c>
    </row>
    <row r="7603" spans="1:18" x14ac:dyDescent="0.25">
      <c r="A7603" s="6" t="str">
        <f>HYPERLINK("proteomic_fractions_linear_files/Yang_linear_img/295444881.jpg", "295444881")</f>
        <v>295444881</v>
      </c>
      <c r="B7603" s="7"/>
      <c r="C7603" s="6" t="str">
        <f>HYPERLINK("http://www.ncbi.nlm.nih.gov/protein/295444881","Tnfaip8")</f>
        <v>Tnfaip8</v>
      </c>
      <c r="D7603" s="8"/>
      <c r="E7603" s="8">
        <v>21689</v>
      </c>
      <c r="F7603" s="8"/>
      <c r="G7603" s="15" t="s">
        <v>10</v>
      </c>
      <c r="H7603" s="15" t="s">
        <v>10</v>
      </c>
      <c r="I7603" s="15">
        <v>0.93624732666619426</v>
      </c>
      <c r="J7603" s="15">
        <v>0.93624732666619426</v>
      </c>
      <c r="K7603" s="15">
        <v>0.93624732666619426</v>
      </c>
      <c r="L7603" s="15">
        <v>0.93624732666619426</v>
      </c>
      <c r="M7603" s="15">
        <v>0.93624732666619426</v>
      </c>
      <c r="N7603" s="15">
        <v>0.93624732666619426</v>
      </c>
      <c r="O7603" s="15">
        <v>0.93624732666619426</v>
      </c>
      <c r="P7603" s="15">
        <v>0.93624732666619426</v>
      </c>
      <c r="Q7603" s="8"/>
      <c r="R7603" s="9" t="s">
        <v>7098</v>
      </c>
    </row>
    <row r="7604" spans="1:18" x14ac:dyDescent="0.25">
      <c r="A7604" s="6" t="str">
        <f>HYPERLINK("proteomic_fractions_linear_files/Yang_linear_img/295444883.jpg", "295444883")</f>
        <v>295444883</v>
      </c>
      <c r="B7604" s="7"/>
      <c r="C7604" s="6" t="str">
        <f>HYPERLINK("http://www.ncbi.nlm.nih.gov/protein/295444883","Tnfaip8")</f>
        <v>Tnfaip8</v>
      </c>
      <c r="D7604" s="8"/>
      <c r="E7604" s="8">
        <v>15590</v>
      </c>
      <c r="F7604" s="8"/>
      <c r="G7604" s="15" t="s">
        <v>10</v>
      </c>
      <c r="H7604" s="15" t="s">
        <v>10</v>
      </c>
      <c r="I7604" s="15">
        <v>1.287340074166017</v>
      </c>
      <c r="J7604" s="15">
        <v>1.287340074166017</v>
      </c>
      <c r="K7604" s="15">
        <v>1.287340074166017</v>
      </c>
      <c r="L7604" s="15">
        <v>1.287340074166017</v>
      </c>
      <c r="M7604" s="15">
        <v>1.287340074166017</v>
      </c>
      <c r="N7604" s="15">
        <v>1.287340074166017</v>
      </c>
      <c r="O7604" s="15">
        <v>1.287340074166017</v>
      </c>
      <c r="P7604" s="15">
        <v>1.287340074166017</v>
      </c>
      <c r="Q7604" s="8"/>
      <c r="R7604" s="9" t="s">
        <v>7099</v>
      </c>
    </row>
    <row r="7605" spans="1:18" x14ac:dyDescent="0.25">
      <c r="A7605" s="6" t="str">
        <f>HYPERLINK("proteomic_fractions_linear_files/Yang_linear_img/31560244.jpg", "31560244")</f>
        <v>31560244</v>
      </c>
      <c r="B7605" s="7"/>
      <c r="C7605" s="6" t="str">
        <f>HYPERLINK("http://www.ncbi.nlm.nih.gov/protein/31560244","Tnfaip8l1")</f>
        <v>Tnfaip8l1</v>
      </c>
      <c r="D7605" s="8"/>
      <c r="E7605" s="8">
        <v>20687</v>
      </c>
      <c r="F7605" s="8"/>
      <c r="G7605" s="15" t="s">
        <v>10</v>
      </c>
      <c r="H7605" s="15" t="s">
        <v>10</v>
      </c>
      <c r="I7605" s="15" t="s">
        <v>10</v>
      </c>
      <c r="J7605" s="15" t="s">
        <v>10</v>
      </c>
      <c r="K7605" s="15" t="s">
        <v>10</v>
      </c>
      <c r="L7605" s="15" t="s">
        <v>10</v>
      </c>
      <c r="M7605" s="15">
        <v>0.83666379835042703</v>
      </c>
      <c r="N7605" s="15">
        <v>0.83666379835042703</v>
      </c>
      <c r="O7605" s="15" t="s">
        <v>10</v>
      </c>
      <c r="P7605" s="15" t="s">
        <v>10</v>
      </c>
      <c r="Q7605" s="8"/>
      <c r="R7605" s="9" t="s">
        <v>7100</v>
      </c>
    </row>
    <row r="7606" spans="1:18" x14ac:dyDescent="0.25">
      <c r="A7606" s="6" t="str">
        <f>HYPERLINK("proteomic_fractions_linear_files/Yang_linear_img/244792359.jpg", "244792359")</f>
        <v>244792359</v>
      </c>
      <c r="B7606" s="7"/>
      <c r="C7606" s="6" t="str">
        <f>HYPERLINK("http://www.ncbi.nlm.nih.gov/protein/244792359","Tnik")</f>
        <v>Tnik</v>
      </c>
      <c r="D7606" s="8"/>
      <c r="E7606" s="8">
        <v>154815</v>
      </c>
      <c r="F7606" s="8"/>
      <c r="G7606" s="15" t="s">
        <v>10</v>
      </c>
      <c r="H7606" s="15" t="s">
        <v>10</v>
      </c>
      <c r="I7606" s="15" t="s">
        <v>10</v>
      </c>
      <c r="J7606" s="15" t="s">
        <v>10</v>
      </c>
      <c r="K7606" s="15">
        <v>0.47378167897859513</v>
      </c>
      <c r="L7606" s="15">
        <v>0.47378167897859513</v>
      </c>
      <c r="M7606" s="15" t="s">
        <v>10</v>
      </c>
      <c r="N7606" s="15" t="s">
        <v>10</v>
      </c>
      <c r="O7606" s="15" t="s">
        <v>10</v>
      </c>
      <c r="P7606" s="15" t="s">
        <v>10</v>
      </c>
      <c r="Q7606" s="8"/>
      <c r="R7606" s="9" t="s">
        <v>7101</v>
      </c>
    </row>
    <row r="7607" spans="1:18" x14ac:dyDescent="0.25">
      <c r="A7607" s="6" t="str">
        <f>HYPERLINK("proteomic_fractions_linear_files/Yang_linear_img/244792600.jpg", "244792600")</f>
        <v>244792600</v>
      </c>
      <c r="B7607" s="7"/>
      <c r="C7607" s="6" t="str">
        <f>HYPERLINK("http://www.ncbi.nlm.nih.gov/protein/244792600","Tnik")</f>
        <v>Tnik</v>
      </c>
      <c r="D7607" s="8"/>
      <c r="E7607" s="8">
        <v>153880</v>
      </c>
      <c r="F7607" s="8"/>
      <c r="G7607" s="15" t="s">
        <v>10</v>
      </c>
      <c r="H7607" s="15" t="s">
        <v>10</v>
      </c>
      <c r="I7607" s="15" t="s">
        <v>10</v>
      </c>
      <c r="J7607" s="15" t="s">
        <v>10</v>
      </c>
      <c r="K7607" s="15">
        <v>0.47685818338754704</v>
      </c>
      <c r="L7607" s="15">
        <v>0.47685818338754704</v>
      </c>
      <c r="M7607" s="15" t="s">
        <v>10</v>
      </c>
      <c r="N7607" s="15" t="s">
        <v>10</v>
      </c>
      <c r="O7607" s="15" t="s">
        <v>10</v>
      </c>
      <c r="P7607" s="15" t="s">
        <v>10</v>
      </c>
      <c r="Q7607" s="8"/>
      <c r="R7607" s="9" t="s">
        <v>7102</v>
      </c>
    </row>
    <row r="7608" spans="1:18" x14ac:dyDescent="0.25">
      <c r="A7608" s="6" t="str">
        <f>HYPERLINK("proteomic_fractions_linear_files/Yang_linear_img/244792613.jpg", "244792613")</f>
        <v>244792613</v>
      </c>
      <c r="B7608" s="7"/>
      <c r="C7608" s="6" t="str">
        <f>HYPERLINK("http://www.ncbi.nlm.nih.gov/protein/244792613","Tnik")</f>
        <v>Tnik</v>
      </c>
      <c r="D7608" s="8"/>
      <c r="E7608" s="8">
        <v>150236</v>
      </c>
      <c r="F7608" s="8"/>
      <c r="G7608" s="15" t="s">
        <v>10</v>
      </c>
      <c r="H7608" s="15" t="s">
        <v>10</v>
      </c>
      <c r="I7608" s="15" t="s">
        <v>10</v>
      </c>
      <c r="J7608" s="15" t="s">
        <v>10</v>
      </c>
      <c r="K7608" s="15">
        <v>0.48957440161121496</v>
      </c>
      <c r="L7608" s="15">
        <v>0.48957440161121496</v>
      </c>
      <c r="M7608" s="15" t="s">
        <v>10</v>
      </c>
      <c r="N7608" s="15" t="s">
        <v>10</v>
      </c>
      <c r="O7608" s="15" t="s">
        <v>10</v>
      </c>
      <c r="P7608" s="15" t="s">
        <v>10</v>
      </c>
      <c r="Q7608" s="8"/>
      <c r="R7608" s="9" t="s">
        <v>7103</v>
      </c>
    </row>
    <row r="7609" spans="1:18" x14ac:dyDescent="0.25">
      <c r="A7609" s="6" t="str">
        <f>HYPERLINK("proteomic_fractions_linear_files/Yang_linear_img/244792650.jpg", "244792650")</f>
        <v>244792650</v>
      </c>
      <c r="B7609" s="7"/>
      <c r="C7609" s="6" t="str">
        <f>HYPERLINK("http://www.ncbi.nlm.nih.gov/protein/244792650","Tnik")</f>
        <v>Tnik</v>
      </c>
      <c r="D7609" s="8"/>
      <c r="E7609" s="8">
        <v>155133</v>
      </c>
      <c r="F7609" s="8"/>
      <c r="G7609" s="15" t="s">
        <v>10</v>
      </c>
      <c r="H7609" s="15" t="s">
        <v>10</v>
      </c>
      <c r="I7609" s="15" t="s">
        <v>10</v>
      </c>
      <c r="J7609" s="15" t="s">
        <v>10</v>
      </c>
      <c r="K7609" s="15">
        <v>0.47378167897859513</v>
      </c>
      <c r="L7609" s="15">
        <v>0.47378167897859513</v>
      </c>
      <c r="M7609" s="15" t="s">
        <v>10</v>
      </c>
      <c r="N7609" s="15" t="s">
        <v>10</v>
      </c>
      <c r="O7609" s="15" t="s">
        <v>10</v>
      </c>
      <c r="P7609" s="15" t="s">
        <v>10</v>
      </c>
      <c r="Q7609" s="8"/>
      <c r="R7609" s="9" t="s">
        <v>7104</v>
      </c>
    </row>
    <row r="7610" spans="1:18" x14ac:dyDescent="0.25">
      <c r="A7610" s="6" t="str">
        <f>HYPERLINK("proteomic_fractions_linear_files/Yang_linear_img/254939617.jpg", "254939617")</f>
        <v>254939617</v>
      </c>
      <c r="B7610" s="7"/>
      <c r="C7610" s="6" t="str">
        <f>HYPERLINK("http://www.ncbi.nlm.nih.gov/protein/254939617","Tnip1")</f>
        <v>Tnip1</v>
      </c>
      <c r="D7610" s="8"/>
      <c r="E7610" s="8">
        <v>72820</v>
      </c>
      <c r="F7610" s="8"/>
      <c r="G7610" s="15" t="s">
        <v>10</v>
      </c>
      <c r="H7610" s="15" t="s">
        <v>10</v>
      </c>
      <c r="I7610" s="15" t="s">
        <v>10</v>
      </c>
      <c r="J7610" s="15" t="s">
        <v>10</v>
      </c>
      <c r="K7610" s="15" t="s">
        <v>10</v>
      </c>
      <c r="L7610" s="15" t="s">
        <v>10</v>
      </c>
      <c r="M7610" s="15" t="s">
        <v>10</v>
      </c>
      <c r="N7610" s="15" t="s">
        <v>10</v>
      </c>
      <c r="O7610" s="15">
        <v>1.1383377873033405</v>
      </c>
      <c r="P7610" s="15">
        <v>1.1383377873033405</v>
      </c>
      <c r="Q7610" s="8"/>
      <c r="R7610" s="9" t="s">
        <v>7105</v>
      </c>
    </row>
    <row r="7611" spans="1:18" x14ac:dyDescent="0.25">
      <c r="A7611" s="6" t="str">
        <f>HYPERLINK("proteomic_fractions_linear_files/Yang_linear_img/407027872;313103031.jpg", "407027872;313103031")</f>
        <v>407027872;313103031</v>
      </c>
      <c r="B7611" s="8"/>
      <c r="C7611" s="6" t="str">
        <f>HYPERLINK("http://www.ncbi.nlm.nih.gov/protein/407027872;313103031","Tnip1")</f>
        <v>Tnip1</v>
      </c>
      <c r="D7611" s="8"/>
      <c r="E7611" s="8">
        <v>67068</v>
      </c>
      <c r="F7611" s="8"/>
      <c r="G7611" s="15" t="s">
        <v>10</v>
      </c>
      <c r="H7611" s="15" t="s">
        <v>10</v>
      </c>
      <c r="I7611" s="15" t="s">
        <v>10</v>
      </c>
      <c r="J7611" s="15" t="s">
        <v>10</v>
      </c>
      <c r="K7611" s="15" t="s">
        <v>10</v>
      </c>
      <c r="L7611" s="15" t="s">
        <v>10</v>
      </c>
      <c r="M7611" s="15" t="s">
        <v>10</v>
      </c>
      <c r="N7611" s="15" t="s">
        <v>10</v>
      </c>
      <c r="O7611" s="15">
        <v>1.2402784846737889</v>
      </c>
      <c r="P7611" s="15">
        <v>1.2402784846737889</v>
      </c>
      <c r="Q7611" s="8"/>
      <c r="R7611" s="9" t="s">
        <v>7106</v>
      </c>
    </row>
    <row r="7612" spans="1:18" x14ac:dyDescent="0.25">
      <c r="A7612" s="6" t="str">
        <f>HYPERLINK("proteomic_fractions_linear_files/Yang_linear_img/407027874.jpg", "407027874")</f>
        <v>407027874</v>
      </c>
      <c r="B7612" s="7"/>
      <c r="C7612" s="6" t="str">
        <f>HYPERLINK("http://www.ncbi.nlm.nih.gov/protein/407027874","Tnip1")</f>
        <v>Tnip1</v>
      </c>
      <c r="D7612" s="8"/>
      <c r="E7612" s="8">
        <v>72808</v>
      </c>
      <c r="F7612" s="8"/>
      <c r="G7612" s="15" t="s">
        <v>10</v>
      </c>
      <c r="H7612" s="15" t="s">
        <v>10</v>
      </c>
      <c r="I7612" s="15" t="s">
        <v>10</v>
      </c>
      <c r="J7612" s="15" t="s">
        <v>10</v>
      </c>
      <c r="K7612" s="15" t="s">
        <v>10</v>
      </c>
      <c r="L7612" s="15" t="s">
        <v>10</v>
      </c>
      <c r="M7612" s="15" t="s">
        <v>10</v>
      </c>
      <c r="N7612" s="15" t="s">
        <v>10</v>
      </c>
      <c r="O7612" s="15">
        <v>1.1383377873033405</v>
      </c>
      <c r="P7612" s="15">
        <v>1.1383377873033405</v>
      </c>
      <c r="Q7612" s="8"/>
      <c r="R7612" s="9" t="s">
        <v>7107</v>
      </c>
    </row>
    <row r="7613" spans="1:18" x14ac:dyDescent="0.25">
      <c r="A7613" s="6" t="str">
        <f>HYPERLINK("proteomic_fractions_linear_files/Yang_linear_img/124486923.jpg", "124486923")</f>
        <v>124486923</v>
      </c>
      <c r="B7613" s="7"/>
      <c r="C7613" s="6" t="str">
        <f>HYPERLINK("http://www.ncbi.nlm.nih.gov/protein/124486923","Tnks1bp1")</f>
        <v>Tnks1bp1</v>
      </c>
      <c r="D7613" s="8"/>
      <c r="E7613" s="8">
        <v>181695</v>
      </c>
      <c r="F7613" s="8"/>
      <c r="G7613" s="15" t="s">
        <v>10</v>
      </c>
      <c r="H7613" s="15" t="s">
        <v>10</v>
      </c>
      <c r="I7613" s="15">
        <v>1.2822024594936763</v>
      </c>
      <c r="J7613" s="15">
        <v>1.2822024594936763</v>
      </c>
      <c r="K7613" s="15">
        <v>1.6581501353653778</v>
      </c>
      <c r="L7613" s="15">
        <v>1.6581501353653778</v>
      </c>
      <c r="M7613" s="15" t="s">
        <v>10</v>
      </c>
      <c r="N7613" s="15" t="s">
        <v>10</v>
      </c>
      <c r="O7613" s="15">
        <v>1.2822024594936763</v>
      </c>
      <c r="P7613" s="15">
        <v>1.2822024594936763</v>
      </c>
      <c r="Q7613" s="8"/>
      <c r="R7613" s="9" t="s">
        <v>7108</v>
      </c>
    </row>
    <row r="7614" spans="1:18" x14ac:dyDescent="0.25">
      <c r="A7614" s="6" t="str">
        <f>HYPERLINK("proteomic_fractions_linear_files/Yang_linear_img/6678391.jpg", "6678391")</f>
        <v>6678391</v>
      </c>
      <c r="B7614" s="7"/>
      <c r="C7614" s="6" t="str">
        <f>HYPERLINK("http://www.ncbi.nlm.nih.gov/protein/6678391","Tnni2")</f>
        <v>Tnni2</v>
      </c>
      <c r="D7614" s="8"/>
      <c r="E7614" s="8">
        <v>21226</v>
      </c>
      <c r="F7614" s="8"/>
      <c r="G7614" s="15">
        <v>1.5278129931301709</v>
      </c>
      <c r="H7614" s="15">
        <v>1.5278129931301709</v>
      </c>
      <c r="I7614" s="15" t="s">
        <v>10</v>
      </c>
      <c r="J7614" s="15" t="s">
        <v>10</v>
      </c>
      <c r="K7614" s="15" t="s">
        <v>10</v>
      </c>
      <c r="L7614" s="15" t="s">
        <v>10</v>
      </c>
      <c r="M7614" s="15" t="s">
        <v>10</v>
      </c>
      <c r="N7614" s="15" t="s">
        <v>10</v>
      </c>
      <c r="O7614" s="15" t="s">
        <v>10</v>
      </c>
      <c r="P7614" s="15" t="s">
        <v>10</v>
      </c>
      <c r="Q7614" s="8"/>
      <c r="R7614" s="9" t="s">
        <v>7109</v>
      </c>
    </row>
    <row r="7615" spans="1:18" x14ac:dyDescent="0.25">
      <c r="A7615" s="6" t="str">
        <f>HYPERLINK("proteomic_fractions_linear_files/Yang_linear_img/115385966.jpg", "115385966")</f>
        <v>115385966</v>
      </c>
      <c r="B7615" s="7"/>
      <c r="C7615" s="6" t="str">
        <f>HYPERLINK("http://www.ncbi.nlm.nih.gov/protein/115385966","Tnpo1")</f>
        <v>Tnpo1</v>
      </c>
      <c r="D7615" s="8"/>
      <c r="E7615" s="8">
        <v>101181</v>
      </c>
      <c r="F7615" s="8"/>
      <c r="G7615" s="15" t="s">
        <v>10</v>
      </c>
      <c r="H7615" s="15" t="s">
        <v>10</v>
      </c>
      <c r="I7615" s="15">
        <v>0.94027704141172785</v>
      </c>
      <c r="J7615" s="15">
        <v>0.94027704141172785</v>
      </c>
      <c r="K7615" s="15">
        <v>1.0871441962488264</v>
      </c>
      <c r="L7615" s="15">
        <v>1.0871441962488264</v>
      </c>
      <c r="M7615" s="15">
        <v>0.94027704141172785</v>
      </c>
      <c r="N7615" s="15">
        <v>0.94027704141172785</v>
      </c>
      <c r="O7615" s="15">
        <v>0.94027704141172785</v>
      </c>
      <c r="P7615" s="15">
        <v>0.94027704141172785</v>
      </c>
      <c r="Q7615" s="8"/>
      <c r="R7615" s="9" t="s">
        <v>7110</v>
      </c>
    </row>
    <row r="7616" spans="1:18" x14ac:dyDescent="0.25">
      <c r="A7616" s="6" t="str">
        <f>HYPERLINK("proteomic_fractions_linear_files/Yang_linear_img/115385968.jpg", "115385968")</f>
        <v>115385968</v>
      </c>
      <c r="B7616" s="7"/>
      <c r="C7616" s="6" t="str">
        <f>HYPERLINK("http://www.ncbi.nlm.nih.gov/protein/115385968","Tnpo1")</f>
        <v>Tnpo1</v>
      </c>
      <c r="D7616" s="8"/>
      <c r="E7616" s="8">
        <v>102226</v>
      </c>
      <c r="F7616" s="8"/>
      <c r="G7616" s="15" t="s">
        <v>10</v>
      </c>
      <c r="H7616" s="15" t="s">
        <v>10</v>
      </c>
      <c r="I7616" s="15">
        <v>0.93105863904494612</v>
      </c>
      <c r="J7616" s="15">
        <v>0.93105863904494612</v>
      </c>
      <c r="K7616" s="15">
        <v>1.0764859198150143</v>
      </c>
      <c r="L7616" s="15">
        <v>1.0764859198150143</v>
      </c>
      <c r="M7616" s="15">
        <v>0.93105863904494612</v>
      </c>
      <c r="N7616" s="15">
        <v>0.93105863904494612</v>
      </c>
      <c r="O7616" s="15">
        <v>0.93105863904494612</v>
      </c>
      <c r="P7616" s="15">
        <v>0.93105863904494612</v>
      </c>
      <c r="Q7616" s="8"/>
      <c r="R7616" s="9" t="s">
        <v>7111</v>
      </c>
    </row>
    <row r="7617" spans="1:18" x14ac:dyDescent="0.25">
      <c r="A7617" s="6" t="str">
        <f>HYPERLINK("proteomic_fractions_linear_files/Yang_linear_img/170932528.jpg", "170932528")</f>
        <v>170932528</v>
      </c>
      <c r="B7617" s="7"/>
      <c r="C7617" s="6" t="str">
        <f>HYPERLINK("http://www.ncbi.nlm.nih.gov/protein/170932528","Tnpo2")</f>
        <v>Tnpo2</v>
      </c>
      <c r="D7617" s="8"/>
      <c r="E7617" s="8">
        <v>101306</v>
      </c>
      <c r="F7617" s="8"/>
      <c r="G7617" s="15" t="s">
        <v>10</v>
      </c>
      <c r="H7617" s="15" t="s">
        <v>10</v>
      </c>
      <c r="I7617" s="15">
        <v>0.94027704141172785</v>
      </c>
      <c r="J7617" s="15">
        <v>0.94027704141172785</v>
      </c>
      <c r="K7617" s="15">
        <v>1.0871441962488264</v>
      </c>
      <c r="L7617" s="15">
        <v>1.0871441962488264</v>
      </c>
      <c r="M7617" s="15">
        <v>0.94027704141172785</v>
      </c>
      <c r="N7617" s="15">
        <v>0.94027704141172785</v>
      </c>
      <c r="O7617" s="15">
        <v>0.94027704141172785</v>
      </c>
      <c r="P7617" s="15">
        <v>0.94027704141172785</v>
      </c>
      <c r="Q7617" s="8"/>
      <c r="R7617" s="9" t="s">
        <v>7112</v>
      </c>
    </row>
    <row r="7618" spans="1:18" x14ac:dyDescent="0.25">
      <c r="A7618" s="6" t="str">
        <f>HYPERLINK("proteomic_fractions_linear_files/Yang_linear_img/54312056.jpg", "54312056")</f>
        <v>54312056</v>
      </c>
      <c r="B7618" s="7"/>
      <c r="C7618" s="6" t="str">
        <f>HYPERLINK("http://www.ncbi.nlm.nih.gov/protein/54312056","Tnpo3")</f>
        <v>Tnpo3</v>
      </c>
      <c r="D7618" s="8"/>
      <c r="E7618" s="8">
        <v>104040</v>
      </c>
      <c r="F7618" s="8"/>
      <c r="G7618" s="15">
        <v>1.237707962933817</v>
      </c>
      <c r="H7618" s="15">
        <v>1.0557842675108795</v>
      </c>
      <c r="I7618" s="15">
        <v>1.0557842675108795</v>
      </c>
      <c r="J7618" s="15">
        <v>1.0557842675108795</v>
      </c>
      <c r="K7618" s="15">
        <v>1.0557842675108795</v>
      </c>
      <c r="L7618" s="15">
        <v>1.0557842675108795</v>
      </c>
      <c r="M7618" s="15">
        <v>1.0557842675108795</v>
      </c>
      <c r="N7618" s="15">
        <v>1.0557842675108795</v>
      </c>
      <c r="O7618" s="15">
        <v>1.0557842675108795</v>
      </c>
      <c r="P7618" s="15">
        <v>1.0557842675108795</v>
      </c>
      <c r="Q7618" s="8"/>
      <c r="R7618" s="9" t="s">
        <v>7113</v>
      </c>
    </row>
    <row r="7619" spans="1:18" x14ac:dyDescent="0.25">
      <c r="A7619" s="6" t="str">
        <f>HYPERLINK("proteomic_fractions_linear_files/Yang_linear_img/159110982.jpg", "159110982")</f>
        <v>159110982</v>
      </c>
      <c r="B7619" s="7"/>
      <c r="C7619" s="6" t="str">
        <f>HYPERLINK("http://www.ncbi.nlm.nih.gov/protein/159110982","Tnrc6b")</f>
        <v>Tnrc6b</v>
      </c>
      <c r="D7619" s="8"/>
      <c r="E7619" s="8">
        <v>187916</v>
      </c>
      <c r="F7619" s="8"/>
      <c r="G7619" s="15" t="s">
        <v>10</v>
      </c>
      <c r="H7619" s="15" t="s">
        <v>10</v>
      </c>
      <c r="I7619" s="15" t="s">
        <v>10</v>
      </c>
      <c r="J7619" s="15" t="s">
        <v>10</v>
      </c>
      <c r="K7619" s="15">
        <v>1.2412811044034524</v>
      </c>
      <c r="L7619" s="15">
        <v>1.2412811044034524</v>
      </c>
      <c r="M7619" s="15" t="s">
        <v>10</v>
      </c>
      <c r="N7619" s="15" t="s">
        <v>10</v>
      </c>
      <c r="O7619" s="15" t="s">
        <v>10</v>
      </c>
      <c r="P7619" s="15" t="s">
        <v>10</v>
      </c>
      <c r="Q7619" s="8"/>
      <c r="R7619" s="9" t="s">
        <v>7114</v>
      </c>
    </row>
    <row r="7620" spans="1:18" x14ac:dyDescent="0.25">
      <c r="A7620" s="6" t="str">
        <f>HYPERLINK("proteomic_fractions_linear_files/Yang_linear_img/67782332.jpg", "67782332")</f>
        <v>67782332</v>
      </c>
      <c r="B7620" s="7"/>
      <c r="C7620" s="6" t="str">
        <f>HYPERLINK("http://www.ncbi.nlm.nih.gov/protein/67782332","Tnrc6b")</f>
        <v>Tnrc6b</v>
      </c>
      <c r="D7620" s="8"/>
      <c r="E7620" s="8">
        <v>191833</v>
      </c>
      <c r="F7620" s="8"/>
      <c r="G7620" s="15" t="s">
        <v>10</v>
      </c>
      <c r="H7620" s="15" t="s">
        <v>10</v>
      </c>
      <c r="I7620" s="15" t="s">
        <v>10</v>
      </c>
      <c r="J7620" s="15" t="s">
        <v>10</v>
      </c>
      <c r="K7620" s="15">
        <v>1.2154210813950472</v>
      </c>
      <c r="L7620" s="15">
        <v>1.2154210813950472</v>
      </c>
      <c r="M7620" s="15" t="s">
        <v>10</v>
      </c>
      <c r="N7620" s="15" t="s">
        <v>10</v>
      </c>
      <c r="O7620" s="15" t="s">
        <v>10</v>
      </c>
      <c r="P7620" s="15" t="s">
        <v>10</v>
      </c>
      <c r="Q7620" s="8"/>
      <c r="R7620" s="9" t="s">
        <v>7115</v>
      </c>
    </row>
    <row r="7621" spans="1:18" x14ac:dyDescent="0.25">
      <c r="A7621" s="6" t="str">
        <f>HYPERLINK("proteomic_fractions_linear_files/Yang_linear_img/124378035.jpg", "124378035")</f>
        <v>124378035</v>
      </c>
      <c r="B7621" s="7"/>
      <c r="C7621" s="6" t="str">
        <f>HYPERLINK("http://www.ncbi.nlm.nih.gov/protein/124378035","Tnrc6c")</f>
        <v>Tnrc6c</v>
      </c>
      <c r="D7621" s="8"/>
      <c r="E7621" s="8">
        <v>198083</v>
      </c>
      <c r="F7621" s="8"/>
      <c r="G7621" s="15" t="s">
        <v>10</v>
      </c>
      <c r="H7621" s="15" t="s">
        <v>10</v>
      </c>
      <c r="I7621" s="15" t="s">
        <v>10</v>
      </c>
      <c r="J7621" s="15" t="s">
        <v>10</v>
      </c>
      <c r="K7621" s="15">
        <v>0.94326177595929472</v>
      </c>
      <c r="L7621" s="15">
        <v>0.94326177595929472</v>
      </c>
      <c r="M7621" s="15" t="s">
        <v>10</v>
      </c>
      <c r="N7621" s="15" t="s">
        <v>10</v>
      </c>
      <c r="O7621" s="15" t="s">
        <v>10</v>
      </c>
      <c r="P7621" s="15" t="s">
        <v>10</v>
      </c>
      <c r="Q7621" s="8"/>
      <c r="R7621" s="9" t="s">
        <v>7116</v>
      </c>
    </row>
    <row r="7622" spans="1:18" x14ac:dyDescent="0.25">
      <c r="A7622" s="6" t="str">
        <f>HYPERLINK("proteomic_fractions_linear_files/Yang_linear_img/226437589.jpg", "226437589")</f>
        <v>226437589</v>
      </c>
      <c r="B7622" s="7"/>
      <c r="C7622" s="6" t="str">
        <f>HYPERLINK("http://www.ncbi.nlm.nih.gov/protein/226437589","Tns1")</f>
        <v>Tns1</v>
      </c>
      <c r="D7622" s="8"/>
      <c r="E7622" s="8">
        <v>201252</v>
      </c>
      <c r="F7622" s="8"/>
      <c r="G7622" s="15" t="s">
        <v>10</v>
      </c>
      <c r="H7622" s="15" t="s">
        <v>10</v>
      </c>
      <c r="I7622" s="15">
        <v>29.816417910447765</v>
      </c>
      <c r="J7622" s="15">
        <v>29.816417910447765</v>
      </c>
      <c r="K7622" s="15">
        <v>1.1609992419295974</v>
      </c>
      <c r="L7622" s="15">
        <v>1.1609992419295974</v>
      </c>
      <c r="M7622" s="15" t="s">
        <v>10</v>
      </c>
      <c r="N7622" s="15" t="s">
        <v>10</v>
      </c>
      <c r="O7622" s="15">
        <v>0.92918324198975299</v>
      </c>
      <c r="P7622" s="15">
        <v>0.92918324198975299</v>
      </c>
      <c r="Q7622" s="8"/>
      <c r="R7622" s="9" t="s">
        <v>7117</v>
      </c>
    </row>
    <row r="7623" spans="1:18" x14ac:dyDescent="0.25">
      <c r="A7623" s="6" t="str">
        <f>HYPERLINK("proteomic_fractions_linear_files/Yang_linear_img/134152676.jpg", "134152676")</f>
        <v>134152676</v>
      </c>
      <c r="B7623" s="7"/>
      <c r="C7623" s="6" t="str">
        <f>HYPERLINK("http://www.ncbi.nlm.nih.gov/protein/134152676","Tns3")</f>
        <v>Tns3</v>
      </c>
      <c r="D7623" s="8"/>
      <c r="E7623" s="8">
        <v>155459</v>
      </c>
      <c r="F7623" s="8"/>
      <c r="G7623" s="15" t="s">
        <v>10</v>
      </c>
      <c r="H7623" s="15" t="s">
        <v>10</v>
      </c>
      <c r="I7623" s="15">
        <v>38.66516129032258</v>
      </c>
      <c r="J7623" s="15">
        <v>38.66516129032258</v>
      </c>
      <c r="K7623" s="15">
        <v>1.5055538556635424</v>
      </c>
      <c r="L7623" s="15">
        <v>1.5055538556635424</v>
      </c>
      <c r="M7623" s="15" t="s">
        <v>10</v>
      </c>
      <c r="N7623" s="15" t="s">
        <v>10</v>
      </c>
      <c r="O7623" s="15">
        <v>1.2049408492899378</v>
      </c>
      <c r="P7623" s="15">
        <v>1.2049408492899378</v>
      </c>
      <c r="Q7623" s="8"/>
      <c r="R7623" s="9" t="s">
        <v>7118</v>
      </c>
    </row>
    <row r="7624" spans="1:18" x14ac:dyDescent="0.25">
      <c r="A7624" s="6" t="str">
        <f>HYPERLINK("proteomic_fractions_linear_files/Yang_linear_img/21311839.jpg", "21311839")</f>
        <v>21311839</v>
      </c>
      <c r="B7624" s="7"/>
      <c r="C7624" s="6" t="str">
        <f>HYPERLINK("http://www.ncbi.nlm.nih.gov/protein/21311839","Toe1")</f>
        <v>Toe1</v>
      </c>
      <c r="D7624" s="8"/>
      <c r="E7624" s="8">
        <v>56740</v>
      </c>
      <c r="F7624" s="8"/>
      <c r="G7624" s="15" t="s">
        <v>10</v>
      </c>
      <c r="H7624" s="15" t="s">
        <v>10</v>
      </c>
      <c r="I7624" s="15">
        <v>1.1483028654481462</v>
      </c>
      <c r="J7624" s="15">
        <v>1.1483028654481462</v>
      </c>
      <c r="K7624" s="15">
        <v>1.1483028654481462</v>
      </c>
      <c r="L7624" s="15">
        <v>1.1483028654481462</v>
      </c>
      <c r="M7624" s="15">
        <v>1.1483028654481462</v>
      </c>
      <c r="N7624" s="15">
        <v>1.1483028654481462</v>
      </c>
      <c r="O7624" s="15">
        <v>1.0311089050104185</v>
      </c>
      <c r="P7624" s="15">
        <v>1.0311089050104185</v>
      </c>
      <c r="Q7624" s="8"/>
      <c r="R7624" s="9" t="s">
        <v>7119</v>
      </c>
    </row>
    <row r="7625" spans="1:18" x14ac:dyDescent="0.25">
      <c r="A7625" s="6" t="str">
        <f>HYPERLINK("proteomic_fractions_linear_files/Yang_linear_img/13591860.jpg", "13591860")</f>
        <v>13591860</v>
      </c>
      <c r="B7625" s="7"/>
      <c r="C7625" s="6" t="str">
        <f>HYPERLINK("http://www.ncbi.nlm.nih.gov/protein/13591860","Tollip")</f>
        <v>Tollip</v>
      </c>
      <c r="D7625" s="8"/>
      <c r="E7625" s="8">
        <v>30214</v>
      </c>
      <c r="F7625" s="8"/>
      <c r="G7625" s="15" t="s">
        <v>10</v>
      </c>
      <c r="H7625" s="15" t="s">
        <v>10</v>
      </c>
      <c r="I7625" s="15">
        <v>0.93060704325606869</v>
      </c>
      <c r="J7625" s="15">
        <v>0.87167527051416671</v>
      </c>
      <c r="K7625" s="15">
        <v>0.93060704325606869</v>
      </c>
      <c r="L7625" s="15">
        <v>0.93060704325606869</v>
      </c>
      <c r="M7625" s="15" t="s">
        <v>10</v>
      </c>
      <c r="N7625" s="15" t="s">
        <v>10</v>
      </c>
      <c r="O7625" s="15">
        <v>0.81849402044256392</v>
      </c>
      <c r="P7625" s="15">
        <v>0.81849402044256392</v>
      </c>
      <c r="Q7625" s="8"/>
      <c r="R7625" s="9" t="s">
        <v>7120</v>
      </c>
    </row>
    <row r="7626" spans="1:18" x14ac:dyDescent="0.25">
      <c r="A7626" s="6" t="str">
        <f>HYPERLINK("proteomic_fractions_linear_files/Yang_linear_img/210147426.jpg", "210147426")</f>
        <v>210147426</v>
      </c>
      <c r="B7626" s="7"/>
      <c r="C7626" s="6" t="str">
        <f>HYPERLINK("http://www.ncbi.nlm.nih.gov/protein/210147426","Tom1")</f>
        <v>Tom1</v>
      </c>
      <c r="D7626" s="8"/>
      <c r="E7626" s="8">
        <v>57014</v>
      </c>
      <c r="F7626" s="8"/>
      <c r="G7626" s="15" t="s">
        <v>10</v>
      </c>
      <c r="H7626" s="15" t="s">
        <v>10</v>
      </c>
      <c r="I7626" s="15">
        <v>0.93193981807019433</v>
      </c>
      <c r="J7626" s="15">
        <v>0.93193981807019433</v>
      </c>
      <c r="K7626" s="15">
        <v>1.0311089050104185</v>
      </c>
      <c r="L7626" s="15">
        <v>1.0311089050104185</v>
      </c>
      <c r="M7626" s="15" t="s">
        <v>10</v>
      </c>
      <c r="N7626" s="15" t="s">
        <v>10</v>
      </c>
      <c r="O7626" s="15">
        <v>0.93193981807019433</v>
      </c>
      <c r="P7626" s="15">
        <v>0.93193981807019433</v>
      </c>
      <c r="Q7626" s="8"/>
      <c r="R7626" s="9" t="s">
        <v>7121</v>
      </c>
    </row>
    <row r="7627" spans="1:18" x14ac:dyDescent="0.25">
      <c r="A7627" s="6" t="str">
        <f>HYPERLINK("proteomic_fractions_linear_files/Yang_linear_img/6755847.jpg", "6755847")</f>
        <v>6755847</v>
      </c>
      <c r="B7627" s="7"/>
      <c r="C7627" s="6" t="str">
        <f>HYPERLINK("http://www.ncbi.nlm.nih.gov/protein/6755847","Tom1")</f>
        <v>Tom1</v>
      </c>
      <c r="D7627" s="8"/>
      <c r="E7627" s="8">
        <v>54194</v>
      </c>
      <c r="F7627" s="8"/>
      <c r="G7627" s="15" t="s">
        <v>10</v>
      </c>
      <c r="H7627" s="15" t="s">
        <v>10</v>
      </c>
      <c r="I7627" s="15">
        <v>0.98371425240742738</v>
      </c>
      <c r="J7627" s="15">
        <v>0.98371425240742738</v>
      </c>
      <c r="K7627" s="15">
        <v>1.0883927330665528</v>
      </c>
      <c r="L7627" s="15">
        <v>1.0883927330665528</v>
      </c>
      <c r="M7627" s="15" t="s">
        <v>10</v>
      </c>
      <c r="N7627" s="15" t="s">
        <v>10</v>
      </c>
      <c r="O7627" s="15">
        <v>0.98371425240742738</v>
      </c>
      <c r="P7627" s="15">
        <v>0.98371425240742738</v>
      </c>
      <c r="Q7627" s="8"/>
      <c r="R7627" s="9" t="s">
        <v>7122</v>
      </c>
    </row>
    <row r="7628" spans="1:18" x14ac:dyDescent="0.25">
      <c r="A7628" s="6" t="str">
        <f>HYPERLINK("proteomic_fractions_linear_files/Yang_linear_img/110625896.jpg", "110625896")</f>
        <v>110625896</v>
      </c>
      <c r="B7628" s="7"/>
      <c r="C7628" s="6" t="str">
        <f>HYPERLINK("http://www.ncbi.nlm.nih.gov/protein/110625896","Tom1l1")</f>
        <v>Tom1l1</v>
      </c>
      <c r="D7628" s="8"/>
      <c r="E7628" s="8">
        <v>43956</v>
      </c>
      <c r="F7628" s="8"/>
      <c r="G7628" s="15">
        <v>1.4875741666032802</v>
      </c>
      <c r="H7628" s="15">
        <v>1.4875741666032802</v>
      </c>
      <c r="I7628" s="15">
        <v>1.3357547178544058</v>
      </c>
      <c r="J7628" s="15">
        <v>1.3357547178544058</v>
      </c>
      <c r="K7628" s="15">
        <v>1.3357547178544058</v>
      </c>
      <c r="L7628" s="15">
        <v>1.3357547178544058</v>
      </c>
      <c r="M7628" s="15">
        <v>1.3357547178544058</v>
      </c>
      <c r="N7628" s="15">
        <v>1.3357547178544058</v>
      </c>
      <c r="O7628" s="15">
        <v>1.2072856734091155</v>
      </c>
      <c r="P7628" s="15">
        <v>1.2072856734091155</v>
      </c>
      <c r="Q7628" s="8"/>
      <c r="R7628" s="9" t="s">
        <v>7123</v>
      </c>
    </row>
    <row r="7629" spans="1:18" x14ac:dyDescent="0.25">
      <c r="A7629" s="6" t="str">
        <f>HYPERLINK("proteomic_fractions_linear_files/Yang_linear_img/31982091.jpg", "31982091")</f>
        <v>31982091</v>
      </c>
      <c r="B7629" s="7"/>
      <c r="C7629" s="6" t="str">
        <f>HYPERLINK("http://www.ncbi.nlm.nih.gov/protein/31982091","Tomm22")</f>
        <v>Tomm22</v>
      </c>
      <c r="D7629" s="8"/>
      <c r="E7629" s="8">
        <v>15406</v>
      </c>
      <c r="F7629" s="8"/>
      <c r="G7629" s="15">
        <v>1.8612140865121374</v>
      </c>
      <c r="H7629" s="15">
        <v>1.8612140865121374</v>
      </c>
      <c r="I7629" s="15">
        <v>1.1713293176905979</v>
      </c>
      <c r="J7629" s="15">
        <v>1.1713293176905979</v>
      </c>
      <c r="K7629" s="15">
        <v>1.3000766552023515</v>
      </c>
      <c r="L7629" s="15">
        <v>1.3000766552023515</v>
      </c>
      <c r="M7629" s="15">
        <v>1.3000766552023515</v>
      </c>
      <c r="N7629" s="15">
        <v>1.3000766552023515</v>
      </c>
      <c r="O7629" s="15" t="s">
        <v>10</v>
      </c>
      <c r="P7629" s="15" t="s">
        <v>10</v>
      </c>
      <c r="Q7629" s="8"/>
      <c r="R7629" s="9" t="s">
        <v>7124</v>
      </c>
    </row>
    <row r="7630" spans="1:18" x14ac:dyDescent="0.25">
      <c r="A7630" s="6" t="str">
        <f>HYPERLINK("proteomic_fractions_linear_files/Yang_linear_img/13385500.jpg", "13385500")</f>
        <v>13385500</v>
      </c>
      <c r="B7630" s="7"/>
      <c r="C7630" s="6" t="str">
        <f>HYPERLINK("http://www.ncbi.nlm.nih.gov/protein/13385500","Tomm34")</f>
        <v>Tomm34</v>
      </c>
      <c r="D7630" s="8"/>
      <c r="E7630" s="8">
        <v>34149</v>
      </c>
      <c r="F7630" s="8"/>
      <c r="G7630" s="15" t="s">
        <v>10</v>
      </c>
      <c r="H7630" s="15" t="s">
        <v>10</v>
      </c>
      <c r="I7630" s="15">
        <v>0.94364920163922317</v>
      </c>
      <c r="J7630" s="15">
        <v>0.94364920163922317</v>
      </c>
      <c r="K7630" s="15">
        <v>0.94364920163922317</v>
      </c>
      <c r="L7630" s="15">
        <v>0.94364920163922317</v>
      </c>
      <c r="M7630" s="15">
        <v>0.94364920163922317</v>
      </c>
      <c r="N7630" s="15">
        <v>0.94364920163922317</v>
      </c>
      <c r="O7630" s="15">
        <v>0.82112386169653118</v>
      </c>
      <c r="P7630" s="15">
        <v>0.82112386169653118</v>
      </c>
      <c r="Q7630" s="8"/>
      <c r="R7630" s="9" t="s">
        <v>7125</v>
      </c>
    </row>
    <row r="7631" spans="1:18" x14ac:dyDescent="0.25">
      <c r="A7631" s="6" t="str">
        <f>HYPERLINK("proteomic_fractions_linear_files/Yang_linear_img/157909797.jpg", "157909797")</f>
        <v>157909797</v>
      </c>
      <c r="B7631" s="7"/>
      <c r="C7631" s="6" t="str">
        <f>HYPERLINK("http://www.ncbi.nlm.nih.gov/protein/157909797","Tomm40")</f>
        <v>Tomm40</v>
      </c>
      <c r="D7631" s="8"/>
      <c r="E7631" s="8">
        <v>37764</v>
      </c>
      <c r="F7631" s="8"/>
      <c r="G7631" s="15">
        <v>0.98266648481906815</v>
      </c>
      <c r="H7631" s="15">
        <v>0.98266648481906815</v>
      </c>
      <c r="I7631" s="15">
        <v>1.0659820579795458</v>
      </c>
      <c r="J7631" s="15">
        <v>1.0659820579795458</v>
      </c>
      <c r="K7631" s="15">
        <v>1.0659820579795458</v>
      </c>
      <c r="L7631" s="15">
        <v>1.0659820579795458</v>
      </c>
      <c r="M7631" s="15" t="s">
        <v>10</v>
      </c>
      <c r="N7631" s="15" t="s">
        <v>10</v>
      </c>
      <c r="O7631" s="15" t="s">
        <v>10</v>
      </c>
      <c r="P7631" s="15" t="s">
        <v>10</v>
      </c>
      <c r="Q7631" s="8"/>
      <c r="R7631" s="9" t="s">
        <v>7126</v>
      </c>
    </row>
    <row r="7632" spans="1:18" x14ac:dyDescent="0.25">
      <c r="A7632" s="6" t="str">
        <f>HYPERLINK("proteomic_fractions_linear_files/Yang_linear_img/153791486.jpg", "153791486")</f>
        <v>153791486</v>
      </c>
      <c r="B7632" s="7"/>
      <c r="C7632" s="6" t="str">
        <f>HYPERLINK("http://www.ncbi.nlm.nih.gov/protein/153791486","Tomm5")</f>
        <v>Tomm5</v>
      </c>
      <c r="D7632" s="8"/>
      <c r="E7632" s="8">
        <v>5906</v>
      </c>
      <c r="F7632" s="8"/>
      <c r="G7632" s="15">
        <v>1.8831065329342023</v>
      </c>
      <c r="H7632" s="15">
        <v>1.8831065329342023</v>
      </c>
      <c r="I7632" s="15">
        <v>1.8831065329342023</v>
      </c>
      <c r="J7632" s="15">
        <v>1.8831065329342023</v>
      </c>
      <c r="K7632" s="15" t="s">
        <v>10</v>
      </c>
      <c r="L7632" s="15" t="s">
        <v>10</v>
      </c>
      <c r="M7632" s="15" t="s">
        <v>10</v>
      </c>
      <c r="N7632" s="15" t="s">
        <v>10</v>
      </c>
      <c r="O7632" s="15" t="s">
        <v>10</v>
      </c>
      <c r="P7632" s="15" t="s">
        <v>10</v>
      </c>
      <c r="Q7632" s="8"/>
      <c r="R7632" s="9" t="s">
        <v>7127</v>
      </c>
    </row>
    <row r="7633" spans="1:18" x14ac:dyDescent="0.25">
      <c r="A7633" s="6" t="str">
        <f>HYPERLINK("proteomic_fractions_linear_files/Yang_linear_img/197382455.jpg", "197382455")</f>
        <v>197382455</v>
      </c>
      <c r="B7633" s="7"/>
      <c r="C7633" s="6" t="str">
        <f>HYPERLINK("http://www.ncbi.nlm.nih.gov/protein/197382455","Tomm5")</f>
        <v>Tomm5</v>
      </c>
      <c r="D7633" s="8"/>
      <c r="E7633" s="8">
        <v>6909</v>
      </c>
      <c r="F7633" s="8"/>
      <c r="G7633" s="15">
        <v>1.6140913139436019</v>
      </c>
      <c r="H7633" s="15">
        <v>1.6140913139436019</v>
      </c>
      <c r="I7633" s="15">
        <v>1.6140913139436019</v>
      </c>
      <c r="J7633" s="15">
        <v>1.6140913139436019</v>
      </c>
      <c r="K7633" s="15" t="s">
        <v>10</v>
      </c>
      <c r="L7633" s="15" t="s">
        <v>10</v>
      </c>
      <c r="M7633" s="15" t="s">
        <v>10</v>
      </c>
      <c r="N7633" s="15" t="s">
        <v>10</v>
      </c>
      <c r="O7633" s="15" t="s">
        <v>10</v>
      </c>
      <c r="P7633" s="15" t="s">
        <v>10</v>
      </c>
      <c r="Q7633" s="8"/>
      <c r="R7633" s="9" t="s">
        <v>7128</v>
      </c>
    </row>
    <row r="7634" spans="1:18" x14ac:dyDescent="0.25">
      <c r="A7634" s="6" t="str">
        <f>HYPERLINK("proteomic_fractions_linear_files/Yang_linear_img/21313592.jpg", "21313592")</f>
        <v>21313592</v>
      </c>
      <c r="B7634" s="7"/>
      <c r="C7634" s="6" t="str">
        <f>HYPERLINK("http://www.ncbi.nlm.nih.gov/protein/21313592","Tomm7")</f>
        <v>Tomm7</v>
      </c>
      <c r="D7634" s="8"/>
      <c r="E7634" s="8">
        <v>6046</v>
      </c>
      <c r="F7634" s="8"/>
      <c r="G7634" s="15">
        <v>1.8831065329342023</v>
      </c>
      <c r="H7634" s="15">
        <v>1.8831065329342023</v>
      </c>
      <c r="I7634" s="15">
        <v>1.8831065329342023</v>
      </c>
      <c r="J7634" s="15">
        <v>1.8831065329342023</v>
      </c>
      <c r="K7634" s="15">
        <v>2.0388102153885597</v>
      </c>
      <c r="L7634" s="15">
        <v>2.0388102153885597</v>
      </c>
      <c r="M7634" s="15" t="s">
        <v>10</v>
      </c>
      <c r="N7634" s="15" t="s">
        <v>10</v>
      </c>
      <c r="O7634" s="15" t="s">
        <v>10</v>
      </c>
      <c r="P7634" s="15" t="s">
        <v>10</v>
      </c>
      <c r="Q7634" s="8"/>
      <c r="R7634" s="9" t="s">
        <v>7129</v>
      </c>
    </row>
    <row r="7635" spans="1:18" x14ac:dyDescent="0.25">
      <c r="A7635" s="6" t="str">
        <f>HYPERLINK("proteomic_fractions_linear_files/Yang_linear_img/27552760.jpg", "27552760")</f>
        <v>27552760</v>
      </c>
      <c r="B7635" s="7"/>
      <c r="C7635" s="6" t="str">
        <f>HYPERLINK("http://www.ncbi.nlm.nih.gov/protein/27552760","Tomm70a")</f>
        <v>Tomm70a</v>
      </c>
      <c r="D7635" s="8"/>
      <c r="E7635" s="8">
        <v>67459</v>
      </c>
      <c r="F7635" s="8"/>
      <c r="G7635" s="15">
        <v>1.4174325549639479</v>
      </c>
      <c r="H7635" s="15">
        <v>1.4174325549639479</v>
      </c>
      <c r="I7635" s="15">
        <v>1.0960620931594365</v>
      </c>
      <c r="J7635" s="15">
        <v>1.0960620931594365</v>
      </c>
      <c r="K7635" s="15">
        <v>1.2402784846737889</v>
      </c>
      <c r="L7635" s="15">
        <v>1.2402784846737889</v>
      </c>
      <c r="M7635" s="15" t="s">
        <v>10</v>
      </c>
      <c r="N7635" s="15" t="s">
        <v>10</v>
      </c>
      <c r="O7635" s="15" t="s">
        <v>10</v>
      </c>
      <c r="P7635" s="15" t="s">
        <v>10</v>
      </c>
      <c r="Q7635" s="8"/>
      <c r="R7635" s="9" t="s">
        <v>7130</v>
      </c>
    </row>
    <row r="7636" spans="1:18" x14ac:dyDescent="0.25">
      <c r="A7636" s="6" t="str">
        <f>HYPERLINK("proteomic_fractions_linear_files/Yang_linear_img/187608797.jpg", "187608797")</f>
        <v>187608797</v>
      </c>
      <c r="B7636" s="7"/>
      <c r="C7636" s="6" t="str">
        <f>HYPERLINK("http://www.ncbi.nlm.nih.gov/protein/187608797","Tonsl")</f>
        <v>Tonsl</v>
      </c>
      <c r="D7636" s="8"/>
      <c r="E7636" s="8">
        <v>150977</v>
      </c>
      <c r="F7636" s="8"/>
      <c r="G7636" s="15" t="s">
        <v>10</v>
      </c>
      <c r="H7636" s="15" t="s">
        <v>10</v>
      </c>
      <c r="I7636" s="15" t="s">
        <v>10</v>
      </c>
      <c r="J7636" s="15" t="s">
        <v>10</v>
      </c>
      <c r="K7636" s="15" t="s">
        <v>10</v>
      </c>
      <c r="L7636" s="15" t="s">
        <v>10</v>
      </c>
      <c r="M7636" s="15" t="s">
        <v>10</v>
      </c>
      <c r="N7636" s="15" t="s">
        <v>10</v>
      </c>
      <c r="O7636" s="15">
        <v>0.22883030814884228</v>
      </c>
      <c r="P7636" s="15">
        <v>0.22883030814884228</v>
      </c>
      <c r="Q7636" s="8"/>
      <c r="R7636" s="9" t="s">
        <v>7131</v>
      </c>
    </row>
    <row r="7637" spans="1:18" x14ac:dyDescent="0.25">
      <c r="A7637" s="6" t="str">
        <f>HYPERLINK("proteomic_fractions_linear_files/Yang_linear_img/112734855.jpg", "112734855")</f>
        <v>112734855</v>
      </c>
      <c r="B7637" s="7"/>
      <c r="C7637" s="6" t="str">
        <f>HYPERLINK("http://www.ncbi.nlm.nih.gov/protein/112734855","Top1")</f>
        <v>Top1</v>
      </c>
      <c r="D7637" s="8"/>
      <c r="E7637" s="8">
        <v>90745</v>
      </c>
      <c r="F7637" s="8"/>
      <c r="G7637" s="15">
        <v>1.4145233862100766</v>
      </c>
      <c r="H7637" s="15">
        <v>1.4145233862100766</v>
      </c>
      <c r="I7637" s="15">
        <v>1.206610591441005</v>
      </c>
      <c r="J7637" s="15">
        <v>1.206610591441005</v>
      </c>
      <c r="K7637" s="15">
        <v>1.206610591441005</v>
      </c>
      <c r="L7637" s="15">
        <v>1.206610591441005</v>
      </c>
      <c r="M7637" s="15" t="s">
        <v>10</v>
      </c>
      <c r="N7637" s="15" t="s">
        <v>10</v>
      </c>
      <c r="O7637" s="15" t="s">
        <v>10</v>
      </c>
      <c r="P7637" s="15" t="s">
        <v>10</v>
      </c>
      <c r="Q7637" s="8"/>
      <c r="R7637" s="9" t="s">
        <v>7132</v>
      </c>
    </row>
    <row r="7638" spans="1:18" x14ac:dyDescent="0.25">
      <c r="A7638" s="6" t="str">
        <f>HYPERLINK("proteomic_fractions_linear_files/Yang_linear_img/50657345.jpg", "50657345")</f>
        <v>50657345</v>
      </c>
      <c r="B7638" s="7"/>
      <c r="C7638" s="6" t="str">
        <f>HYPERLINK("http://www.ncbi.nlm.nih.gov/protein/50657345","Top1mt")</f>
        <v>Top1mt</v>
      </c>
      <c r="D7638" s="8"/>
      <c r="E7638" s="8">
        <v>64050</v>
      </c>
      <c r="F7638" s="8"/>
      <c r="G7638" s="15" t="s">
        <v>10</v>
      </c>
      <c r="H7638" s="15" t="s">
        <v>10</v>
      </c>
      <c r="I7638" s="15">
        <v>1.7156494347051792</v>
      </c>
      <c r="J7638" s="15">
        <v>1.7156494347051792</v>
      </c>
      <c r="K7638" s="15">
        <v>1.7156494347051792</v>
      </c>
      <c r="L7638" s="15">
        <v>1.7156494347051792</v>
      </c>
      <c r="M7638" s="15" t="s">
        <v>10</v>
      </c>
      <c r="N7638" s="15" t="s">
        <v>10</v>
      </c>
      <c r="O7638" s="15" t="s">
        <v>10</v>
      </c>
      <c r="P7638" s="15" t="s">
        <v>10</v>
      </c>
      <c r="Q7638" s="8"/>
      <c r="R7638" s="9" t="s">
        <v>7133</v>
      </c>
    </row>
    <row r="7639" spans="1:18" x14ac:dyDescent="0.25">
      <c r="A7639" s="6" t="str">
        <f>HYPERLINK("proteomic_fractions_linear_files/Yang_linear_img/153945749.jpg", "153945749")</f>
        <v>153945749</v>
      </c>
      <c r="B7639" s="7"/>
      <c r="C7639" s="6" t="str">
        <f>HYPERLINK("http://www.ncbi.nlm.nih.gov/protein/153945749","Top2a")</f>
        <v>Top2a</v>
      </c>
      <c r="D7639" s="8"/>
      <c r="E7639" s="8">
        <v>172660</v>
      </c>
      <c r="F7639" s="8"/>
      <c r="G7639" s="15">
        <v>10.901528347589544</v>
      </c>
      <c r="H7639" s="15">
        <v>10.901528347589544</v>
      </c>
      <c r="I7639" s="15" t="s">
        <v>10</v>
      </c>
      <c r="J7639" s="15" t="s">
        <v>10</v>
      </c>
      <c r="K7639" s="15">
        <v>1.3489066336869888</v>
      </c>
      <c r="L7639" s="15">
        <v>1.3489066336869888</v>
      </c>
      <c r="M7639" s="15" t="s">
        <v>10</v>
      </c>
      <c r="N7639" s="15" t="s">
        <v>10</v>
      </c>
      <c r="O7639" s="15" t="s">
        <v>10</v>
      </c>
      <c r="P7639" s="15" t="s">
        <v>10</v>
      </c>
      <c r="Q7639" s="8"/>
      <c r="R7639" s="9" t="s">
        <v>7134</v>
      </c>
    </row>
    <row r="7640" spans="1:18" x14ac:dyDescent="0.25">
      <c r="A7640" s="6" t="str">
        <f>HYPERLINK("proteomic_fractions_linear_files/Yang_linear_img/34328148.jpg", "34328148")</f>
        <v>34328148</v>
      </c>
      <c r="B7640" s="7"/>
      <c r="C7640" s="6" t="str">
        <f>HYPERLINK("http://www.ncbi.nlm.nih.gov/protein/34328148","Top2b")</f>
        <v>Top2b</v>
      </c>
      <c r="D7640" s="8"/>
      <c r="E7640" s="8">
        <v>181779</v>
      </c>
      <c r="F7640" s="8"/>
      <c r="G7640" s="15">
        <v>1.2822024594936763</v>
      </c>
      <c r="H7640" s="15">
        <v>1.2822024594936763</v>
      </c>
      <c r="I7640" s="15" t="s">
        <v>10</v>
      </c>
      <c r="J7640" s="15" t="s">
        <v>10</v>
      </c>
      <c r="K7640" s="15">
        <v>0.40349538594330903</v>
      </c>
      <c r="L7640" s="15">
        <v>0.40349538594330903</v>
      </c>
      <c r="M7640" s="15" t="s">
        <v>10</v>
      </c>
      <c r="N7640" s="15" t="s">
        <v>10</v>
      </c>
      <c r="O7640" s="15" t="s">
        <v>10</v>
      </c>
      <c r="P7640" s="15" t="s">
        <v>10</v>
      </c>
      <c r="Q7640" s="8"/>
      <c r="R7640" s="9" t="s">
        <v>7135</v>
      </c>
    </row>
    <row r="7641" spans="1:18" x14ac:dyDescent="0.25">
      <c r="A7641" s="6" t="str">
        <f>HYPERLINK("proteomic_fractions_linear_files/Yang_linear_img/6678403.jpg", "6678403")</f>
        <v>6678403</v>
      </c>
      <c r="B7641" s="7"/>
      <c r="C7641" s="6" t="str">
        <f>HYPERLINK("http://www.ncbi.nlm.nih.gov/protein/6678403","Top3a")</f>
        <v>Top3a</v>
      </c>
      <c r="D7641" s="8"/>
      <c r="E7641" s="8">
        <v>112228</v>
      </c>
      <c r="F7641" s="8"/>
      <c r="G7641" s="15" t="s">
        <v>10</v>
      </c>
      <c r="H7641" s="15" t="s">
        <v>10</v>
      </c>
      <c r="I7641" s="15" t="s">
        <v>10</v>
      </c>
      <c r="J7641" s="15" t="s">
        <v>10</v>
      </c>
      <c r="K7641" s="15">
        <v>0.98037110554581663</v>
      </c>
      <c r="L7641" s="15">
        <v>0.98037110554581663</v>
      </c>
      <c r="M7641" s="15" t="s">
        <v>10</v>
      </c>
      <c r="N7641" s="15" t="s">
        <v>10</v>
      </c>
      <c r="O7641" s="15" t="s">
        <v>10</v>
      </c>
      <c r="P7641" s="15" t="s">
        <v>10</v>
      </c>
      <c r="Q7641" s="8"/>
      <c r="R7641" s="9" t="s">
        <v>7136</v>
      </c>
    </row>
    <row r="7642" spans="1:18" x14ac:dyDescent="0.25">
      <c r="A7642" s="6" t="str">
        <f>HYPERLINK("proteomic_fractions_linear_files/Yang_linear_img/6755851.jpg", "6755851")</f>
        <v>6755851</v>
      </c>
      <c r="B7642" s="7"/>
      <c r="C7642" s="6" t="str">
        <f>HYPERLINK("http://www.ncbi.nlm.nih.gov/protein/6755851","Top3b")</f>
        <v>Top3b</v>
      </c>
      <c r="D7642" s="8"/>
      <c r="E7642" s="8">
        <v>96819</v>
      </c>
      <c r="F7642" s="8"/>
      <c r="G7642" s="15" t="s">
        <v>10</v>
      </c>
      <c r="H7642" s="15" t="s">
        <v>10</v>
      </c>
      <c r="I7642" s="15">
        <v>1.1319748847539326</v>
      </c>
      <c r="J7642" s="15">
        <v>1.1319748847539326</v>
      </c>
      <c r="K7642" s="15">
        <v>1.1319748847539326</v>
      </c>
      <c r="L7642" s="15">
        <v>1.1319748847539326</v>
      </c>
      <c r="M7642" s="15">
        <v>1.1319748847539326</v>
      </c>
      <c r="N7642" s="15">
        <v>1.1319748847539326</v>
      </c>
      <c r="O7642" s="15" t="s">
        <v>10</v>
      </c>
      <c r="P7642" s="15" t="s">
        <v>10</v>
      </c>
      <c r="Q7642" s="8"/>
      <c r="R7642" s="9" t="s">
        <v>7137</v>
      </c>
    </row>
    <row r="7643" spans="1:18" x14ac:dyDescent="0.25">
      <c r="A7643" s="6" t="str">
        <f>HYPERLINK("proteomic_fractions_linear_files/Yang_linear_img/21450255.jpg", "21450255")</f>
        <v>21450255</v>
      </c>
      <c r="B7643" s="7"/>
      <c r="C7643" s="6" t="str">
        <f>HYPERLINK("http://www.ncbi.nlm.nih.gov/protein/21450255","Tor1a")</f>
        <v>Tor1a</v>
      </c>
      <c r="D7643" s="8"/>
      <c r="E7643" s="8">
        <v>35768</v>
      </c>
      <c r="F7643" s="8"/>
      <c r="G7643" s="15" t="s">
        <v>10</v>
      </c>
      <c r="H7643" s="15" t="s">
        <v>10</v>
      </c>
      <c r="I7643" s="15">
        <v>0.95981601473542177</v>
      </c>
      <c r="J7643" s="15">
        <v>0.95981601473542177</v>
      </c>
      <c r="K7643" s="15">
        <v>0.95981601473542177</v>
      </c>
      <c r="L7643" s="15">
        <v>0.95981601473542177</v>
      </c>
      <c r="M7643" s="15" t="s">
        <v>10</v>
      </c>
      <c r="N7643" s="15" t="s">
        <v>10</v>
      </c>
      <c r="O7643" s="15" t="s">
        <v>10</v>
      </c>
      <c r="P7643" s="15" t="s">
        <v>10</v>
      </c>
      <c r="Q7643" s="8"/>
      <c r="R7643" s="9" t="s">
        <v>7138</v>
      </c>
    </row>
    <row r="7644" spans="1:18" x14ac:dyDescent="0.25">
      <c r="A7644" s="6" t="str">
        <f>HYPERLINK("proteomic_fractions_linear_files/Yang_linear_img/229608948.jpg", "229608948")</f>
        <v>229608948</v>
      </c>
      <c r="B7644" s="7"/>
      <c r="C7644" s="6" t="str">
        <f>HYPERLINK("http://www.ncbi.nlm.nih.gov/protein/229608948","Tor1aip1")</f>
        <v>Tor1aip1</v>
      </c>
      <c r="D7644" s="8"/>
      <c r="E7644" s="8">
        <v>43911</v>
      </c>
      <c r="F7644" s="8"/>
      <c r="G7644" s="15" t="s">
        <v>10</v>
      </c>
      <c r="H7644" s="15" t="s">
        <v>10</v>
      </c>
      <c r="I7644" s="15">
        <v>0.67921379299348028</v>
      </c>
      <c r="J7644" s="15">
        <v>0.67921379299348028</v>
      </c>
      <c r="K7644" s="15">
        <v>1.4875741666032802</v>
      </c>
      <c r="L7644" s="15">
        <v>1.4875741666032802</v>
      </c>
      <c r="M7644" s="15" t="s">
        <v>10</v>
      </c>
      <c r="N7644" s="15" t="s">
        <v>10</v>
      </c>
      <c r="O7644" s="15" t="s">
        <v>10</v>
      </c>
      <c r="P7644" s="15" t="s">
        <v>10</v>
      </c>
      <c r="Q7644" s="8"/>
      <c r="R7644" s="9" t="s">
        <v>7139</v>
      </c>
    </row>
    <row r="7645" spans="1:18" x14ac:dyDescent="0.25">
      <c r="A7645" s="6" t="str">
        <f>HYPERLINK("proteomic_fractions_linear_files/Yang_linear_img/229608944.jpg", "229608944")</f>
        <v>229608944</v>
      </c>
      <c r="B7645" s="7"/>
      <c r="C7645" s="6" t="str">
        <f>HYPERLINK("http://www.ncbi.nlm.nih.gov/protein/229608944","Tor1aip1")</f>
        <v>Tor1aip1</v>
      </c>
      <c r="D7645" s="8"/>
      <c r="E7645" s="8">
        <v>58285</v>
      </c>
      <c r="F7645" s="8"/>
      <c r="G7645" s="15">
        <v>1.2661406938221076</v>
      </c>
      <c r="H7645" s="15">
        <v>1.2661406938221076</v>
      </c>
      <c r="I7645" s="15">
        <v>0.51526563606401954</v>
      </c>
      <c r="J7645" s="15">
        <v>0.51526563606401954</v>
      </c>
      <c r="K7645" s="15">
        <v>1.1285045401817988</v>
      </c>
      <c r="L7645" s="15">
        <v>1.1285045401817988</v>
      </c>
      <c r="M7645" s="15" t="s">
        <v>10</v>
      </c>
      <c r="N7645" s="15" t="s">
        <v>10</v>
      </c>
      <c r="O7645" s="15" t="s">
        <v>10</v>
      </c>
      <c r="P7645" s="15" t="s">
        <v>10</v>
      </c>
      <c r="Q7645" s="8"/>
      <c r="R7645" s="9" t="s">
        <v>7140</v>
      </c>
    </row>
    <row r="7646" spans="1:18" x14ac:dyDescent="0.25">
      <c r="A7646" s="6" t="str">
        <f>HYPERLINK("proteomic_fractions_linear_files/Yang_linear_img/229608946.jpg", "229608946")</f>
        <v>229608946</v>
      </c>
      <c r="B7646" s="7"/>
      <c r="C7646" s="6" t="str">
        <f>HYPERLINK("http://www.ncbi.nlm.nih.gov/protein/229608946","Tor1aip1")</f>
        <v>Tor1aip1</v>
      </c>
      <c r="D7646" s="8"/>
      <c r="E7646" s="8">
        <v>64714</v>
      </c>
      <c r="F7646" s="8"/>
      <c r="G7646" s="15">
        <v>1.1297870806412653</v>
      </c>
      <c r="H7646" s="15">
        <v>1.1297870806412653</v>
      </c>
      <c r="I7646" s="15">
        <v>0.4597754906417405</v>
      </c>
      <c r="J7646" s="15">
        <v>0.4597754906417405</v>
      </c>
      <c r="K7646" s="15">
        <v>1.0069732820083743</v>
      </c>
      <c r="L7646" s="15">
        <v>1.0069732820083743</v>
      </c>
      <c r="M7646" s="15" t="s">
        <v>10</v>
      </c>
      <c r="N7646" s="15" t="s">
        <v>10</v>
      </c>
      <c r="O7646" s="15" t="s">
        <v>10</v>
      </c>
      <c r="P7646" s="15" t="s">
        <v>10</v>
      </c>
      <c r="Q7646" s="8"/>
      <c r="R7646" s="9" t="s">
        <v>7141</v>
      </c>
    </row>
    <row r="7647" spans="1:18" x14ac:dyDescent="0.25">
      <c r="A7647" s="6" t="str">
        <f>HYPERLINK("proteomic_fractions_linear_files/Yang_linear_img/229892347.jpg", "229892347")</f>
        <v>229892347</v>
      </c>
      <c r="B7647" s="7"/>
      <c r="C7647" s="6" t="str">
        <f>HYPERLINK("http://www.ncbi.nlm.nih.gov/protein/229892347","Tor1aip2")</f>
        <v>Tor1aip2</v>
      </c>
      <c r="D7647" s="8"/>
      <c r="E7647" s="8">
        <v>54365</v>
      </c>
      <c r="F7647" s="8"/>
      <c r="G7647" s="15" t="s">
        <v>10</v>
      </c>
      <c r="H7647" s="15" t="s">
        <v>10</v>
      </c>
      <c r="I7647" s="15">
        <v>1.359928893364486</v>
      </c>
      <c r="J7647" s="15">
        <v>1.359928893364486</v>
      </c>
      <c r="K7647" s="15">
        <v>1.5388640457989604</v>
      </c>
      <c r="L7647" s="15">
        <v>1.5388640457989604</v>
      </c>
      <c r="M7647" s="15" t="s">
        <v>10</v>
      </c>
      <c r="N7647" s="15" t="s">
        <v>10</v>
      </c>
      <c r="O7647" s="15" t="s">
        <v>10</v>
      </c>
      <c r="P7647" s="15" t="s">
        <v>10</v>
      </c>
      <c r="Q7647" s="8"/>
      <c r="R7647" s="9" t="s">
        <v>7142</v>
      </c>
    </row>
    <row r="7648" spans="1:18" x14ac:dyDescent="0.25">
      <c r="A7648" s="6" t="str">
        <f>HYPERLINK("proteomic_fractions_linear_files/Yang_linear_img/11612513.jpg", "11612513")</f>
        <v>11612513</v>
      </c>
      <c r="B7648" s="7"/>
      <c r="C7648" s="6" t="str">
        <f>HYPERLINK("http://www.ncbi.nlm.nih.gov/protein/11612513","Tor1aip2")</f>
        <v>Tor1aip2</v>
      </c>
      <c r="D7648" s="8"/>
      <c r="E7648" s="8">
        <v>15147</v>
      </c>
      <c r="F7648" s="8"/>
      <c r="G7648" s="15" t="s">
        <v>10</v>
      </c>
      <c r="H7648" s="15" t="s">
        <v>10</v>
      </c>
      <c r="I7648" s="15" t="s">
        <v>10</v>
      </c>
      <c r="J7648" s="15" t="s">
        <v>10</v>
      </c>
      <c r="K7648" s="15" t="s">
        <v>10</v>
      </c>
      <c r="L7648" s="15" t="s">
        <v>10</v>
      </c>
      <c r="M7648" s="15">
        <v>1.0130892195876191</v>
      </c>
      <c r="N7648" s="15">
        <v>1.0130892195876191</v>
      </c>
      <c r="O7648" s="15">
        <v>0.96783158145802317</v>
      </c>
      <c r="P7648" s="15">
        <v>0.96783158145802317</v>
      </c>
      <c r="Q7648" s="8"/>
      <c r="R7648" s="9" t="s">
        <v>7143</v>
      </c>
    </row>
    <row r="7649" spans="1:18" x14ac:dyDescent="0.25">
      <c r="A7649" s="6" t="str">
        <f>HYPERLINK("proteomic_fractions_linear_files/Yang_linear_img/31559990.jpg", "31559990")</f>
        <v>31559990</v>
      </c>
      <c r="B7649" s="7"/>
      <c r="C7649" s="6" t="str">
        <f>HYPERLINK("http://www.ncbi.nlm.nih.gov/protein/31559990","Tor1b")</f>
        <v>Tor1b</v>
      </c>
      <c r="D7649" s="8"/>
      <c r="E7649" s="8">
        <v>35438</v>
      </c>
      <c r="F7649" s="8"/>
      <c r="G7649" s="15">
        <v>1.2607311213418706</v>
      </c>
      <c r="H7649" s="15">
        <v>1.2607311213418706</v>
      </c>
      <c r="I7649" s="15">
        <v>0.98723932944214809</v>
      </c>
      <c r="J7649" s="15">
        <v>0.98723932944214809</v>
      </c>
      <c r="K7649" s="15">
        <v>0.98723932944214809</v>
      </c>
      <c r="L7649" s="15">
        <v>0.98723932944214809</v>
      </c>
      <c r="M7649" s="15" t="s">
        <v>10</v>
      </c>
      <c r="N7649" s="15" t="s">
        <v>10</v>
      </c>
      <c r="O7649" s="15" t="s">
        <v>10</v>
      </c>
      <c r="P7649" s="15" t="s">
        <v>10</v>
      </c>
      <c r="Q7649" s="8"/>
      <c r="R7649" s="9" t="s">
        <v>7144</v>
      </c>
    </row>
    <row r="7650" spans="1:18" x14ac:dyDescent="0.25">
      <c r="A7650" s="6" t="str">
        <f>HYPERLINK("proteomic_fractions_linear_files/Yang_linear_img/22779883.jpg", "22779883")</f>
        <v>22779883</v>
      </c>
      <c r="B7650" s="7"/>
      <c r="C7650" s="6" t="str">
        <f>HYPERLINK("http://www.ncbi.nlm.nih.gov/protein/22779883","Tor2a")</f>
        <v>Tor2a</v>
      </c>
      <c r="D7650" s="8"/>
      <c r="E7650" s="8">
        <v>33279</v>
      </c>
      <c r="F7650" s="8"/>
      <c r="G7650" s="15" t="s">
        <v>10</v>
      </c>
      <c r="H7650" s="15" t="s">
        <v>10</v>
      </c>
      <c r="I7650" s="15">
        <v>0.9722446319919269</v>
      </c>
      <c r="J7650" s="15">
        <v>0.9722446319919269</v>
      </c>
      <c r="K7650" s="15" t="s">
        <v>10</v>
      </c>
      <c r="L7650" s="15" t="s">
        <v>10</v>
      </c>
      <c r="M7650" s="15" t="s">
        <v>10</v>
      </c>
      <c r="N7650" s="15" t="s">
        <v>10</v>
      </c>
      <c r="O7650" s="15" t="s">
        <v>10</v>
      </c>
      <c r="P7650" s="15" t="s">
        <v>10</v>
      </c>
      <c r="Q7650" s="8"/>
      <c r="R7650" s="9" t="s">
        <v>7145</v>
      </c>
    </row>
    <row r="7651" spans="1:18" x14ac:dyDescent="0.25">
      <c r="A7651" s="6" t="str">
        <f>HYPERLINK("proteomic_fractions_linear_files/Yang_linear_img/224809275.jpg", "224809275")</f>
        <v>224809275</v>
      </c>
      <c r="B7651" s="7"/>
      <c r="C7651" s="6" t="str">
        <f>HYPERLINK("http://www.ncbi.nlm.nih.gov/protein/224809275","Tor3a")</f>
        <v>Tor3a</v>
      </c>
      <c r="D7651" s="8"/>
      <c r="E7651" s="8">
        <v>41555</v>
      </c>
      <c r="F7651" s="8"/>
      <c r="G7651" s="15" t="s">
        <v>10</v>
      </c>
      <c r="H7651" s="15" t="s">
        <v>10</v>
      </c>
      <c r="I7651" s="15">
        <v>0.96445995721958921</v>
      </c>
      <c r="J7651" s="15">
        <v>0.96445995721958921</v>
      </c>
      <c r="K7651" s="15">
        <v>0.96445995721958921</v>
      </c>
      <c r="L7651" s="15">
        <v>0.96445995721958921</v>
      </c>
      <c r="M7651" s="15" t="s">
        <v>10</v>
      </c>
      <c r="N7651" s="15" t="s">
        <v>10</v>
      </c>
      <c r="O7651" s="15" t="s">
        <v>10</v>
      </c>
      <c r="P7651" s="15" t="s">
        <v>10</v>
      </c>
      <c r="Q7651" s="8"/>
      <c r="R7651" s="9" t="s">
        <v>7146</v>
      </c>
    </row>
    <row r="7652" spans="1:18" x14ac:dyDescent="0.25">
      <c r="A7652" s="6" t="str">
        <f>HYPERLINK("proteomic_fractions_linear_files/Yang_linear_img/258645109.jpg", "258645109")</f>
        <v>258645109</v>
      </c>
      <c r="B7652" s="7"/>
      <c r="C7652" s="6" t="str">
        <f>HYPERLINK("http://www.ncbi.nlm.nih.gov/protein/258645109","Tpbg")</f>
        <v>Tpbg</v>
      </c>
      <c r="D7652" s="8"/>
      <c r="E7652" s="8">
        <v>43364</v>
      </c>
      <c r="F7652" s="8"/>
      <c r="G7652" s="15" t="s">
        <v>10</v>
      </c>
      <c r="H7652" s="15" t="s">
        <v>10</v>
      </c>
      <c r="I7652" s="15" t="s">
        <v>10</v>
      </c>
      <c r="J7652" s="15" t="s">
        <v>10</v>
      </c>
      <c r="K7652" s="15">
        <v>2.9935262359329529</v>
      </c>
      <c r="L7652" s="15">
        <v>2.9935262359329529</v>
      </c>
      <c r="M7652" s="15" t="s">
        <v>10</v>
      </c>
      <c r="N7652" s="15" t="s">
        <v>10</v>
      </c>
      <c r="O7652" s="15" t="s">
        <v>10</v>
      </c>
      <c r="P7652" s="15" t="s">
        <v>10</v>
      </c>
      <c r="Q7652" s="8"/>
      <c r="R7652" s="9" t="s">
        <v>7147</v>
      </c>
    </row>
    <row r="7653" spans="1:18" x14ac:dyDescent="0.25">
      <c r="A7653" s="6" t="str">
        <f>HYPERLINK("proteomic_fractions_linear_files/Yang_linear_img/6678407.jpg", "6678407")</f>
        <v>6678407</v>
      </c>
      <c r="B7653" s="7"/>
      <c r="C7653" s="6" t="str">
        <f>HYPERLINK("http://www.ncbi.nlm.nih.gov/protein/6678407","Tpd52")</f>
        <v>Tpd52</v>
      </c>
      <c r="D7653" s="8"/>
      <c r="E7653" s="8">
        <v>19928</v>
      </c>
      <c r="F7653" s="8"/>
      <c r="G7653" s="15">
        <v>1.1554786687358722</v>
      </c>
      <c r="H7653" s="15">
        <v>1.7276688265237592</v>
      </c>
      <c r="I7653" s="15">
        <v>1.2277410306638459</v>
      </c>
      <c r="J7653" s="15">
        <v>1.2277410306638459</v>
      </c>
      <c r="K7653" s="15">
        <v>1.30751290577125</v>
      </c>
      <c r="L7653" s="15">
        <v>1.30751290577125</v>
      </c>
      <c r="M7653" s="15">
        <v>1.30751290577125</v>
      </c>
      <c r="N7653" s="15">
        <v>1.30751290577125</v>
      </c>
      <c r="O7653" s="15">
        <v>1.0897871135339376</v>
      </c>
      <c r="P7653" s="15">
        <v>1.0897871135339376</v>
      </c>
      <c r="Q7653" s="8"/>
      <c r="R7653" s="9" t="s">
        <v>7148</v>
      </c>
    </row>
    <row r="7654" spans="1:18" x14ac:dyDescent="0.25">
      <c r="A7654" s="6" t="str">
        <f>HYPERLINK("proteomic_fractions_linear_files/Yang_linear_img/70608194.jpg", "70608194")</f>
        <v>70608194</v>
      </c>
      <c r="B7654" s="7"/>
      <c r="C7654" s="6" t="str">
        <f>HYPERLINK("http://www.ncbi.nlm.nih.gov/protein/70608194","Tpd52")</f>
        <v>Tpd52</v>
      </c>
      <c r="D7654" s="8"/>
      <c r="E7654" s="8">
        <v>26796</v>
      </c>
      <c r="F7654" s="8"/>
      <c r="G7654" s="15">
        <v>0.855910124989535</v>
      </c>
      <c r="H7654" s="15">
        <v>1.2797546863138958</v>
      </c>
      <c r="I7654" s="15">
        <v>0.90943780049173761</v>
      </c>
      <c r="J7654" s="15">
        <v>0.90943780049173761</v>
      </c>
      <c r="K7654" s="15">
        <v>0.96852807834907406</v>
      </c>
      <c r="L7654" s="15">
        <v>0.96852807834907406</v>
      </c>
      <c r="M7654" s="15">
        <v>0.96852807834907406</v>
      </c>
      <c r="N7654" s="15">
        <v>0.96852807834907406</v>
      </c>
      <c r="O7654" s="15">
        <v>0.80724971372884269</v>
      </c>
      <c r="P7654" s="15">
        <v>0.80724971372884269</v>
      </c>
      <c r="Q7654" s="8"/>
      <c r="R7654" s="9" t="s">
        <v>7149</v>
      </c>
    </row>
    <row r="7655" spans="1:18" x14ac:dyDescent="0.25">
      <c r="A7655" s="6" t="str">
        <f>HYPERLINK("proteomic_fractions_linear_files/Yang_linear_img/70608198.jpg", "70608198")</f>
        <v>70608198</v>
      </c>
      <c r="B7655" s="7"/>
      <c r="C7655" s="6" t="str">
        <f>HYPERLINK("http://www.ncbi.nlm.nih.gov/protein/70608198","Tpd52")</f>
        <v>Tpd52</v>
      </c>
      <c r="D7655" s="8"/>
      <c r="E7655" s="8">
        <v>24182</v>
      </c>
      <c r="F7655" s="8"/>
      <c r="G7655" s="15">
        <v>0.96289889061322687</v>
      </c>
      <c r="H7655" s="15">
        <v>1.4397240221031327</v>
      </c>
      <c r="I7655" s="15">
        <v>1.0231175255532048</v>
      </c>
      <c r="J7655" s="15">
        <v>1.0231175255532048</v>
      </c>
      <c r="K7655" s="15">
        <v>1.0895940881427084</v>
      </c>
      <c r="L7655" s="15">
        <v>1.0895940881427084</v>
      </c>
      <c r="M7655" s="15">
        <v>1.0895940881427084</v>
      </c>
      <c r="N7655" s="15">
        <v>1.0895940881427084</v>
      </c>
      <c r="O7655" s="15">
        <v>0.90815592794494793</v>
      </c>
      <c r="P7655" s="15">
        <v>0.90815592794494793</v>
      </c>
      <c r="Q7655" s="8"/>
      <c r="R7655" s="9" t="s">
        <v>7150</v>
      </c>
    </row>
    <row r="7656" spans="1:18" x14ac:dyDescent="0.25">
      <c r="A7656" s="6" t="str">
        <f>HYPERLINK("proteomic_fractions_linear_files/Yang_linear_img/70608205.jpg", "70608205")</f>
        <v>70608205</v>
      </c>
      <c r="B7656" s="7"/>
      <c r="C7656" s="6" t="str">
        <f>HYPERLINK("http://www.ncbi.nlm.nih.gov/protein/70608205","Tpd52")</f>
        <v>Tpd52</v>
      </c>
      <c r="D7656" s="8"/>
      <c r="E7656" s="8">
        <v>21003</v>
      </c>
      <c r="F7656" s="8"/>
      <c r="G7656" s="15">
        <v>1.100455874986545</v>
      </c>
      <c r="H7656" s="15">
        <v>1.6453988824035801</v>
      </c>
      <c r="I7656" s="15">
        <v>1.1692771720608055</v>
      </c>
      <c r="J7656" s="15">
        <v>1.1692771720608055</v>
      </c>
      <c r="K7656" s="15">
        <v>1.2452503864488096</v>
      </c>
      <c r="L7656" s="15">
        <v>1.2452503864488096</v>
      </c>
      <c r="M7656" s="15">
        <v>1.1692771720608055</v>
      </c>
      <c r="N7656" s="15">
        <v>1.2452503864488096</v>
      </c>
      <c r="O7656" s="15">
        <v>1.0378924890799406</v>
      </c>
      <c r="P7656" s="15">
        <v>1.0378924890799406</v>
      </c>
      <c r="Q7656" s="8"/>
      <c r="R7656" s="9" t="s">
        <v>7151</v>
      </c>
    </row>
    <row r="7657" spans="1:18" x14ac:dyDescent="0.25">
      <c r="A7657" s="6" t="str">
        <f>HYPERLINK("proteomic_fractions_linear_files/Yang_linear_img/70608214.jpg", "70608214")</f>
        <v>70608214</v>
      </c>
      <c r="B7657" s="7"/>
      <c r="C7657" s="6" t="str">
        <f>HYPERLINK("http://www.ncbi.nlm.nih.gov/protein/70608214","Tpd52")</f>
        <v>Tpd52</v>
      </c>
      <c r="D7657" s="8"/>
      <c r="E7657" s="8">
        <v>21523</v>
      </c>
      <c r="F7657" s="8"/>
      <c r="G7657" s="15">
        <v>1.0504351533962475</v>
      </c>
      <c r="H7657" s="15">
        <v>1.5706080241125084</v>
      </c>
      <c r="I7657" s="15">
        <v>1.1161282096944054</v>
      </c>
      <c r="J7657" s="15">
        <v>1.1161282096944054</v>
      </c>
      <c r="K7657" s="15">
        <v>1.1886480961556818</v>
      </c>
      <c r="L7657" s="15">
        <v>1.1886480961556818</v>
      </c>
      <c r="M7657" s="15">
        <v>1.1161282096944054</v>
      </c>
      <c r="N7657" s="15">
        <v>1.1886480961556818</v>
      </c>
      <c r="O7657" s="15">
        <v>0.99071555775812503</v>
      </c>
      <c r="P7657" s="15">
        <v>0.99071555775812503</v>
      </c>
      <c r="Q7657" s="8"/>
      <c r="R7657" s="9" t="s">
        <v>7152</v>
      </c>
    </row>
    <row r="7658" spans="1:18" x14ac:dyDescent="0.25">
      <c r="A7658" s="6" t="str">
        <f>HYPERLINK("proteomic_fractions_linear_files/Yang_linear_img/6678409.jpg", "6678409")</f>
        <v>6678409</v>
      </c>
      <c r="B7658" s="7"/>
      <c r="C7658" s="6" t="str">
        <f>HYPERLINK("http://www.ncbi.nlm.nih.gov/protein/6678409","Tpd52l1")</f>
        <v>Tpd52l1</v>
      </c>
      <c r="D7658" s="8"/>
      <c r="E7658" s="8">
        <v>22384</v>
      </c>
      <c r="F7658" s="8"/>
      <c r="G7658" s="15" t="s">
        <v>10</v>
      </c>
      <c r="H7658" s="15" t="s">
        <v>10</v>
      </c>
      <c r="I7658" s="15">
        <v>0.75983975093668288</v>
      </c>
      <c r="J7658" s="15">
        <v>0.75983975093668288</v>
      </c>
      <c r="K7658" s="15">
        <v>0.8406954165710947</v>
      </c>
      <c r="L7658" s="15">
        <v>0.8406954165710947</v>
      </c>
      <c r="M7658" s="15">
        <v>0.7986336256981349</v>
      </c>
      <c r="N7658" s="15">
        <v>0.7986336256981349</v>
      </c>
      <c r="O7658" s="15">
        <v>0.7986336256981349</v>
      </c>
      <c r="P7658" s="15">
        <v>0.7986336256981349</v>
      </c>
      <c r="Q7658" s="8"/>
      <c r="R7658" s="9" t="s">
        <v>7153</v>
      </c>
    </row>
    <row r="7659" spans="1:18" x14ac:dyDescent="0.25">
      <c r="A7659" s="6" t="str">
        <f>HYPERLINK("proteomic_fractions_linear_files/Yang_linear_img/31560247.jpg", "31560247")</f>
        <v>31560247</v>
      </c>
      <c r="B7659" s="7"/>
      <c r="C7659" s="6" t="str">
        <f>HYPERLINK("http://www.ncbi.nlm.nih.gov/protein/31560247","Tpd52l2")</f>
        <v>Tpd52l2</v>
      </c>
      <c r="D7659" s="8"/>
      <c r="E7659" s="8">
        <v>23912</v>
      </c>
      <c r="F7659" s="8"/>
      <c r="G7659" s="15" t="s">
        <v>10</v>
      </c>
      <c r="H7659" s="15" t="s">
        <v>10</v>
      </c>
      <c r="I7659" s="15">
        <v>1.0895940881427084</v>
      </c>
      <c r="J7659" s="15">
        <v>1.0895940881427084</v>
      </c>
      <c r="K7659" s="15">
        <v>1.0895940881427084</v>
      </c>
      <c r="L7659" s="15">
        <v>1.0895940881427084</v>
      </c>
      <c r="M7659" s="15">
        <v>1.1632588040700858</v>
      </c>
      <c r="N7659" s="15">
        <v>1.0895940881427084</v>
      </c>
      <c r="O7659" s="15">
        <v>0.96289889061322687</v>
      </c>
      <c r="P7659" s="15">
        <v>0.96289889061322687</v>
      </c>
      <c r="Q7659" s="8"/>
      <c r="R7659" s="9" t="s">
        <v>7154</v>
      </c>
    </row>
    <row r="7660" spans="1:18" x14ac:dyDescent="0.25">
      <c r="A7660" s="6" t="str">
        <f>HYPERLINK("proteomic_fractions_linear_files/Yang_linear_img/226958349.jpg", "226958349")</f>
        <v>226958349</v>
      </c>
      <c r="B7660" s="7"/>
      <c r="C7660" s="6" t="str">
        <f>HYPERLINK("http://www.ncbi.nlm.nih.gov/protein/226958349","Tpi1")</f>
        <v>Tpi1</v>
      </c>
      <c r="D7660" s="8"/>
      <c r="E7660" s="8">
        <v>32061</v>
      </c>
      <c r="F7660" s="8"/>
      <c r="G7660" s="15">
        <v>1.0026272767416746</v>
      </c>
      <c r="H7660" s="15">
        <v>1.0026272767416746</v>
      </c>
      <c r="I7660" s="15">
        <v>0.76733814416490365</v>
      </c>
      <c r="J7660" s="15">
        <v>0.76733814416490365</v>
      </c>
      <c r="K7660" s="15">
        <v>0.76733814416490365</v>
      </c>
      <c r="L7660" s="15">
        <v>0.76733814416490365</v>
      </c>
      <c r="M7660" s="15">
        <v>0.76733814416490365</v>
      </c>
      <c r="N7660" s="15">
        <v>0.76733814416490365</v>
      </c>
      <c r="O7660" s="15">
        <v>0.68111694595871097</v>
      </c>
      <c r="P7660" s="15">
        <v>0.68111694595871097</v>
      </c>
      <c r="Q7660" s="8"/>
      <c r="R7660" s="9" t="s">
        <v>7155</v>
      </c>
    </row>
    <row r="7661" spans="1:18" x14ac:dyDescent="0.25">
      <c r="A7661" s="6" t="str">
        <f>HYPERLINK("proteomic_fractions_linear_files/Yang_linear_img/7305589.jpg", "7305589")</f>
        <v>7305589</v>
      </c>
      <c r="B7661" s="7"/>
      <c r="C7661" s="6" t="str">
        <f>HYPERLINK("http://www.ncbi.nlm.nih.gov/protein/7305589","Tpk1")</f>
        <v>Tpk1</v>
      </c>
      <c r="D7661" s="8"/>
      <c r="E7661" s="8">
        <v>26937</v>
      </c>
      <c r="F7661" s="8"/>
      <c r="G7661" s="15" t="s">
        <v>10</v>
      </c>
      <c r="H7661" s="15" t="s">
        <v>10</v>
      </c>
      <c r="I7661" s="15">
        <v>0.855910124989535</v>
      </c>
      <c r="J7661" s="15">
        <v>0.855910124989535</v>
      </c>
      <c r="K7661" s="15">
        <v>0.855910124989535</v>
      </c>
      <c r="L7661" s="15">
        <v>0.855910124989535</v>
      </c>
      <c r="M7661" s="15">
        <v>0.855910124989535</v>
      </c>
      <c r="N7661" s="15">
        <v>0.855910124989535</v>
      </c>
      <c r="O7661" s="15">
        <v>0.76286819209838042</v>
      </c>
      <c r="P7661" s="15">
        <v>0.76286819209838042</v>
      </c>
      <c r="Q7661" s="8"/>
      <c r="R7661" s="9" t="s">
        <v>7156</v>
      </c>
    </row>
    <row r="7662" spans="1:18" x14ac:dyDescent="0.25">
      <c r="A7662" s="6" t="str">
        <f>HYPERLINK("proteomic_fractions_linear_files/Yang_linear_img/256000780.jpg", "256000780")</f>
        <v>256000780</v>
      </c>
      <c r="B7662" s="7"/>
      <c r="C7662" s="6" t="str">
        <f>HYPERLINK("http://www.ncbi.nlm.nih.gov/protein/256000780","Tpm1")</f>
        <v>Tpm1</v>
      </c>
      <c r="D7662" s="8"/>
      <c r="E7662" s="8">
        <v>32550</v>
      </c>
      <c r="F7662" s="8"/>
      <c r="G7662" s="15">
        <v>1.2274944910067498</v>
      </c>
      <c r="H7662" s="15">
        <v>1.2274944910067498</v>
      </c>
      <c r="I7662" s="15">
        <v>0.90561839065797367</v>
      </c>
      <c r="J7662" s="15">
        <v>0.90561839065797367</v>
      </c>
      <c r="K7662" s="15">
        <v>0.84600640296006246</v>
      </c>
      <c r="L7662" s="15">
        <v>0.9722446319919269</v>
      </c>
      <c r="M7662" s="15">
        <v>0.9722446319919269</v>
      </c>
      <c r="N7662" s="15">
        <v>0.9722446319919269</v>
      </c>
      <c r="O7662" s="15">
        <v>0.84600640296006246</v>
      </c>
      <c r="P7662" s="15">
        <v>0.84600640296006246</v>
      </c>
      <c r="Q7662" s="8"/>
      <c r="R7662" s="9" t="s">
        <v>7157</v>
      </c>
    </row>
    <row r="7663" spans="1:18" x14ac:dyDescent="0.25">
      <c r="A7663" s="6" t="str">
        <f>HYPERLINK("proteomic_fractions_linear_files/Yang_linear_img/256000782.jpg", "256000782")</f>
        <v>256000782</v>
      </c>
      <c r="B7663" s="7"/>
      <c r="C7663" s="6" t="str">
        <f>HYPERLINK("http://www.ncbi.nlm.nih.gov/protein/256000782","Tpm1")</f>
        <v>Tpm1</v>
      </c>
      <c r="D7663" s="8"/>
      <c r="E7663" s="8">
        <v>32506</v>
      </c>
      <c r="F7663" s="8"/>
      <c r="G7663" s="15">
        <v>1.2274944910067498</v>
      </c>
      <c r="H7663" s="15">
        <v>1.2274944910067498</v>
      </c>
      <c r="I7663" s="15">
        <v>0.84600640296006246</v>
      </c>
      <c r="J7663" s="15">
        <v>0.90561839065797367</v>
      </c>
      <c r="K7663" s="15">
        <v>0.84600640296006246</v>
      </c>
      <c r="L7663" s="15">
        <v>0.84600640296006246</v>
      </c>
      <c r="M7663" s="15">
        <v>0.9722446319919269</v>
      </c>
      <c r="N7663" s="15">
        <v>0.9722446319919269</v>
      </c>
      <c r="O7663" s="15">
        <v>0.84600640296006246</v>
      </c>
      <c r="P7663" s="15">
        <v>0.84600640296006246</v>
      </c>
      <c r="Q7663" s="8"/>
      <c r="R7663" s="9" t="s">
        <v>7158</v>
      </c>
    </row>
    <row r="7664" spans="1:18" x14ac:dyDescent="0.25">
      <c r="A7664" s="6" t="str">
        <f>HYPERLINK("proteomic_fractions_linear_files/Yang_linear_img/256000784.jpg", "256000784")</f>
        <v>256000784</v>
      </c>
      <c r="B7664" s="7"/>
      <c r="C7664" s="6" t="str">
        <f>HYPERLINK("http://www.ncbi.nlm.nih.gov/protein/256000784","Tpm1")</f>
        <v>Tpm1</v>
      </c>
      <c r="D7664" s="8"/>
      <c r="E7664" s="8">
        <v>32717</v>
      </c>
      <c r="F7664" s="8"/>
      <c r="G7664" s="15">
        <v>1.2274944910067498</v>
      </c>
      <c r="H7664" s="15">
        <v>1.2274944910067498</v>
      </c>
      <c r="I7664" s="15">
        <v>0.90561839065797367</v>
      </c>
      <c r="J7664" s="15">
        <v>0.90561839065797367</v>
      </c>
      <c r="K7664" s="15">
        <v>0.9722446319919269</v>
      </c>
      <c r="L7664" s="15">
        <v>0.9722446319919269</v>
      </c>
      <c r="M7664" s="15">
        <v>0.9722446319919269</v>
      </c>
      <c r="N7664" s="15">
        <v>0.9722446319919269</v>
      </c>
      <c r="O7664" s="15">
        <v>0.84600640296006246</v>
      </c>
      <c r="P7664" s="15">
        <v>0.84600640296006246</v>
      </c>
      <c r="Q7664" s="8"/>
      <c r="R7664" s="9" t="s">
        <v>7159</v>
      </c>
    </row>
    <row r="7665" spans="1:18" x14ac:dyDescent="0.25">
      <c r="A7665" s="6" t="str">
        <f>HYPERLINK("proteomic_fractions_linear_files/Yang_linear_img/256000786.jpg", "256000786")</f>
        <v>256000786</v>
      </c>
      <c r="B7665" s="7"/>
      <c r="C7665" s="6" t="str">
        <f>HYPERLINK("http://www.ncbi.nlm.nih.gov/protein/256000786","Tpm1")</f>
        <v>Tpm1</v>
      </c>
      <c r="D7665" s="8"/>
      <c r="E7665" s="8">
        <v>32689</v>
      </c>
      <c r="F7665" s="8"/>
      <c r="G7665" s="15">
        <v>1.2274944910067498</v>
      </c>
      <c r="H7665" s="15">
        <v>1.2274944910067498</v>
      </c>
      <c r="I7665" s="15">
        <v>0.90561839065797367</v>
      </c>
      <c r="J7665" s="15">
        <v>0.90561839065797367</v>
      </c>
      <c r="K7665" s="15">
        <v>0.9722446319919269</v>
      </c>
      <c r="L7665" s="15">
        <v>0.9722446319919269</v>
      </c>
      <c r="M7665" s="15">
        <v>0.9722446319919269</v>
      </c>
      <c r="N7665" s="15">
        <v>0.9722446319919269</v>
      </c>
      <c r="O7665" s="15">
        <v>0.84600640296006246</v>
      </c>
      <c r="P7665" s="15">
        <v>0.84600640296006246</v>
      </c>
      <c r="Q7665" s="8"/>
      <c r="R7665" s="9" t="s">
        <v>7160</v>
      </c>
    </row>
    <row r="7666" spans="1:18" x14ac:dyDescent="0.25">
      <c r="A7666" s="6" t="str">
        <f>HYPERLINK("proteomic_fractions_linear_files/Yang_linear_img/256000788.jpg", "256000788")</f>
        <v>256000788</v>
      </c>
      <c r="B7666" s="7"/>
      <c r="C7666" s="6" t="str">
        <f>HYPERLINK("http://www.ncbi.nlm.nih.gov/protein/256000788","Tpm1")</f>
        <v>Tpm1</v>
      </c>
      <c r="D7666" s="8"/>
      <c r="E7666" s="8">
        <v>28426</v>
      </c>
      <c r="F7666" s="8"/>
      <c r="G7666" s="15">
        <v>1.4466899358293837</v>
      </c>
      <c r="H7666" s="15">
        <v>1.4466899358293837</v>
      </c>
      <c r="I7666" s="15">
        <v>0.93393778983660714</v>
      </c>
      <c r="J7666" s="15">
        <v>0.93393778983660714</v>
      </c>
      <c r="K7666" s="15">
        <v>0.99707897491721642</v>
      </c>
      <c r="L7666" s="15">
        <v>0.99707897491721642</v>
      </c>
      <c r="M7666" s="15">
        <v>1.1458597448476282</v>
      </c>
      <c r="N7666" s="15">
        <v>1.1458597448476282</v>
      </c>
      <c r="O7666" s="15">
        <v>0.99707897491721642</v>
      </c>
      <c r="P7666" s="15">
        <v>0.99707897491721642</v>
      </c>
      <c r="Q7666" s="8"/>
      <c r="R7666" s="9" t="s">
        <v>7161</v>
      </c>
    </row>
    <row r="7667" spans="1:18" x14ac:dyDescent="0.25">
      <c r="A7667" s="6" t="str">
        <f>HYPERLINK("proteomic_fractions_linear_files/Yang_linear_img/256000790.jpg", "256000790")</f>
        <v>256000790</v>
      </c>
      <c r="B7667" s="7"/>
      <c r="C7667" s="6" t="str">
        <f>HYPERLINK("http://www.ncbi.nlm.nih.gov/protein/256000790","Tpm1")</f>
        <v>Tpm1</v>
      </c>
      <c r="D7667" s="8"/>
      <c r="E7667" s="8">
        <v>28565</v>
      </c>
      <c r="F7667" s="8"/>
      <c r="G7667" s="15">
        <v>1.3968040759731981</v>
      </c>
      <c r="H7667" s="15">
        <v>1.3968040759731981</v>
      </c>
      <c r="I7667" s="15">
        <v>0.90173303846293107</v>
      </c>
      <c r="J7667" s="15">
        <v>0.90173303846293107</v>
      </c>
      <c r="K7667" s="15">
        <v>0.96269694129938133</v>
      </c>
      <c r="L7667" s="15">
        <v>0.96269694129938133</v>
      </c>
      <c r="M7667" s="15">
        <v>1.1063473398528822</v>
      </c>
      <c r="N7667" s="15">
        <v>1.1063473398528822</v>
      </c>
      <c r="O7667" s="15">
        <v>0.96269694129938133</v>
      </c>
      <c r="P7667" s="15">
        <v>0.96269694129938133</v>
      </c>
      <c r="Q7667" s="8"/>
      <c r="R7667" s="9" t="s">
        <v>7162</v>
      </c>
    </row>
    <row r="7668" spans="1:18" x14ac:dyDescent="0.25">
      <c r="A7668" s="6" t="str">
        <f>HYPERLINK("proteomic_fractions_linear_files/Yang_linear_img/256000792.jpg", "256000792")</f>
        <v>256000792</v>
      </c>
      <c r="B7668" s="7"/>
      <c r="C7668" s="6" t="str">
        <f>HYPERLINK("http://www.ncbi.nlm.nih.gov/protein/256000792","Tpm1")</f>
        <v>Tpm1</v>
      </c>
      <c r="D7668" s="8"/>
      <c r="E7668" s="8">
        <v>28398</v>
      </c>
      <c r="F7668" s="8"/>
      <c r="G7668" s="15">
        <v>1.4466899358293837</v>
      </c>
      <c r="H7668" s="15">
        <v>1.4466899358293837</v>
      </c>
      <c r="I7668" s="15">
        <v>0.93393778983660714</v>
      </c>
      <c r="J7668" s="15">
        <v>0.93393778983660714</v>
      </c>
      <c r="K7668" s="15">
        <v>0.99707897491721642</v>
      </c>
      <c r="L7668" s="15">
        <v>0.99707897491721642</v>
      </c>
      <c r="M7668" s="15">
        <v>1.1458597448476282</v>
      </c>
      <c r="N7668" s="15">
        <v>1.1458597448476282</v>
      </c>
      <c r="O7668" s="15">
        <v>0.99707897491721642</v>
      </c>
      <c r="P7668" s="15">
        <v>0.99707897491721642</v>
      </c>
      <c r="Q7668" s="8"/>
      <c r="R7668" s="9" t="s">
        <v>7163</v>
      </c>
    </row>
    <row r="7669" spans="1:18" x14ac:dyDescent="0.25">
      <c r="A7669" s="6" t="str">
        <f>HYPERLINK("proteomic_fractions_linear_files/Yang_linear_img/256000794.jpg", "256000794")</f>
        <v>256000794</v>
      </c>
      <c r="B7669" s="7"/>
      <c r="C7669" s="6" t="str">
        <f>HYPERLINK("http://www.ncbi.nlm.nih.gov/protein/256000794","Tpm1")</f>
        <v>Tpm1</v>
      </c>
      <c r="D7669" s="8"/>
      <c r="E7669" s="8">
        <v>32364</v>
      </c>
      <c r="F7669" s="8"/>
      <c r="G7669" s="15">
        <v>1.2658536938507108</v>
      </c>
      <c r="H7669" s="15">
        <v>1.2658536938507108</v>
      </c>
      <c r="I7669" s="15">
        <v>0.93391896536603536</v>
      </c>
      <c r="J7669" s="15">
        <v>0.93391896536603536</v>
      </c>
      <c r="K7669" s="15">
        <v>0.87244410305256437</v>
      </c>
      <c r="L7669" s="15">
        <v>1.0026272767416746</v>
      </c>
      <c r="M7669" s="15">
        <v>1.0026272767416746</v>
      </c>
      <c r="N7669" s="15">
        <v>1.0026272767416746</v>
      </c>
      <c r="O7669" s="15">
        <v>0.87244410305256437</v>
      </c>
      <c r="P7669" s="15">
        <v>0.87244410305256437</v>
      </c>
      <c r="Q7669" s="8"/>
      <c r="R7669" s="9" t="s">
        <v>7164</v>
      </c>
    </row>
    <row r="7670" spans="1:18" x14ac:dyDescent="0.25">
      <c r="A7670" s="6" t="str">
        <f>HYPERLINK("proteomic_fractions_linear_files/Yang_linear_img/256000796.jpg", "256000796")</f>
        <v>256000796</v>
      </c>
      <c r="B7670" s="7"/>
      <c r="C7670" s="6" t="str">
        <f>HYPERLINK("http://www.ncbi.nlm.nih.gov/protein/256000796","Tpm1")</f>
        <v>Tpm1</v>
      </c>
      <c r="D7670" s="8"/>
      <c r="E7670" s="8">
        <v>28212</v>
      </c>
      <c r="F7670" s="8"/>
      <c r="G7670" s="15">
        <v>1.4466899358293837</v>
      </c>
      <c r="H7670" s="15">
        <v>1.4466899358293837</v>
      </c>
      <c r="I7670" s="15">
        <v>0.93393778983660714</v>
      </c>
      <c r="J7670" s="15">
        <v>0.93393778983660714</v>
      </c>
      <c r="K7670" s="15">
        <v>0.99707897491721642</v>
      </c>
      <c r="L7670" s="15">
        <v>0.99707897491721642</v>
      </c>
      <c r="M7670" s="15">
        <v>1.1458597448476282</v>
      </c>
      <c r="N7670" s="15">
        <v>0.99707897491721642</v>
      </c>
      <c r="O7670" s="15">
        <v>0.99707897491721642</v>
      </c>
      <c r="P7670" s="15">
        <v>0.99707897491721642</v>
      </c>
      <c r="Q7670" s="8"/>
      <c r="R7670" s="9" t="s">
        <v>7165</v>
      </c>
    </row>
    <row r="7671" spans="1:18" x14ac:dyDescent="0.25">
      <c r="A7671" s="6" t="str">
        <f>HYPERLINK("proteomic_fractions_linear_files/Yang_linear_img/31560030.jpg", "31560030")</f>
        <v>31560030</v>
      </c>
      <c r="B7671" s="7"/>
      <c r="C7671" s="6" t="str">
        <f>HYPERLINK("http://www.ncbi.nlm.nih.gov/protein/31560030","Tpm1")</f>
        <v>Tpm1</v>
      </c>
      <c r="D7671" s="8"/>
      <c r="E7671" s="8">
        <v>32578</v>
      </c>
      <c r="F7671" s="8"/>
      <c r="G7671" s="15">
        <v>1.2274944910067498</v>
      </c>
      <c r="H7671" s="15">
        <v>1.2274944910067498</v>
      </c>
      <c r="I7671" s="15">
        <v>0.90561839065797367</v>
      </c>
      <c r="J7671" s="15">
        <v>0.90561839065797367</v>
      </c>
      <c r="K7671" s="15">
        <v>0.9722446319919269</v>
      </c>
      <c r="L7671" s="15">
        <v>0.9722446319919269</v>
      </c>
      <c r="M7671" s="15">
        <v>0.9722446319919269</v>
      </c>
      <c r="N7671" s="15">
        <v>0.9722446319919269</v>
      </c>
      <c r="O7671" s="15">
        <v>0.84600640296006246</v>
      </c>
      <c r="P7671" s="15">
        <v>0.84600640296006246</v>
      </c>
      <c r="Q7671" s="8"/>
      <c r="R7671" s="9" t="s">
        <v>7166</v>
      </c>
    </row>
    <row r="7672" spans="1:18" x14ac:dyDescent="0.25">
      <c r="A7672" s="6" t="str">
        <f>HYPERLINK("proteomic_fractions_linear_files/Yang_linear_img/482677662.jpg", "482677662")</f>
        <v>482677662</v>
      </c>
      <c r="B7672" s="7"/>
      <c r="C7672" s="6" t="str">
        <f>HYPERLINK("http://www.ncbi.nlm.nih.gov/protein/482677662","Tpm2")</f>
        <v>Tpm2</v>
      </c>
      <c r="D7672" s="8"/>
      <c r="E7672" s="8">
        <v>32670</v>
      </c>
      <c r="F7672" s="8"/>
      <c r="G7672" s="15">
        <v>1.2274944910067498</v>
      </c>
      <c r="H7672" s="15">
        <v>1.2274944910067498</v>
      </c>
      <c r="I7672" s="15" t="s">
        <v>10</v>
      </c>
      <c r="J7672" s="15" t="s">
        <v>10</v>
      </c>
      <c r="K7672" s="15">
        <v>0.9722446319919269</v>
      </c>
      <c r="L7672" s="15">
        <v>0.9722446319919269</v>
      </c>
      <c r="M7672" s="15" t="s">
        <v>10</v>
      </c>
      <c r="N7672" s="15" t="s">
        <v>10</v>
      </c>
      <c r="O7672" s="15" t="s">
        <v>10</v>
      </c>
      <c r="P7672" s="15" t="s">
        <v>10</v>
      </c>
      <c r="Q7672" s="8"/>
      <c r="R7672" s="9" t="s">
        <v>7167</v>
      </c>
    </row>
    <row r="7673" spans="1:18" x14ac:dyDescent="0.25">
      <c r="A7673" s="6" t="str">
        <f>HYPERLINK("proteomic_fractions_linear_files/Yang_linear_img/482677666.jpg", "482677666")</f>
        <v>482677666</v>
      </c>
      <c r="B7673" s="7"/>
      <c r="C7673" s="6" t="str">
        <f>HYPERLINK("http://www.ncbi.nlm.nih.gov/protein/482677666","Tpm2")</f>
        <v>Tpm2</v>
      </c>
      <c r="D7673" s="8"/>
      <c r="E7673" s="8">
        <v>32827</v>
      </c>
      <c r="F7673" s="8"/>
      <c r="G7673" s="15">
        <v>1.2274944910067498</v>
      </c>
      <c r="H7673" s="15">
        <v>1.2274944910067498</v>
      </c>
      <c r="I7673" s="15" t="s">
        <v>10</v>
      </c>
      <c r="J7673" s="15" t="s">
        <v>10</v>
      </c>
      <c r="K7673" s="15">
        <v>0.9722446319919269</v>
      </c>
      <c r="L7673" s="15">
        <v>0.9722446319919269</v>
      </c>
      <c r="M7673" s="15" t="s">
        <v>10</v>
      </c>
      <c r="N7673" s="15" t="s">
        <v>10</v>
      </c>
      <c r="O7673" s="15" t="s">
        <v>10</v>
      </c>
      <c r="P7673" s="15" t="s">
        <v>10</v>
      </c>
      <c r="Q7673" s="8"/>
      <c r="R7673" s="9" t="s">
        <v>7168</v>
      </c>
    </row>
    <row r="7674" spans="1:18" x14ac:dyDescent="0.25">
      <c r="A7674" s="6" t="str">
        <f>HYPERLINK("proteomic_fractions_linear_files/Yang_linear_img/11875203.jpg", "11875203")</f>
        <v>11875203</v>
      </c>
      <c r="B7674" s="7"/>
      <c r="C7674" s="6" t="str">
        <f>HYPERLINK("http://www.ncbi.nlm.nih.gov/protein/11875203","Tpm2")</f>
        <v>Tpm2</v>
      </c>
      <c r="D7674" s="8"/>
      <c r="E7674" s="8">
        <v>32706</v>
      </c>
      <c r="F7674" s="8"/>
      <c r="G7674" s="15">
        <v>1.2274944910067498</v>
      </c>
      <c r="H7674" s="15">
        <v>1.2274944910067498</v>
      </c>
      <c r="I7674" s="15">
        <v>0.84600640296006246</v>
      </c>
      <c r="J7674" s="15">
        <v>0.79243206410378786</v>
      </c>
      <c r="K7674" s="15">
        <v>0.84600640296006246</v>
      </c>
      <c r="L7674" s="15">
        <v>0.84600640296006246</v>
      </c>
      <c r="M7674" s="15">
        <v>0.9722446319919269</v>
      </c>
      <c r="N7674" s="15">
        <v>0.9722446319919269</v>
      </c>
      <c r="O7674" s="15">
        <v>0.84600640296006246</v>
      </c>
      <c r="P7674" s="15">
        <v>0.84600640296006246</v>
      </c>
      <c r="Q7674" s="8"/>
      <c r="R7674" s="9" t="s">
        <v>7169</v>
      </c>
    </row>
    <row r="7675" spans="1:18" x14ac:dyDescent="0.25">
      <c r="A7675" s="6" t="str">
        <f>HYPERLINK("proteomic_fractions_linear_files/Yang_linear_img/359279904.jpg", "359279904")</f>
        <v>359279904</v>
      </c>
      <c r="B7675" s="7"/>
      <c r="C7675" s="6" t="str">
        <f>HYPERLINK("http://www.ncbi.nlm.nih.gov/protein/359279904","Tpm3")</f>
        <v>Tpm3</v>
      </c>
      <c r="D7675" s="8"/>
      <c r="E7675" s="8">
        <v>28890</v>
      </c>
      <c r="F7675" s="8"/>
      <c r="G7675" s="15">
        <v>1.2876319456249858</v>
      </c>
      <c r="H7675" s="15">
        <v>1.2876319456249858</v>
      </c>
      <c r="I7675" s="15">
        <v>0.90173303846293107</v>
      </c>
      <c r="J7675" s="15">
        <v>0.90173303846293107</v>
      </c>
      <c r="K7675" s="15">
        <v>0.96269694129938133</v>
      </c>
      <c r="L7675" s="15">
        <v>0.96269694129938133</v>
      </c>
      <c r="M7675" s="15">
        <v>0.96269694129938133</v>
      </c>
      <c r="N7675" s="15">
        <v>0.96269694129938133</v>
      </c>
      <c r="O7675" s="15">
        <v>0.84671795218196266</v>
      </c>
      <c r="P7675" s="15">
        <v>0.84671795218196266</v>
      </c>
      <c r="Q7675" s="8"/>
      <c r="R7675" s="9" t="s">
        <v>7170</v>
      </c>
    </row>
    <row r="7676" spans="1:18" x14ac:dyDescent="0.25">
      <c r="A7676" s="6" t="str">
        <f>HYPERLINK("proteomic_fractions_linear_files/Yang_linear_img/359279908.jpg", "359279908")</f>
        <v>359279908</v>
      </c>
      <c r="B7676" s="7"/>
      <c r="C7676" s="6" t="str">
        <f>HYPERLINK("http://www.ncbi.nlm.nih.gov/protein/359279908","Tpm3")</f>
        <v>Tpm3</v>
      </c>
      <c r="D7676" s="8"/>
      <c r="E7676" s="8">
        <v>28727</v>
      </c>
      <c r="F7676" s="8"/>
      <c r="G7676" s="15">
        <v>1.2876319456249858</v>
      </c>
      <c r="H7676" s="15">
        <v>1.2876319456249858</v>
      </c>
      <c r="I7676" s="15">
        <v>0.90173303846293107</v>
      </c>
      <c r="J7676" s="15">
        <v>0.90173303846293107</v>
      </c>
      <c r="K7676" s="15">
        <v>0.96269694129938133</v>
      </c>
      <c r="L7676" s="15">
        <v>0.96269694129938133</v>
      </c>
      <c r="M7676" s="15">
        <v>0.96269694129938133</v>
      </c>
      <c r="N7676" s="15">
        <v>0.96269694129938133</v>
      </c>
      <c r="O7676" s="15">
        <v>0.84671795218196266</v>
      </c>
      <c r="P7676" s="15">
        <v>0.84671795218196266</v>
      </c>
      <c r="Q7676" s="8"/>
      <c r="R7676" s="9" t="s">
        <v>7171</v>
      </c>
    </row>
    <row r="7677" spans="1:18" x14ac:dyDescent="0.25">
      <c r="A7677" s="6" t="str">
        <f>HYPERLINK("proteomic_fractions_linear_files/Yang_linear_img/40254525.jpg", "40254525")</f>
        <v>40254525</v>
      </c>
      <c r="B7677" s="7"/>
      <c r="C7677" s="6" t="str">
        <f>HYPERLINK("http://www.ncbi.nlm.nih.gov/protein/40254525","Tpm3")</f>
        <v>Tpm3</v>
      </c>
      <c r="D7677" s="8"/>
      <c r="E7677" s="8">
        <v>33018</v>
      </c>
      <c r="F7677" s="8"/>
      <c r="G7677" s="15">
        <v>1.1315553461552907</v>
      </c>
      <c r="H7677" s="15">
        <v>1.1315553461552907</v>
      </c>
      <c r="I7677" s="15">
        <v>0.79243206410378786</v>
      </c>
      <c r="J7677" s="15">
        <v>0.79243206410378786</v>
      </c>
      <c r="K7677" s="15">
        <v>0.84600640296006246</v>
      </c>
      <c r="L7677" s="15">
        <v>0.84600640296006246</v>
      </c>
      <c r="M7677" s="15">
        <v>0.84600640296006246</v>
      </c>
      <c r="N7677" s="15">
        <v>0.84600640296006246</v>
      </c>
      <c r="O7677" s="15">
        <v>0.74408547312960349</v>
      </c>
      <c r="P7677" s="15">
        <v>0.74408547312960349</v>
      </c>
      <c r="Q7677" s="8"/>
      <c r="R7677" s="9" t="s">
        <v>7172</v>
      </c>
    </row>
    <row r="7678" spans="1:18" x14ac:dyDescent="0.25">
      <c r="A7678" s="6" t="str">
        <f>HYPERLINK("proteomic_fractions_linear_files/Yang_linear_img/418203916.jpg", "418203916")</f>
        <v>418203916</v>
      </c>
      <c r="B7678" s="7"/>
      <c r="C7678" s="6" t="str">
        <f>HYPERLINK("http://www.ncbi.nlm.nih.gov/protein/418203916","Tpm3")</f>
        <v>Tpm3</v>
      </c>
      <c r="D7678" s="8"/>
      <c r="E7678" s="8">
        <v>28765</v>
      </c>
      <c r="F7678" s="8"/>
      <c r="G7678" s="15">
        <v>1.2876319456249858</v>
      </c>
      <c r="H7678" s="15">
        <v>1.2876319456249858</v>
      </c>
      <c r="I7678" s="15">
        <v>0.90173303846293107</v>
      </c>
      <c r="J7678" s="15">
        <v>0.90173303846293107</v>
      </c>
      <c r="K7678" s="15">
        <v>0.96269694129938133</v>
      </c>
      <c r="L7678" s="15">
        <v>0.96269694129938133</v>
      </c>
      <c r="M7678" s="15">
        <v>0.96269694129938133</v>
      </c>
      <c r="N7678" s="15">
        <v>0.96269694129938133</v>
      </c>
      <c r="O7678" s="15">
        <v>0.84671795218196266</v>
      </c>
      <c r="P7678" s="15">
        <v>0.84671795218196266</v>
      </c>
      <c r="Q7678" s="8"/>
      <c r="R7678" s="9" t="s">
        <v>7173</v>
      </c>
    </row>
    <row r="7679" spans="1:18" x14ac:dyDescent="0.25">
      <c r="A7679" s="6" t="str">
        <f>HYPERLINK("proteomic_fractions_linear_files/Yang_linear_img/47894398.jpg", "47894398")</f>
        <v>47894398</v>
      </c>
      <c r="B7679" s="7"/>
      <c r="C7679" s="6" t="str">
        <f>HYPERLINK("http://www.ncbi.nlm.nih.gov/protein/47894398","Tpm4")</f>
        <v>Tpm4</v>
      </c>
      <c r="D7679" s="8"/>
      <c r="E7679" s="8">
        <v>28337</v>
      </c>
      <c r="F7679" s="8"/>
      <c r="G7679" s="15">
        <v>1.3336188008258782</v>
      </c>
      <c r="H7679" s="15">
        <v>1.3336188008258782</v>
      </c>
      <c r="I7679" s="15">
        <v>0.93393778983660714</v>
      </c>
      <c r="J7679" s="15">
        <v>0.93393778983660714</v>
      </c>
      <c r="K7679" s="15">
        <v>0.99707897491721642</v>
      </c>
      <c r="L7679" s="15">
        <v>0.99707897491721642</v>
      </c>
      <c r="M7679" s="15">
        <v>0.99707897491721642</v>
      </c>
      <c r="N7679" s="15">
        <v>0.99707897491721642</v>
      </c>
      <c r="O7679" s="15">
        <v>0.87695787904560418</v>
      </c>
      <c r="P7679" s="15">
        <v>0.87695787904560418</v>
      </c>
      <c r="Q7679" s="8"/>
      <c r="R7679" s="9" t="s">
        <v>7174</v>
      </c>
    </row>
    <row r="7680" spans="1:18" x14ac:dyDescent="0.25">
      <c r="A7680" s="6" t="str">
        <f>HYPERLINK("proteomic_fractions_linear_files/Yang_linear_img/253795504.jpg", "253795504")</f>
        <v>253795504</v>
      </c>
      <c r="B7680" s="7"/>
      <c r="C7680" s="6" t="str">
        <f>HYPERLINK("http://www.ncbi.nlm.nih.gov/protein/253795504","Tpmt")</f>
        <v>Tpmt</v>
      </c>
      <c r="D7680" s="8"/>
      <c r="E7680" s="8">
        <v>27441</v>
      </c>
      <c r="F7680" s="8"/>
      <c r="G7680" s="15" t="s">
        <v>10</v>
      </c>
      <c r="H7680" s="15" t="s">
        <v>10</v>
      </c>
      <c r="I7680" s="15" t="s">
        <v>10</v>
      </c>
      <c r="J7680" s="15" t="s">
        <v>10</v>
      </c>
      <c r="K7680" s="15" t="s">
        <v>10</v>
      </c>
      <c r="L7680" s="15" t="s">
        <v>10</v>
      </c>
      <c r="M7680" s="15" t="s">
        <v>10</v>
      </c>
      <c r="N7680" s="15" t="s">
        <v>10</v>
      </c>
      <c r="O7680" s="15">
        <v>0.855910124989535</v>
      </c>
      <c r="P7680" s="15">
        <v>0.855910124989535</v>
      </c>
      <c r="Q7680" s="8"/>
      <c r="R7680" s="9" t="s">
        <v>7175</v>
      </c>
    </row>
    <row r="7681" spans="1:18" x14ac:dyDescent="0.25">
      <c r="A7681" s="6" t="str">
        <f>HYPERLINK("proteomic_fractions_linear_files/Yang_linear_img/6753448.jpg", "6753448")</f>
        <v>6753448</v>
      </c>
      <c r="B7681" s="7"/>
      <c r="C7681" s="6" t="str">
        <f>HYPERLINK("http://www.ncbi.nlm.nih.gov/protein/6753448","Tpp1")</f>
        <v>Tpp1</v>
      </c>
      <c r="D7681" s="8"/>
      <c r="E7681" s="8">
        <v>39878</v>
      </c>
      <c r="F7681" s="8"/>
      <c r="G7681" s="15">
        <v>1.4693301896398463</v>
      </c>
      <c r="H7681" s="15">
        <v>1.4693301896398463</v>
      </c>
      <c r="I7681" s="15">
        <v>1.1031397311741367</v>
      </c>
      <c r="J7681" s="15">
        <v>1.1031397311741367</v>
      </c>
      <c r="K7681" s="15">
        <v>1.2072493896103813</v>
      </c>
      <c r="L7681" s="15">
        <v>1.2072493896103813</v>
      </c>
      <c r="M7681" s="15">
        <v>1.2072493896103813</v>
      </c>
      <c r="N7681" s="15">
        <v>1.2072493896103813</v>
      </c>
      <c r="O7681" s="15">
        <v>1.1031397311741367</v>
      </c>
      <c r="P7681" s="15">
        <v>1.1031397311741367</v>
      </c>
      <c r="Q7681" s="8"/>
      <c r="R7681" s="9" t="s">
        <v>7176</v>
      </c>
    </row>
    <row r="7682" spans="1:18" x14ac:dyDescent="0.25">
      <c r="A7682" s="6" t="str">
        <f>HYPERLINK("proteomic_fractions_linear_files/Yang_linear_img/6678419.jpg", "6678419")</f>
        <v>6678419</v>
      </c>
      <c r="B7682" s="7"/>
      <c r="C7682" s="6" t="str">
        <f>HYPERLINK("http://www.ncbi.nlm.nih.gov/protein/6678419","Tpp2")</f>
        <v>Tpp2</v>
      </c>
      <c r="D7682" s="8"/>
      <c r="E7682" s="8">
        <v>139748</v>
      </c>
      <c r="F7682" s="8"/>
      <c r="G7682" s="15" t="s">
        <v>10</v>
      </c>
      <c r="H7682" s="15" t="s">
        <v>10</v>
      </c>
      <c r="I7682" s="15">
        <v>1.0960919366874418</v>
      </c>
      <c r="J7682" s="15">
        <v>1.0960919366874418</v>
      </c>
      <c r="K7682" s="15">
        <v>1.3340416545710025</v>
      </c>
      <c r="L7682" s="15">
        <v>1.3340416545710025</v>
      </c>
      <c r="M7682" s="15">
        <v>1.3340416545710025</v>
      </c>
      <c r="N7682" s="15">
        <v>1.3340416545710025</v>
      </c>
      <c r="O7682" s="15">
        <v>1.0960919366874418</v>
      </c>
      <c r="P7682" s="15">
        <v>1.0960919366874418</v>
      </c>
      <c r="Q7682" s="8"/>
      <c r="R7682" s="9" t="s">
        <v>7177</v>
      </c>
    </row>
    <row r="7683" spans="1:18" x14ac:dyDescent="0.25">
      <c r="A7683" s="6" t="str">
        <f>HYPERLINK("proteomic_fractions_linear_files/Yang_linear_img/270309140.jpg", "270309140")</f>
        <v>270309140</v>
      </c>
      <c r="B7683" s="7"/>
      <c r="C7683" s="6" t="str">
        <f>HYPERLINK("http://www.ncbi.nlm.nih.gov/protein/270309140","Tpr")</f>
        <v>Tpr</v>
      </c>
      <c r="D7683" s="8"/>
      <c r="E7683" s="8">
        <v>273860</v>
      </c>
      <c r="F7683" s="8"/>
      <c r="G7683" s="15">
        <v>0.85168192564908418</v>
      </c>
      <c r="H7683" s="15">
        <v>0.85168192564908418</v>
      </c>
      <c r="I7683" s="15">
        <v>0.85168192564908418</v>
      </c>
      <c r="J7683" s="15">
        <v>0.85168192564908418</v>
      </c>
      <c r="K7683" s="15">
        <v>0.85168192564908418</v>
      </c>
      <c r="L7683" s="15">
        <v>0.85168192564908418</v>
      </c>
      <c r="M7683" s="15" t="s">
        <v>10</v>
      </c>
      <c r="N7683" s="15" t="s">
        <v>10</v>
      </c>
      <c r="O7683" s="15">
        <v>0.85168192564908418</v>
      </c>
      <c r="P7683" s="15">
        <v>0.85168192564908418</v>
      </c>
      <c r="Q7683" s="8"/>
      <c r="R7683" s="9" t="s">
        <v>7178</v>
      </c>
    </row>
    <row r="7684" spans="1:18" x14ac:dyDescent="0.25">
      <c r="A7684" s="6" t="str">
        <f>HYPERLINK("proteomic_fractions_linear_files/Yang_linear_img/21312776.jpg", "21312776")</f>
        <v>21312776</v>
      </c>
      <c r="B7684" s="7"/>
      <c r="C7684" s="6" t="str">
        <f>HYPERLINK("http://www.ncbi.nlm.nih.gov/protein/21312776","Tprgl")</f>
        <v>Tprgl</v>
      </c>
      <c r="D7684" s="8"/>
      <c r="E7684" s="8">
        <v>29683</v>
      </c>
      <c r="F7684" s="8"/>
      <c r="G7684" s="15" t="s">
        <v>10</v>
      </c>
      <c r="H7684" s="15" t="s">
        <v>10</v>
      </c>
      <c r="I7684" s="15">
        <v>0.87167527051416671</v>
      </c>
      <c r="J7684" s="15">
        <v>0.87167527051416671</v>
      </c>
      <c r="K7684" s="15">
        <v>0.93060704325606869</v>
      </c>
      <c r="L7684" s="15">
        <v>0.93060704325606869</v>
      </c>
      <c r="M7684" s="15">
        <v>0.87167527051416671</v>
      </c>
      <c r="N7684" s="15">
        <v>0.87167527051416671</v>
      </c>
      <c r="O7684" s="15" t="s">
        <v>10</v>
      </c>
      <c r="P7684" s="15" t="s">
        <v>10</v>
      </c>
      <c r="Q7684" s="8"/>
      <c r="R7684" s="9" t="s">
        <v>7179</v>
      </c>
    </row>
    <row r="7685" spans="1:18" x14ac:dyDescent="0.25">
      <c r="A7685" s="6" t="str">
        <f>HYPERLINK("proteomic_fractions_linear_files/Yang_linear_img/28849893.jpg", "28849893")</f>
        <v>28849893</v>
      </c>
      <c r="B7685" s="7"/>
      <c r="C7685" s="6" t="str">
        <f>HYPERLINK("http://www.ncbi.nlm.nih.gov/protein/28849893","Tprkb")</f>
        <v>Tprkb</v>
      </c>
      <c r="D7685" s="8"/>
      <c r="E7685" s="8">
        <v>19425</v>
      </c>
      <c r="F7685" s="8"/>
      <c r="G7685" s="15">
        <v>1.0263763067386986</v>
      </c>
      <c r="H7685" s="15">
        <v>1.0263763067386986</v>
      </c>
      <c r="I7685" s="15" t="s">
        <v>10</v>
      </c>
      <c r="J7685" s="15" t="s">
        <v>10</v>
      </c>
      <c r="K7685" s="15" t="s">
        <v>10</v>
      </c>
      <c r="L7685" s="15" t="s">
        <v>10</v>
      </c>
      <c r="M7685" s="15" t="s">
        <v>10</v>
      </c>
      <c r="N7685" s="15" t="s">
        <v>10</v>
      </c>
      <c r="O7685" s="15" t="s">
        <v>10</v>
      </c>
      <c r="P7685" s="15" t="s">
        <v>10</v>
      </c>
      <c r="Q7685" s="8"/>
      <c r="R7685" s="9" t="s">
        <v>7180</v>
      </c>
    </row>
    <row r="7686" spans="1:18" x14ac:dyDescent="0.25">
      <c r="A7686" s="6" t="str">
        <f>HYPERLINK("proteomic_fractions_linear_files/Yang_linear_img/28849893;281427253.jpg", "28849893;281427253")</f>
        <v>28849893;281427253</v>
      </c>
      <c r="B7686" s="8"/>
      <c r="C7686" s="6" t="str">
        <f>HYPERLINK("http://www.ncbi.nlm.nih.gov/protein/28849893;281427253","Tprkb")</f>
        <v>Tprkb</v>
      </c>
      <c r="D7686" s="8"/>
      <c r="E7686" s="8">
        <v>19425</v>
      </c>
      <c r="F7686" s="8"/>
      <c r="G7686" s="15" t="s">
        <v>10</v>
      </c>
      <c r="H7686" s="15" t="s">
        <v>10</v>
      </c>
      <c r="I7686" s="15" t="s">
        <v>10</v>
      </c>
      <c r="J7686" s="15" t="s">
        <v>10</v>
      </c>
      <c r="K7686" s="15">
        <v>1.0840758519292775</v>
      </c>
      <c r="L7686" s="15">
        <v>1.0840758519292775</v>
      </c>
      <c r="M7686" s="15" t="s">
        <v>10</v>
      </c>
      <c r="N7686" s="15" t="s">
        <v>10</v>
      </c>
      <c r="O7686" s="15" t="s">
        <v>10</v>
      </c>
      <c r="P7686" s="15" t="s">
        <v>10</v>
      </c>
      <c r="Q7686" s="8"/>
      <c r="R7686" s="9" t="s">
        <v>7180</v>
      </c>
    </row>
    <row r="7687" spans="1:18" x14ac:dyDescent="0.25">
      <c r="A7687" s="6" t="str">
        <f>HYPERLINK("proteomic_fractions_linear_files/Yang_linear_img/281427253;28849893.jpg", "281427253;28849893")</f>
        <v>281427253;28849893</v>
      </c>
      <c r="B7687" s="8"/>
      <c r="C7687" s="6" t="str">
        <f>HYPERLINK("http://www.ncbi.nlm.nih.gov/protein/281427253;28849893","Tprkb")</f>
        <v>Tprkb</v>
      </c>
      <c r="D7687" s="8"/>
      <c r="E7687" s="8">
        <v>19425</v>
      </c>
      <c r="F7687" s="8"/>
      <c r="G7687" s="15" t="s">
        <v>10</v>
      </c>
      <c r="H7687" s="15" t="s">
        <v>10</v>
      </c>
      <c r="I7687" s="15" t="s">
        <v>10</v>
      </c>
      <c r="J7687" s="15" t="s">
        <v>10</v>
      </c>
      <c r="K7687" s="15" t="s">
        <v>10</v>
      </c>
      <c r="L7687" s="15" t="s">
        <v>10</v>
      </c>
      <c r="M7687" s="15">
        <v>1.0840758519292775</v>
      </c>
      <c r="N7687" s="15">
        <v>1.0840758519292775</v>
      </c>
      <c r="O7687" s="15">
        <v>1.0840758519292775</v>
      </c>
      <c r="P7687" s="15">
        <v>1.0840758519292775</v>
      </c>
      <c r="Q7687" s="8"/>
      <c r="R7687" s="9" t="s">
        <v>7180</v>
      </c>
    </row>
    <row r="7688" spans="1:18" x14ac:dyDescent="0.25">
      <c r="A7688" s="6" t="str">
        <f>HYPERLINK("proteomic_fractions_linear_files/Yang_linear_img/190014629.jpg", "190014629")</f>
        <v>190014629</v>
      </c>
      <c r="B7688" s="7"/>
      <c r="C7688" s="6" t="str">
        <f>HYPERLINK("http://www.ncbi.nlm.nih.gov/protein/190014629","Tprn")</f>
        <v>Tprn</v>
      </c>
      <c r="D7688" s="8"/>
      <c r="E7688" s="8">
        <v>79958</v>
      </c>
      <c r="F7688" s="8"/>
      <c r="G7688" s="15" t="s">
        <v>10</v>
      </c>
      <c r="H7688" s="15" t="s">
        <v>10</v>
      </c>
      <c r="I7688" s="15">
        <v>1.3725195477641434</v>
      </c>
      <c r="J7688" s="15">
        <v>1.3725195477641434</v>
      </c>
      <c r="K7688" s="15">
        <v>1.3725195477641434</v>
      </c>
      <c r="L7688" s="15">
        <v>1.3725195477641434</v>
      </c>
      <c r="M7688" s="15" t="s">
        <v>10</v>
      </c>
      <c r="N7688" s="15" t="s">
        <v>10</v>
      </c>
      <c r="O7688" s="15" t="s">
        <v>10</v>
      </c>
      <c r="P7688" s="15" t="s">
        <v>10</v>
      </c>
      <c r="Q7688" s="8"/>
      <c r="R7688" s="9" t="s">
        <v>7181</v>
      </c>
    </row>
    <row r="7689" spans="1:18" x14ac:dyDescent="0.25">
      <c r="A7689" s="6" t="str">
        <f>HYPERLINK("proteomic_fractions_linear_files/Yang_linear_img/255683445.jpg", "255683445")</f>
        <v>255683445</v>
      </c>
      <c r="B7689" s="7"/>
      <c r="C7689" s="6" t="str">
        <f>HYPERLINK("http://www.ncbi.nlm.nih.gov/protein/255683445","Tpsg1")</f>
        <v>Tpsg1</v>
      </c>
      <c r="D7689" s="8"/>
      <c r="E7689" s="8">
        <v>31055</v>
      </c>
      <c r="F7689" s="8"/>
      <c r="G7689" s="15" t="s">
        <v>10</v>
      </c>
      <c r="H7689" s="15" t="s">
        <v>10</v>
      </c>
      <c r="I7689" s="15">
        <v>0.74547010886185305</v>
      </c>
      <c r="J7689" s="15">
        <v>0.74547010886185305</v>
      </c>
      <c r="K7689" s="15" t="s">
        <v>10</v>
      </c>
      <c r="L7689" s="15" t="s">
        <v>10</v>
      </c>
      <c r="M7689" s="15" t="s">
        <v>10</v>
      </c>
      <c r="N7689" s="15" t="s">
        <v>10</v>
      </c>
      <c r="O7689" s="15" t="s">
        <v>10</v>
      </c>
      <c r="P7689" s="15" t="s">
        <v>10</v>
      </c>
      <c r="Q7689" s="8"/>
      <c r="R7689" s="9" t="s">
        <v>7182</v>
      </c>
    </row>
    <row r="7690" spans="1:18" x14ac:dyDescent="0.25">
      <c r="A7690" s="6" t="str">
        <f>HYPERLINK("proteomic_fractions_linear_files/Yang_linear_img/6678437.jpg", "6678437")</f>
        <v>6678437</v>
      </c>
      <c r="B7690" s="7"/>
      <c r="C7690" s="6" t="str">
        <f>HYPERLINK("http://www.ncbi.nlm.nih.gov/protein/6678437","Tpt1")</f>
        <v>Tpt1</v>
      </c>
      <c r="D7690" s="8"/>
      <c r="E7690" s="8">
        <v>19331</v>
      </c>
      <c r="F7690" s="8"/>
      <c r="G7690" s="15">
        <v>1.8185987647618518</v>
      </c>
      <c r="H7690" s="15">
        <v>1.8185987647618518</v>
      </c>
      <c r="I7690" s="15">
        <v>1.1471443300357238</v>
      </c>
      <c r="J7690" s="15">
        <v>1.1471443300357238</v>
      </c>
      <c r="K7690" s="15">
        <v>1.1471443300357238</v>
      </c>
      <c r="L7690" s="15">
        <v>1.1471443300357238</v>
      </c>
      <c r="M7690" s="15">
        <v>1.1471443300357238</v>
      </c>
      <c r="N7690" s="15">
        <v>1.1471443300357238</v>
      </c>
      <c r="O7690" s="15">
        <v>1.1471443300357238</v>
      </c>
      <c r="P7690" s="15">
        <v>1.1471443300357238</v>
      </c>
      <c r="Q7690" s="8"/>
      <c r="R7690" s="9" t="s">
        <v>7183</v>
      </c>
    </row>
    <row r="7691" spans="1:18" x14ac:dyDescent="0.25">
      <c r="A7691" s="6" t="str">
        <f>HYPERLINK("proteomic_fractions_linear_files/Yang_linear_img/269784764.jpg", "269784764")</f>
        <v>269784764</v>
      </c>
      <c r="B7691" s="7"/>
      <c r="C7691" s="6" t="str">
        <f>HYPERLINK("http://www.ncbi.nlm.nih.gov/protein/269784764","Tpte")</f>
        <v>Tpte</v>
      </c>
      <c r="D7691" s="8"/>
      <c r="E7691" s="8">
        <v>76574</v>
      </c>
      <c r="F7691" s="8"/>
      <c r="G7691" s="15">
        <v>3.0306603588032348</v>
      </c>
      <c r="H7691" s="15">
        <v>3.0306603588032348</v>
      </c>
      <c r="I7691" s="15" t="s">
        <v>10</v>
      </c>
      <c r="J7691" s="15" t="s">
        <v>10</v>
      </c>
      <c r="K7691" s="15">
        <v>3.9192639563181659</v>
      </c>
      <c r="L7691" s="15">
        <v>3.9192639563181659</v>
      </c>
      <c r="M7691" s="15">
        <v>3.9192639563181659</v>
      </c>
      <c r="N7691" s="15">
        <v>3.9192639563181659</v>
      </c>
      <c r="O7691" s="15" t="s">
        <v>10</v>
      </c>
      <c r="P7691" s="15" t="s">
        <v>10</v>
      </c>
      <c r="Q7691" s="8"/>
      <c r="R7691" s="9" t="s">
        <v>7184</v>
      </c>
    </row>
    <row r="7692" spans="1:18" x14ac:dyDescent="0.25">
      <c r="A7692" s="6" t="str">
        <f>HYPERLINK("proteomic_fractions_linear_files/Yang_linear_img/111160869.jpg", "111160869")</f>
        <v>111160869</v>
      </c>
      <c r="B7692" s="7"/>
      <c r="C7692" s="6" t="str">
        <f>HYPERLINK("http://www.ncbi.nlm.nih.gov/protein/111160869","Tra2a")</f>
        <v>Tra2a</v>
      </c>
      <c r="D7692" s="8"/>
      <c r="E7692" s="8">
        <v>32447</v>
      </c>
      <c r="F7692" s="8"/>
      <c r="G7692" s="15" t="s">
        <v>10</v>
      </c>
      <c r="H7692" s="15" t="s">
        <v>10</v>
      </c>
      <c r="I7692" s="15">
        <v>187.28437500000001</v>
      </c>
      <c r="J7692" s="15">
        <v>187.28437500000001</v>
      </c>
      <c r="K7692" s="15">
        <v>187.28437500000001</v>
      </c>
      <c r="L7692" s="15">
        <v>187.28437500000001</v>
      </c>
      <c r="M7692" s="15">
        <v>1.0797930165773495</v>
      </c>
      <c r="N7692" s="15">
        <v>1.0797930165773495</v>
      </c>
      <c r="O7692" s="15" t="s">
        <v>10</v>
      </c>
      <c r="P7692" s="15" t="s">
        <v>10</v>
      </c>
      <c r="Q7692" s="8"/>
      <c r="R7692" s="9" t="s">
        <v>7185</v>
      </c>
    </row>
    <row r="7693" spans="1:18" x14ac:dyDescent="0.25">
      <c r="A7693" s="6" t="str">
        <f>HYPERLINK("proteomic_fractions_linear_files/Yang_linear_img/6677975.jpg", "6677975")</f>
        <v>6677975</v>
      </c>
      <c r="B7693" s="7"/>
      <c r="C7693" s="6" t="str">
        <f>HYPERLINK("http://www.ncbi.nlm.nih.gov/protein/6677975","Tra2b")</f>
        <v>Tra2b</v>
      </c>
      <c r="D7693" s="8"/>
      <c r="E7693" s="8">
        <v>33535</v>
      </c>
      <c r="F7693" s="8"/>
      <c r="G7693" s="15">
        <v>1.4202933995416251</v>
      </c>
      <c r="H7693" s="15">
        <v>1.4202933995416251</v>
      </c>
      <c r="I7693" s="15" t="s">
        <v>10</v>
      </c>
      <c r="J7693" s="15" t="s">
        <v>10</v>
      </c>
      <c r="K7693" s="15">
        <v>176.26764705882354</v>
      </c>
      <c r="L7693" s="15">
        <v>176.26764705882354</v>
      </c>
      <c r="M7693" s="15">
        <v>1.098274306562488</v>
      </c>
      <c r="N7693" s="15">
        <v>1.098274306562488</v>
      </c>
      <c r="O7693" s="15" t="s">
        <v>10</v>
      </c>
      <c r="P7693" s="15" t="s">
        <v>10</v>
      </c>
      <c r="Q7693" s="8"/>
      <c r="R7693" s="9" t="s">
        <v>7186</v>
      </c>
    </row>
    <row r="7694" spans="1:18" x14ac:dyDescent="0.25">
      <c r="A7694" s="6" t="str">
        <f>HYPERLINK("proteomic_fractions_linear_files/Yang_linear_img/117606383.jpg", "117606383")</f>
        <v>117606383</v>
      </c>
      <c r="B7694" s="7"/>
      <c r="C7694" s="6" t="str">
        <f>HYPERLINK("http://www.ncbi.nlm.nih.gov/protein/117606383","Trabd")</f>
        <v>Trabd</v>
      </c>
      <c r="D7694" s="8"/>
      <c r="E7694" s="8">
        <v>42058</v>
      </c>
      <c r="F7694" s="8"/>
      <c r="G7694" s="15" t="s">
        <v>10</v>
      </c>
      <c r="H7694" s="15" t="s">
        <v>10</v>
      </c>
      <c r="I7694" s="15">
        <v>0.88907920055058554</v>
      </c>
      <c r="J7694" s="15">
        <v>0.88907920055058554</v>
      </c>
      <c r="K7694" s="15">
        <v>0.96445995721958921</v>
      </c>
      <c r="L7694" s="15">
        <v>0.96445995721958921</v>
      </c>
      <c r="M7694" s="15" t="s">
        <v>10</v>
      </c>
      <c r="N7694" s="15" t="s">
        <v>10</v>
      </c>
      <c r="O7694" s="15">
        <v>0.51894624453997029</v>
      </c>
      <c r="P7694" s="15">
        <v>0.51894624453997029</v>
      </c>
      <c r="Q7694" s="8"/>
      <c r="R7694" s="9" t="s">
        <v>7187</v>
      </c>
    </row>
    <row r="7695" spans="1:18" x14ac:dyDescent="0.25">
      <c r="A7695" s="6" t="str">
        <f>HYPERLINK("proteomic_fractions_linear_files/Yang_linear_img/75677522.jpg", "75677522")</f>
        <v>75677522</v>
      </c>
      <c r="B7695" s="7"/>
      <c r="C7695" s="6" t="str">
        <f>HYPERLINK("http://www.ncbi.nlm.nih.gov/protein/75677522","Tradd")</f>
        <v>Tradd</v>
      </c>
      <c r="D7695" s="8"/>
      <c r="E7695" s="8">
        <v>34446</v>
      </c>
      <c r="F7695" s="8"/>
      <c r="G7695" s="15" t="s">
        <v>10</v>
      </c>
      <c r="H7695" s="15" t="s">
        <v>10</v>
      </c>
      <c r="I7695" s="15">
        <v>0.87898255563862149</v>
      </c>
      <c r="J7695" s="15">
        <v>0.87898255563862149</v>
      </c>
      <c r="K7695" s="15">
        <v>0.94364920163922317</v>
      </c>
      <c r="L7695" s="15">
        <v>0.94364920163922317</v>
      </c>
      <c r="M7695" s="15">
        <v>0.87898255563862149</v>
      </c>
      <c r="N7695" s="15">
        <v>0.87898255563862149</v>
      </c>
      <c r="O7695" s="15">
        <v>0.82112386169653118</v>
      </c>
      <c r="P7695" s="15">
        <v>0.82112386169653118</v>
      </c>
      <c r="Q7695" s="8"/>
      <c r="R7695" s="9" t="s">
        <v>7188</v>
      </c>
    </row>
    <row r="7696" spans="1:18" x14ac:dyDescent="0.25">
      <c r="A7696" s="6" t="str">
        <f>HYPERLINK("proteomic_fractions_linear_files/Yang_linear_img/83921633.jpg", "83921633")</f>
        <v>83921633</v>
      </c>
      <c r="B7696" s="7"/>
      <c r="C7696" s="6" t="str">
        <f>HYPERLINK("http://www.ncbi.nlm.nih.gov/protein/83921633","Traf2")</f>
        <v>Traf2</v>
      </c>
      <c r="D7696" s="8"/>
      <c r="E7696" s="8">
        <v>55895</v>
      </c>
      <c r="F7696" s="8"/>
      <c r="G7696" s="15" t="s">
        <v>10</v>
      </c>
      <c r="H7696" s="15" t="s">
        <v>10</v>
      </c>
      <c r="I7696" s="15">
        <v>1.0495215640284616</v>
      </c>
      <c r="J7696" s="15">
        <v>1.0495215640284616</v>
      </c>
      <c r="K7696" s="15">
        <v>1.0495215640284616</v>
      </c>
      <c r="L7696" s="15">
        <v>1.0495215640284616</v>
      </c>
      <c r="M7696" s="15">
        <v>4.167157993354448</v>
      </c>
      <c r="N7696" s="15">
        <v>4.167157993354448</v>
      </c>
      <c r="O7696" s="15">
        <v>0.94858160053573359</v>
      </c>
      <c r="P7696" s="15">
        <v>0.94858160053573359</v>
      </c>
      <c r="Q7696" s="8"/>
      <c r="R7696" s="9" t="s">
        <v>7189</v>
      </c>
    </row>
    <row r="7697" spans="1:18" x14ac:dyDescent="0.25">
      <c r="A7697" s="6" t="str">
        <f>HYPERLINK("proteomic_fractions_linear_files/Yang_linear_img/6755867.jpg", "6755867")</f>
        <v>6755867</v>
      </c>
      <c r="B7697" s="7"/>
      <c r="C7697" s="6" t="str">
        <f>HYPERLINK("http://www.ncbi.nlm.nih.gov/protein/6755867","Traf5")</f>
        <v>Traf5</v>
      </c>
      <c r="D7697" s="8"/>
      <c r="E7697" s="8">
        <v>64023</v>
      </c>
      <c r="F7697" s="8"/>
      <c r="G7697" s="15" t="s">
        <v>10</v>
      </c>
      <c r="H7697" s="15" t="s">
        <v>10</v>
      </c>
      <c r="I7697" s="15" t="s">
        <v>10</v>
      </c>
      <c r="J7697" s="15" t="s">
        <v>10</v>
      </c>
      <c r="K7697" s="15">
        <v>1.0227072395397552</v>
      </c>
      <c r="L7697" s="15">
        <v>1.0227072395397552</v>
      </c>
      <c r="M7697" s="15" t="s">
        <v>10</v>
      </c>
      <c r="N7697" s="15" t="s">
        <v>10</v>
      </c>
      <c r="O7697" s="15" t="s">
        <v>10</v>
      </c>
      <c r="P7697" s="15" t="s">
        <v>10</v>
      </c>
      <c r="Q7697" s="8"/>
      <c r="R7697" s="9" t="s">
        <v>7190</v>
      </c>
    </row>
    <row r="7698" spans="1:18" x14ac:dyDescent="0.25">
      <c r="A7698" s="6" t="str">
        <f>HYPERLINK("proteomic_fractions_linear_files/Yang_linear_img/30794386.jpg", "30794386")</f>
        <v>30794386</v>
      </c>
      <c r="B7698" s="7"/>
      <c r="C7698" s="6" t="str">
        <f>HYPERLINK("http://www.ncbi.nlm.nih.gov/protein/30794386","Tram1")</f>
        <v>Tram1</v>
      </c>
      <c r="D7698" s="8"/>
      <c r="E7698" s="8">
        <v>42908</v>
      </c>
      <c r="F7698" s="8"/>
      <c r="G7698" s="15" t="s">
        <v>10</v>
      </c>
      <c r="H7698" s="15" t="s">
        <v>10</v>
      </c>
      <c r="I7698" s="15">
        <v>0.74614122920310666</v>
      </c>
      <c r="J7698" s="15">
        <v>0.74614122920310666</v>
      </c>
      <c r="K7698" s="15">
        <v>0.80356689605756237</v>
      </c>
      <c r="L7698" s="15">
        <v>0.80356689605756237</v>
      </c>
      <c r="M7698" s="15" t="s">
        <v>10</v>
      </c>
      <c r="N7698" s="15" t="s">
        <v>10</v>
      </c>
      <c r="O7698" s="15" t="s">
        <v>10</v>
      </c>
      <c r="P7698" s="15" t="s">
        <v>10</v>
      </c>
      <c r="Q7698" s="8"/>
      <c r="R7698" s="9" t="s">
        <v>7191</v>
      </c>
    </row>
    <row r="7699" spans="1:18" x14ac:dyDescent="0.25">
      <c r="A7699" s="6" t="str">
        <f>HYPERLINK("proteomic_fractions_linear_files/Yang_linear_img/13385998.jpg", "13385998")</f>
        <v>13385998</v>
      </c>
      <c r="B7699" s="7"/>
      <c r="C7699" s="6" t="str">
        <f>HYPERLINK("http://www.ncbi.nlm.nih.gov/protein/13385998","Trap1")</f>
        <v>Trap1</v>
      </c>
      <c r="D7699" s="8"/>
      <c r="E7699" s="8">
        <v>73784</v>
      </c>
      <c r="F7699" s="8"/>
      <c r="G7699" s="15">
        <v>1.7394814614204996</v>
      </c>
      <c r="H7699" s="15">
        <v>1.7394814614204996</v>
      </c>
      <c r="I7699" s="15">
        <v>0.99238054380651686</v>
      </c>
      <c r="J7699" s="15">
        <v>0.99238054380651686</v>
      </c>
      <c r="K7699" s="15">
        <v>1.4838049165017766</v>
      </c>
      <c r="L7699" s="15">
        <v>1.4838049165017766</v>
      </c>
      <c r="M7699" s="15">
        <v>5.5276156451275646</v>
      </c>
      <c r="N7699" s="15">
        <v>5.5276156451275646</v>
      </c>
      <c r="O7699" s="15">
        <v>2.5238625897289237</v>
      </c>
      <c r="P7699" s="15">
        <v>2.5238625897289237</v>
      </c>
      <c r="Q7699" s="8"/>
      <c r="R7699" s="9" t="s">
        <v>7192</v>
      </c>
    </row>
    <row r="7700" spans="1:18" x14ac:dyDescent="0.25">
      <c r="A7700" s="6" t="str">
        <f>HYPERLINK("proteomic_fractions_linear_files/Yang_linear_img/66730565.jpg", "66730565")</f>
        <v>66730565</v>
      </c>
      <c r="B7700" s="7"/>
      <c r="C7700" s="6" t="str">
        <f>HYPERLINK("http://www.ncbi.nlm.nih.gov/protein/66730565","Trappc1")</f>
        <v>Trappc1</v>
      </c>
      <c r="D7700" s="8"/>
      <c r="E7700" s="8">
        <v>16750</v>
      </c>
      <c r="F7700" s="8"/>
      <c r="G7700" s="15" t="s">
        <v>10</v>
      </c>
      <c r="H7700" s="15" t="s">
        <v>10</v>
      </c>
      <c r="I7700" s="15">
        <v>0.89390225257731093</v>
      </c>
      <c r="J7700" s="15">
        <v>0.89390225257731093</v>
      </c>
      <c r="K7700" s="15">
        <v>0.89390225257731093</v>
      </c>
      <c r="L7700" s="15">
        <v>0.89390225257731093</v>
      </c>
      <c r="M7700" s="15">
        <v>0.89390225257731093</v>
      </c>
      <c r="N7700" s="15">
        <v>0.89390225257731093</v>
      </c>
      <c r="O7700" s="15">
        <v>0.85396904246296157</v>
      </c>
      <c r="P7700" s="15">
        <v>0.85396904246296157</v>
      </c>
      <c r="Q7700" s="8"/>
      <c r="R7700" s="9" t="s">
        <v>7193</v>
      </c>
    </row>
    <row r="7701" spans="1:18" x14ac:dyDescent="0.25">
      <c r="A7701" s="6" t="str">
        <f>HYPERLINK("proteomic_fractions_linear_files/Yang_linear_img/124486684.jpg", "124486684")</f>
        <v>124486684</v>
      </c>
      <c r="B7701" s="7"/>
      <c r="C7701" s="6" t="str">
        <f>HYPERLINK("http://www.ncbi.nlm.nih.gov/protein/124486684","Trappc10")</f>
        <v>Trappc10</v>
      </c>
      <c r="D7701" s="8"/>
      <c r="E7701" s="8">
        <v>141363</v>
      </c>
      <c r="F7701" s="8"/>
      <c r="G7701" s="15" t="s">
        <v>10</v>
      </c>
      <c r="H7701" s="15" t="s">
        <v>10</v>
      </c>
      <c r="I7701" s="15">
        <v>1.0883182350088074</v>
      </c>
      <c r="J7701" s="15">
        <v>1.0883182350088074</v>
      </c>
      <c r="K7701" s="15">
        <v>1.3245803662407118</v>
      </c>
      <c r="L7701" s="15">
        <v>1.3245803662407118</v>
      </c>
      <c r="M7701" s="15" t="s">
        <v>10</v>
      </c>
      <c r="N7701" s="15" t="s">
        <v>10</v>
      </c>
      <c r="O7701" s="15">
        <v>1.0883182350088074</v>
      </c>
      <c r="P7701" s="15">
        <v>1.0883182350088074</v>
      </c>
      <c r="Q7701" s="8"/>
      <c r="R7701" s="9" t="s">
        <v>7194</v>
      </c>
    </row>
    <row r="7702" spans="1:18" x14ac:dyDescent="0.25">
      <c r="A7702" s="6" t="str">
        <f>HYPERLINK("proteomic_fractions_linear_files/Yang_linear_img/62241019.jpg", "62241019")</f>
        <v>62241019</v>
      </c>
      <c r="B7702" s="7"/>
      <c r="C7702" s="6" t="str">
        <f>HYPERLINK("http://www.ncbi.nlm.nih.gov/protein/62241019","Trappc11")</f>
        <v>Trappc11</v>
      </c>
      <c r="D7702" s="8"/>
      <c r="E7702" s="8">
        <v>128266</v>
      </c>
      <c r="F7702" s="8"/>
      <c r="G7702" s="15" t="s">
        <v>10</v>
      </c>
      <c r="H7702" s="15" t="s">
        <v>10</v>
      </c>
      <c r="I7702" s="15" t="s">
        <v>10</v>
      </c>
      <c r="J7702" s="15" t="s">
        <v>10</v>
      </c>
      <c r="K7702" s="15">
        <v>1.1988505557518894</v>
      </c>
      <c r="L7702" s="15">
        <v>1.1988505557518894</v>
      </c>
      <c r="M7702" s="15" t="s">
        <v>10</v>
      </c>
      <c r="N7702" s="15" t="s">
        <v>10</v>
      </c>
      <c r="O7702" s="15" t="s">
        <v>10</v>
      </c>
      <c r="P7702" s="15" t="s">
        <v>10</v>
      </c>
      <c r="Q7702" s="8"/>
      <c r="R7702" s="9" t="s">
        <v>7195</v>
      </c>
    </row>
    <row r="7703" spans="1:18" x14ac:dyDescent="0.25">
      <c r="A7703" s="6" t="str">
        <f>HYPERLINK("proteomic_fractions_linear_files/Yang_linear_img/238637273;238637271.jpg", "238637273;238637271")</f>
        <v>238637273;238637271</v>
      </c>
      <c r="B7703" s="8"/>
      <c r="C7703" s="6" t="str">
        <f>HYPERLINK("http://www.ncbi.nlm.nih.gov/protein/238637273;238637271","Trappc12")</f>
        <v>Trappc12</v>
      </c>
      <c r="D7703" s="8"/>
      <c r="E7703" s="8">
        <v>87563</v>
      </c>
      <c r="F7703" s="8"/>
      <c r="G7703" s="15" t="s">
        <v>10</v>
      </c>
      <c r="H7703" s="15" t="s">
        <v>10</v>
      </c>
      <c r="I7703" s="15" t="s">
        <v>10</v>
      </c>
      <c r="J7703" s="15" t="s">
        <v>10</v>
      </c>
      <c r="K7703" s="15">
        <v>1.4627457743763292</v>
      </c>
      <c r="L7703" s="15">
        <v>1.4627457743763292</v>
      </c>
      <c r="M7703" s="15" t="s">
        <v>10</v>
      </c>
      <c r="N7703" s="15" t="s">
        <v>10</v>
      </c>
      <c r="O7703" s="15" t="s">
        <v>10</v>
      </c>
      <c r="P7703" s="15" t="s">
        <v>10</v>
      </c>
      <c r="Q7703" s="8"/>
      <c r="R7703" s="9" t="s">
        <v>7196</v>
      </c>
    </row>
    <row r="7704" spans="1:18" x14ac:dyDescent="0.25">
      <c r="A7704" s="6" t="str">
        <f>HYPERLINK("proteomic_fractions_linear_files/Yang_linear_img/238637273.jpg", "238637273")</f>
        <v>238637273</v>
      </c>
      <c r="B7704" s="7"/>
      <c r="C7704" s="6" t="str">
        <f>HYPERLINK("http://www.ncbi.nlm.nih.gov/protein/238637273","Trappc12")</f>
        <v>Trappc12</v>
      </c>
      <c r="D7704" s="8"/>
      <c r="E7704" s="8">
        <v>87563</v>
      </c>
      <c r="F7704" s="8"/>
      <c r="G7704" s="15" t="s">
        <v>10</v>
      </c>
      <c r="H7704" s="15" t="s">
        <v>10</v>
      </c>
      <c r="I7704" s="15" t="s">
        <v>10</v>
      </c>
      <c r="J7704" s="15" t="s">
        <v>10</v>
      </c>
      <c r="K7704" s="15" t="s">
        <v>10</v>
      </c>
      <c r="L7704" s="15" t="s">
        <v>10</v>
      </c>
      <c r="M7704" s="15" t="s">
        <v>10</v>
      </c>
      <c r="N7704" s="15" t="s">
        <v>10</v>
      </c>
      <c r="O7704" s="15">
        <v>1.2477450434219486</v>
      </c>
      <c r="P7704" s="15">
        <v>1.2477450434219486</v>
      </c>
      <c r="Q7704" s="8"/>
      <c r="R7704" s="9" t="s">
        <v>7196</v>
      </c>
    </row>
    <row r="7705" spans="1:18" x14ac:dyDescent="0.25">
      <c r="A7705" s="6" t="str">
        <f>HYPERLINK("proteomic_fractions_linear_files/Yang_linear_img/238637275.jpg", "238637275")</f>
        <v>238637275</v>
      </c>
      <c r="B7705" s="7"/>
      <c r="C7705" s="6" t="str">
        <f>HYPERLINK("http://www.ncbi.nlm.nih.gov/protein/238637275","Trappc12")</f>
        <v>Trappc12</v>
      </c>
      <c r="D7705" s="8"/>
      <c r="E7705" s="8">
        <v>63116</v>
      </c>
      <c r="F7705" s="8"/>
      <c r="G7705" s="15" t="s">
        <v>10</v>
      </c>
      <c r="H7705" s="15" t="s">
        <v>10</v>
      </c>
      <c r="I7705" s="15" t="s">
        <v>10</v>
      </c>
      <c r="J7705" s="15" t="s">
        <v>10</v>
      </c>
      <c r="K7705" s="15">
        <v>2.0432004467478881</v>
      </c>
      <c r="L7705" s="15">
        <v>2.0432004467478881</v>
      </c>
      <c r="M7705" s="15" t="s">
        <v>10</v>
      </c>
      <c r="N7705" s="15" t="s">
        <v>10</v>
      </c>
      <c r="O7705" s="15">
        <v>1.7428819654147851</v>
      </c>
      <c r="P7705" s="15">
        <v>1.7428819654147851</v>
      </c>
      <c r="Q7705" s="8"/>
      <c r="R7705" s="9" t="s">
        <v>7197</v>
      </c>
    </row>
    <row r="7706" spans="1:18" x14ac:dyDescent="0.25">
      <c r="A7706" s="6" t="str">
        <f>HYPERLINK("proteomic_fractions_linear_files/Yang_linear_img/153791919.jpg", "153791919")</f>
        <v>153791919</v>
      </c>
      <c r="B7706" s="7"/>
      <c r="C7706" s="6" t="str">
        <f>HYPERLINK("http://www.ncbi.nlm.nih.gov/protein/153791919","Trappc2")</f>
        <v>Trappc2</v>
      </c>
      <c r="D7706" s="8"/>
      <c r="E7706" s="8">
        <v>16310</v>
      </c>
      <c r="F7706" s="8"/>
      <c r="G7706" s="15" t="s">
        <v>10</v>
      </c>
      <c r="H7706" s="15" t="s">
        <v>10</v>
      </c>
      <c r="I7706" s="15">
        <v>0.90734210761689671</v>
      </c>
      <c r="J7706" s="15">
        <v>0.90734210761689671</v>
      </c>
      <c r="K7706" s="15">
        <v>0.94977114336339286</v>
      </c>
      <c r="L7706" s="15">
        <v>0.94977114336339286</v>
      </c>
      <c r="M7706" s="15">
        <v>0.90734210761689671</v>
      </c>
      <c r="N7706" s="15">
        <v>0.90734210761689671</v>
      </c>
      <c r="O7706" s="15">
        <v>0.86786565624604062</v>
      </c>
      <c r="P7706" s="15">
        <v>0.86786565624604062</v>
      </c>
      <c r="Q7706" s="8"/>
      <c r="R7706" s="9" t="s">
        <v>7198</v>
      </c>
    </row>
    <row r="7707" spans="1:18" x14ac:dyDescent="0.25">
      <c r="A7707" s="6" t="str">
        <f>HYPERLINK("proteomic_fractions_linear_files/Yang_linear_img/10946914.jpg", "10946914")</f>
        <v>10946914</v>
      </c>
      <c r="B7707" s="7"/>
      <c r="C7707" s="6" t="str">
        <f>HYPERLINK("http://www.ncbi.nlm.nih.gov/protein/10946914","Trappc2l")</f>
        <v>Trappc2l</v>
      </c>
      <c r="D7707" s="8"/>
      <c r="E7707" s="8">
        <v>15887</v>
      </c>
      <c r="F7707" s="8"/>
      <c r="G7707" s="15" t="s">
        <v>10</v>
      </c>
      <c r="H7707" s="15" t="s">
        <v>10</v>
      </c>
      <c r="I7707" s="15">
        <v>0.86786565624604062</v>
      </c>
      <c r="J7707" s="15">
        <v>0.86786565624604062</v>
      </c>
      <c r="K7707" s="15">
        <v>0.90734210761689671</v>
      </c>
      <c r="L7707" s="15">
        <v>0.90734210761689671</v>
      </c>
      <c r="M7707" s="15">
        <v>0.90734210761689671</v>
      </c>
      <c r="N7707" s="15">
        <v>0.90734210761689671</v>
      </c>
      <c r="O7707" s="15">
        <v>0.83106650143759586</v>
      </c>
      <c r="P7707" s="15">
        <v>0.83106650143759586</v>
      </c>
      <c r="Q7707" s="8"/>
      <c r="R7707" s="9" t="s">
        <v>7199</v>
      </c>
    </row>
    <row r="7708" spans="1:18" x14ac:dyDescent="0.25">
      <c r="A7708" s="6" t="str">
        <f>HYPERLINK("proteomic_fractions_linear_files/Yang_linear_img/7304929.jpg", "7304929")</f>
        <v>7304929</v>
      </c>
      <c r="B7708" s="7"/>
      <c r="C7708" s="6" t="str">
        <f>HYPERLINK("http://www.ncbi.nlm.nih.gov/protein/7304929","Trappc3")</f>
        <v>Trappc3</v>
      </c>
      <c r="D7708" s="8"/>
      <c r="E7708" s="8">
        <v>20171</v>
      </c>
      <c r="F7708" s="8"/>
      <c r="G7708" s="15">
        <v>0.83582372603035116</v>
      </c>
      <c r="H7708" s="15">
        <v>0.83582372603035116</v>
      </c>
      <c r="I7708" s="15">
        <v>0.83582372603035116</v>
      </c>
      <c r="J7708" s="15">
        <v>0.83582372603035116</v>
      </c>
      <c r="K7708" s="15">
        <v>0.83582372603035116</v>
      </c>
      <c r="L7708" s="15">
        <v>0.83582372603035116</v>
      </c>
      <c r="M7708" s="15">
        <v>0.87849698826794831</v>
      </c>
      <c r="N7708" s="15">
        <v>0.87849698826794831</v>
      </c>
      <c r="O7708" s="15">
        <v>0.83582372603035116</v>
      </c>
      <c r="P7708" s="15">
        <v>0.83582372603035116</v>
      </c>
      <c r="Q7708" s="8"/>
      <c r="R7708" s="9" t="s">
        <v>7200</v>
      </c>
    </row>
    <row r="7709" spans="1:18" x14ac:dyDescent="0.25">
      <c r="A7709" s="6" t="str">
        <f>HYPERLINK("proteomic_fractions_linear_files/Yang_linear_img/11140825.jpg", "11140825")</f>
        <v>11140825</v>
      </c>
      <c r="B7709" s="7"/>
      <c r="C7709" s="6" t="str">
        <f>HYPERLINK("http://www.ncbi.nlm.nih.gov/protein/11140825","Trappc4")</f>
        <v>Trappc4</v>
      </c>
      <c r="D7709" s="8"/>
      <c r="E7709" s="8">
        <v>24254</v>
      </c>
      <c r="F7709" s="8"/>
      <c r="G7709" s="15" t="s">
        <v>10</v>
      </c>
      <c r="H7709" s="15" t="s">
        <v>10</v>
      </c>
      <c r="I7709" s="15">
        <v>0.96289889061322687</v>
      </c>
      <c r="J7709" s="15">
        <v>0.96289889061322687</v>
      </c>
      <c r="K7709" s="15">
        <v>0.96289889061322687</v>
      </c>
      <c r="L7709" s="15">
        <v>0.96289889061322687</v>
      </c>
      <c r="M7709" s="15">
        <v>0.96289889061322687</v>
      </c>
      <c r="N7709" s="15">
        <v>0.96289889061322687</v>
      </c>
      <c r="O7709" s="15">
        <v>0.90815592794494793</v>
      </c>
      <c r="P7709" s="15">
        <v>0.90815592794494793</v>
      </c>
      <c r="Q7709" s="8"/>
      <c r="R7709" s="9" t="s">
        <v>7201</v>
      </c>
    </row>
    <row r="7710" spans="1:18" x14ac:dyDescent="0.25">
      <c r="A7710" s="6" t="str">
        <f>HYPERLINK("proteomic_fractions_linear_files/Yang_linear_img/157266281.jpg", "157266281")</f>
        <v>157266281</v>
      </c>
      <c r="B7710" s="7"/>
      <c r="C7710" s="6" t="str">
        <f>HYPERLINK("http://www.ncbi.nlm.nih.gov/protein/157266281","Trappc5")</f>
        <v>Trappc5</v>
      </c>
      <c r="D7710" s="8"/>
      <c r="E7710" s="8">
        <v>20664</v>
      </c>
      <c r="F7710" s="8"/>
      <c r="G7710" s="15" t="s">
        <v>10</v>
      </c>
      <c r="H7710" s="15" t="s">
        <v>10</v>
      </c>
      <c r="I7710" s="15">
        <v>1.0378924890799406</v>
      </c>
      <c r="J7710" s="15">
        <v>1.0378924890799406</v>
      </c>
      <c r="K7710" s="15">
        <v>1.0378924890799406</v>
      </c>
      <c r="L7710" s="15">
        <v>1.0378924890799406</v>
      </c>
      <c r="M7710" s="15">
        <v>1.0378924890799406</v>
      </c>
      <c r="N7710" s="15">
        <v>1.0378924890799406</v>
      </c>
      <c r="O7710" s="15">
        <v>1.0378924890799406</v>
      </c>
      <c r="P7710" s="15">
        <v>1.0378924890799406</v>
      </c>
      <c r="Q7710" s="8"/>
      <c r="R7710" s="9" t="s">
        <v>7202</v>
      </c>
    </row>
    <row r="7711" spans="1:18" x14ac:dyDescent="0.25">
      <c r="A7711" s="6" t="str">
        <f>HYPERLINK("proteomic_fractions_linear_files/Yang_linear_img/31981104.jpg", "31981104")</f>
        <v>31981104</v>
      </c>
      <c r="B7711" s="7"/>
      <c r="C7711" s="6" t="str">
        <f>HYPERLINK("http://www.ncbi.nlm.nih.gov/protein/31981104","Trappc6a")</f>
        <v>Trappc6a</v>
      </c>
      <c r="D7711" s="8"/>
      <c r="E7711" s="8">
        <v>17299</v>
      </c>
      <c r="F7711" s="8"/>
      <c r="G7711" s="15" t="s">
        <v>10</v>
      </c>
      <c r="H7711" s="15" t="s">
        <v>10</v>
      </c>
      <c r="I7711" s="15" t="s">
        <v>10</v>
      </c>
      <c r="J7711" s="15" t="s">
        <v>10</v>
      </c>
      <c r="K7711" s="15" t="s">
        <v>10</v>
      </c>
      <c r="L7711" s="15" t="s">
        <v>10</v>
      </c>
      <c r="M7711" s="15">
        <v>0.89390225257731093</v>
      </c>
      <c r="N7711" s="15">
        <v>0.89390225257731093</v>
      </c>
      <c r="O7711" s="15" t="s">
        <v>10</v>
      </c>
      <c r="P7711" s="15" t="s">
        <v>10</v>
      </c>
      <c r="Q7711" s="8"/>
      <c r="R7711" s="9" t="s">
        <v>7203</v>
      </c>
    </row>
    <row r="7712" spans="1:18" x14ac:dyDescent="0.25">
      <c r="A7712" s="6" t="str">
        <f>HYPERLINK("proteomic_fractions_linear_files/Yang_linear_img/58037519.jpg", "58037519")</f>
        <v>58037519</v>
      </c>
      <c r="B7712" s="7"/>
      <c r="C7712" s="6" t="str">
        <f>HYPERLINK("http://www.ncbi.nlm.nih.gov/protein/58037519","Trappc6b")</f>
        <v>Trappc6b</v>
      </c>
      <c r="D7712" s="8"/>
      <c r="E7712" s="8">
        <v>17805</v>
      </c>
      <c r="F7712" s="8"/>
      <c r="G7712" s="15">
        <v>0.80652631788168594</v>
      </c>
      <c r="H7712" s="15">
        <v>0.80652631788168594</v>
      </c>
      <c r="I7712" s="15">
        <v>0.84424101632301585</v>
      </c>
      <c r="J7712" s="15">
        <v>0.84424101632301585</v>
      </c>
      <c r="K7712" s="15">
        <v>0.88485787684343198</v>
      </c>
      <c r="L7712" s="15">
        <v>0.88485787684343198</v>
      </c>
      <c r="M7712" s="15">
        <v>0.88485787684343198</v>
      </c>
      <c r="N7712" s="15">
        <v>0.88485787684343198</v>
      </c>
      <c r="O7712" s="15">
        <v>0.84424101632301585</v>
      </c>
      <c r="P7712" s="15">
        <v>0.84424101632301585</v>
      </c>
      <c r="Q7712" s="8"/>
      <c r="R7712" s="9" t="s">
        <v>7204</v>
      </c>
    </row>
    <row r="7713" spans="1:18" x14ac:dyDescent="0.25">
      <c r="A7713" s="6" t="str">
        <f>HYPERLINK("proteomic_fractions_linear_files/Yang_linear_img/291621688.jpg", "291621688")</f>
        <v>291621688</v>
      </c>
      <c r="B7713" s="7"/>
      <c r="C7713" s="6" t="str">
        <f>HYPERLINK("http://www.ncbi.nlm.nih.gov/protein/291621688","Trappc8")</f>
        <v>Trappc8</v>
      </c>
      <c r="D7713" s="8"/>
      <c r="E7713" s="8">
        <v>160781</v>
      </c>
      <c r="F7713" s="8"/>
      <c r="G7713" s="15" t="s">
        <v>10</v>
      </c>
      <c r="H7713" s="15" t="s">
        <v>10</v>
      </c>
      <c r="I7713" s="15" t="s">
        <v>10</v>
      </c>
      <c r="J7713" s="15" t="s">
        <v>10</v>
      </c>
      <c r="K7713" s="15" t="s">
        <v>10</v>
      </c>
      <c r="L7713" s="15" t="s">
        <v>10</v>
      </c>
      <c r="M7713" s="15">
        <v>1.1600362213660891</v>
      </c>
      <c r="N7713" s="15">
        <v>1.1600362213660891</v>
      </c>
      <c r="O7713" s="15" t="s">
        <v>10</v>
      </c>
      <c r="P7713" s="15" t="s">
        <v>10</v>
      </c>
      <c r="Q7713" s="8"/>
      <c r="R7713" s="9" t="s">
        <v>7205</v>
      </c>
    </row>
    <row r="7714" spans="1:18" x14ac:dyDescent="0.25">
      <c r="A7714" s="6" t="str">
        <f>HYPERLINK("proteomic_fractions_linear_files/Yang_linear_img/257467575.jpg", "257467575")</f>
        <v>257467575</v>
      </c>
      <c r="B7714" s="7"/>
      <c r="C7714" s="6" t="str">
        <f>HYPERLINK("http://www.ncbi.nlm.nih.gov/protein/257467575","Trappc9")</f>
        <v>Trappc9</v>
      </c>
      <c r="D7714" s="8"/>
      <c r="E7714" s="8">
        <v>127178</v>
      </c>
      <c r="F7714" s="8"/>
      <c r="G7714" s="15" t="s">
        <v>10</v>
      </c>
      <c r="H7714" s="15" t="s">
        <v>10</v>
      </c>
      <c r="I7714" s="15">
        <v>1.2082903239074161</v>
      </c>
      <c r="J7714" s="15">
        <v>1.2082903239074161</v>
      </c>
      <c r="K7714" s="15">
        <v>1.2082903239074161</v>
      </c>
      <c r="L7714" s="15">
        <v>1.2082903239074161</v>
      </c>
      <c r="M7714" s="15">
        <v>1.2082903239074161</v>
      </c>
      <c r="N7714" s="15">
        <v>1.2082903239074161</v>
      </c>
      <c r="O7714" s="15">
        <v>1.2082903239074161</v>
      </c>
      <c r="P7714" s="15">
        <v>1.2082903239074161</v>
      </c>
      <c r="Q7714" s="8"/>
      <c r="R7714" s="9" t="s">
        <v>7206</v>
      </c>
    </row>
    <row r="7715" spans="1:18" x14ac:dyDescent="0.25">
      <c r="A7715" s="6" t="str">
        <f>HYPERLINK("proteomic_fractions_linear_files/Yang_linear_img/257467578.jpg", "257467578")</f>
        <v>257467578</v>
      </c>
      <c r="B7715" s="7"/>
      <c r="C7715" s="6" t="str">
        <f>HYPERLINK("http://www.ncbi.nlm.nih.gov/protein/257467578","Trappc9")</f>
        <v>Trappc9</v>
      </c>
      <c r="D7715" s="8"/>
      <c r="E7715" s="8">
        <v>104944</v>
      </c>
      <c r="F7715" s="8"/>
      <c r="G7715" s="15" t="s">
        <v>10</v>
      </c>
      <c r="H7715" s="15" t="s">
        <v>10</v>
      </c>
      <c r="I7715" s="15">
        <v>1.4614559155832556</v>
      </c>
      <c r="J7715" s="15">
        <v>1.4614559155832556</v>
      </c>
      <c r="K7715" s="15">
        <v>1.4614559155832556</v>
      </c>
      <c r="L7715" s="15">
        <v>1.4614559155832556</v>
      </c>
      <c r="M7715" s="15">
        <v>1.4614559155832556</v>
      </c>
      <c r="N7715" s="15">
        <v>1.4614559155832556</v>
      </c>
      <c r="O7715" s="15">
        <v>1.4614559155832556</v>
      </c>
      <c r="P7715" s="15">
        <v>1.4614559155832556</v>
      </c>
      <c r="Q7715" s="8"/>
      <c r="R7715" s="9" t="s">
        <v>7207</v>
      </c>
    </row>
    <row r="7716" spans="1:18" x14ac:dyDescent="0.25">
      <c r="A7716" s="6" t="str">
        <f>HYPERLINK("proteomic_fractions_linear_files/Yang_linear_img/257467580.jpg", "257467580")</f>
        <v>257467580</v>
      </c>
      <c r="B7716" s="7"/>
      <c r="C7716" s="6" t="str">
        <f>HYPERLINK("http://www.ncbi.nlm.nih.gov/protein/257467580","Trappc9")</f>
        <v>Trappc9</v>
      </c>
      <c r="D7716" s="8"/>
      <c r="E7716" s="8">
        <v>95278</v>
      </c>
      <c r="F7716" s="8"/>
      <c r="G7716" s="15" t="s">
        <v>10</v>
      </c>
      <c r="H7716" s="15" t="s">
        <v>10</v>
      </c>
      <c r="I7716" s="15">
        <v>1.6152933803814931</v>
      </c>
      <c r="J7716" s="15">
        <v>1.6152933803814931</v>
      </c>
      <c r="K7716" s="15">
        <v>1.6152933803814931</v>
      </c>
      <c r="L7716" s="15">
        <v>1.6152933803814931</v>
      </c>
      <c r="M7716" s="15">
        <v>1.6152933803814931</v>
      </c>
      <c r="N7716" s="15">
        <v>1.6152933803814931</v>
      </c>
      <c r="O7716" s="15">
        <v>1.6152933803814931</v>
      </c>
      <c r="P7716" s="15">
        <v>1.6152933803814931</v>
      </c>
      <c r="Q7716" s="8"/>
      <c r="R7716" s="9" t="s">
        <v>7208</v>
      </c>
    </row>
    <row r="7717" spans="1:18" x14ac:dyDescent="0.25">
      <c r="A7717" s="6" t="str">
        <f>HYPERLINK("proteomic_fractions_linear_files/Yang_linear_img/257467582.jpg", "257467582")</f>
        <v>257467582</v>
      </c>
      <c r="B7717" s="7"/>
      <c r="C7717" s="6" t="str">
        <f>HYPERLINK("http://www.ncbi.nlm.nih.gov/protein/257467582","Trappc9")</f>
        <v>Trappc9</v>
      </c>
      <c r="D7717" s="8"/>
      <c r="E7717" s="8">
        <v>56109</v>
      </c>
      <c r="F7717" s="8"/>
      <c r="G7717" s="15" t="s">
        <v>10</v>
      </c>
      <c r="H7717" s="15" t="s">
        <v>10</v>
      </c>
      <c r="I7717" s="15">
        <v>2.7402298417186044</v>
      </c>
      <c r="J7717" s="15">
        <v>2.7402298417186044</v>
      </c>
      <c r="K7717" s="15">
        <v>2.7402298417186044</v>
      </c>
      <c r="L7717" s="15">
        <v>2.7402298417186044</v>
      </c>
      <c r="M7717" s="15">
        <v>2.7402298417186044</v>
      </c>
      <c r="N7717" s="15">
        <v>2.7402298417186044</v>
      </c>
      <c r="O7717" s="15">
        <v>2.7402298417186044</v>
      </c>
      <c r="P7717" s="15">
        <v>2.7402298417186044</v>
      </c>
      <c r="Q7717" s="8"/>
      <c r="R7717" s="9" t="s">
        <v>7209</v>
      </c>
    </row>
    <row r="7718" spans="1:18" x14ac:dyDescent="0.25">
      <c r="A7718" s="6" t="str">
        <f>HYPERLINK("proteomic_fractions_linear_files/Yang_linear_img/30840992.jpg", "30840992")</f>
        <v>30840992</v>
      </c>
      <c r="B7718" s="7"/>
      <c r="C7718" s="6" t="str">
        <f>HYPERLINK("http://www.ncbi.nlm.nih.gov/protein/30840992","Trappc9")</f>
        <v>Trappc9</v>
      </c>
      <c r="D7718" s="8"/>
      <c r="E7718" s="8">
        <v>106158</v>
      </c>
      <c r="F7718" s="8"/>
      <c r="G7718" s="15" t="s">
        <v>10</v>
      </c>
      <c r="H7718" s="15" t="s">
        <v>10</v>
      </c>
      <c r="I7718" s="15">
        <v>1.4476685956249231</v>
      </c>
      <c r="J7718" s="15">
        <v>1.4476685956249231</v>
      </c>
      <c r="K7718" s="15">
        <v>1.4476685956249231</v>
      </c>
      <c r="L7718" s="15">
        <v>1.4476685956249231</v>
      </c>
      <c r="M7718" s="15">
        <v>1.4476685956249231</v>
      </c>
      <c r="N7718" s="15">
        <v>1.4476685956249231</v>
      </c>
      <c r="O7718" s="15">
        <v>1.4476685956249231</v>
      </c>
      <c r="P7718" s="15">
        <v>1.4476685956249231</v>
      </c>
      <c r="Q7718" s="8"/>
      <c r="R7718" s="9" t="s">
        <v>7210</v>
      </c>
    </row>
    <row r="7719" spans="1:18" x14ac:dyDescent="0.25">
      <c r="A7719" s="6" t="str">
        <f>HYPERLINK("proteomic_fractions_linear_files/Yang_linear_img/21312202.jpg", "21312202")</f>
        <v>21312202</v>
      </c>
      <c r="B7719" s="7"/>
      <c r="C7719" s="6" t="str">
        <f>HYPERLINK("http://www.ncbi.nlm.nih.gov/protein/21312202","Triap1")</f>
        <v>Triap1</v>
      </c>
      <c r="D7719" s="8"/>
      <c r="E7719" s="8">
        <v>8625</v>
      </c>
      <c r="F7719" s="8"/>
      <c r="G7719" s="15" t="s">
        <v>10</v>
      </c>
      <c r="H7719" s="15" t="s">
        <v>10</v>
      </c>
      <c r="I7719" s="15">
        <v>1.4163577046597362</v>
      </c>
      <c r="J7719" s="15">
        <v>1.4163577046597362</v>
      </c>
      <c r="K7719" s="15" t="s">
        <v>10</v>
      </c>
      <c r="L7719" s="15" t="s">
        <v>10</v>
      </c>
      <c r="M7719" s="15" t="s">
        <v>10</v>
      </c>
      <c r="N7719" s="15" t="s">
        <v>10</v>
      </c>
      <c r="O7719" s="15">
        <v>1.4163577046597362</v>
      </c>
      <c r="P7719" s="15">
        <v>1.4163577046597362</v>
      </c>
      <c r="Q7719" s="8"/>
      <c r="R7719" s="9" t="s">
        <v>7211</v>
      </c>
    </row>
    <row r="7720" spans="1:18" x14ac:dyDescent="0.25">
      <c r="A7720" s="6" t="str">
        <f>HYPERLINK("proteomic_fractions_linear_files/Yang_linear_img/70778828.jpg", "70778828")</f>
        <v>70778828</v>
      </c>
      <c r="B7720" s="7"/>
      <c r="C7720" s="6" t="str">
        <f>HYPERLINK("http://www.ncbi.nlm.nih.gov/protein/70778828","Trim16")</f>
        <v>Trim16</v>
      </c>
      <c r="D7720" s="8"/>
      <c r="E7720" s="8">
        <v>62770</v>
      </c>
      <c r="F7720" s="8"/>
      <c r="G7720" s="15" t="s">
        <v>10</v>
      </c>
      <c r="H7720" s="15" t="s">
        <v>10</v>
      </c>
      <c r="I7720" s="15" t="s">
        <v>10</v>
      </c>
      <c r="J7720" s="15" t="s">
        <v>10</v>
      </c>
      <c r="K7720" s="15" t="s">
        <v>10</v>
      </c>
      <c r="L7720" s="15" t="s">
        <v>10</v>
      </c>
      <c r="M7720" s="15" t="s">
        <v>10</v>
      </c>
      <c r="N7720" s="15" t="s">
        <v>10</v>
      </c>
      <c r="O7720" s="15">
        <v>1.1656533371695594</v>
      </c>
      <c r="P7720" s="15">
        <v>1.1656533371695594</v>
      </c>
      <c r="Q7720" s="8"/>
      <c r="R7720" s="9" t="s">
        <v>7212</v>
      </c>
    </row>
    <row r="7721" spans="1:18" x14ac:dyDescent="0.25">
      <c r="A7721" s="6" t="str">
        <f>HYPERLINK("proteomic_fractions_linear_files/Yang_linear_img/29789263.jpg", "29789263")</f>
        <v>29789263</v>
      </c>
      <c r="B7721" s="7"/>
      <c r="C7721" s="6" t="str">
        <f>HYPERLINK("http://www.ncbi.nlm.nih.gov/protein/29789263","Trim23")</f>
        <v>Trim23</v>
      </c>
      <c r="D7721" s="8"/>
      <c r="E7721" s="8">
        <v>62164</v>
      </c>
      <c r="F7721" s="8"/>
      <c r="G7721" s="15">
        <v>0.3960454937625309</v>
      </c>
      <c r="H7721" s="15">
        <v>0.3960454937625309</v>
      </c>
      <c r="I7721" s="15">
        <v>0.25689422230938347</v>
      </c>
      <c r="J7721" s="15">
        <v>0.25689422230938347</v>
      </c>
      <c r="K7721" s="15">
        <v>0.26962055678398422</v>
      </c>
      <c r="L7721" s="15">
        <v>0.26962055678398422</v>
      </c>
      <c r="M7721" s="15">
        <v>0.26962055678398422</v>
      </c>
      <c r="N7721" s="15">
        <v>0.26962055678398422</v>
      </c>
      <c r="O7721" s="15">
        <v>0.28338612524772527</v>
      </c>
      <c r="P7721" s="15">
        <v>0.28338612524772527</v>
      </c>
      <c r="Q7721" s="8"/>
      <c r="R7721" s="9" t="s">
        <v>7213</v>
      </c>
    </row>
    <row r="7722" spans="1:18" x14ac:dyDescent="0.25">
      <c r="A7722" s="6" t="str">
        <f>HYPERLINK("proteomic_fractions_linear_files/Yang_linear_img/440918679.jpg", "440918679")</f>
        <v>440918679</v>
      </c>
      <c r="B7722" s="7"/>
      <c r="C7722" s="6" t="str">
        <f>HYPERLINK("http://www.ncbi.nlm.nih.gov/protein/440918679","Trim24")</f>
        <v>Trim24</v>
      </c>
      <c r="D7722" s="8"/>
      <c r="E7722" s="8">
        <v>112713</v>
      </c>
      <c r="F7722" s="8"/>
      <c r="G7722" s="15" t="s">
        <v>10</v>
      </c>
      <c r="H7722" s="15" t="s">
        <v>10</v>
      </c>
      <c r="I7722" s="15" t="s">
        <v>10</v>
      </c>
      <c r="J7722" s="15" t="s">
        <v>10</v>
      </c>
      <c r="K7722" s="15">
        <v>0.39049194023863248</v>
      </c>
      <c r="L7722" s="15">
        <v>0.39049194023863248</v>
      </c>
      <c r="M7722" s="15" t="s">
        <v>10</v>
      </c>
      <c r="N7722" s="15" t="s">
        <v>10</v>
      </c>
      <c r="O7722" s="15">
        <v>1.6527949702649589</v>
      </c>
      <c r="P7722" s="15">
        <v>1.6527949702649589</v>
      </c>
      <c r="Q7722" s="8"/>
      <c r="R7722" s="9" t="s">
        <v>7214</v>
      </c>
    </row>
    <row r="7723" spans="1:18" x14ac:dyDescent="0.25">
      <c r="A7723" s="6" t="str">
        <f>HYPERLINK("proteomic_fractions_linear_files/Yang_linear_img/440918697.jpg", "440918697")</f>
        <v>440918697</v>
      </c>
      <c r="B7723" s="7"/>
      <c r="C7723" s="6" t="str">
        <f>HYPERLINK("http://www.ncbi.nlm.nih.gov/protein/440918697","Trim24")</f>
        <v>Trim24</v>
      </c>
      <c r="D7723" s="8"/>
      <c r="E7723" s="8">
        <v>110035</v>
      </c>
      <c r="F7723" s="8"/>
      <c r="G7723" s="15" t="s">
        <v>10</v>
      </c>
      <c r="H7723" s="15" t="s">
        <v>10</v>
      </c>
      <c r="I7723" s="15" t="s">
        <v>10</v>
      </c>
      <c r="J7723" s="15" t="s">
        <v>10</v>
      </c>
      <c r="K7723" s="15">
        <v>0.40114172042695878</v>
      </c>
      <c r="L7723" s="15">
        <v>0.40114172042695878</v>
      </c>
      <c r="M7723" s="15" t="s">
        <v>10</v>
      </c>
      <c r="N7723" s="15" t="s">
        <v>10</v>
      </c>
      <c r="O7723" s="15">
        <v>1.6978711967267306</v>
      </c>
      <c r="P7723" s="15">
        <v>1.6978711967267306</v>
      </c>
      <c r="Q7723" s="8"/>
      <c r="R7723" s="9" t="s">
        <v>7215</v>
      </c>
    </row>
    <row r="7724" spans="1:18" x14ac:dyDescent="0.25">
      <c r="A7724" s="6" t="str">
        <f>HYPERLINK("proteomic_fractions_linear_files/Yang_linear_img/94420998.jpg", "94420998")</f>
        <v>94420998</v>
      </c>
      <c r="B7724" s="7"/>
      <c r="C7724" s="6" t="str">
        <f>HYPERLINK("http://www.ncbi.nlm.nih.gov/protein/94420998","Trim24")</f>
        <v>Trim24</v>
      </c>
      <c r="D7724" s="8"/>
      <c r="E7724" s="8">
        <v>116527</v>
      </c>
      <c r="F7724" s="8"/>
      <c r="G7724" s="15" t="s">
        <v>10</v>
      </c>
      <c r="H7724" s="15" t="s">
        <v>10</v>
      </c>
      <c r="I7724" s="15" t="s">
        <v>10</v>
      </c>
      <c r="J7724" s="15" t="s">
        <v>10</v>
      </c>
      <c r="K7724" s="15">
        <v>0.37714178843560231</v>
      </c>
      <c r="L7724" s="15">
        <v>0.37714178843560231</v>
      </c>
      <c r="M7724" s="15" t="s">
        <v>10</v>
      </c>
      <c r="N7724" s="15" t="s">
        <v>10</v>
      </c>
      <c r="O7724" s="15">
        <v>1.5962891593157296</v>
      </c>
      <c r="P7724" s="15">
        <v>1.5962891593157296</v>
      </c>
      <c r="Q7724" s="8"/>
      <c r="R7724" s="9" t="s">
        <v>7216</v>
      </c>
    </row>
    <row r="7725" spans="1:18" x14ac:dyDescent="0.25">
      <c r="A7725" s="6" t="str">
        <f>HYPERLINK("proteomic_fractions_linear_files/Yang_linear_img/145207948.jpg", "145207948")</f>
        <v>145207948</v>
      </c>
      <c r="B7725" s="7"/>
      <c r="C7725" s="6" t="str">
        <f>HYPERLINK("http://www.ncbi.nlm.nih.gov/protein/145207948","Trim25")</f>
        <v>Trim25</v>
      </c>
      <c r="D7725" s="8"/>
      <c r="E7725" s="8">
        <v>71596</v>
      </c>
      <c r="F7725" s="8"/>
      <c r="G7725" s="15" t="s">
        <v>10</v>
      </c>
      <c r="H7725" s="15" t="s">
        <v>10</v>
      </c>
      <c r="I7725" s="15">
        <v>1.0199466700233646</v>
      </c>
      <c r="J7725" s="15">
        <v>1.0199466700233646</v>
      </c>
      <c r="K7725" s="15">
        <v>1.1541480343492203</v>
      </c>
      <c r="L7725" s="15">
        <v>1.1541480343492203</v>
      </c>
      <c r="M7725" s="15">
        <v>1.0199466700233646</v>
      </c>
      <c r="N7725" s="15">
        <v>1.0199466700233646</v>
      </c>
      <c r="O7725" s="15" t="s">
        <v>10</v>
      </c>
      <c r="P7725" s="15" t="s">
        <v>10</v>
      </c>
      <c r="Q7725" s="8"/>
      <c r="R7725" s="9" t="s">
        <v>7217</v>
      </c>
    </row>
    <row r="7726" spans="1:18" x14ac:dyDescent="0.25">
      <c r="A7726" s="6" t="str">
        <f>HYPERLINK("proteomic_fractions_linear_files/Yang_linear_img/125347389.jpg", "125347389")</f>
        <v>125347389</v>
      </c>
      <c r="B7726" s="7"/>
      <c r="C7726" s="6" t="str">
        <f>HYPERLINK("http://www.ncbi.nlm.nih.gov/protein/125347389","Trim27")</f>
        <v>Trim27</v>
      </c>
      <c r="D7726" s="8"/>
      <c r="E7726" s="8">
        <v>58382</v>
      </c>
      <c r="F7726" s="8"/>
      <c r="G7726" s="15" t="s">
        <v>10</v>
      </c>
      <c r="H7726" s="15" t="s">
        <v>10</v>
      </c>
      <c r="I7726" s="15" t="s">
        <v>10</v>
      </c>
      <c r="J7726" s="15" t="s">
        <v>10</v>
      </c>
      <c r="K7726" s="15" t="s">
        <v>10</v>
      </c>
      <c r="L7726" s="15" t="s">
        <v>10</v>
      </c>
      <c r="M7726" s="15">
        <v>1.0133311652688595</v>
      </c>
      <c r="N7726" s="15">
        <v>1.0133311652688595</v>
      </c>
      <c r="O7726" s="15">
        <v>0.30292999595446496</v>
      </c>
      <c r="P7726" s="15">
        <v>0.30292999595446496</v>
      </c>
      <c r="Q7726" s="8"/>
      <c r="R7726" s="9" t="s">
        <v>7218</v>
      </c>
    </row>
    <row r="7727" spans="1:18" x14ac:dyDescent="0.25">
      <c r="A7727" s="6" t="str">
        <f>HYPERLINK("proteomic_fractions_linear_files/Yang_linear_img/170295840.jpg", "170295840")</f>
        <v>170295840</v>
      </c>
      <c r="B7727" s="7"/>
      <c r="C7727" s="6" t="str">
        <f>HYPERLINK("http://www.ncbi.nlm.nih.gov/protein/170295840","Trim28")</f>
        <v>Trim28</v>
      </c>
      <c r="D7727" s="8"/>
      <c r="E7727" s="8">
        <v>88716</v>
      </c>
      <c r="F7727" s="8"/>
      <c r="G7727" s="15">
        <v>1.2337254361924883</v>
      </c>
      <c r="H7727" s="15">
        <v>1.2337254361924883</v>
      </c>
      <c r="I7727" s="15">
        <v>1.2337254361924883</v>
      </c>
      <c r="J7727" s="15">
        <v>1.2337254361924883</v>
      </c>
      <c r="K7727" s="15">
        <v>1.4463104285968198</v>
      </c>
      <c r="L7727" s="15">
        <v>1.4463104285968198</v>
      </c>
      <c r="M7727" s="15">
        <v>1.4463104285968198</v>
      </c>
      <c r="N7727" s="15">
        <v>1.4463104285968198</v>
      </c>
      <c r="O7727" s="15">
        <v>1.4463104285968198</v>
      </c>
      <c r="P7727" s="15">
        <v>1.4463104285968198</v>
      </c>
      <c r="Q7727" s="8"/>
      <c r="R7727" s="9" t="s">
        <v>7219</v>
      </c>
    </row>
    <row r="7728" spans="1:18" x14ac:dyDescent="0.25">
      <c r="A7728" s="6" t="str">
        <f>HYPERLINK("proteomic_fractions_linear_files/Yang_linear_img/33468961.jpg", "33468961")</f>
        <v>33468961</v>
      </c>
      <c r="B7728" s="7"/>
      <c r="C7728" s="6" t="str">
        <f>HYPERLINK("http://www.ncbi.nlm.nih.gov/protein/33468961","Trim3")</f>
        <v>Trim3</v>
      </c>
      <c r="D7728" s="8"/>
      <c r="E7728" s="8">
        <v>80644</v>
      </c>
      <c r="F7728" s="8"/>
      <c r="G7728" s="15" t="s">
        <v>10</v>
      </c>
      <c r="H7728" s="15" t="s">
        <v>10</v>
      </c>
      <c r="I7728" s="15" t="s">
        <v>10</v>
      </c>
      <c r="J7728" s="15" t="s">
        <v>10</v>
      </c>
      <c r="K7728" s="15">
        <v>1.1724442121306728</v>
      </c>
      <c r="L7728" s="15">
        <v>1.1724442121306728</v>
      </c>
      <c r="M7728" s="15" t="s">
        <v>10</v>
      </c>
      <c r="N7728" s="15" t="s">
        <v>10</v>
      </c>
      <c r="O7728" s="15" t="s">
        <v>10</v>
      </c>
      <c r="P7728" s="15" t="s">
        <v>10</v>
      </c>
      <c r="Q7728" s="8"/>
      <c r="R7728" s="9" t="s">
        <v>7220</v>
      </c>
    </row>
    <row r="7729" spans="1:18" x14ac:dyDescent="0.25">
      <c r="A7729" s="6" t="str">
        <f>HYPERLINK("proteomic_fractions_linear_files/Yang_linear_img/239937489.jpg", "239937489")</f>
        <v>239937489</v>
      </c>
      <c r="B7729" s="7"/>
      <c r="C7729" s="6" t="str">
        <f>HYPERLINK("http://www.ncbi.nlm.nih.gov/protein/239937489","Trim32")</f>
        <v>Trim32</v>
      </c>
      <c r="D7729" s="8"/>
      <c r="E7729" s="8">
        <v>71927</v>
      </c>
      <c r="F7729" s="8"/>
      <c r="G7729" s="15" t="s">
        <v>10</v>
      </c>
      <c r="H7729" s="15" t="s">
        <v>10</v>
      </c>
      <c r="I7729" s="15" t="s">
        <v>10</v>
      </c>
      <c r="J7729" s="15" t="s">
        <v>10</v>
      </c>
      <c r="K7729" s="15">
        <v>1.1541480343492203</v>
      </c>
      <c r="L7729" s="15">
        <v>1.1541480343492203</v>
      </c>
      <c r="M7729" s="15" t="s">
        <v>10</v>
      </c>
      <c r="N7729" s="15" t="s">
        <v>10</v>
      </c>
      <c r="O7729" s="15" t="s">
        <v>10</v>
      </c>
      <c r="P7729" s="15" t="s">
        <v>10</v>
      </c>
      <c r="Q7729" s="8"/>
      <c r="R7729" s="9" t="s">
        <v>7221</v>
      </c>
    </row>
    <row r="7730" spans="1:18" x14ac:dyDescent="0.25">
      <c r="A7730" s="6" t="str">
        <f>HYPERLINK("proteomic_fractions_linear_files/Yang_linear_img/119637828.jpg", "119637828")</f>
        <v>119637828</v>
      </c>
      <c r="B7730" s="7"/>
      <c r="C7730" s="6" t="str">
        <f>HYPERLINK("http://www.ncbi.nlm.nih.gov/protein/119637828","Trim33")</f>
        <v>Trim33</v>
      </c>
      <c r="D7730" s="8"/>
      <c r="E7730" s="8">
        <v>123544</v>
      </c>
      <c r="F7730" s="8"/>
      <c r="G7730" s="15" t="s">
        <v>10</v>
      </c>
      <c r="H7730" s="15" t="s">
        <v>10</v>
      </c>
      <c r="I7730" s="15" t="s">
        <v>10</v>
      </c>
      <c r="J7730" s="15" t="s">
        <v>10</v>
      </c>
      <c r="K7730" s="15">
        <v>0.14169306262386264</v>
      </c>
      <c r="L7730" s="15">
        <v>0.14169306262386264</v>
      </c>
      <c r="M7730" s="15">
        <v>0.1572673373228651</v>
      </c>
      <c r="N7730" s="15">
        <v>0.1572673373228651</v>
      </c>
      <c r="O7730" s="15">
        <v>1.5061760616124222</v>
      </c>
      <c r="P7730" s="15">
        <v>1.5061760616124222</v>
      </c>
      <c r="Q7730" s="8"/>
      <c r="R7730" s="9" t="s">
        <v>7222</v>
      </c>
    </row>
    <row r="7731" spans="1:18" x14ac:dyDescent="0.25">
      <c r="A7731" s="6" t="str">
        <f>HYPERLINK("proteomic_fractions_linear_files/Yang_linear_img/119637830.jpg", "119637830")</f>
        <v>119637830</v>
      </c>
      <c r="B7731" s="7"/>
      <c r="C7731" s="6" t="str">
        <f>HYPERLINK("http://www.ncbi.nlm.nih.gov/protein/119637830","Trim33")</f>
        <v>Trim33</v>
      </c>
      <c r="D7731" s="8"/>
      <c r="E7731" s="8">
        <v>121552</v>
      </c>
      <c r="F7731" s="8"/>
      <c r="G7731" s="15" t="s">
        <v>10</v>
      </c>
      <c r="H7731" s="15" t="s">
        <v>10</v>
      </c>
      <c r="I7731" s="15" t="s">
        <v>10</v>
      </c>
      <c r="J7731" s="15" t="s">
        <v>10</v>
      </c>
      <c r="K7731" s="15">
        <v>0.14401589971605711</v>
      </c>
      <c r="L7731" s="15">
        <v>0.14401589971605711</v>
      </c>
      <c r="M7731" s="15">
        <v>0.15984549039373175</v>
      </c>
      <c r="N7731" s="15">
        <v>0.15984549039373175</v>
      </c>
      <c r="O7731" s="15">
        <v>1.5308674724585276</v>
      </c>
      <c r="P7731" s="15">
        <v>1.5308674724585276</v>
      </c>
      <c r="Q7731" s="8"/>
      <c r="R7731" s="9" t="s">
        <v>7223</v>
      </c>
    </row>
    <row r="7732" spans="1:18" x14ac:dyDescent="0.25">
      <c r="A7732" s="6" t="str">
        <f>HYPERLINK("proteomic_fractions_linear_files/Yang_linear_img/326537318.jpg", "326537318")</f>
        <v>326537318</v>
      </c>
      <c r="B7732" s="7"/>
      <c r="C7732" s="6" t="str">
        <f>HYPERLINK("http://www.ncbi.nlm.nih.gov/protein/326537318","Trim47")</f>
        <v>Trim47</v>
      </c>
      <c r="D7732" s="8"/>
      <c r="E7732" s="8">
        <v>69853</v>
      </c>
      <c r="F7732" s="8"/>
      <c r="G7732" s="15" t="s">
        <v>10</v>
      </c>
      <c r="H7732" s="15" t="s">
        <v>10</v>
      </c>
      <c r="I7732" s="15" t="s">
        <v>10</v>
      </c>
      <c r="J7732" s="15" t="s">
        <v>10</v>
      </c>
      <c r="K7732" s="15">
        <v>1.3566854454654931</v>
      </c>
      <c r="L7732" s="15">
        <v>1.3566854454654931</v>
      </c>
      <c r="M7732" s="15" t="s">
        <v>10</v>
      </c>
      <c r="N7732" s="15" t="s">
        <v>10</v>
      </c>
      <c r="O7732" s="15">
        <v>1.1871236924734836</v>
      </c>
      <c r="P7732" s="15">
        <v>1.1871236924734836</v>
      </c>
      <c r="Q7732" s="8"/>
      <c r="R7732" s="9" t="s">
        <v>7224</v>
      </c>
    </row>
    <row r="7733" spans="1:18" x14ac:dyDescent="0.25">
      <c r="A7733" s="6" t="str">
        <f>HYPERLINK("proteomic_fractions_linear_files/Yang_linear_img/326537320.jpg", "326537320")</f>
        <v>326537320</v>
      </c>
      <c r="B7733" s="7"/>
      <c r="C7733" s="6" t="str">
        <f>HYPERLINK("http://www.ncbi.nlm.nih.gov/protein/326537320","Trim47")</f>
        <v>Trim47</v>
      </c>
      <c r="D7733" s="8"/>
      <c r="E7733" s="8">
        <v>69782</v>
      </c>
      <c r="F7733" s="8"/>
      <c r="G7733" s="15" t="s">
        <v>10</v>
      </c>
      <c r="H7733" s="15" t="s">
        <v>10</v>
      </c>
      <c r="I7733" s="15">
        <v>1.1871236924734836</v>
      </c>
      <c r="J7733" s="15">
        <v>1.1871236924734836</v>
      </c>
      <c r="K7733" s="15">
        <v>1.3566854454654931</v>
      </c>
      <c r="L7733" s="15">
        <v>1.3566854454654931</v>
      </c>
      <c r="M7733" s="15" t="s">
        <v>10</v>
      </c>
      <c r="N7733" s="15" t="s">
        <v>10</v>
      </c>
      <c r="O7733" s="15">
        <v>1.1871236924734836</v>
      </c>
      <c r="P7733" s="15">
        <v>1.1871236924734836</v>
      </c>
      <c r="Q7733" s="8"/>
      <c r="R7733" s="9" t="s">
        <v>7225</v>
      </c>
    </row>
    <row r="7734" spans="1:18" x14ac:dyDescent="0.25">
      <c r="A7734" s="6" t="str">
        <f>HYPERLINK("proteomic_fractions_linear_files/Yang_linear_img/41235779.jpg", "41235779")</f>
        <v>41235779</v>
      </c>
      <c r="B7734" s="7"/>
      <c r="C7734" s="6" t="str">
        <f>HYPERLINK("http://www.ncbi.nlm.nih.gov/protein/41235779","Trim56")</f>
        <v>Trim56</v>
      </c>
      <c r="D7734" s="8"/>
      <c r="E7734" s="8">
        <v>79398</v>
      </c>
      <c r="F7734" s="8"/>
      <c r="G7734" s="15" t="s">
        <v>10</v>
      </c>
      <c r="H7734" s="15" t="s">
        <v>10</v>
      </c>
      <c r="I7734" s="15" t="s">
        <v>10</v>
      </c>
      <c r="J7734" s="15" t="s">
        <v>10</v>
      </c>
      <c r="K7734" s="15">
        <v>1.0518817528246058</v>
      </c>
      <c r="L7734" s="15">
        <v>1.0518817528246058</v>
      </c>
      <c r="M7734" s="15">
        <v>1.0518817528246058</v>
      </c>
      <c r="N7734" s="15">
        <v>1.0518817528246058</v>
      </c>
      <c r="O7734" s="15" t="s">
        <v>10</v>
      </c>
      <c r="P7734" s="15" t="s">
        <v>10</v>
      </c>
      <c r="Q7734" s="8"/>
      <c r="R7734" s="9" t="s">
        <v>7226</v>
      </c>
    </row>
    <row r="7735" spans="1:18" x14ac:dyDescent="0.25">
      <c r="A7735" s="6" t="str">
        <f>HYPERLINK("proteomic_fractions_linear_files/Yang_linear_img/170295836.jpg", "170295836")</f>
        <v>170295836</v>
      </c>
      <c r="B7735" s="7"/>
      <c r="C7735" s="6" t="str">
        <f>HYPERLINK("http://www.ncbi.nlm.nih.gov/protein/170295836","Trim59")</f>
        <v>Trim59</v>
      </c>
      <c r="D7735" s="8"/>
      <c r="E7735" s="8">
        <v>47107</v>
      </c>
      <c r="F7735" s="8"/>
      <c r="G7735" s="15" t="s">
        <v>10</v>
      </c>
      <c r="H7735" s="15" t="s">
        <v>10</v>
      </c>
      <c r="I7735" s="15" t="s">
        <v>10</v>
      </c>
      <c r="J7735" s="15" t="s">
        <v>10</v>
      </c>
      <c r="K7735" s="15">
        <v>0.93884232440352056</v>
      </c>
      <c r="L7735" s="15">
        <v>0.93884232440352056</v>
      </c>
      <c r="M7735" s="15" t="s">
        <v>10</v>
      </c>
      <c r="N7735" s="15" t="s">
        <v>10</v>
      </c>
      <c r="O7735" s="15" t="s">
        <v>10</v>
      </c>
      <c r="P7735" s="15" t="s">
        <v>10</v>
      </c>
      <c r="Q7735" s="8"/>
      <c r="R7735" s="9" t="s">
        <v>7227</v>
      </c>
    </row>
    <row r="7736" spans="1:18" x14ac:dyDescent="0.25">
      <c r="A7736" s="6" t="str">
        <f>HYPERLINK("proteomic_fractions_linear_files/Yang_linear_img/164518923.jpg", "164518923")</f>
        <v>164518923</v>
      </c>
      <c r="B7736" s="7"/>
      <c r="C7736" s="6" t="str">
        <f>HYPERLINK("http://www.ncbi.nlm.nih.gov/protein/164518923","Trim65")</f>
        <v>Trim65</v>
      </c>
      <c r="D7736" s="8"/>
      <c r="E7736" s="8">
        <v>58327</v>
      </c>
      <c r="F7736" s="8"/>
      <c r="G7736" s="15" t="s">
        <v>10</v>
      </c>
      <c r="H7736" s="15" t="s">
        <v>10</v>
      </c>
      <c r="I7736" s="15" t="s">
        <v>10</v>
      </c>
      <c r="J7736" s="15" t="s">
        <v>10</v>
      </c>
      <c r="K7736" s="15">
        <v>1.1285045401817988</v>
      </c>
      <c r="L7736" s="15">
        <v>1.1285045401817988</v>
      </c>
      <c r="M7736" s="15" t="s">
        <v>10</v>
      </c>
      <c r="N7736" s="15" t="s">
        <v>10</v>
      </c>
      <c r="O7736" s="15">
        <v>1.0133311652688595</v>
      </c>
      <c r="P7736" s="15">
        <v>1.0133311652688595</v>
      </c>
      <c r="Q7736" s="8"/>
      <c r="R7736" s="9" t="s">
        <v>7228</v>
      </c>
    </row>
    <row r="7737" spans="1:18" x14ac:dyDescent="0.25">
      <c r="A7737" s="6" t="str">
        <f>HYPERLINK("proteomic_fractions_linear_files/Yang_linear_img/85701941.jpg", "85701941")</f>
        <v>85701941</v>
      </c>
      <c r="B7737" s="7"/>
      <c r="C7737" s="6" t="str">
        <f>HYPERLINK("http://www.ncbi.nlm.nih.gov/protein/85701941","Trim75")</f>
        <v>Trim75</v>
      </c>
      <c r="D7737" s="8"/>
      <c r="E7737" s="8">
        <v>53254</v>
      </c>
      <c r="F7737" s="8"/>
      <c r="G7737" s="15" t="s">
        <v>10</v>
      </c>
      <c r="H7737" s="15" t="s">
        <v>10</v>
      </c>
      <c r="I7737" s="15" t="s">
        <v>10</v>
      </c>
      <c r="J7737" s="15" t="s">
        <v>10</v>
      </c>
      <c r="K7737" s="15">
        <v>0.43602968631542349</v>
      </c>
      <c r="L7737" s="15">
        <v>0.43602968631542349</v>
      </c>
      <c r="M7737" s="15" t="s">
        <v>10</v>
      </c>
      <c r="N7737" s="15" t="s">
        <v>10</v>
      </c>
      <c r="O7737" s="15" t="s">
        <v>10</v>
      </c>
      <c r="P7737" s="15" t="s">
        <v>10</v>
      </c>
      <c r="Q7737" s="8"/>
      <c r="R7737" s="9" t="s">
        <v>7229</v>
      </c>
    </row>
    <row r="7738" spans="1:18" x14ac:dyDescent="0.25">
      <c r="A7738" s="6" t="str">
        <f>HYPERLINK("proteomic_fractions_linear_files/Yang_linear_img/154240708.jpg", "154240708")</f>
        <v>154240708</v>
      </c>
      <c r="B7738" s="7"/>
      <c r="C7738" s="6" t="str">
        <f>HYPERLINK("http://www.ncbi.nlm.nih.gov/protein/154240708","Trim8")</f>
        <v>Trim8</v>
      </c>
      <c r="D7738" s="8"/>
      <c r="E7738" s="8">
        <v>61471</v>
      </c>
      <c r="F7738" s="8"/>
      <c r="G7738" s="15" t="s">
        <v>10</v>
      </c>
      <c r="H7738" s="15" t="s">
        <v>10</v>
      </c>
      <c r="I7738" s="15" t="s">
        <v>10</v>
      </c>
      <c r="J7738" s="15" t="s">
        <v>10</v>
      </c>
      <c r="K7738" s="15" t="s">
        <v>10</v>
      </c>
      <c r="L7738" s="15" t="s">
        <v>10</v>
      </c>
      <c r="M7738" s="15" t="s">
        <v>10</v>
      </c>
      <c r="N7738" s="15" t="s">
        <v>10</v>
      </c>
      <c r="O7738" s="15">
        <v>0.61215289218237035</v>
      </c>
      <c r="P7738" s="15">
        <v>0.61215289218237035</v>
      </c>
      <c r="Q7738" s="8"/>
      <c r="R7738" s="9" t="s">
        <v>7230</v>
      </c>
    </row>
    <row r="7739" spans="1:18" x14ac:dyDescent="0.25">
      <c r="A7739" s="6" t="str">
        <f>HYPERLINK("proteomic_fractions_linear_files/Yang_linear_img/145587082.jpg", "145587082")</f>
        <v>145587082</v>
      </c>
      <c r="B7739" s="7"/>
      <c r="C7739" s="6" t="str">
        <f>HYPERLINK("http://www.ncbi.nlm.nih.gov/protein/145587082","Trio")</f>
        <v>Trio</v>
      </c>
      <c r="D7739" s="8"/>
      <c r="E7739" s="8">
        <v>347819</v>
      </c>
      <c r="F7739" s="8"/>
      <c r="G7739" s="15" t="s">
        <v>10</v>
      </c>
      <c r="H7739" s="15" t="s">
        <v>10</v>
      </c>
      <c r="I7739" s="15" t="s">
        <v>10</v>
      </c>
      <c r="J7739" s="15" t="s">
        <v>10</v>
      </c>
      <c r="K7739" s="15">
        <v>1.1754125222397696</v>
      </c>
      <c r="L7739" s="15">
        <v>1.1754125222397696</v>
      </c>
      <c r="M7739" s="15">
        <v>1.1754125222397696</v>
      </c>
      <c r="N7739" s="15">
        <v>1.1754125222397696</v>
      </c>
      <c r="O7739" s="15">
        <v>0.86719346159913446</v>
      </c>
      <c r="P7739" s="15">
        <v>0.86719346159913446</v>
      </c>
      <c r="Q7739" s="8"/>
      <c r="R7739" s="9" t="s">
        <v>7231</v>
      </c>
    </row>
    <row r="7740" spans="1:18" x14ac:dyDescent="0.25">
      <c r="A7740" s="6" t="str">
        <f>HYPERLINK("proteomic_fractions_linear_files/Yang_linear_img/88501743.jpg", "88501743")</f>
        <v>88501743</v>
      </c>
      <c r="B7740" s="7"/>
      <c r="C7740" s="6" t="str">
        <f>HYPERLINK("http://www.ncbi.nlm.nih.gov/protein/88501743","Triobp")</f>
        <v>Triobp</v>
      </c>
      <c r="D7740" s="8"/>
      <c r="E7740" s="8">
        <v>218092</v>
      </c>
      <c r="F7740" s="8"/>
      <c r="G7740" s="15">
        <v>0.30024432720433181</v>
      </c>
      <c r="H7740" s="15">
        <v>0.30024432720433181</v>
      </c>
      <c r="I7740" s="15">
        <v>0.33686312037468918</v>
      </c>
      <c r="J7740" s="15">
        <v>0.33686312037468918</v>
      </c>
      <c r="K7740" s="15">
        <v>0.33686312037468918</v>
      </c>
      <c r="L7740" s="15">
        <v>0.33686312037468918</v>
      </c>
      <c r="M7740" s="15" t="s">
        <v>10</v>
      </c>
      <c r="N7740" s="15" t="s">
        <v>10</v>
      </c>
      <c r="O7740" s="15">
        <v>6.9707973824836178E-2</v>
      </c>
      <c r="P7740" s="15">
        <v>6.9707973824836178E-2</v>
      </c>
      <c r="Q7740" s="8"/>
      <c r="R7740" s="9" t="s">
        <v>7232</v>
      </c>
    </row>
    <row r="7741" spans="1:18" x14ac:dyDescent="0.25">
      <c r="A7741" s="6" t="str">
        <f>HYPERLINK("proteomic_fractions_linear_files/Yang_linear_img/88501745.jpg", "88501745")</f>
        <v>88501745</v>
      </c>
      <c r="B7741" s="7"/>
      <c r="C7741" s="6" t="str">
        <f>HYPERLINK("http://www.ncbi.nlm.nih.gov/protein/88501745","Triobp")</f>
        <v>Triobp</v>
      </c>
      <c r="D7741" s="8"/>
      <c r="E7741" s="8">
        <v>71554</v>
      </c>
      <c r="F7741" s="8"/>
      <c r="G7741" s="15">
        <v>0.90907310181311574</v>
      </c>
      <c r="H7741" s="15">
        <v>0.90907310181311574</v>
      </c>
      <c r="I7741" s="15">
        <v>1.0199466700233646</v>
      </c>
      <c r="J7741" s="15">
        <v>1.0199466700233646</v>
      </c>
      <c r="K7741" s="15">
        <v>1.0199466700233646</v>
      </c>
      <c r="L7741" s="15">
        <v>1.0199466700233646</v>
      </c>
      <c r="M7741" s="15" t="s">
        <v>10</v>
      </c>
      <c r="N7741" s="15" t="s">
        <v>10</v>
      </c>
      <c r="O7741" s="15">
        <v>0.21106025408075396</v>
      </c>
      <c r="P7741" s="15">
        <v>0.21106025408075396</v>
      </c>
      <c r="Q7741" s="8"/>
      <c r="R7741" s="9" t="s">
        <v>7233</v>
      </c>
    </row>
    <row r="7742" spans="1:18" x14ac:dyDescent="0.25">
      <c r="A7742" s="6" t="str">
        <f>HYPERLINK("proteomic_fractions_linear_files/Yang_linear_img/88501749.jpg", "88501749")</f>
        <v>88501749</v>
      </c>
      <c r="B7742" s="7"/>
      <c r="C7742" s="6" t="str">
        <f>HYPERLINK("http://www.ncbi.nlm.nih.gov/protein/88501749","Triobp")</f>
        <v>Triobp</v>
      </c>
      <c r="D7742" s="8"/>
      <c r="E7742" s="8">
        <v>223237</v>
      </c>
      <c r="F7742" s="8"/>
      <c r="G7742" s="15">
        <v>0.29351239161679071</v>
      </c>
      <c r="H7742" s="15">
        <v>0.29351239161679071</v>
      </c>
      <c r="I7742" s="15">
        <v>0.32931013561292488</v>
      </c>
      <c r="J7742" s="15">
        <v>0.32931013561292488</v>
      </c>
      <c r="K7742" s="15">
        <v>0.32931013561292488</v>
      </c>
      <c r="L7742" s="15">
        <v>0.32931013561292488</v>
      </c>
      <c r="M7742" s="15" t="s">
        <v>10</v>
      </c>
      <c r="N7742" s="15" t="s">
        <v>10</v>
      </c>
      <c r="O7742" s="15">
        <v>6.8145014770467652E-2</v>
      </c>
      <c r="P7742" s="15">
        <v>6.8145014770467652E-2</v>
      </c>
      <c r="Q7742" s="8"/>
      <c r="R7742" s="9" t="s">
        <v>7234</v>
      </c>
    </row>
    <row r="7743" spans="1:18" x14ac:dyDescent="0.25">
      <c r="A7743" s="6" t="str">
        <f>HYPERLINK("proteomic_fractions_linear_files/Yang_linear_img/19527354.jpg", "19527354")</f>
        <v>19527354</v>
      </c>
      <c r="B7743" s="7"/>
      <c r="C7743" s="6" t="str">
        <f>HYPERLINK("http://www.ncbi.nlm.nih.gov/protein/19527354","Trip10")</f>
        <v>Trip10</v>
      </c>
      <c r="D7743" s="8"/>
      <c r="E7743" s="8">
        <v>62523</v>
      </c>
      <c r="F7743" s="8"/>
      <c r="G7743" s="15" t="s">
        <v>10</v>
      </c>
      <c r="H7743" s="15" t="s">
        <v>10</v>
      </c>
      <c r="I7743" s="15">
        <v>1.3190263249705374</v>
      </c>
      <c r="J7743" s="15">
        <v>1.3190263249705374</v>
      </c>
      <c r="K7743" s="15">
        <v>1.5074282727394366</v>
      </c>
      <c r="L7743" s="15">
        <v>1.5074282727394366</v>
      </c>
      <c r="M7743" s="15">
        <v>1.3190263249705374</v>
      </c>
      <c r="N7743" s="15">
        <v>1.3190263249705374</v>
      </c>
      <c r="O7743" s="15">
        <v>1.3190263249705374</v>
      </c>
      <c r="P7743" s="15">
        <v>1.3190263249705374</v>
      </c>
      <c r="Q7743" s="8"/>
      <c r="R7743" s="9" t="s">
        <v>7235</v>
      </c>
    </row>
    <row r="7744" spans="1:18" x14ac:dyDescent="0.25">
      <c r="A7744" s="6" t="str">
        <f>HYPERLINK("proteomic_fractions_linear_files/Yang_linear_img/334724448.jpg", "334724448")</f>
        <v>334724448</v>
      </c>
      <c r="B7744" s="7"/>
      <c r="C7744" s="6" t="str">
        <f>HYPERLINK("http://www.ncbi.nlm.nih.gov/protein/334724448","Trip10")</f>
        <v>Trip10</v>
      </c>
      <c r="D7744" s="8"/>
      <c r="E7744" s="8">
        <v>68358</v>
      </c>
      <c r="F7744" s="8"/>
      <c r="G7744" s="15" t="s">
        <v>10</v>
      </c>
      <c r="H7744" s="15" t="s">
        <v>10</v>
      </c>
      <c r="I7744" s="15">
        <v>1.222039095193292</v>
      </c>
      <c r="J7744" s="15">
        <v>1.222039095193292</v>
      </c>
      <c r="K7744" s="15">
        <v>1.3965879585674192</v>
      </c>
      <c r="L7744" s="15">
        <v>1.3965879585674192</v>
      </c>
      <c r="M7744" s="15">
        <v>1.222039095193292</v>
      </c>
      <c r="N7744" s="15">
        <v>1.222039095193292</v>
      </c>
      <c r="O7744" s="15">
        <v>1.222039095193292</v>
      </c>
      <c r="P7744" s="15">
        <v>1.222039095193292</v>
      </c>
      <c r="Q7744" s="8"/>
      <c r="R7744" s="9" t="s">
        <v>7236</v>
      </c>
    </row>
    <row r="7745" spans="1:18" x14ac:dyDescent="0.25">
      <c r="A7745" s="6" t="str">
        <f>HYPERLINK("proteomic_fractions_linear_files/Yang_linear_img/334724450.jpg", "334724450")</f>
        <v>334724450</v>
      </c>
      <c r="B7745" s="7"/>
      <c r="C7745" s="6" t="str">
        <f>HYPERLINK("http://www.ncbi.nlm.nih.gov/protein/334724450","Trip10")</f>
        <v>Trip10</v>
      </c>
      <c r="D7745" s="8"/>
      <c r="E7745" s="8">
        <v>68271</v>
      </c>
      <c r="F7745" s="8"/>
      <c r="G7745" s="15" t="s">
        <v>10</v>
      </c>
      <c r="H7745" s="15" t="s">
        <v>10</v>
      </c>
      <c r="I7745" s="15">
        <v>1.222039095193292</v>
      </c>
      <c r="J7745" s="15">
        <v>1.222039095193292</v>
      </c>
      <c r="K7745" s="15">
        <v>1.3965879585674192</v>
      </c>
      <c r="L7745" s="15">
        <v>1.3965879585674192</v>
      </c>
      <c r="M7745" s="15">
        <v>1.222039095193292</v>
      </c>
      <c r="N7745" s="15">
        <v>1.222039095193292</v>
      </c>
      <c r="O7745" s="15">
        <v>1.222039095193292</v>
      </c>
      <c r="P7745" s="15">
        <v>1.222039095193292</v>
      </c>
      <c r="Q7745" s="8"/>
      <c r="R7745" s="9" t="s">
        <v>7237</v>
      </c>
    </row>
    <row r="7746" spans="1:18" x14ac:dyDescent="0.25">
      <c r="A7746" s="6" t="str">
        <f>HYPERLINK("proteomic_fractions_linear_files/Yang_linear_img/334724453.jpg", "334724453")</f>
        <v>334724453</v>
      </c>
      <c r="B7746" s="7"/>
      <c r="C7746" s="6" t="str">
        <f>HYPERLINK("http://www.ncbi.nlm.nih.gov/protein/334724453","Trip10")</f>
        <v>Trip10</v>
      </c>
      <c r="D7746" s="8"/>
      <c r="E7746" s="8">
        <v>62436</v>
      </c>
      <c r="F7746" s="8"/>
      <c r="G7746" s="15" t="s">
        <v>10</v>
      </c>
      <c r="H7746" s="15" t="s">
        <v>10</v>
      </c>
      <c r="I7746" s="15">
        <v>1.3403009431152235</v>
      </c>
      <c r="J7746" s="15">
        <v>1.3403009431152235</v>
      </c>
      <c r="K7746" s="15">
        <v>1.5317416319771695</v>
      </c>
      <c r="L7746" s="15">
        <v>1.5317416319771695</v>
      </c>
      <c r="M7746" s="15">
        <v>1.3403009431152235</v>
      </c>
      <c r="N7746" s="15">
        <v>1.3403009431152235</v>
      </c>
      <c r="O7746" s="15">
        <v>1.3403009431152235</v>
      </c>
      <c r="P7746" s="15">
        <v>1.3403009431152235</v>
      </c>
      <c r="Q7746" s="8"/>
      <c r="R7746" s="9" t="s">
        <v>7238</v>
      </c>
    </row>
    <row r="7747" spans="1:18" x14ac:dyDescent="0.25">
      <c r="A7747" s="6" t="str">
        <f>HYPERLINK("proteomic_fractions_linear_files/Yang_linear_img/226531227.jpg", "226531227")</f>
        <v>226531227</v>
      </c>
      <c r="B7747" s="7"/>
      <c r="C7747" s="6" t="str">
        <f>HYPERLINK("http://www.ncbi.nlm.nih.gov/protein/226531227","Trip11")</f>
        <v>Trip11</v>
      </c>
      <c r="D7747" s="8"/>
      <c r="E7747" s="8">
        <v>226325</v>
      </c>
      <c r="F7747" s="8"/>
      <c r="G7747" s="15" t="s">
        <v>10</v>
      </c>
      <c r="H7747" s="15" t="s">
        <v>10</v>
      </c>
      <c r="I7747" s="15">
        <v>1.0325701222471197</v>
      </c>
      <c r="J7747" s="15">
        <v>1.0325701222471197</v>
      </c>
      <c r="K7747" s="15">
        <v>0.36769317908470733</v>
      </c>
      <c r="L7747" s="15">
        <v>0.36769317908470733</v>
      </c>
      <c r="M7747" s="15" t="s">
        <v>10</v>
      </c>
      <c r="N7747" s="15" t="s">
        <v>10</v>
      </c>
      <c r="O7747" s="15">
        <v>1.0325701222471197</v>
      </c>
      <c r="P7747" s="15">
        <v>1.0325701222471197</v>
      </c>
      <c r="Q7747" s="8"/>
      <c r="R7747" s="9" t="s">
        <v>7239</v>
      </c>
    </row>
    <row r="7748" spans="1:18" x14ac:dyDescent="0.25">
      <c r="A7748" s="6" t="str">
        <f>HYPERLINK("proteomic_fractions_linear_files/Yang_linear_img/91932791.jpg", "91932791")</f>
        <v>91932791</v>
      </c>
      <c r="B7748" s="7"/>
      <c r="C7748" s="6" t="str">
        <f>HYPERLINK("http://www.ncbi.nlm.nih.gov/protein/91932791","Trip12")</f>
        <v>Trip12</v>
      </c>
      <c r="D7748" s="8"/>
      <c r="E7748" s="8">
        <v>223998</v>
      </c>
      <c r="F7748" s="8"/>
      <c r="G7748" s="15">
        <v>1.041789498338612</v>
      </c>
      <c r="H7748" s="15">
        <v>1.041789498338612</v>
      </c>
      <c r="I7748" s="15">
        <v>1.041789498338612</v>
      </c>
      <c r="J7748" s="15">
        <v>1.041789498338612</v>
      </c>
      <c r="K7748" s="15">
        <v>0.18083624197867296</v>
      </c>
      <c r="L7748" s="15">
        <v>0.18083624197867296</v>
      </c>
      <c r="M7748" s="15">
        <v>0.16670235010323478</v>
      </c>
      <c r="N7748" s="15">
        <v>0.16670235010323478</v>
      </c>
      <c r="O7748" s="15" t="s">
        <v>10</v>
      </c>
      <c r="P7748" s="15" t="s">
        <v>10</v>
      </c>
      <c r="Q7748" s="8"/>
      <c r="R7748" s="9" t="s">
        <v>7240</v>
      </c>
    </row>
    <row r="7749" spans="1:18" x14ac:dyDescent="0.25">
      <c r="A7749" s="6" t="str">
        <f>HYPERLINK("proteomic_fractions_linear_files/Yang_linear_img/110625724.jpg", "110625724")</f>
        <v>110625724</v>
      </c>
      <c r="B7749" s="7"/>
      <c r="C7749" s="6" t="str">
        <f>HYPERLINK("http://www.ncbi.nlm.nih.gov/protein/110625724","Trip13")</f>
        <v>Trip13</v>
      </c>
      <c r="D7749" s="8"/>
      <c r="E7749" s="8">
        <v>48246</v>
      </c>
      <c r="F7749" s="8"/>
      <c r="G7749" s="15" t="s">
        <v>10</v>
      </c>
      <c r="H7749" s="15" t="s">
        <v>10</v>
      </c>
      <c r="I7749" s="15" t="s">
        <v>10</v>
      </c>
      <c r="J7749" s="15" t="s">
        <v>10</v>
      </c>
      <c r="K7749" s="15" t="s">
        <v>10</v>
      </c>
      <c r="L7749" s="15" t="s">
        <v>10</v>
      </c>
      <c r="M7749" s="15" t="s">
        <v>10</v>
      </c>
      <c r="N7749" s="15" t="s">
        <v>10</v>
      </c>
      <c r="O7749" s="15">
        <v>0.84390246256714052</v>
      </c>
      <c r="P7749" s="15">
        <v>0.84390246256714052</v>
      </c>
      <c r="Q7749" s="8"/>
      <c r="R7749" s="9" t="s">
        <v>7241</v>
      </c>
    </row>
    <row r="7750" spans="1:18" x14ac:dyDescent="0.25">
      <c r="A7750" s="6" t="str">
        <f>HYPERLINK("proteomic_fractions_linear_files/Yang_linear_img/283945454.jpg", "283945454")</f>
        <v>283945454</v>
      </c>
      <c r="B7750" s="7"/>
      <c r="C7750" s="6" t="str">
        <f>HYPERLINK("http://www.ncbi.nlm.nih.gov/protein/283945454","Trip4")</f>
        <v>Trip4</v>
      </c>
      <c r="D7750" s="8"/>
      <c r="E7750" s="8">
        <v>61402</v>
      </c>
      <c r="F7750" s="8"/>
      <c r="G7750" s="15" t="s">
        <v>10</v>
      </c>
      <c r="H7750" s="15" t="s">
        <v>10</v>
      </c>
      <c r="I7750" s="15" t="s">
        <v>10</v>
      </c>
      <c r="J7750" s="15" t="s">
        <v>10</v>
      </c>
      <c r="K7750" s="15">
        <v>1.2038714793718401</v>
      </c>
      <c r="L7750" s="15">
        <v>1.2038714793718401</v>
      </c>
      <c r="M7750" s="15" t="s">
        <v>10</v>
      </c>
      <c r="N7750" s="15" t="s">
        <v>10</v>
      </c>
      <c r="O7750" s="15" t="s">
        <v>10</v>
      </c>
      <c r="P7750" s="15" t="s">
        <v>10</v>
      </c>
      <c r="Q7750" s="8"/>
      <c r="R7750" s="9" t="s">
        <v>7242</v>
      </c>
    </row>
    <row r="7751" spans="1:18" x14ac:dyDescent="0.25">
      <c r="A7751" s="6" t="str">
        <f>HYPERLINK("proteomic_fractions_linear_files/Yang_linear_img/71773829.jpg", "71773829")</f>
        <v>71773829</v>
      </c>
      <c r="B7751" s="7"/>
      <c r="C7751" s="6" t="str">
        <f>HYPERLINK("http://www.ncbi.nlm.nih.gov/protein/71773829","Trip4")</f>
        <v>Trip4</v>
      </c>
      <c r="D7751" s="8"/>
      <c r="E7751" s="8">
        <v>66066</v>
      </c>
      <c r="F7751" s="8"/>
      <c r="G7751" s="15" t="s">
        <v>10</v>
      </c>
      <c r="H7751" s="15" t="s">
        <v>10</v>
      </c>
      <c r="I7751" s="15" t="s">
        <v>10</v>
      </c>
      <c r="J7751" s="15" t="s">
        <v>10</v>
      </c>
      <c r="K7751" s="15">
        <v>1.1126690945709432</v>
      </c>
      <c r="L7751" s="15">
        <v>1.1126690945709432</v>
      </c>
      <c r="M7751" s="15" t="s">
        <v>10</v>
      </c>
      <c r="N7751" s="15" t="s">
        <v>10</v>
      </c>
      <c r="O7751" s="15" t="s">
        <v>10</v>
      </c>
      <c r="P7751" s="15" t="s">
        <v>10</v>
      </c>
      <c r="Q7751" s="8"/>
      <c r="R7751" s="9" t="s">
        <v>7243</v>
      </c>
    </row>
    <row r="7752" spans="1:18" x14ac:dyDescent="0.25">
      <c r="A7752" s="6" t="str">
        <f>HYPERLINK("proteomic_fractions_linear_files/Yang_linear_img/6755879.jpg", "6755879")</f>
        <v>6755879</v>
      </c>
      <c r="B7752" s="7"/>
      <c r="C7752" s="6" t="str">
        <f>HYPERLINK("http://www.ncbi.nlm.nih.gov/protein/6755879","Trip6")</f>
        <v>Trip6</v>
      </c>
      <c r="D7752" s="8"/>
      <c r="E7752" s="8">
        <v>50803</v>
      </c>
      <c r="F7752" s="8"/>
      <c r="G7752" s="15" t="s">
        <v>10</v>
      </c>
      <c r="H7752" s="15" t="s">
        <v>10</v>
      </c>
      <c r="I7752" s="15" t="s">
        <v>10</v>
      </c>
      <c r="J7752" s="15" t="s">
        <v>10</v>
      </c>
      <c r="K7752" s="15" t="s">
        <v>10</v>
      </c>
      <c r="L7752" s="15" t="s">
        <v>10</v>
      </c>
      <c r="M7752" s="15" t="s">
        <v>10</v>
      </c>
      <c r="N7752" s="15" t="s">
        <v>10</v>
      </c>
      <c r="O7752" s="15">
        <v>0.94686226636108339</v>
      </c>
      <c r="P7752" s="15">
        <v>0.94686226636108339</v>
      </c>
      <c r="Q7752" s="8"/>
      <c r="R7752" s="9" t="s">
        <v>7244</v>
      </c>
    </row>
    <row r="7753" spans="1:18" x14ac:dyDescent="0.25">
      <c r="A7753" s="6" t="str">
        <f>HYPERLINK("proteomic_fractions_linear_files/Yang_linear_img/257095998.jpg", "257095998")</f>
        <v>257095998</v>
      </c>
      <c r="B7753" s="7"/>
      <c r="C7753" s="6" t="str">
        <f>HYPERLINK("http://www.ncbi.nlm.nih.gov/protein/257095998","Trmt1")</f>
        <v>Trmt1</v>
      </c>
      <c r="D7753" s="8"/>
      <c r="E7753" s="8">
        <v>72242</v>
      </c>
      <c r="F7753" s="8"/>
      <c r="G7753" s="15" t="s">
        <v>10</v>
      </c>
      <c r="H7753" s="15" t="s">
        <v>10</v>
      </c>
      <c r="I7753" s="15" t="s">
        <v>10</v>
      </c>
      <c r="J7753" s="15" t="s">
        <v>10</v>
      </c>
      <c r="K7753" s="15" t="s">
        <v>10</v>
      </c>
      <c r="L7753" s="15" t="s">
        <v>10</v>
      </c>
      <c r="M7753" s="15">
        <v>1.1541480343492203</v>
      </c>
      <c r="N7753" s="15">
        <v>1.1541480343492203</v>
      </c>
      <c r="O7753" s="15">
        <v>1.0199466700233646</v>
      </c>
      <c r="P7753" s="15">
        <v>1.0199466700233646</v>
      </c>
      <c r="Q7753" s="8"/>
      <c r="R7753" s="9" t="s">
        <v>7245</v>
      </c>
    </row>
    <row r="7754" spans="1:18" x14ac:dyDescent="0.25">
      <c r="A7754" s="6" t="str">
        <f>HYPERLINK("proteomic_fractions_linear_files/Yang_linear_img/257096002.jpg", "257096002")</f>
        <v>257096002</v>
      </c>
      <c r="B7754" s="7"/>
      <c r="C7754" s="6" t="str">
        <f>HYPERLINK("http://www.ncbi.nlm.nih.gov/protein/257096002","Trmt1")</f>
        <v>Trmt1</v>
      </c>
      <c r="D7754" s="8"/>
      <c r="E7754" s="8">
        <v>71515</v>
      </c>
      <c r="F7754" s="8"/>
      <c r="G7754" s="15" t="s">
        <v>10</v>
      </c>
      <c r="H7754" s="15" t="s">
        <v>10</v>
      </c>
      <c r="I7754" s="15" t="s">
        <v>10</v>
      </c>
      <c r="J7754" s="15" t="s">
        <v>10</v>
      </c>
      <c r="K7754" s="15" t="s">
        <v>10</v>
      </c>
      <c r="L7754" s="15" t="s">
        <v>10</v>
      </c>
      <c r="M7754" s="15">
        <v>1.1541480343492203</v>
      </c>
      <c r="N7754" s="15">
        <v>1.1541480343492203</v>
      </c>
      <c r="O7754" s="15">
        <v>1.0199466700233646</v>
      </c>
      <c r="P7754" s="15">
        <v>1.0199466700233646</v>
      </c>
      <c r="Q7754" s="8"/>
      <c r="R7754" s="9" t="s">
        <v>7246</v>
      </c>
    </row>
    <row r="7755" spans="1:18" x14ac:dyDescent="0.25">
      <c r="A7755" s="6" t="str">
        <f>HYPERLINK("proteomic_fractions_linear_files/Yang_linear_img/60593005.jpg", "60593005")</f>
        <v>60593005</v>
      </c>
      <c r="B7755" s="7"/>
      <c r="C7755" s="6" t="str">
        <f>HYPERLINK("http://www.ncbi.nlm.nih.gov/protein/60593005","Trmt10a")</f>
        <v>Trmt10a</v>
      </c>
      <c r="D7755" s="8"/>
      <c r="E7755" s="8">
        <v>38095</v>
      </c>
      <c r="F7755" s="8"/>
      <c r="G7755" s="15" t="s">
        <v>10</v>
      </c>
      <c r="H7755" s="15" t="s">
        <v>10</v>
      </c>
      <c r="I7755" s="15" t="s">
        <v>10</v>
      </c>
      <c r="J7755" s="15" t="s">
        <v>10</v>
      </c>
      <c r="K7755" s="15">
        <v>1.2707888311688225</v>
      </c>
      <c r="L7755" s="15">
        <v>1.2707888311688225</v>
      </c>
      <c r="M7755" s="15" t="s">
        <v>10</v>
      </c>
      <c r="N7755" s="15" t="s">
        <v>10</v>
      </c>
      <c r="O7755" s="15">
        <v>1.0659820579795458</v>
      </c>
      <c r="P7755" s="15">
        <v>1.0659820579795458</v>
      </c>
      <c r="Q7755" s="8"/>
      <c r="R7755" s="9" t="s">
        <v>7247</v>
      </c>
    </row>
    <row r="7756" spans="1:18" x14ac:dyDescent="0.25">
      <c r="A7756" s="6" t="str">
        <f>HYPERLINK("proteomic_fractions_linear_files/Yang_linear_img/21312876.jpg", "21312876")</f>
        <v>21312876</v>
      </c>
      <c r="B7756" s="7"/>
      <c r="C7756" s="6" t="str">
        <f>HYPERLINK("http://www.ncbi.nlm.nih.gov/protein/21312876","Trmt10c")</f>
        <v>Trmt10c</v>
      </c>
      <c r="D7756" s="8"/>
      <c r="E7756" s="8">
        <v>44091</v>
      </c>
      <c r="F7756" s="8"/>
      <c r="G7756" s="15" t="s">
        <v>10</v>
      </c>
      <c r="H7756" s="15" t="s">
        <v>10</v>
      </c>
      <c r="I7756" s="15">
        <v>0.9206208682550624</v>
      </c>
      <c r="J7756" s="15">
        <v>0.9206208682550624</v>
      </c>
      <c r="K7756" s="15" t="s">
        <v>10</v>
      </c>
      <c r="L7756" s="15" t="s">
        <v>10</v>
      </c>
      <c r="M7756" s="15" t="s">
        <v>10</v>
      </c>
      <c r="N7756" s="15" t="s">
        <v>10</v>
      </c>
      <c r="O7756" s="15" t="s">
        <v>10</v>
      </c>
      <c r="P7756" s="15" t="s">
        <v>10</v>
      </c>
      <c r="Q7756" s="8"/>
      <c r="R7756" s="9" t="s">
        <v>7248</v>
      </c>
    </row>
    <row r="7757" spans="1:18" x14ac:dyDescent="0.25">
      <c r="A7757" s="6" t="str">
        <f>HYPERLINK("proteomic_fractions_linear_files/Yang_linear_img/114051171.jpg", "114051171")</f>
        <v>114051171</v>
      </c>
      <c r="B7757" s="7"/>
      <c r="C7757" s="6" t="str">
        <f>HYPERLINK("http://www.ncbi.nlm.nih.gov/protein/114051171","Trmt11")</f>
        <v>Trmt11</v>
      </c>
      <c r="D7757" s="8"/>
      <c r="E7757" s="8">
        <v>52808</v>
      </c>
      <c r="F7757" s="8"/>
      <c r="G7757" s="15" t="s">
        <v>10</v>
      </c>
      <c r="H7757" s="15" t="s">
        <v>10</v>
      </c>
      <c r="I7757" s="15">
        <v>0.91113161480028781</v>
      </c>
      <c r="J7757" s="15">
        <v>0.91113161480028781</v>
      </c>
      <c r="K7757" s="15" t="s">
        <v>10</v>
      </c>
      <c r="L7757" s="15" t="s">
        <v>10</v>
      </c>
      <c r="M7757" s="15" t="s">
        <v>10</v>
      </c>
      <c r="N7757" s="15" t="s">
        <v>10</v>
      </c>
      <c r="O7757" s="15">
        <v>0.91113161480028781</v>
      </c>
      <c r="P7757" s="15">
        <v>0.91113161480028781</v>
      </c>
      <c r="Q7757" s="8"/>
      <c r="R7757" s="9" t="s">
        <v>7249</v>
      </c>
    </row>
    <row r="7758" spans="1:18" x14ac:dyDescent="0.25">
      <c r="A7758" s="6" t="str">
        <f>HYPERLINK("proteomic_fractions_linear_files/Yang_linear_img/261823938;261823936.jpg", "261823938;261823936")</f>
        <v>261823938;261823936</v>
      </c>
      <c r="B7758" s="8"/>
      <c r="C7758" s="6" t="str">
        <f>HYPERLINK("http://www.ncbi.nlm.nih.gov/protein/261823938;261823936","Trmt112")</f>
        <v>Trmt112</v>
      </c>
      <c r="D7758" s="8"/>
      <c r="E7758" s="8">
        <v>14010</v>
      </c>
      <c r="F7758" s="8"/>
      <c r="G7758" s="15">
        <v>1.4712457990468766</v>
      </c>
      <c r="H7758" s="15">
        <v>1.4712457990468766</v>
      </c>
      <c r="I7758" s="15" t="s">
        <v>10</v>
      </c>
      <c r="J7758" s="15" t="s">
        <v>10</v>
      </c>
      <c r="K7758" s="15">
        <v>1.0369624087050249</v>
      </c>
      <c r="L7758" s="15">
        <v>1.0369624087050249</v>
      </c>
      <c r="M7758" s="15" t="s">
        <v>10</v>
      </c>
      <c r="N7758" s="15" t="s">
        <v>10</v>
      </c>
      <c r="O7758" s="15" t="s">
        <v>10</v>
      </c>
      <c r="P7758" s="15" t="s">
        <v>10</v>
      </c>
      <c r="Q7758" s="8"/>
      <c r="R7758" s="9" t="s">
        <v>7250</v>
      </c>
    </row>
    <row r="7759" spans="1:18" x14ac:dyDescent="0.25">
      <c r="A7759" s="6" t="str">
        <f>HYPERLINK("proteomic_fractions_linear_files/Yang_linear_img/261823936.jpg", "261823936")</f>
        <v>261823936</v>
      </c>
      <c r="B7759" s="7"/>
      <c r="C7759" s="6" t="str">
        <f>HYPERLINK("http://www.ncbi.nlm.nih.gov/protein/261823936","Trmt112")</f>
        <v>Trmt112</v>
      </c>
      <c r="D7759" s="8"/>
      <c r="E7759" s="8">
        <v>14010</v>
      </c>
      <c r="F7759" s="8"/>
      <c r="G7759" s="15" t="s">
        <v>10</v>
      </c>
      <c r="H7759" s="15" t="s">
        <v>10</v>
      </c>
      <c r="I7759" s="15">
        <v>0.99184646428118928</v>
      </c>
      <c r="J7759" s="15">
        <v>1.0369624087050249</v>
      </c>
      <c r="K7759" s="15" t="s">
        <v>10</v>
      </c>
      <c r="L7759" s="15" t="s">
        <v>10</v>
      </c>
      <c r="M7759" s="15">
        <v>1.0369624087050249</v>
      </c>
      <c r="N7759" s="15">
        <v>1.0369624087050249</v>
      </c>
      <c r="O7759" s="15">
        <v>0.94979028735725246</v>
      </c>
      <c r="P7759" s="15">
        <v>0.94979028735725246</v>
      </c>
      <c r="Q7759" s="8"/>
      <c r="R7759" s="9" t="s">
        <v>7250</v>
      </c>
    </row>
    <row r="7760" spans="1:18" x14ac:dyDescent="0.25">
      <c r="A7760" s="6" t="str">
        <f>HYPERLINK("proteomic_fractions_linear_files/Yang_linear_img/229608908.jpg", "229608908")</f>
        <v>229608908</v>
      </c>
      <c r="B7760" s="7"/>
      <c r="C7760" s="6" t="str">
        <f>HYPERLINK("http://www.ncbi.nlm.nih.gov/protein/229608908","Trmt1l")</f>
        <v>Trmt1l</v>
      </c>
      <c r="D7760" s="8"/>
      <c r="E7760" s="8">
        <v>80790</v>
      </c>
      <c r="F7760" s="8"/>
      <c r="G7760" s="15" t="s">
        <v>10</v>
      </c>
      <c r="H7760" s="15" t="s">
        <v>10</v>
      </c>
      <c r="I7760" s="15" t="s">
        <v>10</v>
      </c>
      <c r="J7760" s="15" t="s">
        <v>10</v>
      </c>
      <c r="K7760" s="15">
        <v>1.3555748619892773</v>
      </c>
      <c r="L7760" s="15">
        <v>1.3555748619892773</v>
      </c>
      <c r="M7760" s="15">
        <v>1.3555748619892773</v>
      </c>
      <c r="N7760" s="15">
        <v>1.3555748619892773</v>
      </c>
      <c r="O7760" s="15" t="s">
        <v>10</v>
      </c>
      <c r="P7760" s="15" t="s">
        <v>10</v>
      </c>
      <c r="Q7760" s="8"/>
      <c r="R7760" s="9" t="s">
        <v>7251</v>
      </c>
    </row>
    <row r="7761" spans="1:18" x14ac:dyDescent="0.25">
      <c r="A7761" s="6" t="str">
        <f>HYPERLINK("proteomic_fractions_linear_files/Yang_linear_img/124487421.jpg", "124487421")</f>
        <v>124487421</v>
      </c>
      <c r="B7761" s="7"/>
      <c r="C7761" s="6" t="str">
        <f>HYPERLINK("http://www.ncbi.nlm.nih.gov/protein/124487421","Trmt2a")</f>
        <v>Trmt2a</v>
      </c>
      <c r="D7761" s="8"/>
      <c r="E7761" s="8">
        <v>67504</v>
      </c>
      <c r="F7761" s="8"/>
      <c r="G7761" s="15">
        <v>1.3965879585674192</v>
      </c>
      <c r="H7761" s="15">
        <v>1.3965879585674192</v>
      </c>
      <c r="I7761" s="15">
        <v>1.0799435329659153</v>
      </c>
      <c r="J7761" s="15">
        <v>1.0799435329659153</v>
      </c>
      <c r="K7761" s="15">
        <v>1.222039095193292</v>
      </c>
      <c r="L7761" s="15">
        <v>1.222039095193292</v>
      </c>
      <c r="M7761" s="15">
        <v>1.222039095193292</v>
      </c>
      <c r="N7761" s="15">
        <v>1.222039095193292</v>
      </c>
      <c r="O7761" s="15">
        <v>1.0799435329659153</v>
      </c>
      <c r="P7761" s="15">
        <v>1.0799435329659153</v>
      </c>
      <c r="Q7761" s="8"/>
      <c r="R7761" s="9" t="s">
        <v>7252</v>
      </c>
    </row>
    <row r="7762" spans="1:18" x14ac:dyDescent="0.25">
      <c r="A7762" s="6" t="str">
        <f>HYPERLINK("proteomic_fractions_linear_files/Yang_linear_img/124487423.jpg", "124487423")</f>
        <v>124487423</v>
      </c>
      <c r="B7762" s="7"/>
      <c r="C7762" s="6" t="str">
        <f>HYPERLINK("http://www.ncbi.nlm.nih.gov/protein/124487423","Trmt2a")</f>
        <v>Trmt2a</v>
      </c>
      <c r="D7762" s="8"/>
      <c r="E7762" s="8">
        <v>67357</v>
      </c>
      <c r="F7762" s="8"/>
      <c r="G7762" s="15">
        <v>1.4174325549639479</v>
      </c>
      <c r="H7762" s="15">
        <v>1.4174325549639479</v>
      </c>
      <c r="I7762" s="15">
        <v>1.0960620931594365</v>
      </c>
      <c r="J7762" s="15">
        <v>1.0960620931594365</v>
      </c>
      <c r="K7762" s="15">
        <v>1.2402784846737889</v>
      </c>
      <c r="L7762" s="15">
        <v>1.2402784846737889</v>
      </c>
      <c r="M7762" s="15">
        <v>1.2402784846737889</v>
      </c>
      <c r="N7762" s="15">
        <v>1.2402784846737889</v>
      </c>
      <c r="O7762" s="15">
        <v>1.0960620931594365</v>
      </c>
      <c r="P7762" s="15">
        <v>1.0960620931594365</v>
      </c>
      <c r="Q7762" s="8"/>
      <c r="R7762" s="9" t="s">
        <v>7253</v>
      </c>
    </row>
    <row r="7763" spans="1:18" x14ac:dyDescent="0.25">
      <c r="A7763" s="6" t="str">
        <f>HYPERLINK("proteomic_fractions_linear_files/Yang_linear_img/304555603.jpg", "304555603")</f>
        <v>304555603</v>
      </c>
      <c r="B7763" s="7"/>
      <c r="C7763" s="6" t="str">
        <f>HYPERLINK("http://www.ncbi.nlm.nih.gov/protein/304555603","Trmt2a")</f>
        <v>Trmt2a</v>
      </c>
      <c r="D7763" s="8"/>
      <c r="E7763" s="8">
        <v>63171</v>
      </c>
      <c r="F7763" s="8"/>
      <c r="G7763" s="15">
        <v>1.5074282727394366</v>
      </c>
      <c r="H7763" s="15">
        <v>1.5074282727394366</v>
      </c>
      <c r="I7763" s="15">
        <v>1.1656533371695594</v>
      </c>
      <c r="J7763" s="15">
        <v>1.1656533371695594</v>
      </c>
      <c r="K7763" s="15">
        <v>1.3190263249705374</v>
      </c>
      <c r="L7763" s="15">
        <v>1.3190263249705374</v>
      </c>
      <c r="M7763" s="15">
        <v>1.3190263249705374</v>
      </c>
      <c r="N7763" s="15">
        <v>1.3190263249705374</v>
      </c>
      <c r="O7763" s="15">
        <v>1.1656533371695594</v>
      </c>
      <c r="P7763" s="15">
        <v>1.1656533371695594</v>
      </c>
      <c r="Q7763" s="8"/>
      <c r="R7763" s="9" t="s">
        <v>7254</v>
      </c>
    </row>
    <row r="7764" spans="1:18" x14ac:dyDescent="0.25">
      <c r="A7764" s="6" t="str">
        <f>HYPERLINK("proteomic_fractions_linear_files/Yang_linear_img/21313170.jpg", "21313170")</f>
        <v>21313170</v>
      </c>
      <c r="B7764" s="7"/>
      <c r="C7764" s="6" t="str">
        <f>HYPERLINK("http://www.ncbi.nlm.nih.gov/protein/21313170","Trmt5")</f>
        <v>Trmt5</v>
      </c>
      <c r="D7764" s="8"/>
      <c r="E7764" s="8">
        <v>56663</v>
      </c>
      <c r="F7764" s="8"/>
      <c r="G7764" s="15" t="s">
        <v>10</v>
      </c>
      <c r="H7764" s="15" t="s">
        <v>10</v>
      </c>
      <c r="I7764" s="15">
        <v>0.84719255411254824</v>
      </c>
      <c r="J7764" s="15">
        <v>0.84719255411254824</v>
      </c>
      <c r="K7764" s="15">
        <v>0.84719255411254824</v>
      </c>
      <c r="L7764" s="15">
        <v>0.84719255411254824</v>
      </c>
      <c r="M7764" s="15">
        <v>0.84719255411254824</v>
      </c>
      <c r="N7764" s="15">
        <v>0.84719255411254824</v>
      </c>
      <c r="O7764" s="15">
        <v>0.77413314468360472</v>
      </c>
      <c r="P7764" s="15">
        <v>0.77413314468360472</v>
      </c>
      <c r="Q7764" s="8"/>
      <c r="R7764" s="9" t="s">
        <v>7255</v>
      </c>
    </row>
    <row r="7765" spans="1:18" x14ac:dyDescent="0.25">
      <c r="A7765" s="6" t="str">
        <f>HYPERLINK("proteomic_fractions_linear_files/Yang_linear_img/148747333.jpg", "148747333")</f>
        <v>148747333</v>
      </c>
      <c r="B7765" s="7"/>
      <c r="C7765" s="6" t="str">
        <f>HYPERLINK("http://www.ncbi.nlm.nih.gov/protein/148747333","Trmt6")</f>
        <v>Trmt6</v>
      </c>
      <c r="D7765" s="8"/>
      <c r="E7765" s="8">
        <v>55387</v>
      </c>
      <c r="F7765" s="8"/>
      <c r="G7765" s="15" t="s">
        <v>10</v>
      </c>
      <c r="H7765" s="15" t="s">
        <v>10</v>
      </c>
      <c r="I7765" s="15">
        <v>1.0686037742835246</v>
      </c>
      <c r="J7765" s="15">
        <v>1.0686037742835246</v>
      </c>
      <c r="K7765" s="15">
        <v>1.1900593332826241</v>
      </c>
      <c r="L7765" s="15">
        <v>1.1900593332826241</v>
      </c>
      <c r="M7765" s="15">
        <v>1.1900593332826241</v>
      </c>
      <c r="N7765" s="15">
        <v>1.1900593332826241</v>
      </c>
      <c r="O7765" s="15">
        <v>1.0686037742835246</v>
      </c>
      <c r="P7765" s="15">
        <v>1.0686037742835246</v>
      </c>
      <c r="Q7765" s="8"/>
      <c r="R7765" s="9" t="s">
        <v>7256</v>
      </c>
    </row>
    <row r="7766" spans="1:18" x14ac:dyDescent="0.25">
      <c r="A7766" s="6" t="str">
        <f>HYPERLINK("proteomic_fractions_linear_files/Yang_linear_img/152963551.jpg", "152963551")</f>
        <v>152963551</v>
      </c>
      <c r="B7766" s="7"/>
      <c r="C7766" s="6" t="str">
        <f>HYPERLINK("http://www.ncbi.nlm.nih.gov/protein/152963551","Trmt61a")</f>
        <v>Trmt61a</v>
      </c>
      <c r="D7766" s="8"/>
      <c r="E7766" s="8">
        <v>31508</v>
      </c>
      <c r="F7766" s="8"/>
      <c r="G7766" s="15" t="s">
        <v>10</v>
      </c>
      <c r="H7766" s="15" t="s">
        <v>10</v>
      </c>
      <c r="I7766" s="15" t="s">
        <v>10</v>
      </c>
      <c r="J7766" s="15" t="s">
        <v>10</v>
      </c>
      <c r="K7766" s="15">
        <v>0.81719556610703126</v>
      </c>
      <c r="L7766" s="15">
        <v>0.81719556610703126</v>
      </c>
      <c r="M7766" s="15">
        <v>0.81719556610703126</v>
      </c>
      <c r="N7766" s="15">
        <v>0.81719556610703126</v>
      </c>
      <c r="O7766" s="15">
        <v>0.76733814416490365</v>
      </c>
      <c r="P7766" s="15">
        <v>0.76733814416490365</v>
      </c>
      <c r="Q7766" s="8"/>
      <c r="R7766" s="9" t="s">
        <v>7257</v>
      </c>
    </row>
    <row r="7767" spans="1:18" x14ac:dyDescent="0.25">
      <c r="A7767" s="6" t="str">
        <f>HYPERLINK("proteomic_fractions_linear_files/Yang_linear_img/334358911.jpg", "334358911")</f>
        <v>334358911</v>
      </c>
      <c r="B7767" s="7"/>
      <c r="C7767" s="6" t="str">
        <f>HYPERLINK("http://www.ncbi.nlm.nih.gov/protein/334358911","Trnt1")</f>
        <v>Trnt1</v>
      </c>
      <c r="D7767" s="8"/>
      <c r="E7767" s="8">
        <v>24887</v>
      </c>
      <c r="F7767" s="8"/>
      <c r="G7767" s="15" t="s">
        <v>10</v>
      </c>
      <c r="H7767" s="15" t="s">
        <v>10</v>
      </c>
      <c r="I7767" s="15">
        <v>1.7650235698786187</v>
      </c>
      <c r="J7767" s="15">
        <v>1.7650235698786187</v>
      </c>
      <c r="K7767" s="15">
        <v>1.7650235698786187</v>
      </c>
      <c r="L7767" s="15">
        <v>1.7650235698786187</v>
      </c>
      <c r="M7767" s="15" t="s">
        <v>10</v>
      </c>
      <c r="N7767" s="15" t="s">
        <v>10</v>
      </c>
      <c r="O7767" s="15">
        <v>1.6202927281289099</v>
      </c>
      <c r="P7767" s="15">
        <v>1.6202927281289099</v>
      </c>
      <c r="Q7767" s="8"/>
      <c r="R7767" s="9" t="s">
        <v>7258</v>
      </c>
    </row>
    <row r="7768" spans="1:18" x14ac:dyDescent="0.25">
      <c r="A7768" s="6" t="str">
        <f>HYPERLINK("proteomic_fractions_linear_files/Yang_linear_img/33859692.jpg", "33859692")</f>
        <v>33859692</v>
      </c>
      <c r="B7768" s="7"/>
      <c r="C7768" s="6" t="str">
        <f>HYPERLINK("http://www.ncbi.nlm.nih.gov/protein/33859692","Trnt1")</f>
        <v>Trnt1</v>
      </c>
      <c r="D7768" s="8"/>
      <c r="E7768" s="8">
        <v>44792</v>
      </c>
      <c r="F7768" s="8"/>
      <c r="G7768" s="15" t="s">
        <v>10</v>
      </c>
      <c r="H7768" s="15" t="s">
        <v>10</v>
      </c>
      <c r="I7768" s="15">
        <v>0.98056864993256598</v>
      </c>
      <c r="J7768" s="15">
        <v>0.98056864993256598</v>
      </c>
      <c r="K7768" s="15">
        <v>0.98056864993256598</v>
      </c>
      <c r="L7768" s="15">
        <v>0.98056864993256598</v>
      </c>
      <c r="M7768" s="15" t="s">
        <v>10</v>
      </c>
      <c r="N7768" s="15" t="s">
        <v>10</v>
      </c>
      <c r="O7768" s="15">
        <v>0.90016262673828318</v>
      </c>
      <c r="P7768" s="15">
        <v>0.90016262673828318</v>
      </c>
      <c r="Q7768" s="8"/>
      <c r="R7768" s="9" t="s">
        <v>7259</v>
      </c>
    </row>
    <row r="7769" spans="1:18" x14ac:dyDescent="0.25">
      <c r="A7769" s="6" t="str">
        <f>HYPERLINK("proteomic_fractions_linear_files/Yang_linear_img/7305523.jpg", "7305523")</f>
        <v>7305523</v>
      </c>
      <c r="B7769" s="7"/>
      <c r="C7769" s="6" t="str">
        <f>HYPERLINK("http://www.ncbi.nlm.nih.gov/protein/7305523","Trove2")</f>
        <v>Trove2</v>
      </c>
      <c r="D7769" s="8"/>
      <c r="E7769" s="8">
        <v>59993</v>
      </c>
      <c r="F7769" s="8"/>
      <c r="G7769" s="15" t="s">
        <v>10</v>
      </c>
      <c r="H7769" s="15" t="s">
        <v>10</v>
      </c>
      <c r="I7769" s="15">
        <v>0.97955345975989749</v>
      </c>
      <c r="J7769" s="15">
        <v>0.97955345975989749</v>
      </c>
      <c r="K7769" s="15">
        <v>1.0908877221757389</v>
      </c>
      <c r="L7769" s="15">
        <v>1.0908877221757389</v>
      </c>
      <c r="M7769" s="15">
        <v>0.97955345975989749</v>
      </c>
      <c r="N7769" s="15">
        <v>0.97955345975989749</v>
      </c>
      <c r="O7769" s="15">
        <v>0.97955345975989749</v>
      </c>
      <c r="P7769" s="15">
        <v>0.97955345975989749</v>
      </c>
      <c r="Q7769" s="8"/>
      <c r="R7769" s="9" t="s">
        <v>7260</v>
      </c>
    </row>
    <row r="7770" spans="1:18" x14ac:dyDescent="0.25">
      <c r="A7770" s="6" t="str">
        <f>HYPERLINK("proteomic_fractions_linear_files/Yang_linear_img/148747262.jpg", "148747262")</f>
        <v>148747262</v>
      </c>
      <c r="B7770" s="7"/>
      <c r="C7770" s="6" t="str">
        <f>HYPERLINK("http://www.ncbi.nlm.nih.gov/protein/148747262","Trp53")</f>
        <v>Trp53</v>
      </c>
      <c r="D7770" s="8"/>
      <c r="E7770" s="8">
        <v>43327</v>
      </c>
      <c r="F7770" s="8"/>
      <c r="G7770" s="15">
        <v>1.5221689146638218</v>
      </c>
      <c r="H7770" s="15">
        <v>1.5221689146638218</v>
      </c>
      <c r="I7770" s="15">
        <v>1.123022688009657</v>
      </c>
      <c r="J7770" s="15">
        <v>1.123022688009657</v>
      </c>
      <c r="K7770" s="15">
        <v>1.2353620844186297</v>
      </c>
      <c r="L7770" s="15">
        <v>1.123022688009657</v>
      </c>
      <c r="M7770" s="15">
        <v>1.123022688009657</v>
      </c>
      <c r="N7770" s="15">
        <v>1.123022688009657</v>
      </c>
      <c r="O7770" s="15">
        <v>1.0261764941154761</v>
      </c>
      <c r="P7770" s="15">
        <v>1.0261764941154761</v>
      </c>
      <c r="Q7770" s="8"/>
      <c r="R7770" s="9" t="s">
        <v>7261</v>
      </c>
    </row>
    <row r="7771" spans="1:18" x14ac:dyDescent="0.25">
      <c r="A7771" s="6" t="str">
        <f>HYPERLINK("proteomic_fractions_linear_files/Yang_linear_img/187960040.jpg", "187960040")</f>
        <v>187960040</v>
      </c>
      <c r="B7771" s="7"/>
      <c r="C7771" s="6" t="str">
        <f>HYPERLINK("http://www.ncbi.nlm.nih.gov/protein/187960040","Trp53")</f>
        <v>Trp53</v>
      </c>
      <c r="D7771" s="8"/>
      <c r="E7771" s="8">
        <v>42323</v>
      </c>
      <c r="F7771" s="8"/>
      <c r="G7771" s="15">
        <v>1.5584110316796269</v>
      </c>
      <c r="H7771" s="15">
        <v>1.5584110316796269</v>
      </c>
      <c r="I7771" s="15">
        <v>1.1497613234384585</v>
      </c>
      <c r="J7771" s="15">
        <v>1.1497613234384585</v>
      </c>
      <c r="K7771" s="15">
        <v>1.2647754673809781</v>
      </c>
      <c r="L7771" s="15">
        <v>1.1497613234384585</v>
      </c>
      <c r="M7771" s="15">
        <v>1.1497613234384585</v>
      </c>
      <c r="N7771" s="15">
        <v>1.1497613234384585</v>
      </c>
      <c r="O7771" s="15">
        <v>1.0506092677848922</v>
      </c>
      <c r="P7771" s="15">
        <v>1.0506092677848922</v>
      </c>
      <c r="Q7771" s="8"/>
      <c r="R7771" s="9" t="s">
        <v>7262</v>
      </c>
    </row>
    <row r="7772" spans="1:18" x14ac:dyDescent="0.25">
      <c r="A7772" s="6" t="str">
        <f>HYPERLINK("proteomic_fractions_linear_files/Yang_linear_img/160333077.jpg", "160333077")</f>
        <v>160333077</v>
      </c>
      <c r="B7772" s="7"/>
      <c r="C7772" s="6" t="str">
        <f>HYPERLINK("http://www.ncbi.nlm.nih.gov/protein/160333077","Trp53bp1")</f>
        <v>Trp53bp1</v>
      </c>
      <c r="D7772" s="8"/>
      <c r="E7772" s="8">
        <v>212605</v>
      </c>
      <c r="F7772" s="8"/>
      <c r="G7772" s="15">
        <v>1.4168231203591493</v>
      </c>
      <c r="H7772" s="15">
        <v>1.4168231203591493</v>
      </c>
      <c r="I7772" s="15" t="s">
        <v>10</v>
      </c>
      <c r="J7772" s="15" t="s">
        <v>10</v>
      </c>
      <c r="K7772" s="15" t="s">
        <v>10</v>
      </c>
      <c r="L7772" s="15" t="s">
        <v>10</v>
      </c>
      <c r="M7772" s="15">
        <v>1.0955908339335636</v>
      </c>
      <c r="N7772" s="15">
        <v>1.0955908339335636</v>
      </c>
      <c r="O7772" s="15">
        <v>1.0955908339335636</v>
      </c>
      <c r="P7772" s="15">
        <v>1.4168231203591493</v>
      </c>
      <c r="Q7772" s="8"/>
      <c r="R7772" s="9" t="s">
        <v>7263</v>
      </c>
    </row>
    <row r="7773" spans="1:18" x14ac:dyDescent="0.25">
      <c r="A7773" s="6" t="str">
        <f>HYPERLINK("proteomic_fractions_linear_files/Yang_linear_img/31560052.jpg", "31560052")</f>
        <v>31560052</v>
      </c>
      <c r="B7773" s="7"/>
      <c r="C7773" s="6" t="str">
        <f>HYPERLINK("http://www.ncbi.nlm.nih.gov/protein/31560052","Trp53rk")</f>
        <v>Trp53rk</v>
      </c>
      <c r="D7773" s="8"/>
      <c r="E7773" s="8">
        <v>27260</v>
      </c>
      <c r="F7773" s="8"/>
      <c r="G7773" s="15" t="s">
        <v>10</v>
      </c>
      <c r="H7773" s="15" t="s">
        <v>10</v>
      </c>
      <c r="I7773" s="15">
        <v>0.96852807834907406</v>
      </c>
      <c r="J7773" s="15">
        <v>0.96852807834907406</v>
      </c>
      <c r="K7773" s="15">
        <v>1.0340078258400762</v>
      </c>
      <c r="L7773" s="15">
        <v>1.0340078258400762</v>
      </c>
      <c r="M7773" s="15">
        <v>0.96852807834907406</v>
      </c>
      <c r="N7773" s="15">
        <v>0.96852807834907406</v>
      </c>
      <c r="O7773" s="15">
        <v>0.855910124989535</v>
      </c>
      <c r="P7773" s="15">
        <v>0.855910124989535</v>
      </c>
      <c r="Q7773" s="8"/>
      <c r="R7773" s="9" t="s">
        <v>7264</v>
      </c>
    </row>
    <row r="7774" spans="1:18" x14ac:dyDescent="0.25">
      <c r="A7774" s="6" t="str">
        <f>HYPERLINK("proteomic_fractions_linear_files/Yang_linear_img/409168273.jpg", "409168273")</f>
        <v>409168273</v>
      </c>
      <c r="B7774" s="7"/>
      <c r="C7774" s="6" t="str">
        <f>HYPERLINK("http://www.ncbi.nlm.nih.gov/protein/409168273","Trp53tg5")</f>
        <v>Trp53tg5</v>
      </c>
      <c r="D7774" s="8"/>
      <c r="E7774" s="8">
        <v>27716</v>
      </c>
      <c r="F7774" s="8"/>
      <c r="G7774" s="15" t="s">
        <v>10</v>
      </c>
      <c r="H7774" s="15" t="s">
        <v>10</v>
      </c>
      <c r="I7774" s="15" t="s">
        <v>10</v>
      </c>
      <c r="J7774" s="15" t="s">
        <v>10</v>
      </c>
      <c r="K7774" s="15" t="s">
        <v>10</v>
      </c>
      <c r="L7774" s="15" t="s">
        <v>10</v>
      </c>
      <c r="M7774" s="15">
        <v>1.2340491618026852</v>
      </c>
      <c r="N7774" s="15">
        <v>1.2340491618026852</v>
      </c>
      <c r="O7774" s="15" t="s">
        <v>10</v>
      </c>
      <c r="P7774" s="15" t="s">
        <v>10</v>
      </c>
      <c r="Q7774" s="8"/>
      <c r="R7774" s="9" t="s">
        <v>7265</v>
      </c>
    </row>
    <row r="7775" spans="1:18" x14ac:dyDescent="0.25">
      <c r="A7775" s="6" t="str">
        <f>HYPERLINK("proteomic_fractions_linear_files/Yang_linear_img/358439497.jpg", "358439497")</f>
        <v>358439497</v>
      </c>
      <c r="B7775" s="7"/>
      <c r="C7775" s="6" t="str">
        <f>HYPERLINK("http://www.ncbi.nlm.nih.gov/protein/358439497","Trpc4")</f>
        <v>Trpc4</v>
      </c>
      <c r="D7775" s="8"/>
      <c r="E7775" s="8">
        <v>102050</v>
      </c>
      <c r="F7775" s="8"/>
      <c r="G7775" s="15" t="s">
        <v>10</v>
      </c>
      <c r="H7775" s="15" t="s">
        <v>10</v>
      </c>
      <c r="I7775" s="15" t="s">
        <v>10</v>
      </c>
      <c r="J7775" s="15" t="s">
        <v>10</v>
      </c>
      <c r="K7775" s="15" t="s">
        <v>10</v>
      </c>
      <c r="L7775" s="15" t="s">
        <v>10</v>
      </c>
      <c r="M7775" s="15">
        <v>0.57620791750582212</v>
      </c>
      <c r="N7775" s="15">
        <v>0.57620791750582212</v>
      </c>
      <c r="O7775" s="15" t="s">
        <v>10</v>
      </c>
      <c r="P7775" s="15" t="s">
        <v>10</v>
      </c>
      <c r="Q7775" s="8"/>
      <c r="R7775" s="9" t="s">
        <v>7266</v>
      </c>
    </row>
    <row r="7776" spans="1:18" x14ac:dyDescent="0.25">
      <c r="A7776" s="6" t="str">
        <f>HYPERLINK("proteomic_fractions_linear_files/Yang_linear_img/8394487.jpg", "8394487")</f>
        <v>8394487</v>
      </c>
      <c r="B7776" s="7"/>
      <c r="C7776" s="6" t="str">
        <f>HYPERLINK("http://www.ncbi.nlm.nih.gov/protein/8394487","Trpc4")</f>
        <v>Trpc4</v>
      </c>
      <c r="D7776" s="8"/>
      <c r="E7776" s="8">
        <v>111445</v>
      </c>
      <c r="F7776" s="8"/>
      <c r="G7776" s="15" t="s">
        <v>10</v>
      </c>
      <c r="H7776" s="15" t="s">
        <v>10</v>
      </c>
      <c r="I7776" s="15" t="s">
        <v>10</v>
      </c>
      <c r="J7776" s="15" t="s">
        <v>10</v>
      </c>
      <c r="K7776" s="15" t="s">
        <v>10</v>
      </c>
      <c r="L7776" s="15" t="s">
        <v>10</v>
      </c>
      <c r="M7776" s="15">
        <v>0.52948835662697169</v>
      </c>
      <c r="N7776" s="15">
        <v>0.52948835662697169</v>
      </c>
      <c r="O7776" s="15" t="s">
        <v>10</v>
      </c>
      <c r="P7776" s="15" t="s">
        <v>10</v>
      </c>
      <c r="Q7776" s="8"/>
      <c r="R7776" s="9" t="s">
        <v>7267</v>
      </c>
    </row>
    <row r="7777" spans="1:18" x14ac:dyDescent="0.25">
      <c r="A7777" s="6" t="str">
        <f>HYPERLINK("proteomic_fractions_linear_files/Yang_linear_img/6678435.jpg", "6678435")</f>
        <v>6678435</v>
      </c>
      <c r="B7777" s="7"/>
      <c r="C7777" s="6" t="str">
        <f>HYPERLINK("http://www.ncbi.nlm.nih.gov/protein/6678435","Trpc5")</f>
        <v>Trpc5</v>
      </c>
      <c r="D7777" s="8"/>
      <c r="E7777" s="8">
        <v>111328</v>
      </c>
      <c r="F7777" s="8"/>
      <c r="G7777" s="15" t="s">
        <v>10</v>
      </c>
      <c r="H7777" s="15" t="s">
        <v>10</v>
      </c>
      <c r="I7777" s="15" t="s">
        <v>10</v>
      </c>
      <c r="J7777" s="15" t="s">
        <v>10</v>
      </c>
      <c r="K7777" s="15" t="s">
        <v>10</v>
      </c>
      <c r="L7777" s="15" t="s">
        <v>10</v>
      </c>
      <c r="M7777" s="15">
        <v>0.52948835662697169</v>
      </c>
      <c r="N7777" s="15">
        <v>0.52948835662697169</v>
      </c>
      <c r="O7777" s="15" t="s">
        <v>10</v>
      </c>
      <c r="P7777" s="15" t="s">
        <v>10</v>
      </c>
      <c r="Q7777" s="8"/>
      <c r="R7777" s="9" t="s">
        <v>7268</v>
      </c>
    </row>
    <row r="7778" spans="1:18" x14ac:dyDescent="0.25">
      <c r="A7778" s="6" t="str">
        <f>HYPERLINK("proteomic_fractions_linear_files/Yang_linear_img/157824093.jpg", "157824093")</f>
        <v>157824093</v>
      </c>
      <c r="B7778" s="7"/>
      <c r="C7778" s="6" t="str">
        <f>HYPERLINK("http://www.ncbi.nlm.nih.gov/protein/157824093","Trpm4")</f>
        <v>Trpm4</v>
      </c>
      <c r="D7778" s="8"/>
      <c r="E7778" s="8">
        <v>135630</v>
      </c>
      <c r="F7778" s="8"/>
      <c r="G7778" s="15" t="s">
        <v>10</v>
      </c>
      <c r="H7778" s="15" t="s">
        <v>10</v>
      </c>
      <c r="I7778" s="15" t="s">
        <v>10</v>
      </c>
      <c r="J7778" s="15" t="s">
        <v>10</v>
      </c>
      <c r="K7778" s="15">
        <v>1.3732781738230908</v>
      </c>
      <c r="L7778" s="15">
        <v>1.3732781738230908</v>
      </c>
      <c r="M7778" s="15" t="s">
        <v>10</v>
      </c>
      <c r="N7778" s="15" t="s">
        <v>10</v>
      </c>
      <c r="O7778" s="15" t="s">
        <v>10</v>
      </c>
      <c r="P7778" s="15" t="s">
        <v>10</v>
      </c>
      <c r="Q7778" s="8"/>
      <c r="R7778" s="9" t="s">
        <v>7269</v>
      </c>
    </row>
    <row r="7779" spans="1:18" x14ac:dyDescent="0.25">
      <c r="A7779" s="6" t="str">
        <f>HYPERLINK("proteomic_fractions_linear_files/Yang_linear_img/224994263.jpg", "224994263")</f>
        <v>224994263</v>
      </c>
      <c r="B7779" s="7"/>
      <c r="C7779" s="6" t="str">
        <f>HYPERLINK("http://www.ncbi.nlm.nih.gov/protein/224994263","Trpt1")</f>
        <v>Trpt1</v>
      </c>
      <c r="D7779" s="8"/>
      <c r="E7779" s="8">
        <v>27222</v>
      </c>
      <c r="F7779" s="8"/>
      <c r="G7779" s="15" t="s">
        <v>10</v>
      </c>
      <c r="H7779" s="15" t="s">
        <v>10</v>
      </c>
      <c r="I7779" s="15" t="s">
        <v>10</v>
      </c>
      <c r="J7779" s="15" t="s">
        <v>10</v>
      </c>
      <c r="K7779" s="15">
        <v>0.96852807834907406</v>
      </c>
      <c r="L7779" s="15">
        <v>0.96852807834907406</v>
      </c>
      <c r="M7779" s="15">
        <v>0.90943780049173761</v>
      </c>
      <c r="N7779" s="15">
        <v>0.90943780049173761</v>
      </c>
      <c r="O7779" s="15" t="s">
        <v>10</v>
      </c>
      <c r="P7779" s="15" t="s">
        <v>10</v>
      </c>
      <c r="Q7779" s="8"/>
      <c r="R7779" s="9" t="s">
        <v>7270</v>
      </c>
    </row>
    <row r="7780" spans="1:18" x14ac:dyDescent="0.25">
      <c r="A7780" s="6" t="str">
        <f>HYPERLINK("proteomic_fractions_linear_files/Yang_linear_img/269784723.jpg", "269784723")</f>
        <v>269784723</v>
      </c>
      <c r="B7780" s="7"/>
      <c r="C7780" s="6" t="str">
        <f>HYPERLINK("http://www.ncbi.nlm.nih.gov/protein/269784723","Trpv4")</f>
        <v>Trpv4</v>
      </c>
      <c r="D7780" s="8"/>
      <c r="E7780" s="8">
        <v>97896</v>
      </c>
      <c r="F7780" s="8"/>
      <c r="G7780" s="15">
        <v>1.5658456238392024</v>
      </c>
      <c r="H7780" s="15">
        <v>1.5658456238392024</v>
      </c>
      <c r="I7780" s="15">
        <v>0.96906103247535214</v>
      </c>
      <c r="J7780" s="15">
        <v>0.96906103247535214</v>
      </c>
      <c r="K7780" s="15">
        <v>1.3134860014807854</v>
      </c>
      <c r="L7780" s="15">
        <v>1.3134860014807854</v>
      </c>
      <c r="M7780" s="15" t="s">
        <v>10</v>
      </c>
      <c r="N7780" s="15" t="s">
        <v>10</v>
      </c>
      <c r="O7780" s="15" t="s">
        <v>10</v>
      </c>
      <c r="P7780" s="15" t="s">
        <v>10</v>
      </c>
      <c r="Q7780" s="8"/>
      <c r="R7780" s="9" t="s">
        <v>7271</v>
      </c>
    </row>
    <row r="7781" spans="1:18" x14ac:dyDescent="0.25">
      <c r="A7781" s="6" t="str">
        <f>HYPERLINK("proteomic_fractions_linear_files/Yang_linear_img/124486949.jpg", "124486949")</f>
        <v>124486949</v>
      </c>
      <c r="B7781" s="7"/>
      <c r="C7781" s="6" t="str">
        <f>HYPERLINK("http://www.ncbi.nlm.nih.gov/protein/124486949","Trrap")</f>
        <v>Trrap</v>
      </c>
      <c r="D7781" s="8"/>
      <c r="E7781" s="8">
        <v>435672</v>
      </c>
      <c r="F7781" s="8"/>
      <c r="G7781" s="15">
        <v>0.69216358861582283</v>
      </c>
      <c r="H7781" s="15">
        <v>0.69216358861582283</v>
      </c>
      <c r="I7781" s="15" t="s">
        <v>10</v>
      </c>
      <c r="J7781" s="15" t="s">
        <v>10</v>
      </c>
      <c r="K7781" s="15" t="s">
        <v>10</v>
      </c>
      <c r="L7781" s="15" t="s">
        <v>10</v>
      </c>
      <c r="M7781" s="15" t="s">
        <v>10</v>
      </c>
      <c r="N7781" s="15" t="s">
        <v>10</v>
      </c>
      <c r="O7781" s="15" t="s">
        <v>10</v>
      </c>
      <c r="P7781" s="15" t="s">
        <v>10</v>
      </c>
      <c r="Q7781" s="8"/>
      <c r="R7781" s="9" t="s">
        <v>7272</v>
      </c>
    </row>
    <row r="7782" spans="1:18" x14ac:dyDescent="0.25">
      <c r="A7782" s="6" t="str">
        <f>HYPERLINK("proteomic_fractions_linear_files/Yang_linear_img/21312414.jpg", "21312414")</f>
        <v>21312414</v>
      </c>
      <c r="B7782" s="7"/>
      <c r="C7782" s="6" t="str">
        <f>HYPERLINK("http://www.ncbi.nlm.nih.gov/protein/21312414","Trub1")</f>
        <v>Trub1</v>
      </c>
      <c r="D7782" s="8"/>
      <c r="E7782" s="8">
        <v>36217</v>
      </c>
      <c r="F7782" s="8"/>
      <c r="G7782" s="15" t="s">
        <v>10</v>
      </c>
      <c r="H7782" s="15" t="s">
        <v>10</v>
      </c>
      <c r="I7782" s="15" t="s">
        <v>10</v>
      </c>
      <c r="J7782" s="15" t="s">
        <v>10</v>
      </c>
      <c r="K7782" s="15">
        <v>1.125203283422854</v>
      </c>
      <c r="L7782" s="15">
        <v>1.125203283422854</v>
      </c>
      <c r="M7782" s="15" t="s">
        <v>10</v>
      </c>
      <c r="N7782" s="15" t="s">
        <v>10</v>
      </c>
      <c r="O7782" s="15">
        <v>0.95981601473542177</v>
      </c>
      <c r="P7782" s="15">
        <v>0.95981601473542177</v>
      </c>
      <c r="Q7782" s="8"/>
      <c r="R7782" s="9" t="s">
        <v>7273</v>
      </c>
    </row>
    <row r="7783" spans="1:18" x14ac:dyDescent="0.25">
      <c r="A7783" s="6" t="str">
        <f>HYPERLINK("proteomic_fractions_linear_files/Yang_linear_img/268607501.jpg", "268607501")</f>
        <v>268607501</v>
      </c>
      <c r="B7783" s="7"/>
      <c r="C7783" s="6" t="str">
        <f>HYPERLINK("http://www.ncbi.nlm.nih.gov/protein/268607501","Trub1")</f>
        <v>Trub1</v>
      </c>
      <c r="D7783" s="8"/>
      <c r="E7783" s="8">
        <v>25965</v>
      </c>
      <c r="F7783" s="8"/>
      <c r="G7783" s="15" t="s">
        <v>10</v>
      </c>
      <c r="H7783" s="15" t="s">
        <v>10</v>
      </c>
      <c r="I7783" s="15" t="s">
        <v>10</v>
      </c>
      <c r="J7783" s="15" t="s">
        <v>10</v>
      </c>
      <c r="K7783" s="15">
        <v>1.5579737770470286</v>
      </c>
      <c r="L7783" s="15">
        <v>1.5579737770470286</v>
      </c>
      <c r="M7783" s="15" t="s">
        <v>10</v>
      </c>
      <c r="N7783" s="15" t="s">
        <v>10</v>
      </c>
      <c r="O7783" s="15">
        <v>1.3289760204028918</v>
      </c>
      <c r="P7783" s="15">
        <v>1.3289760204028918</v>
      </c>
      <c r="Q7783" s="8"/>
      <c r="R7783" s="9" t="s">
        <v>7274</v>
      </c>
    </row>
    <row r="7784" spans="1:18" x14ac:dyDescent="0.25">
      <c r="A7784" s="6" t="str">
        <f>HYPERLINK("proteomic_fractions_linear_files/Yang_linear_img/224994213.jpg", "224994213")</f>
        <v>224994213</v>
      </c>
      <c r="B7784" s="7"/>
      <c r="C7784" s="6" t="str">
        <f>HYPERLINK("http://www.ncbi.nlm.nih.gov/protein/224994213","Trub2")</f>
        <v>Trub2</v>
      </c>
      <c r="D7784" s="8"/>
      <c r="E7784" s="8">
        <v>36676</v>
      </c>
      <c r="F7784" s="8"/>
      <c r="G7784" s="15" t="s">
        <v>10</v>
      </c>
      <c r="H7784" s="15" t="s">
        <v>10</v>
      </c>
      <c r="I7784" s="15">
        <v>0.93387504136419419</v>
      </c>
      <c r="J7784" s="15">
        <v>0.93387504136419419</v>
      </c>
      <c r="K7784" s="15" t="s">
        <v>10</v>
      </c>
      <c r="L7784" s="15" t="s">
        <v>10</v>
      </c>
      <c r="M7784" s="15" t="s">
        <v>10</v>
      </c>
      <c r="N7784" s="15" t="s">
        <v>10</v>
      </c>
      <c r="O7784" s="15" t="s">
        <v>10</v>
      </c>
      <c r="P7784" s="15" t="s">
        <v>10</v>
      </c>
      <c r="Q7784" s="8"/>
      <c r="R7784" s="9" t="s">
        <v>7275</v>
      </c>
    </row>
    <row r="7785" spans="1:18" x14ac:dyDescent="0.25">
      <c r="A7785" s="6" t="str">
        <f>HYPERLINK("proteomic_fractions_linear_files/Yang_linear_img/79750409.jpg", "79750409")</f>
        <v>79750409</v>
      </c>
      <c r="B7785" s="7"/>
      <c r="C7785" s="6" t="str">
        <f>HYPERLINK("http://www.ncbi.nlm.nih.gov/protein/79750409","Tsc1")</f>
        <v>Tsc1</v>
      </c>
      <c r="D7785" s="8"/>
      <c r="E7785" s="8">
        <v>128544</v>
      </c>
      <c r="F7785" s="8"/>
      <c r="G7785" s="15" t="s">
        <v>10</v>
      </c>
      <c r="H7785" s="15" t="s">
        <v>10</v>
      </c>
      <c r="I7785" s="15" t="s">
        <v>10</v>
      </c>
      <c r="J7785" s="15" t="s">
        <v>10</v>
      </c>
      <c r="K7785" s="15" t="s">
        <v>10</v>
      </c>
      <c r="L7785" s="15" t="s">
        <v>10</v>
      </c>
      <c r="M7785" s="15">
        <v>1.4477971444956617</v>
      </c>
      <c r="N7785" s="15">
        <v>1.4477971444956617</v>
      </c>
      <c r="O7785" s="15">
        <v>1.4477971444956617</v>
      </c>
      <c r="P7785" s="15">
        <v>1.4477971444956617</v>
      </c>
      <c r="Q7785" s="8"/>
      <c r="R7785" s="9" t="s">
        <v>7276</v>
      </c>
    </row>
    <row r="7786" spans="1:18" x14ac:dyDescent="0.25">
      <c r="A7786" s="6" t="str">
        <f>HYPERLINK("proteomic_fractions_linear_files/Yang_linear_img/86439987.jpg", "86439987")</f>
        <v>86439987</v>
      </c>
      <c r="B7786" s="7"/>
      <c r="C7786" s="6" t="str">
        <f>HYPERLINK("http://www.ncbi.nlm.nih.gov/protein/86439987","Tsc2")</f>
        <v>Tsc2</v>
      </c>
      <c r="D7786" s="8"/>
      <c r="E7786" s="8">
        <v>198720</v>
      </c>
      <c r="F7786" s="8"/>
      <c r="G7786" s="15" t="s">
        <v>10</v>
      </c>
      <c r="H7786" s="15" t="s">
        <v>10</v>
      </c>
      <c r="I7786" s="15" t="s">
        <v>10</v>
      </c>
      <c r="J7786" s="15" t="s">
        <v>10</v>
      </c>
      <c r="K7786" s="15">
        <v>0.47722603609338948</v>
      </c>
      <c r="L7786" s="15">
        <v>0.47722603609338948</v>
      </c>
      <c r="M7786" s="15">
        <v>1.1726675760193421</v>
      </c>
      <c r="N7786" s="15">
        <v>1.1726675760193421</v>
      </c>
      <c r="O7786" s="15" t="s">
        <v>10</v>
      </c>
      <c r="P7786" s="15" t="s">
        <v>10</v>
      </c>
      <c r="Q7786" s="8"/>
      <c r="R7786" s="9" t="s">
        <v>7277</v>
      </c>
    </row>
    <row r="7787" spans="1:18" x14ac:dyDescent="0.25">
      <c r="A7787" s="6" t="str">
        <f>HYPERLINK("proteomic_fractions_linear_files/Yang_linear_img/86439992.jpg", "86439992")</f>
        <v>86439992</v>
      </c>
      <c r="B7787" s="7"/>
      <c r="C7787" s="6" t="str">
        <f>HYPERLINK("http://www.ncbi.nlm.nih.gov/protein/86439992","Tsc2")</f>
        <v>Tsc2</v>
      </c>
      <c r="D7787" s="8"/>
      <c r="E7787" s="8">
        <v>193969</v>
      </c>
      <c r="F7787" s="8"/>
      <c r="G7787" s="15" t="s">
        <v>10</v>
      </c>
      <c r="H7787" s="15" t="s">
        <v>10</v>
      </c>
      <c r="I7787" s="15" t="s">
        <v>10</v>
      </c>
      <c r="J7787" s="15" t="s">
        <v>10</v>
      </c>
      <c r="K7787" s="15">
        <v>0.4895256761988892</v>
      </c>
      <c r="L7787" s="15">
        <v>0.4895256761988892</v>
      </c>
      <c r="M7787" s="15">
        <v>1.2028909671538612</v>
      </c>
      <c r="N7787" s="15">
        <v>1.2028909671538612</v>
      </c>
      <c r="O7787" s="15" t="s">
        <v>10</v>
      </c>
      <c r="P7787" s="15" t="s">
        <v>10</v>
      </c>
      <c r="Q7787" s="8"/>
      <c r="R7787" s="9" t="s">
        <v>7278</v>
      </c>
    </row>
    <row r="7788" spans="1:18" x14ac:dyDescent="0.25">
      <c r="A7788" s="6" t="str">
        <f>HYPERLINK("proteomic_fractions_linear_files/Yang_linear_img/295293202.jpg", "295293202")</f>
        <v>295293202</v>
      </c>
      <c r="B7788" s="7"/>
      <c r="C7788" s="6" t="str">
        <f>HYPERLINK("http://www.ncbi.nlm.nih.gov/protein/295293202","Tsc22d1")</f>
        <v>Tsc22d1</v>
      </c>
      <c r="D7788" s="8"/>
      <c r="E7788" s="8">
        <v>109680</v>
      </c>
      <c r="F7788" s="8"/>
      <c r="G7788" s="15" t="s">
        <v>10</v>
      </c>
      <c r="H7788" s="15" t="s">
        <v>10</v>
      </c>
      <c r="I7788" s="15">
        <v>0.13197703383518497</v>
      </c>
      <c r="J7788" s="15">
        <v>0.13197703383518497</v>
      </c>
      <c r="K7788" s="15">
        <v>0.13814852994376622</v>
      </c>
      <c r="L7788" s="15">
        <v>0.13814852994376622</v>
      </c>
      <c r="M7788" s="15" t="s">
        <v>10</v>
      </c>
      <c r="N7788" s="15" t="s">
        <v>10</v>
      </c>
      <c r="O7788" s="15">
        <v>0.1447949253016525</v>
      </c>
      <c r="P7788" s="15">
        <v>0.12088240020910486</v>
      </c>
      <c r="Q7788" s="8"/>
      <c r="R7788" s="9" t="s">
        <v>7279</v>
      </c>
    </row>
    <row r="7789" spans="1:18" x14ac:dyDescent="0.25">
      <c r="A7789" s="6" t="str">
        <f>HYPERLINK("proteomic_fractions_linear_files/Yang_linear_img/295293205.jpg", "295293205")</f>
        <v>295293205</v>
      </c>
      <c r="B7789" s="7"/>
      <c r="C7789" s="6" t="str">
        <f>HYPERLINK("http://www.ncbi.nlm.nih.gov/protein/295293205","Tsc22d1")</f>
        <v>Tsc22d1</v>
      </c>
      <c r="D7789" s="8"/>
      <c r="E7789" s="8">
        <v>11343</v>
      </c>
      <c r="F7789" s="8"/>
      <c r="G7789" s="15" t="s">
        <v>10</v>
      </c>
      <c r="H7789" s="15" t="s">
        <v>10</v>
      </c>
      <c r="I7789" s="15">
        <v>1.3197703383518498</v>
      </c>
      <c r="J7789" s="15">
        <v>1.3197703383518498</v>
      </c>
      <c r="K7789" s="15">
        <v>1.3814852994376623</v>
      </c>
      <c r="L7789" s="15">
        <v>1.3814852994376623</v>
      </c>
      <c r="M7789" s="15" t="s">
        <v>10</v>
      </c>
      <c r="N7789" s="15" t="s">
        <v>10</v>
      </c>
      <c r="O7789" s="15">
        <v>1.447949253016525</v>
      </c>
      <c r="P7789" s="15">
        <v>1.2088240020910486</v>
      </c>
      <c r="Q7789" s="8"/>
      <c r="R7789" s="9" t="s">
        <v>7280</v>
      </c>
    </row>
    <row r="7790" spans="1:18" x14ac:dyDescent="0.25">
      <c r="A7790" s="6" t="str">
        <f>HYPERLINK("proteomic_fractions_linear_files/Yang_linear_img/6678315.jpg", "6678315")</f>
        <v>6678315</v>
      </c>
      <c r="B7790" s="7"/>
      <c r="C7790" s="6" t="str">
        <f>HYPERLINK("http://www.ncbi.nlm.nih.gov/protein/6678315","Tsc22d1")</f>
        <v>Tsc22d1</v>
      </c>
      <c r="D7790" s="8"/>
      <c r="E7790" s="8">
        <v>15451</v>
      </c>
      <c r="F7790" s="8"/>
      <c r="G7790" s="15" t="s">
        <v>10</v>
      </c>
      <c r="H7790" s="15" t="s">
        <v>10</v>
      </c>
      <c r="I7790" s="15">
        <v>0.96783158145802317</v>
      </c>
      <c r="J7790" s="15">
        <v>0.96783158145802317</v>
      </c>
      <c r="K7790" s="15">
        <v>1.0130892195876191</v>
      </c>
      <c r="L7790" s="15">
        <v>1.0130892195876191</v>
      </c>
      <c r="M7790" s="15">
        <v>1.1144316347071348</v>
      </c>
      <c r="N7790" s="15">
        <v>1.1144316347071348</v>
      </c>
      <c r="O7790" s="15">
        <v>1.0618294522121183</v>
      </c>
      <c r="P7790" s="15">
        <v>0.88647093486676887</v>
      </c>
      <c r="Q7790" s="8"/>
      <c r="R7790" s="9" t="s">
        <v>7281</v>
      </c>
    </row>
    <row r="7791" spans="1:18" x14ac:dyDescent="0.25">
      <c r="A7791" s="6" t="str">
        <f>HYPERLINK("proteomic_fractions_linear_files/Yang_linear_img/124487001.jpg", "124487001")</f>
        <v>124487001</v>
      </c>
      <c r="B7791" s="7"/>
      <c r="C7791" s="6" t="str">
        <f>HYPERLINK("http://www.ncbi.nlm.nih.gov/protein/124487001","Tsc22d2")</f>
        <v>Tsc22d2</v>
      </c>
      <c r="D7791" s="8"/>
      <c r="E7791" s="8">
        <v>78066</v>
      </c>
      <c r="F7791" s="8"/>
      <c r="G7791" s="15" t="s">
        <v>10</v>
      </c>
      <c r="H7791" s="15" t="s">
        <v>10</v>
      </c>
      <c r="I7791" s="15" t="s">
        <v>10</v>
      </c>
      <c r="J7791" s="15" t="s">
        <v>10</v>
      </c>
      <c r="K7791" s="15" t="s">
        <v>10</v>
      </c>
      <c r="L7791" s="15" t="s">
        <v>10</v>
      </c>
      <c r="M7791" s="15" t="s">
        <v>10</v>
      </c>
      <c r="N7791" s="15" t="s">
        <v>10</v>
      </c>
      <c r="O7791" s="15">
        <v>1.4077123566811727</v>
      </c>
      <c r="P7791" s="15">
        <v>1.4077123566811727</v>
      </c>
      <c r="Q7791" s="8"/>
      <c r="R7791" s="9" t="s">
        <v>7282</v>
      </c>
    </row>
    <row r="7792" spans="1:18" x14ac:dyDescent="0.25">
      <c r="A7792" s="6" t="str">
        <f>HYPERLINK("proteomic_fractions_linear_files/Yang_linear_img/116517338.jpg", "116517338")</f>
        <v>116517338</v>
      </c>
      <c r="B7792" s="7"/>
      <c r="C7792" s="6" t="str">
        <f>HYPERLINK("http://www.ncbi.nlm.nih.gov/protein/116517338","Tsc22d3")</f>
        <v>Tsc22d3</v>
      </c>
      <c r="D7792" s="8"/>
      <c r="E7792" s="8">
        <v>22434</v>
      </c>
      <c r="F7792" s="8"/>
      <c r="G7792" s="15" t="s">
        <v>10</v>
      </c>
      <c r="H7792" s="15" t="s">
        <v>10</v>
      </c>
      <c r="I7792" s="15" t="s">
        <v>10</v>
      </c>
      <c r="J7792" s="15" t="s">
        <v>10</v>
      </c>
      <c r="K7792" s="15" t="s">
        <v>10</v>
      </c>
      <c r="L7792" s="15" t="s">
        <v>10</v>
      </c>
      <c r="M7792" s="15" t="s">
        <v>10</v>
      </c>
      <c r="N7792" s="15" t="s">
        <v>10</v>
      </c>
      <c r="O7792" s="15">
        <v>1.1161282096944054</v>
      </c>
      <c r="P7792" s="15">
        <v>1.1161282096944054</v>
      </c>
      <c r="Q7792" s="8"/>
      <c r="R7792" s="9" t="s">
        <v>7283</v>
      </c>
    </row>
    <row r="7793" spans="1:18" x14ac:dyDescent="0.25">
      <c r="A7793" s="6" t="str">
        <f>HYPERLINK("proteomic_fractions_linear_files/Yang_linear_img/116517342.jpg", "116517342")</f>
        <v>116517342</v>
      </c>
      <c r="B7793" s="7"/>
      <c r="C7793" s="6" t="str">
        <f>HYPERLINK("http://www.ncbi.nlm.nih.gov/protein/116517342","Tsc22d3")</f>
        <v>Tsc22d3</v>
      </c>
      <c r="D7793" s="8"/>
      <c r="E7793" s="8">
        <v>15046</v>
      </c>
      <c r="F7793" s="8"/>
      <c r="G7793" s="15" t="s">
        <v>10</v>
      </c>
      <c r="H7793" s="15" t="s">
        <v>10</v>
      </c>
      <c r="I7793" s="15" t="s">
        <v>10</v>
      </c>
      <c r="J7793" s="15" t="s">
        <v>10</v>
      </c>
      <c r="K7793" s="15" t="s">
        <v>10</v>
      </c>
      <c r="L7793" s="15" t="s">
        <v>10</v>
      </c>
      <c r="M7793" s="15" t="s">
        <v>10</v>
      </c>
      <c r="N7793" s="15" t="s">
        <v>10</v>
      </c>
      <c r="O7793" s="15">
        <v>1.0618294522121183</v>
      </c>
      <c r="P7793" s="15">
        <v>1.0618294522121183</v>
      </c>
      <c r="Q7793" s="8"/>
      <c r="R7793" s="9" t="s">
        <v>7284</v>
      </c>
    </row>
    <row r="7794" spans="1:18" x14ac:dyDescent="0.25">
      <c r="A7794" s="6" t="str">
        <f>HYPERLINK("proteomic_fractions_linear_files/Yang_linear_img/356995846.jpg", "356995846")</f>
        <v>356995846</v>
      </c>
      <c r="B7794" s="7"/>
      <c r="C7794" s="6" t="str">
        <f>HYPERLINK("http://www.ncbi.nlm.nih.gov/protein/356995846","Tsc22d4")</f>
        <v>Tsc22d4</v>
      </c>
      <c r="D7794" s="8"/>
      <c r="E7794" s="8">
        <v>54312</v>
      </c>
      <c r="F7794" s="8"/>
      <c r="G7794" s="15" t="s">
        <v>10</v>
      </c>
      <c r="H7794" s="15" t="s">
        <v>10</v>
      </c>
      <c r="I7794" s="15" t="s">
        <v>10</v>
      </c>
      <c r="J7794" s="15" t="s">
        <v>10</v>
      </c>
      <c r="K7794" s="15" t="s">
        <v>10</v>
      </c>
      <c r="L7794" s="15" t="s">
        <v>10</v>
      </c>
      <c r="M7794" s="15" t="s">
        <v>10</v>
      </c>
      <c r="N7794" s="15" t="s">
        <v>10</v>
      </c>
      <c r="O7794" s="15">
        <v>0.69150604487267764</v>
      </c>
      <c r="P7794" s="15">
        <v>0.69150604487267764</v>
      </c>
      <c r="Q7794" s="8"/>
      <c r="R7794" s="9" t="s">
        <v>7285</v>
      </c>
    </row>
    <row r="7795" spans="1:18" x14ac:dyDescent="0.25">
      <c r="A7795" s="6" t="str">
        <f>HYPERLINK("proteomic_fractions_linear_files/Yang_linear_img/75750501.jpg", "75750501")</f>
        <v>75750501</v>
      </c>
      <c r="B7795" s="7"/>
      <c r="C7795" s="6" t="str">
        <f>HYPERLINK("http://www.ncbi.nlm.nih.gov/protein/75750501","Tsc22d4")</f>
        <v>Tsc22d4</v>
      </c>
      <c r="D7795" s="8"/>
      <c r="E7795" s="8">
        <v>39848</v>
      </c>
      <c r="F7795" s="8"/>
      <c r="G7795" s="15" t="s">
        <v>10</v>
      </c>
      <c r="H7795" s="15" t="s">
        <v>10</v>
      </c>
      <c r="I7795" s="15" t="s">
        <v>10</v>
      </c>
      <c r="J7795" s="15" t="s">
        <v>10</v>
      </c>
      <c r="K7795" s="15" t="s">
        <v>10</v>
      </c>
      <c r="L7795" s="15" t="s">
        <v>10</v>
      </c>
      <c r="M7795" s="15" t="s">
        <v>10</v>
      </c>
      <c r="N7795" s="15" t="s">
        <v>10</v>
      </c>
      <c r="O7795" s="15">
        <v>0.93353316057811475</v>
      </c>
      <c r="P7795" s="15">
        <v>0.93353316057811475</v>
      </c>
      <c r="Q7795" s="8"/>
      <c r="R7795" s="9" t="s">
        <v>7286</v>
      </c>
    </row>
    <row r="7796" spans="1:18" x14ac:dyDescent="0.25">
      <c r="A7796" s="6" t="str">
        <f>HYPERLINK("proteomic_fractions_linear_files/Yang_linear_img/228008361.jpg", "228008361")</f>
        <v>228008361</v>
      </c>
      <c r="B7796" s="7"/>
      <c r="C7796" s="6" t="str">
        <f>HYPERLINK("http://www.ncbi.nlm.nih.gov/protein/228008361","Tsen15")</f>
        <v>Tsen15</v>
      </c>
      <c r="D7796" s="8"/>
      <c r="E7796" s="8">
        <v>18398</v>
      </c>
      <c r="F7796" s="8"/>
      <c r="G7796" s="15" t="s">
        <v>10</v>
      </c>
      <c r="H7796" s="15" t="s">
        <v>10</v>
      </c>
      <c r="I7796" s="15">
        <v>1.0275166202535602</v>
      </c>
      <c r="J7796" s="15">
        <v>1.0275166202535602</v>
      </c>
      <c r="K7796" s="15" t="s">
        <v>10</v>
      </c>
      <c r="L7796" s="15" t="s">
        <v>10</v>
      </c>
      <c r="M7796" s="15">
        <v>1.0275166202535602</v>
      </c>
      <c r="N7796" s="15">
        <v>1.0275166202535602</v>
      </c>
      <c r="O7796" s="15">
        <v>0.97610776474216487</v>
      </c>
      <c r="P7796" s="15">
        <v>0.97610776474216487</v>
      </c>
      <c r="Q7796" s="8"/>
      <c r="R7796" s="9" t="s">
        <v>7287</v>
      </c>
    </row>
    <row r="7797" spans="1:18" x14ac:dyDescent="0.25">
      <c r="A7797" s="6" t="str">
        <f>HYPERLINK("proteomic_fractions_linear_files/Yang_linear_img/255958183.jpg", "255958183")</f>
        <v>255958183</v>
      </c>
      <c r="B7797" s="7"/>
      <c r="C7797" s="6" t="str">
        <f>HYPERLINK("http://www.ncbi.nlm.nih.gov/protein/255958183","Tsen34")</f>
        <v>Tsen34</v>
      </c>
      <c r="D7797" s="8"/>
      <c r="E7797" s="8">
        <v>34065</v>
      </c>
      <c r="F7797" s="8"/>
      <c r="G7797" s="15">
        <v>1.2978114484401608</v>
      </c>
      <c r="H7797" s="15">
        <v>1.2978114484401608</v>
      </c>
      <c r="I7797" s="15" t="s">
        <v>10</v>
      </c>
      <c r="J7797" s="15" t="s">
        <v>10</v>
      </c>
      <c r="K7797" s="15" t="s">
        <v>10</v>
      </c>
      <c r="L7797" s="15" t="s">
        <v>10</v>
      </c>
      <c r="M7797" s="15" t="s">
        <v>10</v>
      </c>
      <c r="N7797" s="15" t="s">
        <v>10</v>
      </c>
      <c r="O7797" s="15" t="s">
        <v>10</v>
      </c>
      <c r="P7797" s="15" t="s">
        <v>10</v>
      </c>
      <c r="Q7797" s="8"/>
      <c r="R7797" s="9" t="s">
        <v>7288</v>
      </c>
    </row>
    <row r="7798" spans="1:18" x14ac:dyDescent="0.25">
      <c r="A7798" s="6" t="str">
        <f>HYPERLINK("proteomic_fractions_linear_files/Yang_linear_img/255958183;13195596.jpg", "255958183;13195596")</f>
        <v>255958183;13195596</v>
      </c>
      <c r="B7798" s="8"/>
      <c r="C7798" s="6" t="str">
        <f>HYPERLINK("http://www.ncbi.nlm.nih.gov/protein/255958183;13195596","Tsen34")</f>
        <v>Tsen34</v>
      </c>
      <c r="D7798" s="8"/>
      <c r="E7798" s="8">
        <v>34065</v>
      </c>
      <c r="F7798" s="8"/>
      <c r="G7798" s="15" t="s">
        <v>10</v>
      </c>
      <c r="H7798" s="15" t="s">
        <v>10</v>
      </c>
      <c r="I7798" s="15">
        <v>1.0162757803080937</v>
      </c>
      <c r="J7798" s="15">
        <v>1.0162757803080937</v>
      </c>
      <c r="K7798" s="15">
        <v>0.35979003800974579</v>
      </c>
      <c r="L7798" s="15">
        <v>0.35979003800974579</v>
      </c>
      <c r="M7798" s="15">
        <v>0.87898255563862149</v>
      </c>
      <c r="N7798" s="15">
        <v>0.87898255563862149</v>
      </c>
      <c r="O7798" s="15">
        <v>0.87898255563862149</v>
      </c>
      <c r="P7798" s="15">
        <v>0.87898255563862149</v>
      </c>
      <c r="Q7798" s="8"/>
      <c r="R7798" s="9" t="s">
        <v>7288</v>
      </c>
    </row>
    <row r="7799" spans="1:18" x14ac:dyDescent="0.25">
      <c r="A7799" s="6" t="str">
        <f>HYPERLINK("proteomic_fractions_linear_files/Yang_linear_img/255958185.jpg", "255958185")</f>
        <v>255958185</v>
      </c>
      <c r="B7799" s="7"/>
      <c r="C7799" s="6" t="str">
        <f>HYPERLINK("http://www.ncbi.nlm.nih.gov/protein/255958185","Tsen34")</f>
        <v>Tsen34</v>
      </c>
      <c r="D7799" s="8"/>
      <c r="E7799" s="8">
        <v>30833</v>
      </c>
      <c r="F7799" s="8"/>
      <c r="G7799" s="15">
        <v>1.4234061047408215</v>
      </c>
      <c r="H7799" s="15">
        <v>1.4234061047408215</v>
      </c>
      <c r="I7799" s="15">
        <v>1.0349700921204383</v>
      </c>
      <c r="J7799" s="15">
        <v>1.0349700921204383</v>
      </c>
      <c r="K7799" s="15">
        <v>0.3946084287848825</v>
      </c>
      <c r="L7799" s="15">
        <v>0.3946084287848825</v>
      </c>
      <c r="M7799" s="15">
        <v>1.1146250493701673</v>
      </c>
      <c r="N7799" s="15">
        <v>1.2045589168749868</v>
      </c>
      <c r="O7799" s="15">
        <v>0.96404538360364944</v>
      </c>
      <c r="P7799" s="15">
        <v>0.96404538360364944</v>
      </c>
      <c r="Q7799" s="8"/>
      <c r="R7799" s="9" t="s">
        <v>7289</v>
      </c>
    </row>
    <row r="7800" spans="1:18" x14ac:dyDescent="0.25">
      <c r="A7800" s="6" t="str">
        <f>HYPERLINK("proteomic_fractions_linear_files/Yang_linear_img/108389163.jpg", "108389163")</f>
        <v>108389163</v>
      </c>
      <c r="B7800" s="7"/>
      <c r="C7800" s="6" t="str">
        <f>HYPERLINK("http://www.ncbi.nlm.nih.gov/protein/108389163","Tsen54")</f>
        <v>Tsen54</v>
      </c>
      <c r="D7800" s="8"/>
      <c r="E7800" s="8">
        <v>58952</v>
      </c>
      <c r="F7800" s="8"/>
      <c r="G7800" s="15" t="s">
        <v>10</v>
      </c>
      <c r="H7800" s="15" t="s">
        <v>10</v>
      </c>
      <c r="I7800" s="15" t="s">
        <v>10</v>
      </c>
      <c r="J7800" s="15" t="s">
        <v>10</v>
      </c>
      <c r="K7800" s="15" t="s">
        <v>10</v>
      </c>
      <c r="L7800" s="15" t="s">
        <v>10</v>
      </c>
      <c r="M7800" s="15" t="s">
        <v>10</v>
      </c>
      <c r="N7800" s="15" t="s">
        <v>10</v>
      </c>
      <c r="O7800" s="15">
        <v>1.1093773445854971</v>
      </c>
      <c r="P7800" s="15">
        <v>1.1093773445854971</v>
      </c>
      <c r="Q7800" s="8"/>
      <c r="R7800" s="9" t="s">
        <v>7290</v>
      </c>
    </row>
    <row r="7801" spans="1:18" x14ac:dyDescent="0.25">
      <c r="A7801" s="6" t="str">
        <f>HYPERLINK("proteomic_fractions_linear_files/Yang_linear_img/21313468.jpg", "21313468")</f>
        <v>21313468</v>
      </c>
      <c r="B7801" s="7"/>
      <c r="C7801" s="6" t="str">
        <f>HYPERLINK("http://www.ncbi.nlm.nih.gov/protein/21313468","Tsfm")</f>
        <v>Tsfm</v>
      </c>
      <c r="D7801" s="8"/>
      <c r="E7801" s="8">
        <v>30636</v>
      </c>
      <c r="F7801" s="8"/>
      <c r="G7801" s="15">
        <v>1.2045589168749868</v>
      </c>
      <c r="H7801" s="15">
        <v>1.2045589168749868</v>
      </c>
      <c r="I7801" s="15">
        <v>0.84355671340080651</v>
      </c>
      <c r="J7801" s="15">
        <v>0.84355671340080651</v>
      </c>
      <c r="K7801" s="15" t="s">
        <v>10</v>
      </c>
      <c r="L7801" s="15" t="s">
        <v>10</v>
      </c>
      <c r="M7801" s="15" t="s">
        <v>10</v>
      </c>
      <c r="N7801" s="15" t="s">
        <v>10</v>
      </c>
      <c r="O7801" s="15" t="s">
        <v>10</v>
      </c>
      <c r="P7801" s="15" t="s">
        <v>10</v>
      </c>
      <c r="Q7801" s="8"/>
      <c r="R7801" s="9" t="s">
        <v>7291</v>
      </c>
    </row>
    <row r="7802" spans="1:18" x14ac:dyDescent="0.25">
      <c r="A7802" s="6" t="str">
        <f>HYPERLINK("proteomic_fractions_linear_files/Yang_linear_img/11230780.jpg", "11230780")</f>
        <v>11230780</v>
      </c>
      <c r="B7802" s="7"/>
      <c r="C7802" s="6" t="str">
        <f>HYPERLINK("http://www.ncbi.nlm.nih.gov/protein/11230780","Tsg101")</f>
        <v>Tsg101</v>
      </c>
      <c r="D7802" s="8"/>
      <c r="E7802" s="8">
        <v>43993</v>
      </c>
      <c r="F7802" s="8"/>
      <c r="G7802" s="15" t="s">
        <v>10</v>
      </c>
      <c r="H7802" s="15" t="s">
        <v>10</v>
      </c>
      <c r="I7802" s="15">
        <v>1.0974994451003466</v>
      </c>
      <c r="J7802" s="15">
        <v>1.0974994451003466</v>
      </c>
      <c r="K7802" s="15">
        <v>1.0974994451003466</v>
      </c>
      <c r="L7802" s="15">
        <v>1.0974994451003466</v>
      </c>
      <c r="M7802" s="15">
        <v>1.0974994451003466</v>
      </c>
      <c r="N7802" s="15">
        <v>1.0974994451003466</v>
      </c>
      <c r="O7802" s="15">
        <v>1.0028543010673969</v>
      </c>
      <c r="P7802" s="15">
        <v>1.0028543010673969</v>
      </c>
      <c r="Q7802" s="8"/>
      <c r="R7802" s="9" t="s">
        <v>7292</v>
      </c>
    </row>
    <row r="7803" spans="1:18" x14ac:dyDescent="0.25">
      <c r="A7803" s="6" t="str">
        <f>HYPERLINK("proteomic_fractions_linear_files/Yang_linear_img/6755899.jpg", "6755899")</f>
        <v>6755899</v>
      </c>
      <c r="B7803" s="7"/>
      <c r="C7803" s="6" t="str">
        <f>HYPERLINK("http://www.ncbi.nlm.nih.gov/protein/6755899","Tsn")</f>
        <v>Tsn</v>
      </c>
      <c r="D7803" s="8"/>
      <c r="E7803" s="8">
        <v>26070</v>
      </c>
      <c r="F7803" s="8"/>
      <c r="G7803" s="15">
        <v>1.2340028021435996</v>
      </c>
      <c r="H7803" s="15">
        <v>1.2340028021435996</v>
      </c>
      <c r="I7803" s="15">
        <v>0.8888297451814402</v>
      </c>
      <c r="J7803" s="15">
        <v>0.8888297451814402</v>
      </c>
      <c r="K7803" s="15">
        <v>0.94441617743372752</v>
      </c>
      <c r="L7803" s="15">
        <v>0.94441617743372752</v>
      </c>
      <c r="M7803" s="15">
        <v>0.8888297451814402</v>
      </c>
      <c r="N7803" s="15">
        <v>0.8888297451814402</v>
      </c>
      <c r="O7803" s="15">
        <v>0.79220927640985661</v>
      </c>
      <c r="P7803" s="15">
        <v>0.79220927640985661</v>
      </c>
      <c r="Q7803" s="8"/>
      <c r="R7803" s="9" t="s">
        <v>7293</v>
      </c>
    </row>
    <row r="7804" spans="1:18" x14ac:dyDescent="0.25">
      <c r="A7804" s="6" t="str">
        <f>HYPERLINK("proteomic_fractions_linear_files/Yang_linear_img/8394490.jpg", "8394490")</f>
        <v>8394490</v>
      </c>
      <c r="B7804" s="7"/>
      <c r="C7804" s="6" t="str">
        <f>HYPERLINK("http://www.ncbi.nlm.nih.gov/protein/8394490","Tsnax")</f>
        <v>Tsnax</v>
      </c>
      <c r="D7804" s="8"/>
      <c r="E7804" s="8">
        <v>32795</v>
      </c>
      <c r="F7804" s="8"/>
      <c r="G7804" s="15" t="s">
        <v>10</v>
      </c>
      <c r="H7804" s="15" t="s">
        <v>10</v>
      </c>
      <c r="I7804" s="15">
        <v>0.90561839065797367</v>
      </c>
      <c r="J7804" s="15">
        <v>0.90561839065797367</v>
      </c>
      <c r="K7804" s="15">
        <v>0.90561839065797367</v>
      </c>
      <c r="L7804" s="15">
        <v>0.90561839065797367</v>
      </c>
      <c r="M7804" s="15">
        <v>0.90561839065797367</v>
      </c>
      <c r="N7804" s="15">
        <v>0.90561839065797367</v>
      </c>
      <c r="O7804" s="15">
        <v>0.79243206410378786</v>
      </c>
      <c r="P7804" s="15">
        <v>0.79243206410378786</v>
      </c>
      <c r="Q7804" s="8"/>
      <c r="R7804" s="9" t="s">
        <v>7294</v>
      </c>
    </row>
    <row r="7805" spans="1:18" x14ac:dyDescent="0.25">
      <c r="A7805" s="6" t="str">
        <f>HYPERLINK("proteomic_fractions_linear_files/Yang_linear_img/22122345.jpg", "22122345")</f>
        <v>22122345</v>
      </c>
      <c r="B7805" s="7"/>
      <c r="C7805" s="6" t="str">
        <f>HYPERLINK("http://www.ncbi.nlm.nih.gov/protein/22122345","Tspan14")</f>
        <v>Tspan14</v>
      </c>
      <c r="D7805" s="8"/>
      <c r="E7805" s="8">
        <v>30543</v>
      </c>
      <c r="F7805" s="8"/>
      <c r="G7805" s="15" t="s">
        <v>10</v>
      </c>
      <c r="H7805" s="15" t="s">
        <v>10</v>
      </c>
      <c r="I7805" s="15">
        <v>0.7920909875250618</v>
      </c>
      <c r="J7805" s="15">
        <v>0.7920909875250618</v>
      </c>
      <c r="K7805" s="15">
        <v>0.7920909875250618</v>
      </c>
      <c r="L7805" s="15">
        <v>0.90058746121555033</v>
      </c>
      <c r="M7805" s="15">
        <v>0.7920909875250618</v>
      </c>
      <c r="N7805" s="15">
        <v>0.7920909875250618</v>
      </c>
      <c r="O7805" s="15" t="s">
        <v>10</v>
      </c>
      <c r="P7805" s="15" t="s">
        <v>10</v>
      </c>
      <c r="Q7805" s="8"/>
      <c r="R7805" s="9" t="s">
        <v>7295</v>
      </c>
    </row>
    <row r="7806" spans="1:18" x14ac:dyDescent="0.25">
      <c r="A7806" s="6" t="str">
        <f>HYPERLINK("proteomic_fractions_linear_files/Yang_linear_img/110347498.jpg", "110347498")</f>
        <v>110347498</v>
      </c>
      <c r="B7806" s="7"/>
      <c r="C7806" s="6" t="str">
        <f>HYPERLINK("http://www.ncbi.nlm.nih.gov/protein/110347498","Tspan15")</f>
        <v>Tspan15</v>
      </c>
      <c r="D7806" s="8"/>
      <c r="E7806" s="8">
        <v>32940</v>
      </c>
      <c r="F7806" s="8"/>
      <c r="G7806" s="15" t="s">
        <v>10</v>
      </c>
      <c r="H7806" s="15" t="s">
        <v>10</v>
      </c>
      <c r="I7806" s="15" t="s">
        <v>10</v>
      </c>
      <c r="J7806" s="15" t="s">
        <v>10</v>
      </c>
      <c r="K7806" s="15">
        <v>0.84600640296006246</v>
      </c>
      <c r="L7806" s="15">
        <v>0.84600640296006246</v>
      </c>
      <c r="M7806" s="15" t="s">
        <v>10</v>
      </c>
      <c r="N7806" s="15" t="s">
        <v>10</v>
      </c>
      <c r="O7806" s="15" t="s">
        <v>10</v>
      </c>
      <c r="P7806" s="15" t="s">
        <v>10</v>
      </c>
      <c r="Q7806" s="8"/>
      <c r="R7806" s="9" t="s">
        <v>7296</v>
      </c>
    </row>
    <row r="7807" spans="1:18" x14ac:dyDescent="0.25">
      <c r="A7807" s="6" t="str">
        <f>HYPERLINK("proteomic_fractions_linear_files/Yang_linear_img/13385482.jpg", "13385482")</f>
        <v>13385482</v>
      </c>
      <c r="B7807" s="7"/>
      <c r="C7807" s="6" t="str">
        <f>HYPERLINK("http://www.ncbi.nlm.nih.gov/protein/13385482","Tspan31")</f>
        <v>Tspan31</v>
      </c>
      <c r="D7807" s="8"/>
      <c r="E7807" s="8">
        <v>22563</v>
      </c>
      <c r="F7807" s="8"/>
      <c r="G7807" s="15">
        <v>2.5553568515475589</v>
      </c>
      <c r="H7807" s="15">
        <v>2.5553568515475589</v>
      </c>
      <c r="I7807" s="15">
        <v>1.9185038803028465</v>
      </c>
      <c r="J7807" s="15">
        <v>1.9185038803028465</v>
      </c>
      <c r="K7807" s="15">
        <v>2.8457940578497536</v>
      </c>
      <c r="L7807" s="15">
        <v>2.8457940578497536</v>
      </c>
      <c r="M7807" s="15" t="s">
        <v>10</v>
      </c>
      <c r="N7807" s="15" t="s">
        <v>10</v>
      </c>
      <c r="O7807" s="15" t="s">
        <v>10</v>
      </c>
      <c r="P7807" s="15" t="s">
        <v>10</v>
      </c>
      <c r="Q7807" s="8"/>
      <c r="R7807" s="9" t="s">
        <v>7297</v>
      </c>
    </row>
    <row r="7808" spans="1:18" x14ac:dyDescent="0.25">
      <c r="A7808" s="6" t="str">
        <f>HYPERLINK("proteomic_fractions_linear_files/Yang_linear_img/31560378.jpg", "31560378")</f>
        <v>31560378</v>
      </c>
      <c r="B7808" s="7"/>
      <c r="C7808" s="6" t="str">
        <f>HYPERLINK("http://www.ncbi.nlm.nih.gov/protein/31560378","Tspan6")</f>
        <v>Tspan6</v>
      </c>
      <c r="D7808" s="8"/>
      <c r="E7808" s="8">
        <v>27172</v>
      </c>
      <c r="F7808" s="8"/>
      <c r="G7808" s="15" t="s">
        <v>10</v>
      </c>
      <c r="H7808" s="15" t="s">
        <v>10</v>
      </c>
      <c r="I7808" s="15" t="s">
        <v>10</v>
      </c>
      <c r="J7808" s="15" t="s">
        <v>10</v>
      </c>
      <c r="K7808" s="15">
        <v>1.1882989946567994</v>
      </c>
      <c r="L7808" s="15">
        <v>1.1882989946567994</v>
      </c>
      <c r="M7808" s="15" t="s">
        <v>10</v>
      </c>
      <c r="N7808" s="15" t="s">
        <v>10</v>
      </c>
      <c r="O7808" s="15" t="s">
        <v>10</v>
      </c>
      <c r="P7808" s="15" t="s">
        <v>10</v>
      </c>
      <c r="Q7808" s="8"/>
      <c r="R7808" s="9" t="s">
        <v>7298</v>
      </c>
    </row>
    <row r="7809" spans="1:18" x14ac:dyDescent="0.25">
      <c r="A7809" s="6" t="str">
        <f>HYPERLINK("proteomic_fractions_linear_files/Yang_linear_img/22122475.jpg", "22122475")</f>
        <v>22122475</v>
      </c>
      <c r="B7809" s="7"/>
      <c r="C7809" s="6" t="str">
        <f>HYPERLINK("http://www.ncbi.nlm.nih.gov/protein/22122475","Tspan8")</f>
        <v>Tspan8</v>
      </c>
      <c r="D7809" s="8"/>
      <c r="E7809" s="8">
        <v>25451</v>
      </c>
      <c r="F7809" s="8"/>
      <c r="G7809" s="15">
        <v>1.6202927281289099</v>
      </c>
      <c r="H7809" s="15">
        <v>1.6202927281289099</v>
      </c>
      <c r="I7809" s="15">
        <v>1.2833629142293435</v>
      </c>
      <c r="J7809" s="15">
        <v>1.2833629142293435</v>
      </c>
      <c r="K7809" s="15">
        <v>1.3821350612190073</v>
      </c>
      <c r="L7809" s="15">
        <v>1.3821350612190073</v>
      </c>
      <c r="M7809" s="15">
        <v>1.2833629142293435</v>
      </c>
      <c r="N7809" s="15">
        <v>1.2833629142293435</v>
      </c>
      <c r="O7809" s="15" t="s">
        <v>10</v>
      </c>
      <c r="P7809" s="15" t="s">
        <v>10</v>
      </c>
      <c r="Q7809" s="8"/>
      <c r="R7809" s="9" t="s">
        <v>7299</v>
      </c>
    </row>
    <row r="7810" spans="1:18" x14ac:dyDescent="0.25">
      <c r="A7810" s="6" t="str">
        <f>HYPERLINK("proteomic_fractions_linear_files/Yang_linear_img/30425124.jpg", "30425124")</f>
        <v>30425124</v>
      </c>
      <c r="B7810" s="7"/>
      <c r="C7810" s="6" t="str">
        <f>HYPERLINK("http://www.ncbi.nlm.nih.gov/protein/30425124","Tspan9")</f>
        <v>Tspan9</v>
      </c>
      <c r="D7810" s="8"/>
      <c r="E7810" s="8">
        <v>26607</v>
      </c>
      <c r="F7810" s="8"/>
      <c r="G7810" s="15" t="s">
        <v>10</v>
      </c>
      <c r="H7810" s="15" t="s">
        <v>10</v>
      </c>
      <c r="I7810" s="15">
        <v>0.96852807834907406</v>
      </c>
      <c r="J7810" s="15">
        <v>0.96852807834907406</v>
      </c>
      <c r="K7810" s="15">
        <v>1.0340078258400762</v>
      </c>
      <c r="L7810" s="15">
        <v>1.0340078258400762</v>
      </c>
      <c r="M7810" s="15" t="s">
        <v>10</v>
      </c>
      <c r="N7810" s="15" t="s">
        <v>10</v>
      </c>
      <c r="O7810" s="15" t="s">
        <v>10</v>
      </c>
      <c r="P7810" s="15" t="s">
        <v>10</v>
      </c>
      <c r="Q7810" s="8"/>
      <c r="R7810" s="9" t="s">
        <v>7300</v>
      </c>
    </row>
    <row r="7811" spans="1:18" x14ac:dyDescent="0.25">
      <c r="A7811" s="6" t="str">
        <f>HYPERLINK("proteomic_fractions_linear_files/Yang_linear_img/6678445.jpg", "6678445")</f>
        <v>6678445</v>
      </c>
      <c r="B7811" s="7"/>
      <c r="C7811" s="6" t="str">
        <f>HYPERLINK("http://www.ncbi.nlm.nih.gov/protein/6678445","Tspyl1")</f>
        <v>Tspyl1</v>
      </c>
      <c r="D7811" s="8"/>
      <c r="E7811" s="8">
        <v>42863</v>
      </c>
      <c r="F7811" s="8"/>
      <c r="G7811" s="15" t="s">
        <v>10</v>
      </c>
      <c r="H7811" s="15" t="s">
        <v>10</v>
      </c>
      <c r="I7811" s="15" t="s">
        <v>10</v>
      </c>
      <c r="J7811" s="15" t="s">
        <v>10</v>
      </c>
      <c r="K7811" s="15">
        <v>1.2353620844186297</v>
      </c>
      <c r="L7811" s="15">
        <v>1.2353620844186297</v>
      </c>
      <c r="M7811" s="15" t="s">
        <v>10</v>
      </c>
      <c r="N7811" s="15" t="s">
        <v>10</v>
      </c>
      <c r="O7811" s="15" t="s">
        <v>10</v>
      </c>
      <c r="P7811" s="15" t="s">
        <v>10</v>
      </c>
      <c r="Q7811" s="8"/>
      <c r="R7811" s="9" t="s">
        <v>7301</v>
      </c>
    </row>
    <row r="7812" spans="1:18" x14ac:dyDescent="0.25">
      <c r="A7812" s="6" t="str">
        <f>HYPERLINK("proteomic_fractions_linear_files/Yang_linear_img/126506294.jpg", "126506294")</f>
        <v>126506294</v>
      </c>
      <c r="B7812" s="7"/>
      <c r="C7812" s="6" t="str">
        <f>HYPERLINK("http://www.ncbi.nlm.nih.gov/protein/126506294","Tsr1")</f>
        <v>Tsr1</v>
      </c>
      <c r="D7812" s="8"/>
      <c r="E7812" s="8">
        <v>91974</v>
      </c>
      <c r="F7812" s="8"/>
      <c r="G7812" s="15" t="s">
        <v>10</v>
      </c>
      <c r="H7812" s="15" t="s">
        <v>10</v>
      </c>
      <c r="I7812" s="15" t="s">
        <v>10</v>
      </c>
      <c r="J7812" s="15" t="s">
        <v>10</v>
      </c>
      <c r="K7812" s="15">
        <v>1.6679659906113244</v>
      </c>
      <c r="L7812" s="15">
        <v>1.6679659906113244</v>
      </c>
      <c r="M7812" s="15">
        <v>1.3991481320121408</v>
      </c>
      <c r="N7812" s="15">
        <v>1.3991481320121408</v>
      </c>
      <c r="O7812" s="15">
        <v>1.3991481320121408</v>
      </c>
      <c r="P7812" s="15">
        <v>1.3991481320121408</v>
      </c>
      <c r="Q7812" s="8"/>
      <c r="R7812" s="9" t="s">
        <v>7302</v>
      </c>
    </row>
    <row r="7813" spans="1:18" x14ac:dyDescent="0.25">
      <c r="A7813" s="6" t="str">
        <f>HYPERLINK("proteomic_fractions_linear_files/Yang_linear_img/257153359.jpg", "257153359")</f>
        <v>257153359</v>
      </c>
      <c r="B7813" s="7"/>
      <c r="C7813" s="6" t="str">
        <f>HYPERLINK("http://www.ncbi.nlm.nih.gov/protein/257153359","Tsr2")</f>
        <v>Tsr2</v>
      </c>
      <c r="D7813" s="8"/>
      <c r="E7813" s="8">
        <v>21248</v>
      </c>
      <c r="F7813" s="8"/>
      <c r="G7813" s="15" t="s">
        <v>10</v>
      </c>
      <c r="H7813" s="15" t="s">
        <v>10</v>
      </c>
      <c r="I7813" s="15" t="s">
        <v>10</v>
      </c>
      <c r="J7813" s="15" t="s">
        <v>10</v>
      </c>
      <c r="K7813" s="15">
        <v>1.2452503864488096</v>
      </c>
      <c r="L7813" s="15">
        <v>1.2452503864488096</v>
      </c>
      <c r="M7813" s="15">
        <v>1.2452503864488096</v>
      </c>
      <c r="N7813" s="15">
        <v>1.2452503864488096</v>
      </c>
      <c r="O7813" s="15" t="s">
        <v>10</v>
      </c>
      <c r="P7813" s="15" t="s">
        <v>10</v>
      </c>
      <c r="Q7813" s="8"/>
      <c r="R7813" s="9" t="s">
        <v>7303</v>
      </c>
    </row>
    <row r="7814" spans="1:18" x14ac:dyDescent="0.25">
      <c r="A7814" s="6" t="str">
        <f>HYPERLINK("proteomic_fractions_linear_files/Yang_linear_img/257196134.jpg", "257196134")</f>
        <v>257196134</v>
      </c>
      <c r="B7814" s="7"/>
      <c r="C7814" s="6" t="str">
        <f>HYPERLINK("http://www.ncbi.nlm.nih.gov/protein/257196134","Tsr2")</f>
        <v>Tsr2</v>
      </c>
      <c r="D7814" s="8"/>
      <c r="E7814" s="8">
        <v>20891</v>
      </c>
      <c r="F7814" s="8"/>
      <c r="G7814" s="15" t="s">
        <v>10</v>
      </c>
      <c r="H7814" s="15" t="s">
        <v>10</v>
      </c>
      <c r="I7814" s="15" t="s">
        <v>10</v>
      </c>
      <c r="J7814" s="15" t="s">
        <v>10</v>
      </c>
      <c r="K7814" s="15">
        <v>1.2452503864488096</v>
      </c>
      <c r="L7814" s="15">
        <v>1.2452503864488096</v>
      </c>
      <c r="M7814" s="15">
        <v>1.2452503864488096</v>
      </c>
      <c r="N7814" s="15">
        <v>1.2452503864488096</v>
      </c>
      <c r="O7814" s="15" t="s">
        <v>10</v>
      </c>
      <c r="P7814" s="15" t="s">
        <v>10</v>
      </c>
      <c r="Q7814" s="8"/>
      <c r="R7814" s="9" t="s">
        <v>7304</v>
      </c>
    </row>
    <row r="7815" spans="1:18" x14ac:dyDescent="0.25">
      <c r="A7815" s="6" t="str">
        <f>HYPERLINK("proteomic_fractions_linear_files/Yang_linear_img/238550175.jpg", "238550175")</f>
        <v>238550175</v>
      </c>
      <c r="B7815" s="7"/>
      <c r="C7815" s="6" t="str">
        <f>HYPERLINK("http://www.ncbi.nlm.nih.gov/protein/238550175","Tssc1")</f>
        <v>Tssc1</v>
      </c>
      <c r="D7815" s="8"/>
      <c r="E7815" s="8">
        <v>42996</v>
      </c>
      <c r="F7815" s="8"/>
      <c r="G7815" s="15" t="s">
        <v>10</v>
      </c>
      <c r="H7815" s="15" t="s">
        <v>10</v>
      </c>
      <c r="I7815" s="15">
        <v>1.2353620844186297</v>
      </c>
      <c r="J7815" s="15">
        <v>1.2353620844186297</v>
      </c>
      <c r="K7815" s="15">
        <v>1.2353620844186297</v>
      </c>
      <c r="L7815" s="15">
        <v>1.2353620844186297</v>
      </c>
      <c r="M7815" s="15">
        <v>1.2353620844186297</v>
      </c>
      <c r="N7815" s="15">
        <v>1.2353620844186297</v>
      </c>
      <c r="O7815" s="15">
        <v>1.123022688009657</v>
      </c>
      <c r="P7815" s="15">
        <v>1.123022688009657</v>
      </c>
      <c r="Q7815" s="8"/>
      <c r="R7815" s="9" t="s">
        <v>7305</v>
      </c>
    </row>
    <row r="7816" spans="1:18" x14ac:dyDescent="0.25">
      <c r="A7816" s="6" t="str">
        <f>HYPERLINK("proteomic_fractions_linear_files/Yang_linear_img/13654268.jpg", "13654268")</f>
        <v>13654268</v>
      </c>
      <c r="B7816" s="7"/>
      <c r="C7816" s="6" t="str">
        <f>HYPERLINK("http://www.ncbi.nlm.nih.gov/protein/13654268","Tsta3")</f>
        <v>Tsta3</v>
      </c>
      <c r="D7816" s="8"/>
      <c r="E7816" s="8">
        <v>35747</v>
      </c>
      <c r="F7816" s="8"/>
      <c r="G7816" s="15" t="s">
        <v>10</v>
      </c>
      <c r="H7816" s="15" t="s">
        <v>10</v>
      </c>
      <c r="I7816" s="15">
        <v>1.0372590673090165</v>
      </c>
      <c r="J7816" s="15">
        <v>1.0372590673090165</v>
      </c>
      <c r="K7816" s="15">
        <v>1.0372590673090165</v>
      </c>
      <c r="L7816" s="15">
        <v>1.0372590673090165</v>
      </c>
      <c r="M7816" s="15">
        <v>1.0372590673090165</v>
      </c>
      <c r="N7816" s="15">
        <v>1.0372590673090165</v>
      </c>
      <c r="O7816" s="15">
        <v>0.95981601473542177</v>
      </c>
      <c r="P7816" s="15">
        <v>0.95981601473542177</v>
      </c>
      <c r="Q7816" s="8"/>
      <c r="R7816" s="9" t="s">
        <v>7306</v>
      </c>
    </row>
    <row r="7817" spans="1:18" x14ac:dyDescent="0.25">
      <c r="A7817" s="6" t="str">
        <f>HYPERLINK("proteomic_fractions_linear_files/Yang_linear_img/67906805.jpg", "67906805")</f>
        <v>67906805</v>
      </c>
      <c r="B7817" s="7"/>
      <c r="C7817" s="6" t="str">
        <f>HYPERLINK("http://www.ncbi.nlm.nih.gov/protein/67906805","Ttbk2")</f>
        <v>Ttbk2</v>
      </c>
      <c r="D7817" s="8"/>
      <c r="E7817" s="8">
        <v>144327</v>
      </c>
      <c r="F7817" s="8"/>
      <c r="G7817" s="15" t="s">
        <v>10</v>
      </c>
      <c r="H7817" s="15" t="s">
        <v>10</v>
      </c>
      <c r="I7817" s="15" t="s">
        <v>10</v>
      </c>
      <c r="J7817" s="15" t="s">
        <v>10</v>
      </c>
      <c r="K7817" s="15">
        <v>0.18159901469045139</v>
      </c>
      <c r="L7817" s="15">
        <v>0.18159901469045139</v>
      </c>
      <c r="M7817" s="15" t="s">
        <v>10</v>
      </c>
      <c r="N7817" s="15" t="s">
        <v>10</v>
      </c>
      <c r="O7817" s="15" t="s">
        <v>10</v>
      </c>
      <c r="P7817" s="15" t="s">
        <v>10</v>
      </c>
      <c r="Q7817" s="8"/>
      <c r="R7817" s="9" t="s">
        <v>7307</v>
      </c>
    </row>
    <row r="7818" spans="1:18" x14ac:dyDescent="0.25">
      <c r="A7818" s="6" t="str">
        <f>HYPERLINK("proteomic_fractions_linear_files/Yang_linear_img/67906807.jpg", "67906807")</f>
        <v>67906807</v>
      </c>
      <c r="B7818" s="7"/>
      <c r="C7818" s="6" t="str">
        <f>HYPERLINK("http://www.ncbi.nlm.nih.gov/protein/67906807","Ttbk2")</f>
        <v>Ttbk2</v>
      </c>
      <c r="D7818" s="8"/>
      <c r="E7818" s="8">
        <v>136639</v>
      </c>
      <c r="F7818" s="8"/>
      <c r="G7818" s="15" t="s">
        <v>10</v>
      </c>
      <c r="H7818" s="15" t="s">
        <v>10</v>
      </c>
      <c r="I7818" s="15" t="s">
        <v>10</v>
      </c>
      <c r="J7818" s="15" t="s">
        <v>10</v>
      </c>
      <c r="K7818" s="15">
        <v>0.19087779646295622</v>
      </c>
      <c r="L7818" s="15">
        <v>0.19087779646295622</v>
      </c>
      <c r="M7818" s="15" t="s">
        <v>10</v>
      </c>
      <c r="N7818" s="15" t="s">
        <v>10</v>
      </c>
      <c r="O7818" s="15" t="s">
        <v>10</v>
      </c>
      <c r="P7818" s="15" t="s">
        <v>10</v>
      </c>
      <c r="Q7818" s="8"/>
      <c r="R7818" s="9" t="s">
        <v>7308</v>
      </c>
    </row>
    <row r="7819" spans="1:18" x14ac:dyDescent="0.25">
      <c r="A7819" s="6" t="str">
        <f>HYPERLINK("proteomic_fractions_linear_files/Yang_linear_img/20452462.jpg", "20452462")</f>
        <v>20452462</v>
      </c>
      <c r="B7819" s="7"/>
      <c r="C7819" s="6" t="str">
        <f>HYPERLINK("http://www.ncbi.nlm.nih.gov/protein/20452462","Ttc1")</f>
        <v>Ttc1</v>
      </c>
      <c r="D7819" s="8"/>
      <c r="E7819" s="8">
        <v>33132</v>
      </c>
      <c r="F7819" s="8"/>
      <c r="G7819" s="15" t="s">
        <v>10</v>
      </c>
      <c r="H7819" s="15" t="s">
        <v>10</v>
      </c>
      <c r="I7819" s="15">
        <v>1.2274944910067498</v>
      </c>
      <c r="J7819" s="15">
        <v>1.2274944910067498</v>
      </c>
      <c r="K7819" s="15">
        <v>1.2274944910067498</v>
      </c>
      <c r="L7819" s="15">
        <v>1.2274944910067498</v>
      </c>
      <c r="M7819" s="15" t="s">
        <v>10</v>
      </c>
      <c r="N7819" s="15" t="s">
        <v>10</v>
      </c>
      <c r="O7819" s="15">
        <v>1.1315553461552907</v>
      </c>
      <c r="P7819" s="15">
        <v>1.1315553461552907</v>
      </c>
      <c r="Q7819" s="8"/>
      <c r="R7819" s="9" t="s">
        <v>7309</v>
      </c>
    </row>
    <row r="7820" spans="1:18" x14ac:dyDescent="0.25">
      <c r="A7820" s="6" t="str">
        <f>HYPERLINK("proteomic_fractions_linear_files/Yang_linear_img/27370132.jpg", "27370132")</f>
        <v>27370132</v>
      </c>
      <c r="B7820" s="7"/>
      <c r="C7820" s="6" t="str">
        <f>HYPERLINK("http://www.ncbi.nlm.nih.gov/protein/27370132","Ttc12")</f>
        <v>Ttc12</v>
      </c>
      <c r="D7820" s="8"/>
      <c r="E7820" s="8">
        <v>78623</v>
      </c>
      <c r="F7820" s="8"/>
      <c r="G7820" s="15" t="s">
        <v>10</v>
      </c>
      <c r="H7820" s="15" t="s">
        <v>10</v>
      </c>
      <c r="I7820" s="15" t="s">
        <v>10</v>
      </c>
      <c r="J7820" s="15" t="s">
        <v>10</v>
      </c>
      <c r="K7820" s="15" t="s">
        <v>10</v>
      </c>
      <c r="L7820" s="15" t="s">
        <v>10</v>
      </c>
      <c r="M7820" s="15">
        <v>0.19235871257992768</v>
      </c>
      <c r="N7820" s="15">
        <v>0.19235871257992768</v>
      </c>
      <c r="O7820" s="15" t="s">
        <v>10</v>
      </c>
      <c r="P7820" s="15" t="s">
        <v>10</v>
      </c>
      <c r="Q7820" s="8"/>
      <c r="R7820" s="9" t="s">
        <v>7310</v>
      </c>
    </row>
    <row r="7821" spans="1:18" x14ac:dyDescent="0.25">
      <c r="A7821" s="6" t="str">
        <f>HYPERLINK("proteomic_fractions_linear_files/Yang_linear_img/114158711.jpg", "114158711")</f>
        <v>114158711</v>
      </c>
      <c r="B7821" s="7"/>
      <c r="C7821" s="6" t="str">
        <f>HYPERLINK("http://www.ncbi.nlm.nih.gov/protein/114158711","Ttc21b")</f>
        <v>Ttc21b</v>
      </c>
      <c r="D7821" s="8"/>
      <c r="E7821" s="8">
        <v>150664</v>
      </c>
      <c r="F7821" s="8"/>
      <c r="G7821" s="15" t="s">
        <v>10</v>
      </c>
      <c r="H7821" s="15" t="s">
        <v>10</v>
      </c>
      <c r="I7821" s="15" t="s">
        <v>10</v>
      </c>
      <c r="J7821" s="15" t="s">
        <v>10</v>
      </c>
      <c r="K7821" s="15">
        <v>1.2368598121850354</v>
      </c>
      <c r="L7821" s="15">
        <v>1.2368598121850354</v>
      </c>
      <c r="M7821" s="15" t="s">
        <v>10</v>
      </c>
      <c r="N7821" s="15" t="s">
        <v>10</v>
      </c>
      <c r="O7821" s="15" t="s">
        <v>10</v>
      </c>
      <c r="P7821" s="15" t="s">
        <v>10</v>
      </c>
      <c r="Q7821" s="8"/>
      <c r="R7821" s="9" t="s">
        <v>7311</v>
      </c>
    </row>
    <row r="7822" spans="1:18" x14ac:dyDescent="0.25">
      <c r="A7822" s="6" t="str">
        <f>HYPERLINK("proteomic_fractions_linear_files/Yang_linear_img/254281218.jpg", "254281218")</f>
        <v>254281218</v>
      </c>
      <c r="B7822" s="7"/>
      <c r="C7822" s="6" t="str">
        <f>HYPERLINK("http://www.ncbi.nlm.nih.gov/protein/254281218","Ttc23l")</f>
        <v>Ttc23l</v>
      </c>
      <c r="D7822" s="8"/>
      <c r="E7822" s="8">
        <v>51401</v>
      </c>
      <c r="F7822" s="8"/>
      <c r="G7822" s="15" t="s">
        <v>10</v>
      </c>
      <c r="H7822" s="15" t="s">
        <v>10</v>
      </c>
      <c r="I7822" s="15">
        <v>5.9173200909117405</v>
      </c>
      <c r="J7822" s="15">
        <v>5.9173200909117405</v>
      </c>
      <c r="K7822" s="15">
        <v>8.0204619164596043</v>
      </c>
      <c r="L7822" s="15">
        <v>8.0204619164596043</v>
      </c>
      <c r="M7822" s="15">
        <v>11.637113836653024</v>
      </c>
      <c r="N7822" s="15">
        <v>11.637113836653024</v>
      </c>
      <c r="O7822" s="15">
        <v>8.0204619164596043</v>
      </c>
      <c r="P7822" s="15">
        <v>8.0204619164596043</v>
      </c>
      <c r="Q7822" s="8"/>
      <c r="R7822" s="9" t="s">
        <v>7312</v>
      </c>
    </row>
    <row r="7823" spans="1:18" x14ac:dyDescent="0.25">
      <c r="A7823" s="6" t="str">
        <f>HYPERLINK("proteomic_fractions_linear_files/Yang_linear_img/42734471.jpg", "42734471")</f>
        <v>42734471</v>
      </c>
      <c r="B7823" s="7"/>
      <c r="C7823" s="6" t="str">
        <f>HYPERLINK("http://www.ncbi.nlm.nih.gov/protein/42734471","Ttc26")</f>
        <v>Ttc26</v>
      </c>
      <c r="D7823" s="8"/>
      <c r="E7823" s="8">
        <v>64020</v>
      </c>
      <c r="F7823" s="8"/>
      <c r="G7823" s="15" t="s">
        <v>10</v>
      </c>
      <c r="H7823" s="15" t="s">
        <v>10</v>
      </c>
      <c r="I7823" s="15" t="s">
        <v>10</v>
      </c>
      <c r="J7823" s="15" t="s">
        <v>10</v>
      </c>
      <c r="K7823" s="15" t="s">
        <v>10</v>
      </c>
      <c r="L7823" s="15" t="s">
        <v>10</v>
      </c>
      <c r="M7823" s="15">
        <v>0.91833136852490393</v>
      </c>
      <c r="N7823" s="15">
        <v>0.91833136852490393</v>
      </c>
      <c r="O7823" s="15" t="s">
        <v>10</v>
      </c>
      <c r="P7823" s="15" t="s">
        <v>10</v>
      </c>
      <c r="Q7823" s="8"/>
      <c r="R7823" s="9" t="s">
        <v>7313</v>
      </c>
    </row>
    <row r="7824" spans="1:18" x14ac:dyDescent="0.25">
      <c r="A7824" s="6" t="str">
        <f>HYPERLINK("proteomic_fractions_linear_files/Yang_linear_img/164519039.jpg", "164519039")</f>
        <v>164519039</v>
      </c>
      <c r="B7824" s="7"/>
      <c r="C7824" s="6" t="str">
        <f>HYPERLINK("http://www.ncbi.nlm.nih.gov/protein/164519039","Ttc27")</f>
        <v>Ttc27</v>
      </c>
      <c r="D7824" s="8"/>
      <c r="E7824" s="8">
        <v>96300</v>
      </c>
      <c r="F7824" s="8"/>
      <c r="G7824" s="15" t="s">
        <v>10</v>
      </c>
      <c r="H7824" s="15" t="s">
        <v>10</v>
      </c>
      <c r="I7824" s="15">
        <v>0.9892498039852553</v>
      </c>
      <c r="J7824" s="15">
        <v>0.9892498039852553</v>
      </c>
      <c r="K7824" s="15">
        <v>1.1437662898034529</v>
      </c>
      <c r="L7824" s="15">
        <v>1.1437662898034529</v>
      </c>
      <c r="M7824" s="15">
        <v>0.9892498039852553</v>
      </c>
      <c r="N7824" s="15">
        <v>0.9892498039852553</v>
      </c>
      <c r="O7824" s="15">
        <v>0.9892498039852553</v>
      </c>
      <c r="P7824" s="15">
        <v>0.9892498039852553</v>
      </c>
      <c r="Q7824" s="8"/>
      <c r="R7824" s="9" t="s">
        <v>7314</v>
      </c>
    </row>
    <row r="7825" spans="1:18" x14ac:dyDescent="0.25">
      <c r="A7825" s="6" t="str">
        <f>HYPERLINK("proteomic_fractions_linear_files/Yang_linear_img/154091024.jpg", "154091024")</f>
        <v>154091024</v>
      </c>
      <c r="B7825" s="7"/>
      <c r="C7825" s="6" t="str">
        <f>HYPERLINK("http://www.ncbi.nlm.nih.gov/protein/154091024","Ttc3")</f>
        <v>Ttc3</v>
      </c>
      <c r="D7825" s="8"/>
      <c r="E7825" s="8">
        <v>223779</v>
      </c>
      <c r="F7825" s="8"/>
      <c r="G7825" s="15" t="s">
        <v>10</v>
      </c>
      <c r="H7825" s="15" t="s">
        <v>10</v>
      </c>
      <c r="I7825" s="15">
        <v>1.041789498338612</v>
      </c>
      <c r="J7825" s="15">
        <v>1.041789498338612</v>
      </c>
      <c r="K7825" s="15">
        <v>1.3472469849843696</v>
      </c>
      <c r="L7825" s="15">
        <v>1.3472469849843696</v>
      </c>
      <c r="M7825" s="15">
        <v>1.3472469849843696</v>
      </c>
      <c r="N7825" s="15">
        <v>1.3472469849843696</v>
      </c>
      <c r="O7825" s="15" t="s">
        <v>10</v>
      </c>
      <c r="P7825" s="15" t="s">
        <v>10</v>
      </c>
      <c r="Q7825" s="8"/>
      <c r="R7825" s="9" t="s">
        <v>7315</v>
      </c>
    </row>
    <row r="7826" spans="1:18" x14ac:dyDescent="0.25">
      <c r="A7826" s="6" t="str">
        <f>HYPERLINK("proteomic_fractions_linear_files/Yang_linear_img/125988391.jpg", "125988391")</f>
        <v>125988391</v>
      </c>
      <c r="B7826" s="7"/>
      <c r="C7826" s="6" t="str">
        <f>HYPERLINK("http://www.ncbi.nlm.nih.gov/protein/125988391","Ttc30a1")</f>
        <v>Ttc30a1</v>
      </c>
      <c r="D7826" s="8"/>
      <c r="E7826" s="8">
        <v>76107</v>
      </c>
      <c r="F7826" s="8"/>
      <c r="G7826" s="15" t="s">
        <v>10</v>
      </c>
      <c r="H7826" s="15" t="s">
        <v>10</v>
      </c>
      <c r="I7826" s="15" t="s">
        <v>10</v>
      </c>
      <c r="J7826" s="15" t="s">
        <v>10</v>
      </c>
      <c r="K7826" s="15" t="s">
        <v>10</v>
      </c>
      <c r="L7826" s="15" t="s">
        <v>10</v>
      </c>
      <c r="M7826" s="15">
        <v>0.96626526633792431</v>
      </c>
      <c r="N7826" s="15">
        <v>0.96626526633792431</v>
      </c>
      <c r="O7826" s="15" t="s">
        <v>10</v>
      </c>
      <c r="P7826" s="15" t="s">
        <v>10</v>
      </c>
      <c r="Q7826" s="8"/>
      <c r="R7826" s="9" t="s">
        <v>7316</v>
      </c>
    </row>
    <row r="7827" spans="1:18" x14ac:dyDescent="0.25">
      <c r="A7827" s="6" t="str">
        <f>HYPERLINK("proteomic_fractions_linear_files/Yang_linear_img/124487007.jpg", "124487007")</f>
        <v>124487007</v>
      </c>
      <c r="B7827" s="7"/>
      <c r="C7827" s="6" t="str">
        <f>HYPERLINK("http://www.ncbi.nlm.nih.gov/protein/124487007","Ttc30a2")</f>
        <v>Ttc30a2</v>
      </c>
      <c r="D7827" s="8"/>
      <c r="E7827" s="8">
        <v>75989</v>
      </c>
      <c r="F7827" s="8"/>
      <c r="G7827" s="15" t="s">
        <v>10</v>
      </c>
      <c r="H7827" s="15" t="s">
        <v>10</v>
      </c>
      <c r="I7827" s="15" t="s">
        <v>10</v>
      </c>
      <c r="J7827" s="15" t="s">
        <v>10</v>
      </c>
      <c r="K7827" s="15" t="s">
        <v>10</v>
      </c>
      <c r="L7827" s="15" t="s">
        <v>10</v>
      </c>
      <c r="M7827" s="15">
        <v>0.96626526633792431</v>
      </c>
      <c r="N7827" s="15">
        <v>0.96626526633792431</v>
      </c>
      <c r="O7827" s="15" t="s">
        <v>10</v>
      </c>
      <c r="P7827" s="15" t="s">
        <v>10</v>
      </c>
      <c r="Q7827" s="8"/>
      <c r="R7827" s="9" t="s">
        <v>7317</v>
      </c>
    </row>
    <row r="7828" spans="1:18" x14ac:dyDescent="0.25">
      <c r="A7828" s="6" t="str">
        <f>HYPERLINK("proteomic_fractions_linear_files/Yang_linear_img/125988383.jpg", "125988383")</f>
        <v>125988383</v>
      </c>
      <c r="B7828" s="7"/>
      <c r="C7828" s="6" t="str">
        <f>HYPERLINK("http://www.ncbi.nlm.nih.gov/protein/125988383","Ttc30b")</f>
        <v>Ttc30b</v>
      </c>
      <c r="D7828" s="8"/>
      <c r="E7828" s="8">
        <v>75965</v>
      </c>
      <c r="F7828" s="8"/>
      <c r="G7828" s="15" t="s">
        <v>10</v>
      </c>
      <c r="H7828" s="15" t="s">
        <v>10</v>
      </c>
      <c r="I7828" s="15" t="s">
        <v>10</v>
      </c>
      <c r="J7828" s="15" t="s">
        <v>10</v>
      </c>
      <c r="K7828" s="15" t="s">
        <v>10</v>
      </c>
      <c r="L7828" s="15" t="s">
        <v>10</v>
      </c>
      <c r="M7828" s="15">
        <v>0.96626526633792431</v>
      </c>
      <c r="N7828" s="15">
        <v>0.96626526633792431</v>
      </c>
      <c r="O7828" s="15" t="s">
        <v>10</v>
      </c>
      <c r="P7828" s="15" t="s">
        <v>10</v>
      </c>
      <c r="Q7828" s="8"/>
      <c r="R7828" s="9" t="s">
        <v>7318</v>
      </c>
    </row>
    <row r="7829" spans="1:18" x14ac:dyDescent="0.25">
      <c r="A7829" s="6" t="str">
        <f>HYPERLINK("proteomic_fractions_linear_files/Yang_linear_img/58037417.jpg", "58037417")</f>
        <v>58037417</v>
      </c>
      <c r="B7829" s="7"/>
      <c r="C7829" s="6" t="str">
        <f>HYPERLINK("http://www.ncbi.nlm.nih.gov/protein/58037417","Ttc32")</f>
        <v>Ttc32</v>
      </c>
      <c r="D7829" s="8"/>
      <c r="E7829" s="8">
        <v>16665</v>
      </c>
      <c r="F7829" s="8"/>
      <c r="G7829" s="15" t="s">
        <v>10</v>
      </c>
      <c r="H7829" s="15" t="s">
        <v>10</v>
      </c>
      <c r="I7829" s="15" t="s">
        <v>10</v>
      </c>
      <c r="J7829" s="15" t="s">
        <v>10</v>
      </c>
      <c r="K7829" s="15" t="s">
        <v>10</v>
      </c>
      <c r="L7829" s="15" t="s">
        <v>10</v>
      </c>
      <c r="M7829" s="15" t="s">
        <v>10</v>
      </c>
      <c r="N7829" s="15" t="s">
        <v>10</v>
      </c>
      <c r="O7829" s="15">
        <v>0.85396904246296157</v>
      </c>
      <c r="P7829" s="15">
        <v>0.85396904246296157</v>
      </c>
      <c r="Q7829" s="8"/>
      <c r="R7829" s="9" t="s">
        <v>7319</v>
      </c>
    </row>
    <row r="7830" spans="1:18" x14ac:dyDescent="0.25">
      <c r="A7830" s="6" t="str">
        <f>HYPERLINK("proteomic_fractions_linear_files/Yang_linear_img/21312920.jpg", "21312920")</f>
        <v>21312920</v>
      </c>
      <c r="B7830" s="7"/>
      <c r="C7830" s="6" t="str">
        <f>HYPERLINK("http://www.ncbi.nlm.nih.gov/protein/21312920","Ttc33")</f>
        <v>Ttc33</v>
      </c>
      <c r="D7830" s="8"/>
      <c r="E7830" s="8">
        <v>29240</v>
      </c>
      <c r="F7830" s="8"/>
      <c r="G7830" s="15" t="s">
        <v>10</v>
      </c>
      <c r="H7830" s="15" t="s">
        <v>10</v>
      </c>
      <c r="I7830" s="15">
        <v>1.1063473398528822</v>
      </c>
      <c r="J7830" s="15">
        <v>1.1063473398528822</v>
      </c>
      <c r="K7830" s="15">
        <v>1.1063473398528822</v>
      </c>
      <c r="L7830" s="15">
        <v>1.1063473398528822</v>
      </c>
      <c r="M7830" s="15">
        <v>1.1063473398528822</v>
      </c>
      <c r="N7830" s="15">
        <v>1.1063473398528822</v>
      </c>
      <c r="O7830" s="15">
        <v>0.96269694129938133</v>
      </c>
      <c r="P7830" s="15">
        <v>0.96269694129938133</v>
      </c>
      <c r="Q7830" s="8"/>
      <c r="R7830" s="9" t="s">
        <v>7320</v>
      </c>
    </row>
    <row r="7831" spans="1:18" x14ac:dyDescent="0.25">
      <c r="A7831" s="6" t="str">
        <f>HYPERLINK("proteomic_fractions_linear_files/Yang_linear_img/225543265.jpg", "225543265")</f>
        <v>225543265</v>
      </c>
      <c r="B7831" s="7"/>
      <c r="C7831" s="6" t="str">
        <f>HYPERLINK("http://www.ncbi.nlm.nih.gov/protein/225543265","Ttc34")</f>
        <v>Ttc34</v>
      </c>
      <c r="D7831" s="8"/>
      <c r="E7831" s="8">
        <v>60089</v>
      </c>
      <c r="F7831" s="8"/>
      <c r="G7831" s="15">
        <v>0.53473454759555983</v>
      </c>
      <c r="H7831" s="15">
        <v>0.53473454759555983</v>
      </c>
      <c r="I7831" s="15" t="s">
        <v>10</v>
      </c>
      <c r="J7831" s="15" t="s">
        <v>10</v>
      </c>
      <c r="K7831" s="15">
        <v>0.53473454759555983</v>
      </c>
      <c r="L7831" s="15">
        <v>0.53473454759555983</v>
      </c>
      <c r="M7831" s="15">
        <v>6.817392628990663</v>
      </c>
      <c r="N7831" s="15">
        <v>6.817392628990663</v>
      </c>
      <c r="O7831" s="15" t="s">
        <v>10</v>
      </c>
      <c r="P7831" s="15" t="s">
        <v>10</v>
      </c>
      <c r="Q7831" s="8"/>
      <c r="R7831" s="9" t="s">
        <v>7321</v>
      </c>
    </row>
    <row r="7832" spans="1:18" x14ac:dyDescent="0.25">
      <c r="A7832" s="6" t="str">
        <f>HYPERLINK("proteomic_fractions_linear_files/Yang_linear_img/124486883.jpg", "124486883")</f>
        <v>124486883</v>
      </c>
      <c r="B7832" s="7"/>
      <c r="C7832" s="6" t="str">
        <f>HYPERLINK("http://www.ncbi.nlm.nih.gov/protein/124486883","Ttc37")</f>
        <v>Ttc37</v>
      </c>
      <c r="D7832" s="8"/>
      <c r="E7832" s="8">
        <v>173812</v>
      </c>
      <c r="F7832" s="8"/>
      <c r="G7832" s="15" t="s">
        <v>10</v>
      </c>
      <c r="H7832" s="15" t="s">
        <v>10</v>
      </c>
      <c r="I7832" s="15" t="s">
        <v>10</v>
      </c>
      <c r="J7832" s="15" t="s">
        <v>10</v>
      </c>
      <c r="K7832" s="15">
        <v>1.0733668485054044</v>
      </c>
      <c r="L7832" s="15">
        <v>1.0733668485054044</v>
      </c>
      <c r="M7832" s="15">
        <v>1.0733668485054044</v>
      </c>
      <c r="N7832" s="15">
        <v>1.0733668485054044</v>
      </c>
      <c r="O7832" s="15">
        <v>0.18439122330881372</v>
      </c>
      <c r="P7832" s="15">
        <v>0.18439122330881372</v>
      </c>
      <c r="Q7832" s="8"/>
      <c r="R7832" s="9" t="s">
        <v>7322</v>
      </c>
    </row>
    <row r="7833" spans="1:18" x14ac:dyDescent="0.25">
      <c r="A7833" s="6" t="str">
        <f>HYPERLINK("proteomic_fractions_linear_files/Yang_linear_img/158517895.jpg", "158517895")</f>
        <v>158517895</v>
      </c>
      <c r="B7833" s="7"/>
      <c r="C7833" s="6" t="str">
        <f>HYPERLINK("http://www.ncbi.nlm.nih.gov/protein/158517895","Ttc38")</f>
        <v>Ttc38</v>
      </c>
      <c r="D7833" s="8"/>
      <c r="E7833" s="8">
        <v>52093</v>
      </c>
      <c r="F7833" s="8"/>
      <c r="G7833" s="15" t="s">
        <v>10</v>
      </c>
      <c r="H7833" s="15" t="s">
        <v>10</v>
      </c>
      <c r="I7833" s="15">
        <v>0.92865337662337022</v>
      </c>
      <c r="J7833" s="15">
        <v>0.92865337662337022</v>
      </c>
      <c r="K7833" s="15">
        <v>0.92865337662337022</v>
      </c>
      <c r="L7833" s="15">
        <v>0.92865337662337022</v>
      </c>
      <c r="M7833" s="15">
        <v>0.92865337662337022</v>
      </c>
      <c r="N7833" s="15">
        <v>0.92865337662337022</v>
      </c>
      <c r="O7833" s="15">
        <v>0.84856902398010514</v>
      </c>
      <c r="P7833" s="15">
        <v>0.84856902398010514</v>
      </c>
      <c r="Q7833" s="8"/>
      <c r="R7833" s="9" t="s">
        <v>7323</v>
      </c>
    </row>
    <row r="7834" spans="1:18" x14ac:dyDescent="0.25">
      <c r="A7834" s="6" t="str">
        <f>HYPERLINK("proteomic_fractions_linear_files/Yang_linear_img/124358948.jpg", "124358948")</f>
        <v>124358948</v>
      </c>
      <c r="B7834" s="7"/>
      <c r="C7834" s="6" t="str">
        <f>HYPERLINK("http://www.ncbi.nlm.nih.gov/protein/124358948","Ttc5")</f>
        <v>Ttc5</v>
      </c>
      <c r="D7834" s="8"/>
      <c r="E7834" s="8">
        <v>48664</v>
      </c>
      <c r="F7834" s="8"/>
      <c r="G7834" s="15" t="s">
        <v>10</v>
      </c>
      <c r="H7834" s="15" t="s">
        <v>10</v>
      </c>
      <c r="I7834" s="15" t="s">
        <v>10</v>
      </c>
      <c r="J7834" s="15" t="s">
        <v>10</v>
      </c>
      <c r="K7834" s="15">
        <v>0.9855097058043929</v>
      </c>
      <c r="L7834" s="15">
        <v>0.9855097058043929</v>
      </c>
      <c r="M7834" s="15" t="s">
        <v>10</v>
      </c>
      <c r="N7834" s="15" t="s">
        <v>10</v>
      </c>
      <c r="O7834" s="15">
        <v>0.90052222952990757</v>
      </c>
      <c r="P7834" s="15">
        <v>0.90052222952990757</v>
      </c>
      <c r="Q7834" s="8"/>
      <c r="R7834" s="9" t="s">
        <v>7324</v>
      </c>
    </row>
    <row r="7835" spans="1:18" x14ac:dyDescent="0.25">
      <c r="A7835" s="6" t="str">
        <f>HYPERLINK("proteomic_fractions_linear_files/Yang_linear_img/29244012.jpg", "29244012")</f>
        <v>29244012</v>
      </c>
      <c r="B7835" s="7"/>
      <c r="C7835" s="6" t="str">
        <f>HYPERLINK("http://www.ncbi.nlm.nih.gov/protein/29244012","Ttc5")</f>
        <v>Ttc5</v>
      </c>
      <c r="D7835" s="8"/>
      <c r="E7835" s="8">
        <v>20800</v>
      </c>
      <c r="F7835" s="8"/>
      <c r="G7835" s="15" t="s">
        <v>10</v>
      </c>
      <c r="H7835" s="15" t="s">
        <v>10</v>
      </c>
      <c r="I7835" s="15" t="s">
        <v>10</v>
      </c>
      <c r="J7835" s="15" t="s">
        <v>10</v>
      </c>
      <c r="K7835" s="15">
        <v>2.299522646876917</v>
      </c>
      <c r="L7835" s="15">
        <v>2.299522646876917</v>
      </c>
      <c r="M7835" s="15" t="s">
        <v>10</v>
      </c>
      <c r="N7835" s="15" t="s">
        <v>10</v>
      </c>
      <c r="O7835" s="15">
        <v>2.1012185355697843</v>
      </c>
      <c r="P7835" s="15">
        <v>2.1012185355697843</v>
      </c>
      <c r="Q7835" s="8"/>
      <c r="R7835" s="9" t="s">
        <v>7325</v>
      </c>
    </row>
    <row r="7836" spans="1:18" x14ac:dyDescent="0.25">
      <c r="A7836" s="6" t="str">
        <f>HYPERLINK("proteomic_fractions_linear_files/Yang_linear_img/85701652.jpg", "85701652")</f>
        <v>85701652</v>
      </c>
      <c r="B7836" s="7"/>
      <c r="C7836" s="6" t="str">
        <f>HYPERLINK("http://www.ncbi.nlm.nih.gov/protein/85701652","Ttc9")</f>
        <v>Ttc9</v>
      </c>
      <c r="D7836" s="8"/>
      <c r="E7836" s="8">
        <v>24220</v>
      </c>
      <c r="F7836" s="8"/>
      <c r="G7836" s="15" t="s">
        <v>10</v>
      </c>
      <c r="H7836" s="15" t="s">
        <v>10</v>
      </c>
      <c r="I7836" s="15" t="s">
        <v>10</v>
      </c>
      <c r="J7836" s="15" t="s">
        <v>10</v>
      </c>
      <c r="K7836" s="15" t="s">
        <v>10</v>
      </c>
      <c r="L7836" s="15" t="s">
        <v>10</v>
      </c>
      <c r="M7836" s="15" t="s">
        <v>10</v>
      </c>
      <c r="N7836" s="15" t="s">
        <v>10</v>
      </c>
      <c r="O7836" s="15">
        <v>0.90815592794494793</v>
      </c>
      <c r="P7836" s="15">
        <v>0.90815592794494793</v>
      </c>
      <c r="Q7836" s="8"/>
      <c r="R7836" s="9" t="s">
        <v>7326</v>
      </c>
    </row>
    <row r="7837" spans="1:18" x14ac:dyDescent="0.25">
      <c r="A7837" s="6" t="str">
        <f>HYPERLINK("proteomic_fractions_linear_files/Yang_linear_img/110625776.jpg", "110625776")</f>
        <v>110625776</v>
      </c>
      <c r="B7837" s="7"/>
      <c r="C7837" s="6" t="str">
        <f>HYPERLINK("http://www.ncbi.nlm.nih.gov/protein/110625776","Ttc9c")</f>
        <v>Ttc9c</v>
      </c>
      <c r="D7837" s="8"/>
      <c r="E7837" s="8">
        <v>19867</v>
      </c>
      <c r="F7837" s="8"/>
      <c r="G7837" s="15" t="s">
        <v>10</v>
      </c>
      <c r="H7837" s="15" t="s">
        <v>10</v>
      </c>
      <c r="I7837" s="15" t="s">
        <v>10</v>
      </c>
      <c r="J7837" s="15" t="s">
        <v>10</v>
      </c>
      <c r="K7837" s="15">
        <v>0.92476495822820426</v>
      </c>
      <c r="L7837" s="15">
        <v>0.92476495822820426</v>
      </c>
      <c r="M7837" s="15">
        <v>0.97505749140176368</v>
      </c>
      <c r="N7837" s="15">
        <v>0.97505749140176368</v>
      </c>
      <c r="O7837" s="15">
        <v>0.92476495822820426</v>
      </c>
      <c r="P7837" s="15">
        <v>0.92476495822820426</v>
      </c>
      <c r="Q7837" s="8"/>
      <c r="R7837" s="9" t="s">
        <v>7327</v>
      </c>
    </row>
    <row r="7838" spans="1:18" x14ac:dyDescent="0.25">
      <c r="A7838" s="6" t="str">
        <f>HYPERLINK("proteomic_fractions_linear_files/Yang_linear_img/111154070.jpg", "111154070")</f>
        <v>111154070</v>
      </c>
      <c r="B7838" s="7"/>
      <c r="C7838" s="6" t="str">
        <f>HYPERLINK("http://www.ncbi.nlm.nih.gov/protein/111154070","Ttf1")</f>
        <v>Ttf1</v>
      </c>
      <c r="D7838" s="8"/>
      <c r="E7838" s="8">
        <v>97592</v>
      </c>
      <c r="F7838" s="8"/>
      <c r="G7838" s="15" t="s">
        <v>10</v>
      </c>
      <c r="H7838" s="15" t="s">
        <v>10</v>
      </c>
      <c r="I7838" s="15" t="s">
        <v>10</v>
      </c>
      <c r="J7838" s="15" t="s">
        <v>10</v>
      </c>
      <c r="K7838" s="15">
        <v>1.5658456238392024</v>
      </c>
      <c r="L7838" s="15">
        <v>1.5658456238392024</v>
      </c>
      <c r="M7838" s="15">
        <v>1.5658456238392024</v>
      </c>
      <c r="N7838" s="15">
        <v>1.5658456238392024</v>
      </c>
      <c r="O7838" s="15" t="s">
        <v>10</v>
      </c>
      <c r="P7838" s="15" t="s">
        <v>10</v>
      </c>
      <c r="Q7838" s="8"/>
      <c r="R7838" s="9" t="s">
        <v>7328</v>
      </c>
    </row>
    <row r="7839" spans="1:18" x14ac:dyDescent="0.25">
      <c r="A7839" s="6" t="str">
        <f>HYPERLINK("proteomic_fractions_linear_files/Yang_linear_img/254692909.jpg", "254692909")</f>
        <v>254692909</v>
      </c>
      <c r="B7839" s="7"/>
      <c r="C7839" s="6" t="str">
        <f>HYPERLINK("http://www.ncbi.nlm.nih.gov/protein/254692909","Ttf2")</f>
        <v>Ttf2</v>
      </c>
      <c r="D7839" s="8"/>
      <c r="E7839" s="8">
        <v>125399</v>
      </c>
      <c r="F7839" s="8"/>
      <c r="G7839" s="15" t="s">
        <v>10</v>
      </c>
      <c r="H7839" s="15" t="s">
        <v>10</v>
      </c>
      <c r="I7839" s="15" t="s">
        <v>10</v>
      </c>
      <c r="J7839" s="15" t="s">
        <v>10</v>
      </c>
      <c r="K7839" s="15">
        <v>3.2723484619155183</v>
      </c>
      <c r="L7839" s="15">
        <v>3.2723484619155183</v>
      </c>
      <c r="M7839" s="15">
        <v>47.944800000000001</v>
      </c>
      <c r="N7839" s="15">
        <v>47.944800000000001</v>
      </c>
      <c r="O7839" s="15" t="s">
        <v>10</v>
      </c>
      <c r="P7839" s="15" t="s">
        <v>10</v>
      </c>
      <c r="Q7839" s="8"/>
      <c r="R7839" s="9" t="s">
        <v>7329</v>
      </c>
    </row>
    <row r="7840" spans="1:18" x14ac:dyDescent="0.25">
      <c r="A7840" s="6" t="str">
        <f>HYPERLINK("proteomic_fractions_linear_files/Yang_linear_img/33859732.jpg", "33859732")</f>
        <v>33859732</v>
      </c>
      <c r="B7840" s="7"/>
      <c r="C7840" s="6" t="str">
        <f>HYPERLINK("http://www.ncbi.nlm.nih.gov/protein/33859732","Tti1")</f>
        <v>Tti1</v>
      </c>
      <c r="D7840" s="8"/>
      <c r="E7840" s="8">
        <v>120683</v>
      </c>
      <c r="F7840" s="8"/>
      <c r="G7840" s="15" t="s">
        <v>10</v>
      </c>
      <c r="H7840" s="15" t="s">
        <v>10</v>
      </c>
      <c r="I7840" s="15" t="s">
        <v>10</v>
      </c>
      <c r="J7840" s="15" t="s">
        <v>10</v>
      </c>
      <c r="K7840" s="15">
        <v>1.9286020465111493</v>
      </c>
      <c r="L7840" s="15">
        <v>1.9286020465111493</v>
      </c>
      <c r="M7840" s="15">
        <v>1.9286020465111493</v>
      </c>
      <c r="N7840" s="15">
        <v>1.9286020465111493</v>
      </c>
      <c r="O7840" s="15" t="s">
        <v>10</v>
      </c>
      <c r="P7840" s="15" t="s">
        <v>10</v>
      </c>
      <c r="Q7840" s="8"/>
      <c r="R7840" s="9" t="s">
        <v>7330</v>
      </c>
    </row>
    <row r="7841" spans="1:18" x14ac:dyDescent="0.25">
      <c r="A7841" s="6" t="str">
        <f>HYPERLINK("proteomic_fractions_linear_files/Yang_linear_img/31542190.jpg", "31542190")</f>
        <v>31542190</v>
      </c>
      <c r="B7841" s="7"/>
      <c r="C7841" s="6" t="str">
        <f>HYPERLINK("http://www.ncbi.nlm.nih.gov/protein/31542190","Tti2")</f>
        <v>Tti2</v>
      </c>
      <c r="D7841" s="8"/>
      <c r="E7841" s="8">
        <v>56571</v>
      </c>
      <c r="F7841" s="8"/>
      <c r="G7841" s="15" t="s">
        <v>10</v>
      </c>
      <c r="H7841" s="15" t="s">
        <v>10</v>
      </c>
      <c r="I7841" s="15" t="s">
        <v>10</v>
      </c>
      <c r="J7841" s="15" t="s">
        <v>10</v>
      </c>
      <c r="K7841" s="15">
        <v>1.0311089050104185</v>
      </c>
      <c r="L7841" s="15">
        <v>1.0311089050104185</v>
      </c>
      <c r="M7841" s="15">
        <v>1.0311089050104185</v>
      </c>
      <c r="N7841" s="15">
        <v>1.0311089050104185</v>
      </c>
      <c r="O7841" s="15">
        <v>0.36135861730975916</v>
      </c>
      <c r="P7841" s="15">
        <v>0.36135861730975916</v>
      </c>
      <c r="Q7841" s="8"/>
      <c r="R7841" s="9" t="s">
        <v>7331</v>
      </c>
    </row>
    <row r="7842" spans="1:18" x14ac:dyDescent="0.25">
      <c r="A7842" s="6" t="str">
        <f>HYPERLINK("proteomic_fractions_linear_files/Yang_linear_img/316983174.jpg", "316983174")</f>
        <v>316983174</v>
      </c>
      <c r="B7842" s="7"/>
      <c r="C7842" s="6" t="str">
        <f>HYPERLINK("http://www.ncbi.nlm.nih.gov/protein/316983174","Tti2")</f>
        <v>Tti2</v>
      </c>
      <c r="D7842" s="8"/>
      <c r="E7842" s="8">
        <v>59564</v>
      </c>
      <c r="F7842" s="8"/>
      <c r="G7842" s="15" t="s">
        <v>10</v>
      </c>
      <c r="H7842" s="15" t="s">
        <v>10</v>
      </c>
      <c r="I7842" s="15" t="s">
        <v>10</v>
      </c>
      <c r="J7842" s="15" t="s">
        <v>10</v>
      </c>
      <c r="K7842" s="15">
        <v>0.97955345975989749</v>
      </c>
      <c r="L7842" s="15">
        <v>0.97955345975989749</v>
      </c>
      <c r="M7842" s="15">
        <v>0.97955345975989749</v>
      </c>
      <c r="N7842" s="15">
        <v>0.97955345975989749</v>
      </c>
      <c r="O7842" s="15">
        <v>0.34329068644427119</v>
      </c>
      <c r="P7842" s="15">
        <v>0.34329068644427119</v>
      </c>
      <c r="Q7842" s="8"/>
      <c r="R7842" s="9" t="s">
        <v>7332</v>
      </c>
    </row>
    <row r="7843" spans="1:18" x14ac:dyDescent="0.25">
      <c r="A7843" s="6" t="str">
        <f>HYPERLINK("proteomic_fractions_linear_files/Yang_linear_img/269954711.jpg", "269954711")</f>
        <v>269954711</v>
      </c>
      <c r="B7843" s="7"/>
      <c r="C7843" s="6" t="str">
        <f>HYPERLINK("http://www.ncbi.nlm.nih.gov/protein/269954711","Ttll12")</f>
        <v>Ttll12</v>
      </c>
      <c r="D7843" s="8"/>
      <c r="E7843" s="8">
        <v>73912</v>
      </c>
      <c r="F7843" s="8"/>
      <c r="G7843" s="15" t="s">
        <v>10</v>
      </c>
      <c r="H7843" s="15" t="s">
        <v>10</v>
      </c>
      <c r="I7843" s="15">
        <v>0.99238054380651686</v>
      </c>
      <c r="J7843" s="15">
        <v>0.99238054380651686</v>
      </c>
      <c r="K7843" s="15">
        <v>1.1229548442316737</v>
      </c>
      <c r="L7843" s="15">
        <v>1.1229548442316737</v>
      </c>
      <c r="M7843" s="15">
        <v>1.1229548442316737</v>
      </c>
      <c r="N7843" s="15">
        <v>1.1229548442316737</v>
      </c>
      <c r="O7843" s="15">
        <v>0.99238054380651686</v>
      </c>
      <c r="P7843" s="15">
        <v>0.99238054380651686</v>
      </c>
      <c r="Q7843" s="8"/>
      <c r="R7843" s="9" t="s">
        <v>7333</v>
      </c>
    </row>
    <row r="7844" spans="1:18" x14ac:dyDescent="0.25">
      <c r="A7844" s="6" t="str">
        <f>HYPERLINK("proteomic_fractions_linear_files/Yang_linear_img/77812697.jpg", "77812697")</f>
        <v>77812697</v>
      </c>
      <c r="B7844" s="7"/>
      <c r="C7844" s="6" t="str">
        <f>HYPERLINK("http://www.ncbi.nlm.nih.gov/protein/77812697","Ttn")</f>
        <v>Ttn</v>
      </c>
      <c r="D7844" s="8"/>
      <c r="E7844" s="8">
        <v>3715903</v>
      </c>
      <c r="F7844" s="8"/>
      <c r="G7844" s="15">
        <v>1.6127825618945104</v>
      </c>
      <c r="H7844" s="15">
        <v>1.6127825618945104</v>
      </c>
      <c r="I7844" s="15" t="s">
        <v>10</v>
      </c>
      <c r="J7844" s="15" t="s">
        <v>10</v>
      </c>
      <c r="K7844" s="15">
        <v>1.5816256077931606E-2</v>
      </c>
      <c r="L7844" s="15">
        <v>1.5816256077931606E-2</v>
      </c>
      <c r="M7844" s="15">
        <v>1.0048796131088427E-2</v>
      </c>
      <c r="N7844" s="15">
        <v>1.0048796131088427E-2</v>
      </c>
      <c r="O7844" s="15" t="s">
        <v>10</v>
      </c>
      <c r="P7844" s="15" t="s">
        <v>10</v>
      </c>
      <c r="Q7844" s="8"/>
      <c r="R7844" s="9" t="s">
        <v>7334</v>
      </c>
    </row>
    <row r="7845" spans="1:18" x14ac:dyDescent="0.25">
      <c r="A7845" s="6" t="str">
        <f>HYPERLINK("proteomic_fractions_linear_files/Yang_linear_img/77812699.jpg", "77812699")</f>
        <v>77812699</v>
      </c>
      <c r="B7845" s="7"/>
      <c r="C7845" s="6" t="str">
        <f>HYPERLINK("http://www.ncbi.nlm.nih.gov/protein/77812699","Ttn")</f>
        <v>Ttn</v>
      </c>
      <c r="D7845" s="8"/>
      <c r="E7845" s="8">
        <v>2986227</v>
      </c>
      <c r="F7845" s="8"/>
      <c r="G7845" s="15">
        <v>2.0070663094440726</v>
      </c>
      <c r="H7845" s="15">
        <v>2.0070663094440726</v>
      </c>
      <c r="I7845" s="15" t="s">
        <v>10</v>
      </c>
      <c r="J7845" s="15" t="s">
        <v>10</v>
      </c>
      <c r="K7845" s="15">
        <v>1.9682922835095061E-2</v>
      </c>
      <c r="L7845" s="15">
        <v>1.9682922835095061E-2</v>
      </c>
      <c r="M7845" s="15">
        <v>1.2505467656773139E-2</v>
      </c>
      <c r="N7845" s="15">
        <v>1.2505467656773139E-2</v>
      </c>
      <c r="O7845" s="15" t="s">
        <v>10</v>
      </c>
      <c r="P7845" s="15" t="s">
        <v>10</v>
      </c>
      <c r="Q7845" s="8"/>
      <c r="R7845" s="9" t="s">
        <v>7335</v>
      </c>
    </row>
    <row r="7846" spans="1:18" x14ac:dyDescent="0.25">
      <c r="A7846" s="6" t="str">
        <f>HYPERLINK("proteomic_fractions_linear_files/Yang_linear_img/254588052.jpg", "254588052")</f>
        <v>254588052</v>
      </c>
      <c r="B7846" s="7"/>
      <c r="C7846" s="6" t="str">
        <f>HYPERLINK("http://www.ncbi.nlm.nih.gov/protein/254588052","Ttyh3")</f>
        <v>Ttyh3</v>
      </c>
      <c r="D7846" s="8"/>
      <c r="E7846" s="8">
        <v>57583</v>
      </c>
      <c r="F7846" s="8"/>
      <c r="G7846" s="15" t="s">
        <v>10</v>
      </c>
      <c r="H7846" s="15" t="s">
        <v>10</v>
      </c>
      <c r="I7846" s="15">
        <v>0.83258578593819399</v>
      </c>
      <c r="J7846" s="15">
        <v>0.83258578593819399</v>
      </c>
      <c r="K7846" s="15">
        <v>1.1285045401817988</v>
      </c>
      <c r="L7846" s="15">
        <v>1.1285045401817988</v>
      </c>
      <c r="M7846" s="15" t="s">
        <v>10</v>
      </c>
      <c r="N7846" s="15" t="s">
        <v>10</v>
      </c>
      <c r="O7846" s="15" t="s">
        <v>10</v>
      </c>
      <c r="P7846" s="15" t="s">
        <v>10</v>
      </c>
      <c r="Q7846" s="8"/>
      <c r="R7846" s="9" t="s">
        <v>7336</v>
      </c>
    </row>
    <row r="7847" spans="1:18" x14ac:dyDescent="0.25">
      <c r="A7847" s="6" t="str">
        <f>HYPERLINK("proteomic_fractions_linear_files/Yang_linear_img/6755901.jpg", "6755901")</f>
        <v>6755901</v>
      </c>
      <c r="B7847" s="7"/>
      <c r="C7847" s="6" t="str">
        <f>HYPERLINK("http://www.ncbi.nlm.nih.gov/protein/6755901","Tuba1a")</f>
        <v>Tuba1a</v>
      </c>
      <c r="D7847" s="8"/>
      <c r="E7847" s="8">
        <v>50005</v>
      </c>
      <c r="F7847" s="8"/>
      <c r="G7847" s="15">
        <v>1.3090652666108866</v>
      </c>
      <c r="H7847" s="15">
        <v>1.3090652666108866</v>
      </c>
      <c r="I7847" s="15">
        <v>1.0624113926000216</v>
      </c>
      <c r="J7847" s="15">
        <v>1.0624113926000216</v>
      </c>
      <c r="K7847" s="15">
        <v>1.1754641517118771</v>
      </c>
      <c r="L7847" s="15">
        <v>1.1754641517118771</v>
      </c>
      <c r="M7847" s="15">
        <v>1.0624113926000216</v>
      </c>
      <c r="N7847" s="15">
        <v>1.0624113926000216</v>
      </c>
      <c r="O7847" s="15">
        <v>0.96579951168830502</v>
      </c>
      <c r="P7847" s="15">
        <v>0.96579951168830502</v>
      </c>
      <c r="Q7847" s="8"/>
      <c r="R7847" s="9" t="s">
        <v>7337</v>
      </c>
    </row>
    <row r="7848" spans="1:18" x14ac:dyDescent="0.25">
      <c r="A7848" s="6" t="str">
        <f>HYPERLINK("proteomic_fractions_linear_files/Yang_linear_img/34740335.jpg", "34740335")</f>
        <v>34740335</v>
      </c>
      <c r="B7848" s="7"/>
      <c r="C7848" s="6" t="str">
        <f>HYPERLINK("http://www.ncbi.nlm.nih.gov/protein/34740335","Tuba1b")</f>
        <v>Tuba1b</v>
      </c>
      <c r="D7848" s="8"/>
      <c r="E7848" s="8">
        <v>50021</v>
      </c>
      <c r="F7848" s="8"/>
      <c r="G7848" s="15">
        <v>1.3090652666108866</v>
      </c>
      <c r="H7848" s="15">
        <v>1.3090652666108866</v>
      </c>
      <c r="I7848" s="15">
        <v>1.0624113926000216</v>
      </c>
      <c r="J7848" s="15">
        <v>1.0624113926000216</v>
      </c>
      <c r="K7848" s="15">
        <v>1.1754641517118771</v>
      </c>
      <c r="L7848" s="15">
        <v>1.1754641517118771</v>
      </c>
      <c r="M7848" s="15">
        <v>1.0624113926000216</v>
      </c>
      <c r="N7848" s="15">
        <v>1.0624113926000216</v>
      </c>
      <c r="O7848" s="15">
        <v>0.96579951168830502</v>
      </c>
      <c r="P7848" s="15">
        <v>0.96579951168830502</v>
      </c>
      <c r="Q7848" s="8"/>
      <c r="R7848" s="9" t="s">
        <v>7338</v>
      </c>
    </row>
    <row r="7849" spans="1:18" x14ac:dyDescent="0.25">
      <c r="A7849" s="6" t="str">
        <f>HYPERLINK("proteomic_fractions_linear_files/Yang_linear_img/6678469.jpg", "6678469")</f>
        <v>6678469</v>
      </c>
      <c r="B7849" s="7"/>
      <c r="C7849" s="6" t="str">
        <f>HYPERLINK("http://www.ncbi.nlm.nih.gov/protein/6678469","Tuba1c")</f>
        <v>Tuba1c</v>
      </c>
      <c r="D7849" s="8"/>
      <c r="E7849" s="8">
        <v>49778</v>
      </c>
      <c r="F7849" s="8"/>
      <c r="G7849" s="15">
        <v>1.3090652666108866</v>
      </c>
      <c r="H7849" s="15">
        <v>1.3090652666108866</v>
      </c>
      <c r="I7849" s="15">
        <v>1.0624113926000216</v>
      </c>
      <c r="J7849" s="15">
        <v>1.0624113926000216</v>
      </c>
      <c r="K7849" s="15">
        <v>1.1754641517118771</v>
      </c>
      <c r="L7849" s="15">
        <v>1.1754641517118771</v>
      </c>
      <c r="M7849" s="15">
        <v>1.0624113926000216</v>
      </c>
      <c r="N7849" s="15">
        <v>1.0624113926000216</v>
      </c>
      <c r="O7849" s="15">
        <v>0.96579951168830502</v>
      </c>
      <c r="P7849" s="15">
        <v>0.96579951168830502</v>
      </c>
      <c r="Q7849" s="8"/>
      <c r="R7849" s="9" t="s">
        <v>7339</v>
      </c>
    </row>
    <row r="7850" spans="1:18" x14ac:dyDescent="0.25">
      <c r="A7850" s="6" t="str">
        <f>HYPERLINK("proteomic_fractions_linear_files/Yang_linear_img/6678465.jpg", "6678465")</f>
        <v>6678465</v>
      </c>
      <c r="B7850" s="7"/>
      <c r="C7850" s="6" t="str">
        <f>HYPERLINK("http://www.ncbi.nlm.nih.gov/protein/6678465","Tuba3a")</f>
        <v>Tuba3a</v>
      </c>
      <c r="D7850" s="8"/>
      <c r="E7850" s="8">
        <v>49829</v>
      </c>
      <c r="F7850" s="8"/>
      <c r="G7850" s="15">
        <v>1.3090652666108866</v>
      </c>
      <c r="H7850" s="15">
        <v>1.3090652666108866</v>
      </c>
      <c r="I7850" s="15">
        <v>1.0624113926000216</v>
      </c>
      <c r="J7850" s="15">
        <v>1.0624113926000216</v>
      </c>
      <c r="K7850" s="15">
        <v>1.0624113926000216</v>
      </c>
      <c r="L7850" s="15">
        <v>1.0624113926000216</v>
      </c>
      <c r="M7850" s="15">
        <v>1.0624113926000216</v>
      </c>
      <c r="N7850" s="15">
        <v>1.0624113926000216</v>
      </c>
      <c r="O7850" s="15">
        <v>0.96579951168830502</v>
      </c>
      <c r="P7850" s="15">
        <v>0.96579951168830502</v>
      </c>
      <c r="Q7850" s="8"/>
      <c r="R7850" s="9" t="s">
        <v>7340</v>
      </c>
    </row>
    <row r="7851" spans="1:18" x14ac:dyDescent="0.25">
      <c r="A7851" s="6" t="str">
        <f>HYPERLINK("proteomic_fractions_linear_files/Yang_linear_img/6678467.jpg", "6678467")</f>
        <v>6678467</v>
      </c>
      <c r="B7851" s="7"/>
      <c r="C7851" s="6" t="str">
        <f>HYPERLINK("http://www.ncbi.nlm.nih.gov/protein/6678467","Tuba4a")</f>
        <v>Tuba4a</v>
      </c>
      <c r="D7851" s="8"/>
      <c r="E7851" s="8">
        <v>49793</v>
      </c>
      <c r="F7851" s="8"/>
      <c r="G7851" s="15">
        <v>1.3090652666108866</v>
      </c>
      <c r="H7851" s="15">
        <v>1.3090652666108866</v>
      </c>
      <c r="I7851" s="15">
        <v>1.0624113926000216</v>
      </c>
      <c r="J7851" s="15">
        <v>1.0624113926000216</v>
      </c>
      <c r="K7851" s="15">
        <v>1.1754641517118771</v>
      </c>
      <c r="L7851" s="15">
        <v>1.1754641517118771</v>
      </c>
      <c r="M7851" s="15">
        <v>1.0624113926000216</v>
      </c>
      <c r="N7851" s="15">
        <v>1.0624113926000216</v>
      </c>
      <c r="O7851" s="15">
        <v>0.96579951168830502</v>
      </c>
      <c r="P7851" s="15">
        <v>0.96579951168830502</v>
      </c>
      <c r="Q7851" s="8"/>
      <c r="R7851" s="9" t="s">
        <v>7341</v>
      </c>
    </row>
    <row r="7852" spans="1:18" x14ac:dyDescent="0.25">
      <c r="A7852" s="6" t="str">
        <f>HYPERLINK("proteomic_fractions_linear_files/Yang_linear_img/8394493.jpg", "8394493")</f>
        <v>8394493</v>
      </c>
      <c r="B7852" s="7"/>
      <c r="C7852" s="6" t="str">
        <f>HYPERLINK("http://www.ncbi.nlm.nih.gov/protein/8394493","Tuba8")</f>
        <v>Tuba8</v>
      </c>
      <c r="D7852" s="8"/>
      <c r="E7852" s="8">
        <v>49921</v>
      </c>
      <c r="F7852" s="8"/>
      <c r="G7852" s="15">
        <v>1.3090652666108866</v>
      </c>
      <c r="H7852" s="15">
        <v>1.3090652666108866</v>
      </c>
      <c r="I7852" s="15">
        <v>1.0624113926000216</v>
      </c>
      <c r="J7852" s="15">
        <v>1.0624113926000216</v>
      </c>
      <c r="K7852" s="15">
        <v>1.0624113926000216</v>
      </c>
      <c r="L7852" s="15">
        <v>1.0624113926000216</v>
      </c>
      <c r="M7852" s="15">
        <v>1.0624113926000216</v>
      </c>
      <c r="N7852" s="15">
        <v>1.0624113926000216</v>
      </c>
      <c r="O7852" s="15">
        <v>0.96579951168830502</v>
      </c>
      <c r="P7852" s="15">
        <v>0.96579951168830502</v>
      </c>
      <c r="Q7852" s="8"/>
      <c r="R7852" s="9" t="s">
        <v>7342</v>
      </c>
    </row>
    <row r="7853" spans="1:18" x14ac:dyDescent="0.25">
      <c r="A7853" s="6" t="str">
        <f>HYPERLINK("proteomic_fractions_linear_files/Yang_linear_img/224809300.jpg", "224809300")</f>
        <v>224809300</v>
      </c>
      <c r="B7853" s="7"/>
      <c r="C7853" s="6" t="str">
        <f>HYPERLINK("http://www.ncbi.nlm.nih.gov/protein/224809300","Tubal3")</f>
        <v>Tubal3</v>
      </c>
      <c r="D7853" s="8"/>
      <c r="E7853" s="8">
        <v>49857</v>
      </c>
      <c r="F7853" s="8"/>
      <c r="G7853" s="15">
        <v>0.96579951168830502</v>
      </c>
      <c r="H7853" s="15">
        <v>0.96579951168830502</v>
      </c>
      <c r="I7853" s="15">
        <v>1.0624113926000216</v>
      </c>
      <c r="J7853" s="15">
        <v>1.0624113926000216</v>
      </c>
      <c r="K7853" s="15">
        <v>1.1754641517118771</v>
      </c>
      <c r="L7853" s="15">
        <v>1.1754641517118771</v>
      </c>
      <c r="M7853" s="15">
        <v>1.0624113926000216</v>
      </c>
      <c r="N7853" s="15">
        <v>1.0624113926000216</v>
      </c>
      <c r="O7853" s="15">
        <v>0.96579951168830502</v>
      </c>
      <c r="P7853" s="15">
        <v>0.96579951168830502</v>
      </c>
      <c r="Q7853" s="8"/>
      <c r="R7853" s="9" t="s">
        <v>7343</v>
      </c>
    </row>
    <row r="7854" spans="1:18" x14ac:dyDescent="0.25">
      <c r="A7854" s="6" t="str">
        <f>HYPERLINK("proteomic_fractions_linear_files/Yang_linear_img/124430500.jpg", "124430500")</f>
        <v>124430500</v>
      </c>
      <c r="B7854" s="7"/>
      <c r="C7854" s="6" t="str">
        <f>HYPERLINK("http://www.ncbi.nlm.nih.gov/protein/124430500","Tubb1")</f>
        <v>Tubb1</v>
      </c>
      <c r="D7854" s="8"/>
      <c r="E7854" s="8">
        <v>50310</v>
      </c>
      <c r="F7854" s="8"/>
      <c r="G7854" s="15">
        <v>0.96579951168830502</v>
      </c>
      <c r="H7854" s="15">
        <v>0.96579951168830502</v>
      </c>
      <c r="I7854" s="15">
        <v>1.0624113926000216</v>
      </c>
      <c r="J7854" s="15">
        <v>1.0624113926000216</v>
      </c>
      <c r="K7854" s="15">
        <v>1.1754641517118771</v>
      </c>
      <c r="L7854" s="15">
        <v>1.1754641517118771</v>
      </c>
      <c r="M7854" s="15">
        <v>1.0624113926000216</v>
      </c>
      <c r="N7854" s="15">
        <v>1.0624113926000216</v>
      </c>
      <c r="O7854" s="15">
        <v>1.0624113926000216</v>
      </c>
      <c r="P7854" s="15">
        <v>1.0624113926000216</v>
      </c>
      <c r="Q7854" s="8"/>
      <c r="R7854" s="9" t="s">
        <v>7344</v>
      </c>
    </row>
    <row r="7855" spans="1:18" x14ac:dyDescent="0.25">
      <c r="A7855" s="6" t="str">
        <f>HYPERLINK("proteomic_fractions_linear_files/Yang_linear_img/33859488.jpg", "33859488")</f>
        <v>33859488</v>
      </c>
      <c r="B7855" s="7"/>
      <c r="C7855" s="6" t="str">
        <f>HYPERLINK("http://www.ncbi.nlm.nih.gov/protein/33859488","Tubb2a")</f>
        <v>Tubb2a</v>
      </c>
      <c r="D7855" s="8"/>
      <c r="E7855" s="8">
        <v>49776</v>
      </c>
      <c r="F7855" s="8"/>
      <c r="G7855" s="15">
        <v>1.3090652666108866</v>
      </c>
      <c r="H7855" s="15">
        <v>1.3090652666108866</v>
      </c>
      <c r="I7855" s="15">
        <v>1.0624113926000216</v>
      </c>
      <c r="J7855" s="15">
        <v>1.0624113926000216</v>
      </c>
      <c r="K7855" s="15">
        <v>1.0624113926000216</v>
      </c>
      <c r="L7855" s="15">
        <v>1.0624113926000216</v>
      </c>
      <c r="M7855" s="15">
        <v>1.0624113926000216</v>
      </c>
      <c r="N7855" s="15">
        <v>1.0624113926000216</v>
      </c>
      <c r="O7855" s="15">
        <v>0.96579951168830502</v>
      </c>
      <c r="P7855" s="15">
        <v>0.96579951168830502</v>
      </c>
      <c r="Q7855" s="8"/>
      <c r="R7855" s="9" t="s">
        <v>7345</v>
      </c>
    </row>
    <row r="7856" spans="1:18" x14ac:dyDescent="0.25">
      <c r="A7856" s="6" t="str">
        <f>HYPERLINK("proteomic_fractions_linear_files/Yang_linear_img/21746161.jpg", "21746161")</f>
        <v>21746161</v>
      </c>
      <c r="B7856" s="7"/>
      <c r="C7856" s="6" t="str">
        <f>HYPERLINK("http://www.ncbi.nlm.nih.gov/protein/21746161","Tubb2b")</f>
        <v>Tubb2b</v>
      </c>
      <c r="D7856" s="8"/>
      <c r="E7856" s="8">
        <v>49822</v>
      </c>
      <c r="F7856" s="8"/>
      <c r="G7856" s="15">
        <v>1.3090652666108866</v>
      </c>
      <c r="H7856" s="15">
        <v>1.3090652666108866</v>
      </c>
      <c r="I7856" s="15">
        <v>1.0624113926000216</v>
      </c>
      <c r="J7856" s="15">
        <v>1.0624113926000216</v>
      </c>
      <c r="K7856" s="15">
        <v>1.0624113926000216</v>
      </c>
      <c r="L7856" s="15">
        <v>1.0624113926000216</v>
      </c>
      <c r="M7856" s="15">
        <v>1.0624113926000216</v>
      </c>
      <c r="N7856" s="15">
        <v>1.0624113926000216</v>
      </c>
      <c r="O7856" s="15">
        <v>0.96579951168830502</v>
      </c>
      <c r="P7856" s="15">
        <v>0.96579951168830502</v>
      </c>
      <c r="Q7856" s="8"/>
      <c r="R7856" s="9" t="s">
        <v>7346</v>
      </c>
    </row>
    <row r="7857" spans="1:18" x14ac:dyDescent="0.25">
      <c r="A7857" s="6" t="str">
        <f>HYPERLINK("proteomic_fractions_linear_files/Yang_linear_img/12963615.jpg", "12963615")</f>
        <v>12963615</v>
      </c>
      <c r="B7857" s="7"/>
      <c r="C7857" s="6" t="str">
        <f>HYPERLINK("http://www.ncbi.nlm.nih.gov/protein/12963615","Tubb3")</f>
        <v>Tubb3</v>
      </c>
      <c r="D7857" s="8"/>
      <c r="E7857" s="8">
        <v>50288</v>
      </c>
      <c r="F7857" s="8"/>
      <c r="G7857" s="15">
        <v>1.3090652666108866</v>
      </c>
      <c r="H7857" s="15">
        <v>1.3090652666108866</v>
      </c>
      <c r="I7857" s="15">
        <v>1.0624113926000216</v>
      </c>
      <c r="J7857" s="15">
        <v>1.0624113926000216</v>
      </c>
      <c r="K7857" s="15">
        <v>1.0624113926000216</v>
      </c>
      <c r="L7857" s="15">
        <v>1.0624113926000216</v>
      </c>
      <c r="M7857" s="15">
        <v>1.0624113926000216</v>
      </c>
      <c r="N7857" s="15">
        <v>1.0624113926000216</v>
      </c>
      <c r="O7857" s="15">
        <v>0.96579951168830502</v>
      </c>
      <c r="P7857" s="15">
        <v>0.96579951168830502</v>
      </c>
      <c r="Q7857" s="8"/>
      <c r="R7857" s="9" t="s">
        <v>7347</v>
      </c>
    </row>
    <row r="7858" spans="1:18" x14ac:dyDescent="0.25">
      <c r="A7858" s="6" t="str">
        <f>HYPERLINK("proteomic_fractions_linear_files/Yang_linear_img/31981939.jpg", "31981939")</f>
        <v>31981939</v>
      </c>
      <c r="B7858" s="7"/>
      <c r="C7858" s="6" t="str">
        <f>HYPERLINK("http://www.ncbi.nlm.nih.gov/protein/31981939","Tubb4a")</f>
        <v>Tubb4a</v>
      </c>
      <c r="D7858" s="8"/>
      <c r="E7858" s="8">
        <v>49455</v>
      </c>
      <c r="F7858" s="8"/>
      <c r="G7858" s="15">
        <v>1.3357808842968231</v>
      </c>
      <c r="H7858" s="15">
        <v>1.3357808842968231</v>
      </c>
      <c r="I7858" s="15">
        <v>1.0840932577551241</v>
      </c>
      <c r="J7858" s="15">
        <v>1.0840932577551241</v>
      </c>
      <c r="K7858" s="15">
        <v>1.0840932577551241</v>
      </c>
      <c r="L7858" s="15">
        <v>1.0840932577551241</v>
      </c>
      <c r="M7858" s="15">
        <v>1.0840932577551241</v>
      </c>
      <c r="N7858" s="15">
        <v>1.0840932577551241</v>
      </c>
      <c r="O7858" s="15">
        <v>0.9855097058043929</v>
      </c>
      <c r="P7858" s="15">
        <v>0.9855097058043929</v>
      </c>
      <c r="Q7858" s="8"/>
      <c r="R7858" s="9" t="s">
        <v>7348</v>
      </c>
    </row>
    <row r="7859" spans="1:18" x14ac:dyDescent="0.25">
      <c r="A7859" s="6" t="str">
        <f>HYPERLINK("proteomic_fractions_linear_files/Yang_linear_img/22165384.jpg", "22165384")</f>
        <v>22165384</v>
      </c>
      <c r="B7859" s="7"/>
      <c r="C7859" s="6" t="str">
        <f>HYPERLINK("http://www.ncbi.nlm.nih.gov/protein/22165384","Tubb4b")</f>
        <v>Tubb4b</v>
      </c>
      <c r="D7859" s="8"/>
      <c r="E7859" s="8">
        <v>49700</v>
      </c>
      <c r="F7859" s="8"/>
      <c r="G7859" s="15">
        <v>1.3090652666108866</v>
      </c>
      <c r="H7859" s="15">
        <v>1.3090652666108866</v>
      </c>
      <c r="I7859" s="15">
        <v>1.0624113926000216</v>
      </c>
      <c r="J7859" s="15">
        <v>1.0624113926000216</v>
      </c>
      <c r="K7859" s="15">
        <v>1.0624113926000216</v>
      </c>
      <c r="L7859" s="15">
        <v>1.0624113926000216</v>
      </c>
      <c r="M7859" s="15">
        <v>1.0624113926000216</v>
      </c>
      <c r="N7859" s="15">
        <v>1.0624113926000216</v>
      </c>
      <c r="O7859" s="15">
        <v>0.96579951168830502</v>
      </c>
      <c r="P7859" s="15">
        <v>0.96579951168830502</v>
      </c>
      <c r="Q7859" s="8"/>
      <c r="R7859" s="9" t="s">
        <v>7349</v>
      </c>
    </row>
    <row r="7860" spans="1:18" x14ac:dyDescent="0.25">
      <c r="A7860" s="6" t="str">
        <f>HYPERLINK("proteomic_fractions_linear_files/Yang_linear_img/7106439.jpg", "7106439")</f>
        <v>7106439</v>
      </c>
      <c r="B7860" s="7"/>
      <c r="C7860" s="6" t="str">
        <f>HYPERLINK("http://www.ncbi.nlm.nih.gov/protein/7106439","Tubb5")</f>
        <v>Tubb5</v>
      </c>
      <c r="D7860" s="8"/>
      <c r="E7860" s="8">
        <v>49540</v>
      </c>
      <c r="F7860" s="8"/>
      <c r="G7860" s="15">
        <v>1.3090652666108866</v>
      </c>
      <c r="H7860" s="15">
        <v>1.3090652666108866</v>
      </c>
      <c r="I7860" s="15">
        <v>1.0624113926000216</v>
      </c>
      <c r="J7860" s="15">
        <v>1.0624113926000216</v>
      </c>
      <c r="K7860" s="15">
        <v>1.0624113926000216</v>
      </c>
      <c r="L7860" s="15">
        <v>1.0624113926000216</v>
      </c>
      <c r="M7860" s="15">
        <v>1.0624113926000216</v>
      </c>
      <c r="N7860" s="15">
        <v>1.0624113926000216</v>
      </c>
      <c r="O7860" s="15">
        <v>1.0624113926000216</v>
      </c>
      <c r="P7860" s="15">
        <v>1.0624113926000216</v>
      </c>
      <c r="Q7860" s="8"/>
      <c r="R7860" s="9" t="s">
        <v>7350</v>
      </c>
    </row>
    <row r="7861" spans="1:18" x14ac:dyDescent="0.25">
      <c r="A7861" s="6" t="str">
        <f>HYPERLINK("proteomic_fractions_linear_files/Yang_linear_img/27754056.jpg", "27754056")</f>
        <v>27754056</v>
      </c>
      <c r="B7861" s="7"/>
      <c r="C7861" s="6" t="str">
        <f>HYPERLINK("http://www.ncbi.nlm.nih.gov/protein/27754056","Tubb6")</f>
        <v>Tubb6</v>
      </c>
      <c r="D7861" s="8"/>
      <c r="E7861" s="8">
        <v>49959</v>
      </c>
      <c r="F7861" s="8"/>
      <c r="G7861" s="15">
        <v>1.3090652666108866</v>
      </c>
      <c r="H7861" s="15">
        <v>1.3090652666108866</v>
      </c>
      <c r="I7861" s="15">
        <v>1.0624113926000216</v>
      </c>
      <c r="J7861" s="15">
        <v>1.0624113926000216</v>
      </c>
      <c r="K7861" s="15">
        <v>1.1754641517118771</v>
      </c>
      <c r="L7861" s="15">
        <v>1.1754641517118771</v>
      </c>
      <c r="M7861" s="15">
        <v>1.0624113926000216</v>
      </c>
      <c r="N7861" s="15">
        <v>1.0624113926000216</v>
      </c>
      <c r="O7861" s="15">
        <v>0.96579951168830502</v>
      </c>
      <c r="P7861" s="15">
        <v>0.96579951168830502</v>
      </c>
      <c r="Q7861" s="8"/>
      <c r="R7861" s="9" t="s">
        <v>7351</v>
      </c>
    </row>
    <row r="7862" spans="1:18" x14ac:dyDescent="0.25">
      <c r="A7862" s="6" t="str">
        <f>HYPERLINK("proteomic_fractions_linear_files/Yang_linear_img/19527242.jpg", "19527242")</f>
        <v>19527242</v>
      </c>
      <c r="B7862" s="7"/>
      <c r="C7862" s="6" t="str">
        <f>HYPERLINK("http://www.ncbi.nlm.nih.gov/protein/19527242","Tubg1")</f>
        <v>Tubg1</v>
      </c>
      <c r="D7862" s="8"/>
      <c r="E7862" s="8">
        <v>50970</v>
      </c>
      <c r="F7862" s="8"/>
      <c r="G7862" s="15" t="s">
        <v>10</v>
      </c>
      <c r="H7862" s="15" t="s">
        <v>10</v>
      </c>
      <c r="I7862" s="15">
        <v>0.86520763229344055</v>
      </c>
      <c r="J7862" s="15">
        <v>0.86520763229344055</v>
      </c>
      <c r="K7862" s="15">
        <v>0.94686226636108339</v>
      </c>
      <c r="L7862" s="15">
        <v>0.94686226636108339</v>
      </c>
      <c r="M7862" s="15">
        <v>0.86520763229344055</v>
      </c>
      <c r="N7862" s="15">
        <v>0.86520763229344055</v>
      </c>
      <c r="O7862" s="15" t="s">
        <v>10</v>
      </c>
      <c r="P7862" s="15" t="s">
        <v>10</v>
      </c>
      <c r="Q7862" s="8"/>
      <c r="R7862" s="9" t="s">
        <v>7352</v>
      </c>
    </row>
    <row r="7863" spans="1:18" x14ac:dyDescent="0.25">
      <c r="A7863" s="6" t="str">
        <f>HYPERLINK("proteomic_fractions_linear_files/Yang_linear_img/19527246.jpg", "19527246")</f>
        <v>19527246</v>
      </c>
      <c r="B7863" s="7"/>
      <c r="C7863" s="6" t="str">
        <f>HYPERLINK("http://www.ncbi.nlm.nih.gov/protein/19527246","Tubg2")</f>
        <v>Tubg2</v>
      </c>
      <c r="D7863" s="8"/>
      <c r="E7863" s="8">
        <v>50991</v>
      </c>
      <c r="F7863" s="8"/>
      <c r="G7863" s="15" t="s">
        <v>10</v>
      </c>
      <c r="H7863" s="15" t="s">
        <v>10</v>
      </c>
      <c r="I7863" s="15">
        <v>0.86520763229344055</v>
      </c>
      <c r="J7863" s="15">
        <v>0.86520763229344055</v>
      </c>
      <c r="K7863" s="15">
        <v>0.94686226636108339</v>
      </c>
      <c r="L7863" s="15">
        <v>0.94686226636108339</v>
      </c>
      <c r="M7863" s="15">
        <v>0.86520763229344055</v>
      </c>
      <c r="N7863" s="15">
        <v>0.86520763229344055</v>
      </c>
      <c r="O7863" s="15" t="s">
        <v>10</v>
      </c>
      <c r="P7863" s="15" t="s">
        <v>10</v>
      </c>
      <c r="Q7863" s="8"/>
      <c r="R7863" s="9" t="s">
        <v>7353</v>
      </c>
    </row>
    <row r="7864" spans="1:18" x14ac:dyDescent="0.25">
      <c r="A7864" s="6" t="str">
        <f>HYPERLINK("proteomic_fractions_linear_files/Yang_linear_img/228008297.jpg", "228008297")</f>
        <v>228008297</v>
      </c>
      <c r="B7864" s="7"/>
      <c r="C7864" s="6" t="str">
        <f>HYPERLINK("http://www.ncbi.nlm.nih.gov/protein/228008297","Tubgcp2")</f>
        <v>Tubgcp2</v>
      </c>
      <c r="D7864" s="8"/>
      <c r="E7864" s="8">
        <v>103092</v>
      </c>
      <c r="F7864" s="8"/>
      <c r="G7864" s="15" t="s">
        <v>10</v>
      </c>
      <c r="H7864" s="15" t="s">
        <v>10</v>
      </c>
      <c r="I7864" s="15">
        <v>1.0660346002051599</v>
      </c>
      <c r="J7864" s="15">
        <v>1.0660346002051599</v>
      </c>
      <c r="K7864" s="15">
        <v>1.0660346002051599</v>
      </c>
      <c r="L7864" s="15">
        <v>1.0660346002051599</v>
      </c>
      <c r="M7864" s="15">
        <v>1.0660346002051599</v>
      </c>
      <c r="N7864" s="15">
        <v>1.0660346002051599</v>
      </c>
      <c r="O7864" s="15" t="s">
        <v>10</v>
      </c>
      <c r="P7864" s="15" t="s">
        <v>10</v>
      </c>
      <c r="Q7864" s="8"/>
      <c r="R7864" s="9" t="s">
        <v>7354</v>
      </c>
    </row>
    <row r="7865" spans="1:18" x14ac:dyDescent="0.25">
      <c r="A7865" s="6" t="str">
        <f>HYPERLINK("proteomic_fractions_linear_files/Yang_linear_img/39930567.jpg", "39930567")</f>
        <v>39930567</v>
      </c>
      <c r="B7865" s="7"/>
      <c r="C7865" s="6" t="str">
        <f>HYPERLINK("http://www.ncbi.nlm.nih.gov/protein/39930567","Tubgcp3")</f>
        <v>Tubgcp3</v>
      </c>
      <c r="D7865" s="8"/>
      <c r="E7865" s="8">
        <v>103339</v>
      </c>
      <c r="F7865" s="8"/>
      <c r="G7865" s="15" t="s">
        <v>10</v>
      </c>
      <c r="H7865" s="15" t="s">
        <v>10</v>
      </c>
      <c r="I7865" s="15">
        <v>1.0660346002051599</v>
      </c>
      <c r="J7865" s="15">
        <v>1.0660346002051599</v>
      </c>
      <c r="K7865" s="15">
        <v>1.0660346002051599</v>
      </c>
      <c r="L7865" s="15">
        <v>1.0660346002051599</v>
      </c>
      <c r="M7865" s="15">
        <v>1.0660346002051599</v>
      </c>
      <c r="N7865" s="15">
        <v>1.0660346002051599</v>
      </c>
      <c r="O7865" s="15" t="s">
        <v>10</v>
      </c>
      <c r="P7865" s="15" t="s">
        <v>10</v>
      </c>
      <c r="Q7865" s="8"/>
      <c r="R7865" s="9" t="s">
        <v>7355</v>
      </c>
    </row>
    <row r="7866" spans="1:18" x14ac:dyDescent="0.25">
      <c r="A7866" s="6" t="str">
        <f>HYPERLINK("proteomic_fractions_linear_files/Yang_linear_img/23943924.jpg", "23943924")</f>
        <v>23943924</v>
      </c>
      <c r="B7866" s="7"/>
      <c r="C7866" s="6" t="str">
        <f>HYPERLINK("http://www.ncbi.nlm.nih.gov/protein/23943924","Tubgcp4")</f>
        <v>Tubgcp4</v>
      </c>
      <c r="D7866" s="8"/>
      <c r="E7866" s="8">
        <v>75996</v>
      </c>
      <c r="F7866" s="8"/>
      <c r="G7866" s="15" t="s">
        <v>10</v>
      </c>
      <c r="H7866" s="15" t="s">
        <v>10</v>
      </c>
      <c r="I7866" s="15" t="s">
        <v>10</v>
      </c>
      <c r="J7866" s="15" t="s">
        <v>10</v>
      </c>
      <c r="K7866" s="15">
        <v>1.0934034009624192</v>
      </c>
      <c r="L7866" s="15">
        <v>1.0934034009624192</v>
      </c>
      <c r="M7866" s="15">
        <v>0.96626526633792431</v>
      </c>
      <c r="N7866" s="15">
        <v>0.96626526633792431</v>
      </c>
      <c r="O7866" s="15" t="s">
        <v>10</v>
      </c>
      <c r="P7866" s="15" t="s">
        <v>10</v>
      </c>
      <c r="Q7866" s="8"/>
      <c r="R7866" s="9" t="s">
        <v>7356</v>
      </c>
    </row>
    <row r="7867" spans="1:18" x14ac:dyDescent="0.25">
      <c r="A7867" s="6" t="str">
        <f>HYPERLINK("proteomic_fractions_linear_files/Yang_linear_img/46560557.jpg", "46560557")</f>
        <v>46560557</v>
      </c>
      <c r="B7867" s="7"/>
      <c r="C7867" s="6" t="str">
        <f>HYPERLINK("http://www.ncbi.nlm.nih.gov/protein/46560557","Tubgcp5")</f>
        <v>Tubgcp5</v>
      </c>
      <c r="D7867" s="8"/>
      <c r="E7867" s="8">
        <v>117847</v>
      </c>
      <c r="F7867" s="8"/>
      <c r="G7867" s="15" t="s">
        <v>10</v>
      </c>
      <c r="H7867" s="15" t="s">
        <v>10</v>
      </c>
      <c r="I7867" s="15" t="s">
        <v>10</v>
      </c>
      <c r="J7867" s="15" t="s">
        <v>10</v>
      </c>
      <c r="K7867" s="15">
        <v>1.3004480604766258</v>
      </c>
      <c r="L7867" s="15">
        <v>1.3004480604766258</v>
      </c>
      <c r="M7867" s="15">
        <v>1.3004480604766258</v>
      </c>
      <c r="N7867" s="15">
        <v>1.3004480604766258</v>
      </c>
      <c r="O7867" s="15" t="s">
        <v>10</v>
      </c>
      <c r="P7867" s="15" t="s">
        <v>10</v>
      </c>
      <c r="Q7867" s="8"/>
      <c r="R7867" s="9" t="s">
        <v>7357</v>
      </c>
    </row>
    <row r="7868" spans="1:18" x14ac:dyDescent="0.25">
      <c r="A7868" s="6" t="str">
        <f>HYPERLINK("proteomic_fractions_linear_files/Yang_linear_img/254039634.jpg", "254039634")</f>
        <v>254039634</v>
      </c>
      <c r="B7868" s="7"/>
      <c r="C7868" s="6" t="str">
        <f>HYPERLINK("http://www.ncbi.nlm.nih.gov/protein/254039634","Tubgcp6")</f>
        <v>Tubgcp6</v>
      </c>
      <c r="D7868" s="8"/>
      <c r="E7868" s="8">
        <v>197061</v>
      </c>
      <c r="F7868" s="8"/>
      <c r="G7868" s="15" t="s">
        <v>10</v>
      </c>
      <c r="H7868" s="15" t="s">
        <v>10</v>
      </c>
      <c r="I7868" s="15" t="s">
        <v>10</v>
      </c>
      <c r="J7868" s="15" t="s">
        <v>10</v>
      </c>
      <c r="K7868" s="15">
        <v>1.5318950489162375</v>
      </c>
      <c r="L7868" s="15">
        <v>1.5318950489162375</v>
      </c>
      <c r="M7868" s="15">
        <v>1.1845728305982186</v>
      </c>
      <c r="N7868" s="15">
        <v>1.1845728305982186</v>
      </c>
      <c r="O7868" s="15" t="s">
        <v>10</v>
      </c>
      <c r="P7868" s="15" t="s">
        <v>10</v>
      </c>
      <c r="Q7868" s="8"/>
      <c r="R7868" s="9" t="s">
        <v>7358</v>
      </c>
    </row>
    <row r="7869" spans="1:18" x14ac:dyDescent="0.25">
      <c r="A7869" s="6" t="str">
        <f>HYPERLINK("proteomic_fractions_linear_files/Yang_linear_img/254911131.jpg", "254911131")</f>
        <v>254911131</v>
      </c>
      <c r="B7869" s="7"/>
      <c r="C7869" s="6" t="str">
        <f>HYPERLINK("http://www.ncbi.nlm.nih.gov/protein/254911131","Tufm")</f>
        <v>Tufm</v>
      </c>
      <c r="D7869" s="8"/>
      <c r="E7869" s="8">
        <v>47091</v>
      </c>
      <c r="F7869" s="8"/>
      <c r="G7869" s="15">
        <v>1.2504937784168904</v>
      </c>
      <c r="H7869" s="15">
        <v>1.2504937784168904</v>
      </c>
      <c r="I7869" s="15">
        <v>0.93884232440352056</v>
      </c>
      <c r="J7869" s="15">
        <v>0.93884232440352056</v>
      </c>
      <c r="K7869" s="15">
        <v>0.93884232440352056</v>
      </c>
      <c r="L7869" s="15">
        <v>0.93884232440352056</v>
      </c>
      <c r="M7869" s="15" t="s">
        <v>10</v>
      </c>
      <c r="N7869" s="15" t="s">
        <v>10</v>
      </c>
      <c r="O7869" s="15">
        <v>0.86185783411112227</v>
      </c>
      <c r="P7869" s="15">
        <v>0.86185783411112227</v>
      </c>
      <c r="Q7869" s="8"/>
      <c r="R7869" s="9" t="s">
        <v>7359</v>
      </c>
    </row>
    <row r="7870" spans="1:18" x14ac:dyDescent="0.25">
      <c r="A7870" s="6" t="str">
        <f>HYPERLINK("proteomic_fractions_linear_files/Yang_linear_img/27370092.jpg", "27370092")</f>
        <v>27370092</v>
      </c>
      <c r="B7870" s="7"/>
      <c r="C7870" s="6" t="str">
        <f>HYPERLINK("http://www.ncbi.nlm.nih.gov/protein/27370092","Tufm")</f>
        <v>Tufm</v>
      </c>
      <c r="D7870" s="8"/>
      <c r="E7870" s="8">
        <v>44971</v>
      </c>
      <c r="F7870" s="8"/>
      <c r="G7870" s="15">
        <v>1.3060712796798635</v>
      </c>
      <c r="H7870" s="15">
        <v>1.3060712796798635</v>
      </c>
      <c r="I7870" s="15">
        <v>0.98056864993256598</v>
      </c>
      <c r="J7870" s="15">
        <v>0.98056864993256598</v>
      </c>
      <c r="K7870" s="15">
        <v>1.8466368549587524</v>
      </c>
      <c r="L7870" s="15">
        <v>1.8466368549587524</v>
      </c>
      <c r="M7870" s="15">
        <v>1.8466368549587524</v>
      </c>
      <c r="N7870" s="15">
        <v>1.8466368549587524</v>
      </c>
      <c r="O7870" s="15">
        <v>0.90016262673828318</v>
      </c>
      <c r="P7870" s="15">
        <v>0.90016262673828318</v>
      </c>
      <c r="Q7870" s="8"/>
      <c r="R7870" s="9" t="s">
        <v>7360</v>
      </c>
    </row>
    <row r="7871" spans="1:18" x14ac:dyDescent="0.25">
      <c r="A7871" s="6" t="str">
        <f>HYPERLINK("proteomic_fractions_linear_files/Yang_linear_img/124248487.jpg", "124248487")</f>
        <v>124248487</v>
      </c>
      <c r="B7871" s="7"/>
      <c r="C7871" s="6" t="str">
        <f>HYPERLINK("http://www.ncbi.nlm.nih.gov/protein/124248487","Tusc3")</f>
        <v>Tusc3</v>
      </c>
      <c r="D7871" s="8"/>
      <c r="E7871" s="8">
        <v>35039</v>
      </c>
      <c r="F7871" s="8"/>
      <c r="G7871" s="15" t="s">
        <v>10</v>
      </c>
      <c r="H7871" s="15" t="s">
        <v>10</v>
      </c>
      <c r="I7871" s="15">
        <v>0.91668779587810256</v>
      </c>
      <c r="J7871" s="15">
        <v>0.91668779587810256</v>
      </c>
      <c r="K7871" s="15">
        <v>0.91668779587810256</v>
      </c>
      <c r="L7871" s="15">
        <v>0.91668779587810256</v>
      </c>
      <c r="M7871" s="15" t="s">
        <v>10</v>
      </c>
      <c r="N7871" s="15" t="s">
        <v>10</v>
      </c>
      <c r="O7871" s="15" t="s">
        <v>10</v>
      </c>
      <c r="P7871" s="15" t="s">
        <v>10</v>
      </c>
      <c r="Q7871" s="8"/>
      <c r="R7871" s="9" t="s">
        <v>7361</v>
      </c>
    </row>
    <row r="7872" spans="1:18" x14ac:dyDescent="0.25">
      <c r="A7872" s="6" t="str">
        <f>HYPERLINK("proteomic_fractions_linear_files/Yang_linear_img/37574078.jpg", "37574078")</f>
        <v>37574078</v>
      </c>
      <c r="B7872" s="7"/>
      <c r="C7872" s="6" t="str">
        <f>HYPERLINK("http://www.ncbi.nlm.nih.gov/protein/37574078","Tut1")</f>
        <v>Tut1</v>
      </c>
      <c r="D7872" s="8"/>
      <c r="E7872" s="8">
        <v>94472</v>
      </c>
      <c r="F7872" s="8"/>
      <c r="G7872" s="15" t="s">
        <v>10</v>
      </c>
      <c r="H7872" s="15" t="s">
        <v>10</v>
      </c>
      <c r="I7872" s="15" t="s">
        <v>10</v>
      </c>
      <c r="J7872" s="15" t="s">
        <v>10</v>
      </c>
      <c r="K7872" s="15" t="s">
        <v>10</v>
      </c>
      <c r="L7872" s="15" t="s">
        <v>10</v>
      </c>
      <c r="M7872" s="15" t="s">
        <v>10</v>
      </c>
      <c r="N7872" s="15" t="s">
        <v>10</v>
      </c>
      <c r="O7872" s="15">
        <v>1.3693790228203933</v>
      </c>
      <c r="P7872" s="15">
        <v>1.3693790228203933</v>
      </c>
      <c r="Q7872" s="8"/>
      <c r="R7872" s="9" t="s">
        <v>7362</v>
      </c>
    </row>
    <row r="7873" spans="1:18" x14ac:dyDescent="0.25">
      <c r="A7873" s="6" t="str">
        <f>HYPERLINK("proteomic_fractions_linear_files/Yang_linear_img/21312930.jpg", "21312930")</f>
        <v>21312930</v>
      </c>
      <c r="B7873" s="7"/>
      <c r="C7873" s="6" t="str">
        <f>HYPERLINK("http://www.ncbi.nlm.nih.gov/protein/21312930","Tvp23b")</f>
        <v>Tvp23b</v>
      </c>
      <c r="D7873" s="8"/>
      <c r="E7873" s="8">
        <v>23174</v>
      </c>
      <c r="F7873" s="8"/>
      <c r="G7873" s="15" t="s">
        <v>10</v>
      </c>
      <c r="H7873" s="15" t="s">
        <v>10</v>
      </c>
      <c r="I7873" s="15" t="s">
        <v>10</v>
      </c>
      <c r="J7873" s="15" t="s">
        <v>10</v>
      </c>
      <c r="K7873" s="15">
        <v>1.0676008962294312</v>
      </c>
      <c r="L7873" s="15">
        <v>1.0676008962294312</v>
      </c>
      <c r="M7873" s="15" t="s">
        <v>10</v>
      </c>
      <c r="N7873" s="15" t="s">
        <v>10</v>
      </c>
      <c r="O7873" s="15" t="s">
        <v>10</v>
      </c>
      <c r="P7873" s="15" t="s">
        <v>10</v>
      </c>
      <c r="Q7873" s="8"/>
      <c r="R7873" s="9" t="s">
        <v>7363</v>
      </c>
    </row>
    <row r="7874" spans="1:18" x14ac:dyDescent="0.25">
      <c r="A7874" s="6" t="str">
        <f>HYPERLINK("proteomic_fractions_linear_files/Yang_linear_img/62990169.jpg", "62990169")</f>
        <v>62990169</v>
      </c>
      <c r="B7874" s="7"/>
      <c r="C7874" s="6" t="str">
        <f>HYPERLINK("http://www.ncbi.nlm.nih.gov/protein/62990169","Twf1")</f>
        <v>Twf1</v>
      </c>
      <c r="D7874" s="8"/>
      <c r="E7874" s="8">
        <v>39948</v>
      </c>
      <c r="F7874" s="8"/>
      <c r="G7874" s="15">
        <v>1.2072493896103813</v>
      </c>
      <c r="H7874" s="15">
        <v>1.2072493896103813</v>
      </c>
      <c r="I7874" s="15">
        <v>0.51493602966640684</v>
      </c>
      <c r="J7874" s="15">
        <v>0.51493602966640684</v>
      </c>
      <c r="K7874" s="15">
        <v>0.93353316057811475</v>
      </c>
      <c r="L7874" s="15">
        <v>0.93353316057811475</v>
      </c>
      <c r="M7874" s="15">
        <v>0.93353316057811475</v>
      </c>
      <c r="N7874" s="15">
        <v>0.93353316057811475</v>
      </c>
      <c r="O7874" s="15">
        <v>0.8638344132618796</v>
      </c>
      <c r="P7874" s="15">
        <v>0.8638344132618796</v>
      </c>
      <c r="Q7874" s="8"/>
      <c r="R7874" s="9" t="s">
        <v>7364</v>
      </c>
    </row>
    <row r="7875" spans="1:18" x14ac:dyDescent="0.25">
      <c r="A7875" s="6" t="str">
        <f>HYPERLINK("proteomic_fractions_linear_files/Yang_linear_img/6755224.jpg", "6755224")</f>
        <v>6755224</v>
      </c>
      <c r="B7875" s="7"/>
      <c r="C7875" s="6" t="str">
        <f>HYPERLINK("http://www.ncbi.nlm.nih.gov/protein/6755224","Twf2")</f>
        <v>Twf2</v>
      </c>
      <c r="D7875" s="8"/>
      <c r="E7875" s="8">
        <v>39340</v>
      </c>
      <c r="F7875" s="8"/>
      <c r="G7875" s="15" t="s">
        <v>10</v>
      </c>
      <c r="H7875" s="15" t="s">
        <v>10</v>
      </c>
      <c r="I7875" s="15" t="s">
        <v>10</v>
      </c>
      <c r="J7875" s="15" t="s">
        <v>10</v>
      </c>
      <c r="K7875" s="15" t="s">
        <v>10</v>
      </c>
      <c r="L7875" s="15" t="s">
        <v>10</v>
      </c>
      <c r="M7875" s="15">
        <v>0.95746990828524592</v>
      </c>
      <c r="N7875" s="15">
        <v>0.95746990828524592</v>
      </c>
      <c r="O7875" s="15">
        <v>0.8859840136019278</v>
      </c>
      <c r="P7875" s="15">
        <v>0.8859840136019278</v>
      </c>
      <c r="Q7875" s="8"/>
      <c r="R7875" s="9" t="s">
        <v>7365</v>
      </c>
    </row>
    <row r="7876" spans="1:18" x14ac:dyDescent="0.25">
      <c r="A7876" s="6" t="str">
        <f>HYPERLINK("proteomic_fractions_linear_files/Yang_linear_img/91598586.jpg", "91598586")</f>
        <v>91598586</v>
      </c>
      <c r="B7876" s="7"/>
      <c r="C7876" s="6" t="str">
        <f>HYPERLINK("http://www.ncbi.nlm.nih.gov/protein/91598586","Txlna")</f>
        <v>Txlna</v>
      </c>
      <c r="D7876" s="8"/>
      <c r="E7876" s="8">
        <v>62238</v>
      </c>
      <c r="F7876" s="8"/>
      <c r="G7876" s="15" t="s">
        <v>10</v>
      </c>
      <c r="H7876" s="15" t="s">
        <v>10</v>
      </c>
      <c r="I7876" s="15">
        <v>1.3403009431152235</v>
      </c>
      <c r="J7876" s="15">
        <v>1.3403009431152235</v>
      </c>
      <c r="K7876" s="15">
        <v>1.3403009431152235</v>
      </c>
      <c r="L7876" s="15">
        <v>1.3403009431152235</v>
      </c>
      <c r="M7876" s="15">
        <v>1.3403009431152235</v>
      </c>
      <c r="N7876" s="15">
        <v>1.3403009431152235</v>
      </c>
      <c r="O7876" s="15">
        <v>1.1844541974464877</v>
      </c>
      <c r="P7876" s="15">
        <v>1.1844541974464877</v>
      </c>
      <c r="Q7876" s="8"/>
      <c r="R7876" s="9" t="s">
        <v>7366</v>
      </c>
    </row>
    <row r="7877" spans="1:18" x14ac:dyDescent="0.25">
      <c r="A7877" s="6" t="str">
        <f>HYPERLINK("proteomic_fractions_linear_files/Yang_linear_img/30725808.jpg", "30725808")</f>
        <v>30725808</v>
      </c>
      <c r="B7877" s="7"/>
      <c r="C7877" s="6" t="str">
        <f>HYPERLINK("http://www.ncbi.nlm.nih.gov/protein/30725808","Txlng")</f>
        <v>Txlng</v>
      </c>
      <c r="D7877" s="8"/>
      <c r="E7877" s="8">
        <v>60178</v>
      </c>
      <c r="F7877" s="8"/>
      <c r="G7877" s="15" t="s">
        <v>10</v>
      </c>
      <c r="H7877" s="15" t="s">
        <v>10</v>
      </c>
      <c r="I7877" s="15" t="s">
        <v>10</v>
      </c>
      <c r="J7877" s="15" t="s">
        <v>10</v>
      </c>
      <c r="K7877" s="15">
        <v>1.2239360040280374</v>
      </c>
      <c r="L7877" s="15">
        <v>1.2239360040280374</v>
      </c>
      <c r="M7877" s="15" t="s">
        <v>10</v>
      </c>
      <c r="N7877" s="15" t="s">
        <v>10</v>
      </c>
      <c r="O7877" s="15" t="s">
        <v>10</v>
      </c>
      <c r="P7877" s="15" t="s">
        <v>10</v>
      </c>
      <c r="Q7877" s="8"/>
      <c r="R7877" s="9" t="s">
        <v>7367</v>
      </c>
    </row>
    <row r="7878" spans="1:18" x14ac:dyDescent="0.25">
      <c r="A7878" s="6" t="str">
        <f>HYPERLINK("proteomic_fractions_linear_files/Yang_linear_img/6755911.jpg", "6755911")</f>
        <v>6755911</v>
      </c>
      <c r="B7878" s="7"/>
      <c r="C7878" s="6" t="str">
        <f>HYPERLINK("http://www.ncbi.nlm.nih.gov/protein/6755911","Txn1")</f>
        <v>Txn1</v>
      </c>
      <c r="D7878" s="8"/>
      <c r="E7878" s="8">
        <v>11544</v>
      </c>
      <c r="F7878" s="8"/>
      <c r="G7878" s="15">
        <v>1.5412749303803404</v>
      </c>
      <c r="H7878" s="15">
        <v>2.3265176081401715</v>
      </c>
      <c r="I7878" s="15">
        <v>1.209789476822529</v>
      </c>
      <c r="J7878" s="15">
        <v>1.209789476822529</v>
      </c>
      <c r="K7878" s="15">
        <v>1.1571542083280542</v>
      </c>
      <c r="L7878" s="15">
        <v>1.1571542083280542</v>
      </c>
      <c r="M7878" s="15">
        <v>1.209789476822529</v>
      </c>
      <c r="N7878" s="15">
        <v>1.209789476822529</v>
      </c>
      <c r="O7878" s="15">
        <v>1.1080886685834612</v>
      </c>
      <c r="P7878" s="15">
        <v>1.1080886685834612</v>
      </c>
      <c r="Q7878" s="8"/>
      <c r="R7878" s="9" t="s">
        <v>7368</v>
      </c>
    </row>
    <row r="7879" spans="1:18" x14ac:dyDescent="0.25">
      <c r="A7879" s="6" t="str">
        <f>HYPERLINK("proteomic_fractions_linear_files/Yang_linear_img/13384700.jpg", "13384700")</f>
        <v>13384700</v>
      </c>
      <c r="B7879" s="7"/>
      <c r="C7879" s="6" t="str">
        <f>HYPERLINK("http://www.ncbi.nlm.nih.gov/protein/13384700","Txndc12")</f>
        <v>Txndc12</v>
      </c>
      <c r="D7879" s="8"/>
      <c r="E7879" s="8">
        <v>16487</v>
      </c>
      <c r="F7879" s="8"/>
      <c r="G7879" s="15">
        <v>1.4443483359198404</v>
      </c>
      <c r="H7879" s="15">
        <v>1.4443483359198404</v>
      </c>
      <c r="I7879" s="15">
        <v>1.0447796575379389</v>
      </c>
      <c r="J7879" s="15">
        <v>1.0447796575379389</v>
      </c>
      <c r="K7879" s="15">
        <v>1.0981212353349354</v>
      </c>
      <c r="L7879" s="15">
        <v>1.0981212353349354</v>
      </c>
      <c r="M7879" s="15" t="s">
        <v>10</v>
      </c>
      <c r="N7879" s="15" t="s">
        <v>10</v>
      </c>
      <c r="O7879" s="15">
        <v>0.99546511144886096</v>
      </c>
      <c r="P7879" s="15">
        <v>0.99546511144886096</v>
      </c>
      <c r="Q7879" s="8"/>
      <c r="R7879" s="9" t="s">
        <v>7369</v>
      </c>
    </row>
    <row r="7880" spans="1:18" x14ac:dyDescent="0.25">
      <c r="A7880" s="6" t="str">
        <f>HYPERLINK("proteomic_fractions_linear_files/Yang_linear_img/52693935.jpg", "52693935")</f>
        <v>52693935</v>
      </c>
      <c r="B7880" s="7"/>
      <c r="C7880" s="6" t="str">
        <f>HYPERLINK("http://www.ncbi.nlm.nih.gov/protein/52693935","Txndc15")</f>
        <v>Txndc15</v>
      </c>
      <c r="D7880" s="8"/>
      <c r="E7880" s="8">
        <v>35800</v>
      </c>
      <c r="F7880" s="8"/>
      <c r="G7880" s="15" t="s">
        <v>10</v>
      </c>
      <c r="H7880" s="15" t="s">
        <v>10</v>
      </c>
      <c r="I7880" s="15">
        <v>1.4755713786111411</v>
      </c>
      <c r="J7880" s="15">
        <v>1.4755713786111411</v>
      </c>
      <c r="K7880" s="15">
        <v>1.8181462036262315</v>
      </c>
      <c r="L7880" s="15">
        <v>1.8181462036262315</v>
      </c>
      <c r="M7880" s="15" t="s">
        <v>10</v>
      </c>
      <c r="N7880" s="15" t="s">
        <v>10</v>
      </c>
      <c r="O7880" s="15" t="s">
        <v>10</v>
      </c>
      <c r="P7880" s="15" t="s">
        <v>10</v>
      </c>
      <c r="Q7880" s="8"/>
      <c r="R7880" s="9" t="s">
        <v>7370</v>
      </c>
    </row>
    <row r="7881" spans="1:18" x14ac:dyDescent="0.25">
      <c r="A7881" s="6" t="str">
        <f>HYPERLINK("proteomic_fractions_linear_files/Yang_linear_img/13386060.jpg", "13386060")</f>
        <v>13386060</v>
      </c>
      <c r="B7881" s="7"/>
      <c r="C7881" s="6" t="str">
        <f>HYPERLINK("http://www.ncbi.nlm.nih.gov/protein/13386060","Txndc17")</f>
        <v>Txndc17</v>
      </c>
      <c r="D7881" s="8"/>
      <c r="E7881" s="8">
        <v>13884</v>
      </c>
      <c r="F7881" s="8"/>
      <c r="G7881" s="15">
        <v>1.0369624087050249</v>
      </c>
      <c r="H7881" s="15">
        <v>1.0369624087050249</v>
      </c>
      <c r="I7881" s="15">
        <v>1.0369624087050249</v>
      </c>
      <c r="J7881" s="15">
        <v>1.0369624087050249</v>
      </c>
      <c r="K7881" s="15">
        <v>1.1376744130844125</v>
      </c>
      <c r="L7881" s="15">
        <v>1.1376744130844125</v>
      </c>
      <c r="M7881" s="15" t="s">
        <v>10</v>
      </c>
      <c r="N7881" s="15" t="s">
        <v>10</v>
      </c>
      <c r="O7881" s="15">
        <v>1.0369624087050249</v>
      </c>
      <c r="P7881" s="15">
        <v>1.0369624087050249</v>
      </c>
      <c r="Q7881" s="8"/>
      <c r="R7881" s="9" t="s">
        <v>7371</v>
      </c>
    </row>
    <row r="7882" spans="1:18" x14ac:dyDescent="0.25">
      <c r="A7882" s="6" t="str">
        <f>HYPERLINK("proteomic_fractions_linear_files/Yang_linear_img/83921612.jpg", "83921612")</f>
        <v>83921612</v>
      </c>
      <c r="B7882" s="7"/>
      <c r="C7882" s="6" t="str">
        <f>HYPERLINK("http://www.ncbi.nlm.nih.gov/protein/83921612","Txndc5")</f>
        <v>Txndc5</v>
      </c>
      <c r="D7882" s="8"/>
      <c r="E7882" s="8">
        <v>43031</v>
      </c>
      <c r="F7882" s="8"/>
      <c r="G7882" s="15">
        <v>1.3668187810603221</v>
      </c>
      <c r="H7882" s="15">
        <v>1.3668187810603221</v>
      </c>
      <c r="I7882" s="15">
        <v>1.0261764941154761</v>
      </c>
      <c r="J7882" s="15">
        <v>1.0261764941154761</v>
      </c>
      <c r="K7882" s="15">
        <v>1.123022688009657</v>
      </c>
      <c r="L7882" s="15">
        <v>1.123022688009657</v>
      </c>
      <c r="M7882" s="15" t="s">
        <v>10</v>
      </c>
      <c r="N7882" s="15" t="s">
        <v>10</v>
      </c>
      <c r="O7882" s="15">
        <v>0.942030655888901</v>
      </c>
      <c r="P7882" s="15">
        <v>0.942030655888901</v>
      </c>
      <c r="Q7882" s="8"/>
      <c r="R7882" s="9" t="s">
        <v>7372</v>
      </c>
    </row>
    <row r="7883" spans="1:18" x14ac:dyDescent="0.25">
      <c r="A7883" s="6" t="str">
        <f>HYPERLINK("proteomic_fractions_linear_files/Yang_linear_img/25286717.jpg", "25286717")</f>
        <v>25286717</v>
      </c>
      <c r="B7883" s="7"/>
      <c r="C7883" s="6" t="str">
        <f>HYPERLINK("http://www.ncbi.nlm.nih.gov/protein/25286717","Txndc9")</f>
        <v>Txndc9</v>
      </c>
      <c r="D7883" s="8"/>
      <c r="E7883" s="8">
        <v>26129</v>
      </c>
      <c r="F7883" s="8"/>
      <c r="G7883" s="15" t="s">
        <v>10</v>
      </c>
      <c r="H7883" s="15" t="s">
        <v>10</v>
      </c>
      <c r="I7883" s="15">
        <v>1.0057791582855768</v>
      </c>
      <c r="J7883" s="15">
        <v>1.0057791582855768</v>
      </c>
      <c r="K7883" s="15" t="s">
        <v>10</v>
      </c>
      <c r="L7883" s="15" t="s">
        <v>10</v>
      </c>
      <c r="M7883" s="15">
        <v>1.0057791582855768</v>
      </c>
      <c r="N7883" s="15">
        <v>1.0057791582855768</v>
      </c>
      <c r="O7883" s="15" t="s">
        <v>10</v>
      </c>
      <c r="P7883" s="15" t="s">
        <v>10</v>
      </c>
      <c r="Q7883" s="8"/>
      <c r="R7883" s="9" t="s">
        <v>7373</v>
      </c>
    </row>
    <row r="7884" spans="1:18" x14ac:dyDescent="0.25">
      <c r="A7884" s="6" t="str">
        <f>HYPERLINK("proteomic_fractions_linear_files/Yang_linear_img/254553444.jpg", "254553444")</f>
        <v>254553444</v>
      </c>
      <c r="B7884" s="7"/>
      <c r="C7884" s="6" t="str">
        <f>HYPERLINK("http://www.ncbi.nlm.nih.gov/protein/254553444","Txnip")</f>
        <v>Txnip</v>
      </c>
      <c r="D7884" s="8"/>
      <c r="E7884" s="8">
        <v>44161</v>
      </c>
      <c r="F7884" s="8"/>
      <c r="G7884" s="15" t="s">
        <v>10</v>
      </c>
      <c r="H7884" s="15" t="s">
        <v>10</v>
      </c>
      <c r="I7884" s="15">
        <v>1.2072856734091155</v>
      </c>
      <c r="J7884" s="15">
        <v>1.2072856734091155</v>
      </c>
      <c r="K7884" s="15">
        <v>1.3357547178544058</v>
      </c>
      <c r="L7884" s="15">
        <v>1.3357547178544058</v>
      </c>
      <c r="M7884" s="15" t="s">
        <v>10</v>
      </c>
      <c r="N7884" s="15" t="s">
        <v>10</v>
      </c>
      <c r="O7884" s="15" t="s">
        <v>10</v>
      </c>
      <c r="P7884" s="15" t="s">
        <v>10</v>
      </c>
      <c r="Q7884" s="8"/>
      <c r="R7884" s="9" t="s">
        <v>7374</v>
      </c>
    </row>
    <row r="7885" spans="1:18" x14ac:dyDescent="0.25">
      <c r="A7885" s="6" t="str">
        <f>HYPERLINK("proteomic_fractions_linear_files/Yang_linear_img/60687518.jpg", "60687518")</f>
        <v>60687518</v>
      </c>
      <c r="B7885" s="7"/>
      <c r="C7885" s="6" t="str">
        <f>HYPERLINK("http://www.ncbi.nlm.nih.gov/protein/60687518","Txnip")</f>
        <v>Txnip</v>
      </c>
      <c r="D7885" s="8"/>
      <c r="E7885" s="8">
        <v>44232</v>
      </c>
      <c r="F7885" s="8"/>
      <c r="G7885" s="15" t="s">
        <v>10</v>
      </c>
      <c r="H7885" s="15" t="s">
        <v>10</v>
      </c>
      <c r="I7885" s="15">
        <v>1.2072856734091155</v>
      </c>
      <c r="J7885" s="15">
        <v>1.2072856734091155</v>
      </c>
      <c r="K7885" s="15">
        <v>1.3357547178544058</v>
      </c>
      <c r="L7885" s="15">
        <v>1.3357547178544058</v>
      </c>
      <c r="M7885" s="15" t="s">
        <v>10</v>
      </c>
      <c r="N7885" s="15" t="s">
        <v>10</v>
      </c>
      <c r="O7885" s="15" t="s">
        <v>10</v>
      </c>
      <c r="P7885" s="15" t="s">
        <v>10</v>
      </c>
      <c r="Q7885" s="8"/>
      <c r="R7885" s="9" t="s">
        <v>7375</v>
      </c>
    </row>
    <row r="7886" spans="1:18" x14ac:dyDescent="0.25">
      <c r="A7886" s="6" t="str">
        <f>HYPERLINK("proteomic_fractions_linear_files/Yang_linear_img/31543902.jpg", "31543902")</f>
        <v>31543902</v>
      </c>
      <c r="B7886" s="7"/>
      <c r="C7886" s="6" t="str">
        <f>HYPERLINK("http://www.ncbi.nlm.nih.gov/protein/31543902","Txnl1")</f>
        <v>Txnl1</v>
      </c>
      <c r="D7886" s="8"/>
      <c r="E7886" s="8">
        <v>32106</v>
      </c>
      <c r="F7886" s="8"/>
      <c r="G7886" s="15" t="s">
        <v>10</v>
      </c>
      <c r="H7886" s="15" t="s">
        <v>10</v>
      </c>
      <c r="I7886" s="15">
        <v>1.0026272767416746</v>
      </c>
      <c r="J7886" s="15">
        <v>1.0026272767416746</v>
      </c>
      <c r="K7886" s="15">
        <v>1.0026272767416746</v>
      </c>
      <c r="L7886" s="15">
        <v>1.0026272767416746</v>
      </c>
      <c r="M7886" s="15">
        <v>1.0026272767416746</v>
      </c>
      <c r="N7886" s="15">
        <v>1.0026272767416746</v>
      </c>
      <c r="O7886" s="15">
        <v>0.93391896536603536</v>
      </c>
      <c r="P7886" s="15">
        <v>0.93391896536603536</v>
      </c>
      <c r="Q7886" s="8"/>
      <c r="R7886" s="9" t="s">
        <v>7376</v>
      </c>
    </row>
    <row r="7887" spans="1:18" x14ac:dyDescent="0.25">
      <c r="A7887" s="6" t="str">
        <f>HYPERLINK("proteomic_fractions_linear_files/Yang_linear_img/109255210.jpg", "109255210")</f>
        <v>109255210</v>
      </c>
      <c r="B7887" s="7"/>
      <c r="C7887" s="6" t="str">
        <f>HYPERLINK("http://www.ncbi.nlm.nih.gov/protein/109255210","Txnl4a")</f>
        <v>Txnl4a</v>
      </c>
      <c r="D7887" s="8"/>
      <c r="E7887" s="8">
        <v>7290</v>
      </c>
      <c r="F7887" s="8"/>
      <c r="G7887" s="15">
        <v>1.9836929285623786</v>
      </c>
      <c r="H7887" s="15">
        <v>1.9836929285623786</v>
      </c>
      <c r="I7887" s="15">
        <v>1.9836929285623786</v>
      </c>
      <c r="J7887" s="15">
        <v>1.9836929285623786</v>
      </c>
      <c r="K7887" s="15">
        <v>2.0739248174100497</v>
      </c>
      <c r="L7887" s="15">
        <v>2.0739248174100497</v>
      </c>
      <c r="M7887" s="15">
        <v>2.0739248174100497</v>
      </c>
      <c r="N7887" s="15">
        <v>2.0739248174100497</v>
      </c>
      <c r="O7887" s="15">
        <v>1.9836929285623786</v>
      </c>
      <c r="P7887" s="15">
        <v>1.9836929285623786</v>
      </c>
      <c r="Q7887" s="8"/>
      <c r="R7887" s="9" t="s">
        <v>7377</v>
      </c>
    </row>
    <row r="7888" spans="1:18" x14ac:dyDescent="0.25">
      <c r="A7888" s="6" t="str">
        <f>HYPERLINK("proteomic_fractions_linear_files/Yang_linear_img/13384656.jpg", "13384656")</f>
        <v>13384656</v>
      </c>
      <c r="B7888" s="7"/>
      <c r="C7888" s="6" t="str">
        <f>HYPERLINK("http://www.ncbi.nlm.nih.gov/protein/13384656","Txnl4a")</f>
        <v>Txnl4a</v>
      </c>
      <c r="D7888" s="8"/>
      <c r="E7888" s="8">
        <v>16655</v>
      </c>
      <c r="F7888" s="8"/>
      <c r="G7888" s="15">
        <v>0.81681473529039117</v>
      </c>
      <c r="H7888" s="15">
        <v>0.81681473529039117</v>
      </c>
      <c r="I7888" s="15">
        <v>0.81681473529039117</v>
      </c>
      <c r="J7888" s="15">
        <v>0.81681473529039117</v>
      </c>
      <c r="K7888" s="15">
        <v>0.85396904246296157</v>
      </c>
      <c r="L7888" s="15">
        <v>0.85396904246296157</v>
      </c>
      <c r="M7888" s="15">
        <v>0.85396904246296157</v>
      </c>
      <c r="N7888" s="15">
        <v>0.85396904246296157</v>
      </c>
      <c r="O7888" s="15">
        <v>0.81681473529039117</v>
      </c>
      <c r="P7888" s="15">
        <v>0.81681473529039117</v>
      </c>
      <c r="Q7888" s="8"/>
      <c r="R7888" s="9" t="s">
        <v>7378</v>
      </c>
    </row>
    <row r="7889" spans="1:18" x14ac:dyDescent="0.25">
      <c r="A7889" s="6" t="str">
        <f>HYPERLINK("proteomic_fractions_linear_files/Yang_linear_img/160333183.jpg", "160333183")</f>
        <v>160333183</v>
      </c>
      <c r="B7889" s="7"/>
      <c r="C7889" s="6" t="str">
        <f>HYPERLINK("http://www.ncbi.nlm.nih.gov/protein/160333183","Txnl4b")</f>
        <v>Txnl4b</v>
      </c>
      <c r="D7889" s="8"/>
      <c r="E7889" s="8">
        <v>16889</v>
      </c>
      <c r="F7889" s="8"/>
      <c r="G7889" s="15" t="s">
        <v>10</v>
      </c>
      <c r="H7889" s="15" t="s">
        <v>10</v>
      </c>
      <c r="I7889" s="15" t="s">
        <v>10</v>
      </c>
      <c r="J7889" s="15" t="s">
        <v>10</v>
      </c>
      <c r="K7889" s="15">
        <v>0.89390225257731093</v>
      </c>
      <c r="L7889" s="15">
        <v>0.89390225257731093</v>
      </c>
      <c r="M7889" s="15" t="s">
        <v>10</v>
      </c>
      <c r="N7889" s="15" t="s">
        <v>10</v>
      </c>
      <c r="O7889" s="15">
        <v>0.89390225257731093</v>
      </c>
      <c r="P7889" s="15">
        <v>0.89390225257731093</v>
      </c>
      <c r="Q7889" s="8"/>
      <c r="R7889" s="9" t="s">
        <v>7379</v>
      </c>
    </row>
    <row r="7890" spans="1:18" x14ac:dyDescent="0.25">
      <c r="A7890" s="6" t="str">
        <f>HYPERLINK("proteomic_fractions_linear_files/Yang_linear_img/110224447.jpg", "110224447")</f>
        <v>110224447</v>
      </c>
      <c r="B7890" s="7"/>
      <c r="C7890" s="6" t="str">
        <f>HYPERLINK("http://www.ncbi.nlm.nih.gov/protein/110224447","Txnrd1")</f>
        <v>Txnrd1</v>
      </c>
      <c r="D7890" s="8"/>
      <c r="E7890" s="8">
        <v>66953</v>
      </c>
      <c r="F7890" s="8"/>
      <c r="G7890" s="15">
        <v>1.0960620931594365</v>
      </c>
      <c r="H7890" s="15">
        <v>1.0960620931594365</v>
      </c>
      <c r="I7890" s="15">
        <v>0.79284432283583695</v>
      </c>
      <c r="J7890" s="15">
        <v>0.87721205351632614</v>
      </c>
      <c r="K7890" s="15">
        <v>0.87721205351632614</v>
      </c>
      <c r="L7890" s="15">
        <v>0.87721205351632614</v>
      </c>
      <c r="M7890" s="15">
        <v>0.87721205351632614</v>
      </c>
      <c r="N7890" s="15">
        <v>0.87721205351632614</v>
      </c>
      <c r="O7890" s="15">
        <v>0.79284432283583695</v>
      </c>
      <c r="P7890" s="15">
        <v>0.79284432283583695</v>
      </c>
      <c r="Q7890" s="8"/>
      <c r="R7890" s="9" t="s">
        <v>7380</v>
      </c>
    </row>
    <row r="7891" spans="1:18" x14ac:dyDescent="0.25">
      <c r="A7891" s="6" t="str">
        <f>HYPERLINK("proteomic_fractions_linear_files/Yang_linear_img/13569841.jpg", "13569841")</f>
        <v>13569841</v>
      </c>
      <c r="B7891" s="7"/>
      <c r="C7891" s="6" t="str">
        <f>HYPERLINK("http://www.ncbi.nlm.nih.gov/protein/13569841","Txnrd1")</f>
        <v>Txnrd1</v>
      </c>
      <c r="D7891" s="8"/>
      <c r="E7891" s="8">
        <v>54413</v>
      </c>
      <c r="F7891" s="8"/>
      <c r="G7891" s="15">
        <v>1.359928893364486</v>
      </c>
      <c r="H7891" s="15">
        <v>1.359928893364486</v>
      </c>
      <c r="I7891" s="15">
        <v>0.98371425240742738</v>
      </c>
      <c r="J7891" s="15">
        <v>1.0883927330665528</v>
      </c>
      <c r="K7891" s="15">
        <v>1.0883927330665528</v>
      </c>
      <c r="L7891" s="15">
        <v>1.0883927330665528</v>
      </c>
      <c r="M7891" s="15">
        <v>1.0883927330665528</v>
      </c>
      <c r="N7891" s="15">
        <v>1.0883927330665528</v>
      </c>
      <c r="O7891" s="15">
        <v>0.98371425240742738</v>
      </c>
      <c r="P7891" s="15">
        <v>0.98371425240742738</v>
      </c>
      <c r="Q7891" s="8"/>
      <c r="R7891" s="9" t="s">
        <v>7381</v>
      </c>
    </row>
    <row r="7892" spans="1:18" x14ac:dyDescent="0.25">
      <c r="A7892" s="6" t="str">
        <f>HYPERLINK("proteomic_fractions_linear_files/Yang_linear_img/102468565.jpg", "102468565")</f>
        <v>102468565</v>
      </c>
      <c r="B7892" s="7"/>
      <c r="C7892" s="6" t="str">
        <f>HYPERLINK("http://www.ncbi.nlm.nih.gov/protein/102468565","Txnrd2")</f>
        <v>Txnrd2</v>
      </c>
      <c r="D7892" s="8"/>
      <c r="E7892" s="8">
        <v>53037</v>
      </c>
      <c r="F7892" s="8"/>
      <c r="G7892" s="15">
        <v>1.3855879290883442</v>
      </c>
      <c r="H7892" s="15">
        <v>1.3855879290883442</v>
      </c>
      <c r="I7892" s="15">
        <v>1.0022748986792656</v>
      </c>
      <c r="J7892" s="15">
        <v>1.0022748986792656</v>
      </c>
      <c r="K7892" s="15">
        <v>1.1089284450112047</v>
      </c>
      <c r="L7892" s="15">
        <v>1.1089284450112047</v>
      </c>
      <c r="M7892" s="15">
        <v>1.1089284450112047</v>
      </c>
      <c r="N7892" s="15">
        <v>1.1089284450112047</v>
      </c>
      <c r="O7892" s="15" t="s">
        <v>10</v>
      </c>
      <c r="P7892" s="15" t="s">
        <v>10</v>
      </c>
      <c r="Q7892" s="8"/>
      <c r="R7892" s="9" t="s">
        <v>7382</v>
      </c>
    </row>
    <row r="7893" spans="1:18" x14ac:dyDescent="0.25">
      <c r="A7893" s="6" t="str">
        <f>HYPERLINK("proteomic_fractions_linear_files/Yang_linear_img/296010805.jpg", "296010805")</f>
        <v>296010805</v>
      </c>
      <c r="B7893" s="7"/>
      <c r="C7893" s="6" t="str">
        <f>HYPERLINK("http://www.ncbi.nlm.nih.gov/protein/296010805","Txnrd3")</f>
        <v>Txnrd3</v>
      </c>
      <c r="D7893" s="8"/>
      <c r="E7893" s="8">
        <v>58703</v>
      </c>
      <c r="F7893" s="8"/>
      <c r="G7893" s="15" t="s">
        <v>10</v>
      </c>
      <c r="H7893" s="15" t="s">
        <v>10</v>
      </c>
      <c r="I7893" s="15" t="s">
        <v>10</v>
      </c>
      <c r="J7893" s="15" t="s">
        <v>10</v>
      </c>
      <c r="K7893" s="15" t="s">
        <v>10</v>
      </c>
      <c r="L7893" s="15" t="s">
        <v>10</v>
      </c>
      <c r="M7893" s="15">
        <v>1.244680682062411</v>
      </c>
      <c r="N7893" s="15">
        <v>1.244680682062411</v>
      </c>
      <c r="O7893" s="15" t="s">
        <v>10</v>
      </c>
      <c r="P7893" s="15" t="s">
        <v>10</v>
      </c>
      <c r="Q7893" s="8"/>
      <c r="R7893" s="9" t="s">
        <v>7383</v>
      </c>
    </row>
    <row r="7894" spans="1:18" x14ac:dyDescent="0.25">
      <c r="A7894" s="6" t="str">
        <f>HYPERLINK("proteomic_fractions_linear_files/Yang_linear_img/296010807.jpg", "296010807")</f>
        <v>296010807</v>
      </c>
      <c r="B7894" s="7"/>
      <c r="C7894" s="6" t="str">
        <f>HYPERLINK("http://www.ncbi.nlm.nih.gov/protein/296010807","Txnrd3")</f>
        <v>Txnrd3</v>
      </c>
      <c r="D7894" s="8"/>
      <c r="E7894" s="8">
        <v>54935</v>
      </c>
      <c r="F7894" s="8"/>
      <c r="G7894" s="15" t="s">
        <v>10</v>
      </c>
      <c r="H7894" s="15" t="s">
        <v>10</v>
      </c>
      <c r="I7894" s="15" t="s">
        <v>10</v>
      </c>
      <c r="J7894" s="15" t="s">
        <v>10</v>
      </c>
      <c r="K7894" s="15" t="s">
        <v>10</v>
      </c>
      <c r="L7894" s="15" t="s">
        <v>10</v>
      </c>
      <c r="M7894" s="15">
        <v>1.3352029134851318</v>
      </c>
      <c r="N7894" s="15">
        <v>1.3352029134851318</v>
      </c>
      <c r="O7894" s="15" t="s">
        <v>10</v>
      </c>
      <c r="P7894" s="15" t="s">
        <v>10</v>
      </c>
      <c r="Q7894" s="8"/>
      <c r="R7894" s="9" t="s">
        <v>7384</v>
      </c>
    </row>
    <row r="7895" spans="1:18" x14ac:dyDescent="0.25">
      <c r="A7895" s="6" t="str">
        <f>HYPERLINK("proteomic_fractions_linear_files/Yang_linear_img/110735449.jpg", "110735449")</f>
        <v>110735449</v>
      </c>
      <c r="B7895" s="7"/>
      <c r="C7895" s="6" t="str">
        <f>HYPERLINK("http://www.ncbi.nlm.nih.gov/protein/110735449","Txnrd3")</f>
        <v>Txnrd3</v>
      </c>
      <c r="D7895" s="8"/>
      <c r="E7895" s="8">
        <v>67421</v>
      </c>
      <c r="F7895" s="8"/>
      <c r="G7895" s="15" t="s">
        <v>10</v>
      </c>
      <c r="H7895" s="15" t="s">
        <v>10</v>
      </c>
      <c r="I7895" s="15">
        <v>0.72074590424500373</v>
      </c>
      <c r="J7895" s="15">
        <v>0.72074590424500373</v>
      </c>
      <c r="K7895" s="15">
        <v>0.72074590424500373</v>
      </c>
      <c r="L7895" s="15">
        <v>0.72074590424500373</v>
      </c>
      <c r="M7895" s="15">
        <v>1.0960620931594365</v>
      </c>
      <c r="N7895" s="15">
        <v>1.0960620931594365</v>
      </c>
      <c r="O7895" s="15">
        <v>0.65859088428306667</v>
      </c>
      <c r="P7895" s="15">
        <v>0.65859088428306667</v>
      </c>
      <c r="Q7895" s="8"/>
      <c r="R7895" s="9" t="s">
        <v>7385</v>
      </c>
    </row>
    <row r="7896" spans="1:18" x14ac:dyDescent="0.25">
      <c r="A7896" s="6" t="str">
        <f>HYPERLINK("proteomic_fractions_linear_files/Yang_linear_img/296010803.jpg", "296010803")</f>
        <v>296010803</v>
      </c>
      <c r="B7896" s="7"/>
      <c r="C7896" s="6" t="str">
        <f>HYPERLINK("http://www.ncbi.nlm.nih.gov/protein/296010803","Txnrd3")</f>
        <v>Txnrd3</v>
      </c>
      <c r="D7896" s="8"/>
      <c r="E7896" s="8">
        <v>71188</v>
      </c>
      <c r="F7896" s="8"/>
      <c r="G7896" s="15" t="s">
        <v>10</v>
      </c>
      <c r="H7896" s="15" t="s">
        <v>10</v>
      </c>
      <c r="I7896" s="15">
        <v>0.6801405011889472</v>
      </c>
      <c r="J7896" s="15">
        <v>0.6801405011889472</v>
      </c>
      <c r="K7896" s="15">
        <v>0.6801405011889472</v>
      </c>
      <c r="L7896" s="15">
        <v>0.6801405011889472</v>
      </c>
      <c r="M7896" s="15">
        <v>1.0343121160800317</v>
      </c>
      <c r="N7896" s="15">
        <v>1.0343121160800317</v>
      </c>
      <c r="O7896" s="15">
        <v>0.62148717249247143</v>
      </c>
      <c r="P7896" s="15">
        <v>0.62148717249247143</v>
      </c>
      <c r="Q7896" s="8"/>
      <c r="R7896" s="9" t="s">
        <v>7386</v>
      </c>
    </row>
    <row r="7897" spans="1:18" x14ac:dyDescent="0.25">
      <c r="A7897" s="6" t="str">
        <f>HYPERLINK("proteomic_fractions_linear_files/Yang_linear_img/133922607.jpg", "133922607")</f>
        <v>133922607</v>
      </c>
      <c r="B7897" s="7"/>
      <c r="C7897" s="6" t="str">
        <f>HYPERLINK("http://www.ncbi.nlm.nih.gov/protein/133922607","Tyk2")</f>
        <v>Tyk2</v>
      </c>
      <c r="D7897" s="8"/>
      <c r="E7897" s="8">
        <v>133185</v>
      </c>
      <c r="F7897" s="8"/>
      <c r="G7897" s="15" t="s">
        <v>10</v>
      </c>
      <c r="H7897" s="15" t="s">
        <v>10</v>
      </c>
      <c r="I7897" s="15">
        <v>1.1537809859867807</v>
      </c>
      <c r="J7897" s="15">
        <v>1.1537809859867807</v>
      </c>
      <c r="K7897" s="15">
        <v>1.1537809859867807</v>
      </c>
      <c r="L7897" s="15">
        <v>1.1537809859867807</v>
      </c>
      <c r="M7897" s="15" t="s">
        <v>10</v>
      </c>
      <c r="N7897" s="15" t="s">
        <v>10</v>
      </c>
      <c r="O7897" s="15" t="s">
        <v>10</v>
      </c>
      <c r="P7897" s="15" t="s">
        <v>10</v>
      </c>
      <c r="Q7897" s="8"/>
      <c r="R7897" s="9" t="s">
        <v>7387</v>
      </c>
    </row>
    <row r="7898" spans="1:18" x14ac:dyDescent="0.25">
      <c r="A7898" s="6" t="str">
        <f>HYPERLINK("proteomic_fractions_linear_files/Yang_linear_img/328887920.jpg", "328887920")</f>
        <v>328887920</v>
      </c>
      <c r="B7898" s="7"/>
      <c r="C7898" s="6" t="str">
        <f>HYPERLINK("http://www.ncbi.nlm.nih.gov/protein/328887920","Tyk2")</f>
        <v>Tyk2</v>
      </c>
      <c r="D7898" s="8"/>
      <c r="E7898" s="8">
        <v>135771</v>
      </c>
      <c r="F7898" s="8"/>
      <c r="G7898" s="15" t="s">
        <v>10</v>
      </c>
      <c r="H7898" s="15" t="s">
        <v>10</v>
      </c>
      <c r="I7898" s="15">
        <v>1.1283299348253077</v>
      </c>
      <c r="J7898" s="15">
        <v>1.1283299348253077</v>
      </c>
      <c r="K7898" s="15">
        <v>1.1283299348253077</v>
      </c>
      <c r="L7898" s="15">
        <v>1.1283299348253077</v>
      </c>
      <c r="M7898" s="15" t="s">
        <v>10</v>
      </c>
      <c r="N7898" s="15" t="s">
        <v>10</v>
      </c>
      <c r="O7898" s="15" t="s">
        <v>10</v>
      </c>
      <c r="P7898" s="15" t="s">
        <v>10</v>
      </c>
      <c r="Q7898" s="8"/>
      <c r="R7898" s="9" t="s">
        <v>7388</v>
      </c>
    </row>
    <row r="7899" spans="1:18" x14ac:dyDescent="0.25">
      <c r="A7899" s="6" t="str">
        <f>HYPERLINK("proteomic_fractions_linear_files/Yang_linear_img/46358062.jpg", "46358062")</f>
        <v>46358062</v>
      </c>
      <c r="B7899" s="7"/>
      <c r="C7899" s="6" t="str">
        <f>HYPERLINK("http://www.ncbi.nlm.nih.gov/protein/46358062","Tyms")</f>
        <v>Tyms</v>
      </c>
      <c r="D7899" s="8"/>
      <c r="E7899" s="8">
        <v>34827</v>
      </c>
      <c r="F7899" s="8"/>
      <c r="G7899" s="15" t="s">
        <v>10</v>
      </c>
      <c r="H7899" s="15" t="s">
        <v>10</v>
      </c>
      <c r="I7899" s="15">
        <v>0.85386876833466085</v>
      </c>
      <c r="J7899" s="15">
        <v>0.85386876833466085</v>
      </c>
      <c r="K7899" s="15">
        <v>0.91668779587810256</v>
      </c>
      <c r="L7899" s="15">
        <v>0.91668779587810256</v>
      </c>
      <c r="M7899" s="15" t="s">
        <v>10</v>
      </c>
      <c r="N7899" s="15" t="s">
        <v>10</v>
      </c>
      <c r="O7899" s="15">
        <v>0.79766317993377311</v>
      </c>
      <c r="P7899" s="15">
        <v>0.79766317993377311</v>
      </c>
      <c r="Q7899" s="8"/>
      <c r="R7899" s="9" t="s">
        <v>7389</v>
      </c>
    </row>
    <row r="7900" spans="1:18" x14ac:dyDescent="0.25">
      <c r="A7900" s="6" t="str">
        <f>HYPERLINK("proteomic_fractions_linear_files/Yang_linear_img/30725740.jpg", "30725740")</f>
        <v>30725740</v>
      </c>
      <c r="B7900" s="7"/>
      <c r="C7900" s="6" t="str">
        <f>HYPERLINK("http://www.ncbi.nlm.nih.gov/protein/30725740","Tyw1")</f>
        <v>Tyw1</v>
      </c>
      <c r="D7900" s="8"/>
      <c r="E7900" s="8">
        <v>50330</v>
      </c>
      <c r="F7900" s="8"/>
      <c r="G7900" s="15" t="s">
        <v>10</v>
      </c>
      <c r="H7900" s="15" t="s">
        <v>10</v>
      </c>
      <c r="I7900" s="15">
        <v>1.6619731694628772</v>
      </c>
      <c r="J7900" s="15">
        <v>1.6619731694628772</v>
      </c>
      <c r="K7900" s="15">
        <v>0.435914845413575</v>
      </c>
      <c r="L7900" s="15">
        <v>0.435914845413575</v>
      </c>
      <c r="M7900" s="15" t="s">
        <v>10</v>
      </c>
      <c r="N7900" s="15" t="s">
        <v>10</v>
      </c>
      <c r="O7900" s="15" t="s">
        <v>10</v>
      </c>
      <c r="P7900" s="15" t="s">
        <v>10</v>
      </c>
      <c r="Q7900" s="8"/>
      <c r="R7900" s="9" t="s">
        <v>7390</v>
      </c>
    </row>
    <row r="7901" spans="1:18" x14ac:dyDescent="0.25">
      <c r="A7901" s="6" t="str">
        <f>HYPERLINK("proteomic_fractions_linear_files/Yang_linear_img/62899041.jpg", "62899041")</f>
        <v>62899041</v>
      </c>
      <c r="B7901" s="7"/>
      <c r="C7901" s="6" t="str">
        <f>HYPERLINK("http://www.ncbi.nlm.nih.gov/protein/62899041","Tyw1")</f>
        <v>Tyw1</v>
      </c>
      <c r="D7901" s="8"/>
      <c r="E7901" s="8">
        <v>81468</v>
      </c>
      <c r="F7901" s="8"/>
      <c r="G7901" s="15" t="s">
        <v>10</v>
      </c>
      <c r="H7901" s="15" t="s">
        <v>10</v>
      </c>
      <c r="I7901" s="15">
        <v>1.0259093638659735</v>
      </c>
      <c r="J7901" s="15">
        <v>1.0259093638659735</v>
      </c>
      <c r="K7901" s="15">
        <v>0.26908323790961419</v>
      </c>
      <c r="L7901" s="15">
        <v>0.26908323790961419</v>
      </c>
      <c r="M7901" s="15" t="s">
        <v>10</v>
      </c>
      <c r="N7901" s="15" t="s">
        <v>10</v>
      </c>
      <c r="O7901" s="15" t="s">
        <v>10</v>
      </c>
      <c r="P7901" s="15" t="s">
        <v>10</v>
      </c>
      <c r="Q7901" s="8"/>
      <c r="R7901" s="9" t="s">
        <v>7391</v>
      </c>
    </row>
    <row r="7902" spans="1:18" x14ac:dyDescent="0.25">
      <c r="A7902" s="6" t="str">
        <f>HYPERLINK("proteomic_fractions_linear_files/Yang_linear_img/291045186.jpg", "291045186")</f>
        <v>291045186</v>
      </c>
      <c r="B7902" s="7"/>
      <c r="C7902" s="6" t="str">
        <f>HYPERLINK("http://www.ncbi.nlm.nih.gov/protein/291045186","Tyw3")</f>
        <v>Tyw3</v>
      </c>
      <c r="D7902" s="8"/>
      <c r="E7902" s="8">
        <v>15611</v>
      </c>
      <c r="F7902" s="8"/>
      <c r="G7902" s="15" t="s">
        <v>10</v>
      </c>
      <c r="H7902" s="15" t="s">
        <v>10</v>
      </c>
      <c r="I7902" s="15" t="s">
        <v>10</v>
      </c>
      <c r="J7902" s="15" t="s">
        <v>10</v>
      </c>
      <c r="K7902" s="15" t="s">
        <v>10</v>
      </c>
      <c r="L7902" s="15" t="s">
        <v>10</v>
      </c>
      <c r="M7902" s="15">
        <v>1.8678379307320707</v>
      </c>
      <c r="N7902" s="15">
        <v>1.8678379307320707</v>
      </c>
      <c r="O7902" s="15" t="s">
        <v>10</v>
      </c>
      <c r="P7902" s="15" t="s">
        <v>10</v>
      </c>
      <c r="Q7902" s="8"/>
      <c r="R7902" s="9" t="s">
        <v>7392</v>
      </c>
    </row>
    <row r="7903" spans="1:18" x14ac:dyDescent="0.25">
      <c r="A7903" s="6" t="str">
        <f>HYPERLINK("proteomic_fractions_linear_files/Yang_linear_img/33859785.jpg", "33859785")</f>
        <v>33859785</v>
      </c>
      <c r="B7903" s="7"/>
      <c r="C7903" s="6" t="str">
        <f>HYPERLINK("http://www.ncbi.nlm.nih.gov/protein/33859785","Tyw3")</f>
        <v>Tyw3</v>
      </c>
      <c r="D7903" s="8"/>
      <c r="E7903" s="8">
        <v>28444</v>
      </c>
      <c r="F7903" s="8"/>
      <c r="G7903" s="15" t="s">
        <v>10</v>
      </c>
      <c r="H7903" s="15" t="s">
        <v>10</v>
      </c>
      <c r="I7903" s="15" t="s">
        <v>10</v>
      </c>
      <c r="J7903" s="15" t="s">
        <v>10</v>
      </c>
      <c r="K7903" s="15" t="s">
        <v>10</v>
      </c>
      <c r="L7903" s="15" t="s">
        <v>10</v>
      </c>
      <c r="M7903" s="15">
        <v>1.0673359604183261</v>
      </c>
      <c r="N7903" s="15">
        <v>1.0673359604183261</v>
      </c>
      <c r="O7903" s="15" t="s">
        <v>10</v>
      </c>
      <c r="P7903" s="15" t="s">
        <v>10</v>
      </c>
      <c r="Q7903" s="8"/>
      <c r="R7903" s="9" t="s">
        <v>7393</v>
      </c>
    </row>
    <row r="7904" spans="1:18" x14ac:dyDescent="0.25">
      <c r="A7904" s="6" t="str">
        <f>HYPERLINK("proteomic_fractions_linear_files/Yang_linear_img/166235142.jpg", "166235142")</f>
        <v>166235142</v>
      </c>
      <c r="B7904" s="7"/>
      <c r="C7904" s="6" t="str">
        <f>HYPERLINK("http://www.ncbi.nlm.nih.gov/protein/166235142","Tyw5")</f>
        <v>Tyw5</v>
      </c>
      <c r="D7904" s="8"/>
      <c r="E7904" s="8">
        <v>36502</v>
      </c>
      <c r="F7904" s="8"/>
      <c r="G7904" s="15" t="s">
        <v>10</v>
      </c>
      <c r="H7904" s="15" t="s">
        <v>10</v>
      </c>
      <c r="I7904" s="15" t="s">
        <v>10</v>
      </c>
      <c r="J7904" s="15" t="s">
        <v>10</v>
      </c>
      <c r="K7904" s="15" t="s">
        <v>10</v>
      </c>
      <c r="L7904" s="15" t="s">
        <v>10</v>
      </c>
      <c r="M7904" s="15" t="s">
        <v>10</v>
      </c>
      <c r="N7904" s="15" t="s">
        <v>10</v>
      </c>
      <c r="O7904" s="15">
        <v>0.86713710420901591</v>
      </c>
      <c r="P7904" s="15">
        <v>0.86713710420901591</v>
      </c>
      <c r="Q7904" s="8"/>
      <c r="R7904" s="9" t="s">
        <v>7394</v>
      </c>
    </row>
    <row r="7905" spans="1:18" x14ac:dyDescent="0.25">
      <c r="A7905" s="6" t="str">
        <f>HYPERLINK("proteomic_fractions_linear_files/Yang_linear_img/166235146.jpg", "166235146")</f>
        <v>166235146</v>
      </c>
      <c r="B7905" s="7"/>
      <c r="C7905" s="6" t="str">
        <f>HYPERLINK("http://www.ncbi.nlm.nih.gov/protein/166235146","Tyw5")</f>
        <v>Tyw5</v>
      </c>
      <c r="D7905" s="8"/>
      <c r="E7905" s="8">
        <v>13893</v>
      </c>
      <c r="F7905" s="8"/>
      <c r="G7905" s="15" t="s">
        <v>10</v>
      </c>
      <c r="H7905" s="15" t="s">
        <v>10</v>
      </c>
      <c r="I7905" s="15" t="s">
        <v>10</v>
      </c>
      <c r="J7905" s="15" t="s">
        <v>10</v>
      </c>
      <c r="K7905" s="15" t="s">
        <v>10</v>
      </c>
      <c r="L7905" s="15" t="s">
        <v>10</v>
      </c>
      <c r="M7905" s="15" t="s">
        <v>10</v>
      </c>
      <c r="N7905" s="15" t="s">
        <v>10</v>
      </c>
      <c r="O7905" s="15">
        <v>2.2917194896952564</v>
      </c>
      <c r="P7905" s="15">
        <v>2.2917194896952564</v>
      </c>
      <c r="Q7905" s="8"/>
      <c r="R7905" s="9" t="s">
        <v>7395</v>
      </c>
    </row>
    <row r="7906" spans="1:18" x14ac:dyDescent="0.25">
      <c r="A7906" s="6" t="str">
        <f>HYPERLINK("proteomic_fractions_linear_files/Yang_linear_img/254939700.jpg", "254939700")</f>
        <v>254939700</v>
      </c>
      <c r="B7906" s="7"/>
      <c r="C7906" s="6" t="str">
        <f>HYPERLINK("http://www.ncbi.nlm.nih.gov/protein/254939700","U2af1")</f>
        <v>U2af1</v>
      </c>
      <c r="D7906" s="8"/>
      <c r="E7906" s="8">
        <v>27694</v>
      </c>
      <c r="F7906" s="8"/>
      <c r="G7906" s="15">
        <v>1.5759139016773382</v>
      </c>
      <c r="H7906" s="15">
        <v>1.5759139016773382</v>
      </c>
      <c r="I7906" s="15">
        <v>1.1458597448476282</v>
      </c>
      <c r="J7906" s="15">
        <v>1.1458597448476282</v>
      </c>
      <c r="K7906" s="15">
        <v>1.2340491618026852</v>
      </c>
      <c r="L7906" s="15">
        <v>1.2340491618026852</v>
      </c>
      <c r="M7906" s="15" t="s">
        <v>10</v>
      </c>
      <c r="N7906" s="15" t="s">
        <v>10</v>
      </c>
      <c r="O7906" s="15" t="s">
        <v>10</v>
      </c>
      <c r="P7906" s="15" t="s">
        <v>10</v>
      </c>
      <c r="Q7906" s="8"/>
      <c r="R7906" s="9" t="s">
        <v>7396</v>
      </c>
    </row>
    <row r="7907" spans="1:18" x14ac:dyDescent="0.25">
      <c r="A7907" s="6" t="str">
        <f>HYPERLINK("proteomic_fractions_linear_files/Yang_linear_img/254939694.jpg", "254939694")</f>
        <v>254939694</v>
      </c>
      <c r="B7907" s="7"/>
      <c r="C7907" s="6" t="str">
        <f>HYPERLINK("http://www.ncbi.nlm.nih.gov/protein/254939694","U2af1")</f>
        <v>U2af1</v>
      </c>
      <c r="D7907" s="8"/>
      <c r="E7907" s="8">
        <v>27684</v>
      </c>
      <c r="F7907" s="8"/>
      <c r="G7907" s="15">
        <v>1.5759139016773382</v>
      </c>
      <c r="H7907" s="15">
        <v>1.5759139016773382</v>
      </c>
      <c r="I7907" s="15">
        <v>1.1458597448476282</v>
      </c>
      <c r="J7907" s="15">
        <v>1.1458597448476282</v>
      </c>
      <c r="K7907" s="15">
        <v>1.2340491618026852</v>
      </c>
      <c r="L7907" s="15">
        <v>1.2340491618026852</v>
      </c>
      <c r="M7907" s="15">
        <v>1.1458597448476282</v>
      </c>
      <c r="N7907" s="15">
        <v>1.1458597448476282</v>
      </c>
      <c r="O7907" s="15" t="s">
        <v>10</v>
      </c>
      <c r="P7907" s="15" t="s">
        <v>10</v>
      </c>
      <c r="Q7907" s="8"/>
      <c r="R7907" s="9" t="s">
        <v>7397</v>
      </c>
    </row>
    <row r="7908" spans="1:18" x14ac:dyDescent="0.25">
      <c r="A7908" s="6" t="str">
        <f>HYPERLINK("proteomic_fractions_linear_files/Yang_linear_img/25072205.jpg", "25072205")</f>
        <v>25072205</v>
      </c>
      <c r="B7908" s="7"/>
      <c r="C7908" s="6" t="str">
        <f>HYPERLINK("http://www.ncbi.nlm.nih.gov/protein/25072205","U2af1l4")</f>
        <v>U2af1l4</v>
      </c>
      <c r="D7908" s="8"/>
      <c r="E7908" s="8">
        <v>25705</v>
      </c>
      <c r="F7908" s="8"/>
      <c r="G7908" s="15" t="s">
        <v>10</v>
      </c>
      <c r="H7908" s="15" t="s">
        <v>10</v>
      </c>
      <c r="I7908" s="15" t="s">
        <v>10</v>
      </c>
      <c r="J7908" s="15" t="s">
        <v>10</v>
      </c>
      <c r="K7908" s="15">
        <v>1.3289760204028918</v>
      </c>
      <c r="L7908" s="15">
        <v>1.3289760204028918</v>
      </c>
      <c r="M7908" s="15" t="s">
        <v>10</v>
      </c>
      <c r="N7908" s="15" t="s">
        <v>10</v>
      </c>
      <c r="O7908" s="15" t="s">
        <v>10</v>
      </c>
      <c r="P7908" s="15" t="s">
        <v>10</v>
      </c>
      <c r="Q7908" s="8"/>
      <c r="R7908" s="9" t="s">
        <v>7398</v>
      </c>
    </row>
    <row r="7909" spans="1:18" x14ac:dyDescent="0.25">
      <c r="A7909" s="6" t="str">
        <f>HYPERLINK("proteomic_fractions_linear_files/Yang_linear_img/164565377.jpg", "164565377")</f>
        <v>164565377</v>
      </c>
      <c r="B7909" s="7"/>
      <c r="C7909" s="6" t="str">
        <f>HYPERLINK("http://www.ncbi.nlm.nih.gov/protein/164565377","U2af2")</f>
        <v>U2af2</v>
      </c>
      <c r="D7909" s="8"/>
      <c r="E7909" s="8">
        <v>52990</v>
      </c>
      <c r="F7909" s="8"/>
      <c r="G7909" s="15">
        <v>1.3855879290883442</v>
      </c>
      <c r="H7909" s="15">
        <v>1.5678992164744123</v>
      </c>
      <c r="I7909" s="15">
        <v>1.1089284450112047</v>
      </c>
      <c r="J7909" s="15">
        <v>1.2349672326517798</v>
      </c>
      <c r="K7909" s="15">
        <v>1.2349672326517798</v>
      </c>
      <c r="L7909" s="15">
        <v>1.2349672326517798</v>
      </c>
      <c r="M7909" s="15">
        <v>1.1089284450112047</v>
      </c>
      <c r="N7909" s="15">
        <v>1.1089284450112047</v>
      </c>
      <c r="O7909" s="15">
        <v>1.1089284450112047</v>
      </c>
      <c r="P7909" s="15">
        <v>1.1089284450112047</v>
      </c>
      <c r="Q7909" s="8"/>
      <c r="R7909" s="9" t="s">
        <v>7399</v>
      </c>
    </row>
    <row r="7910" spans="1:18" x14ac:dyDescent="0.25">
      <c r="A7910" s="6" t="str">
        <f>HYPERLINK("proteomic_fractions_linear_files/Yang_linear_img/327365322.jpg", "327365322")</f>
        <v>327365322</v>
      </c>
      <c r="B7910" s="7"/>
      <c r="C7910" s="6" t="str">
        <f>HYPERLINK("http://www.ncbi.nlm.nih.gov/protein/327365322","U2af2")</f>
        <v>U2af2</v>
      </c>
      <c r="D7910" s="8"/>
      <c r="E7910" s="8">
        <v>53386</v>
      </c>
      <c r="F7910" s="8"/>
      <c r="G7910" s="15">
        <v>1.3855879290883442</v>
      </c>
      <c r="H7910" s="15">
        <v>1.5678992164744123</v>
      </c>
      <c r="I7910" s="15">
        <v>1.1089284450112047</v>
      </c>
      <c r="J7910" s="15">
        <v>1.2349672326517798</v>
      </c>
      <c r="K7910" s="15">
        <v>1.2349672326517798</v>
      </c>
      <c r="L7910" s="15">
        <v>1.2349672326517798</v>
      </c>
      <c r="M7910" s="15">
        <v>1.1089284450112047</v>
      </c>
      <c r="N7910" s="15">
        <v>1.1089284450112047</v>
      </c>
      <c r="O7910" s="15">
        <v>1.1089284450112047</v>
      </c>
      <c r="P7910" s="15">
        <v>1.1089284450112047</v>
      </c>
      <c r="Q7910" s="8"/>
      <c r="R7910" s="9" t="s">
        <v>7400</v>
      </c>
    </row>
    <row r="7911" spans="1:18" x14ac:dyDescent="0.25">
      <c r="A7911" s="6" t="str">
        <f>HYPERLINK("proteomic_fractions_linear_files/Yang_linear_img/171460908.jpg", "171460908")</f>
        <v>171460908</v>
      </c>
      <c r="B7911" s="7"/>
      <c r="C7911" s="6" t="str">
        <f>HYPERLINK("http://www.ncbi.nlm.nih.gov/protein/171460908","U2surp")</f>
        <v>U2surp</v>
      </c>
      <c r="D7911" s="8"/>
      <c r="E7911" s="8">
        <v>113133</v>
      </c>
      <c r="F7911" s="8"/>
      <c r="G7911" s="15">
        <v>1.6527949702649589</v>
      </c>
      <c r="H7911" s="15">
        <v>1.6527949702649589</v>
      </c>
      <c r="I7911" s="15">
        <v>53.036283185840709</v>
      </c>
      <c r="J7911" s="15">
        <v>53.036283185840709</v>
      </c>
      <c r="K7911" s="15">
        <v>1.6527949702649589</v>
      </c>
      <c r="L7911" s="15">
        <v>1.6527949702649589</v>
      </c>
      <c r="M7911" s="15" t="s">
        <v>10</v>
      </c>
      <c r="N7911" s="15" t="s">
        <v>10</v>
      </c>
      <c r="O7911" s="15" t="s">
        <v>10</v>
      </c>
      <c r="P7911" s="15" t="s">
        <v>10</v>
      </c>
      <c r="Q7911" s="8"/>
      <c r="R7911" s="9" t="s">
        <v>7401</v>
      </c>
    </row>
    <row r="7912" spans="1:18" x14ac:dyDescent="0.25">
      <c r="A7912" s="6" t="str">
        <f>HYPERLINK("proteomic_fractions_linear_files/Yang_linear_img/171460910.jpg", "171460910")</f>
        <v>171460910</v>
      </c>
      <c r="B7912" s="7"/>
      <c r="C7912" s="6" t="str">
        <f>HYPERLINK("http://www.ncbi.nlm.nih.gov/protein/171460910","U2surp")</f>
        <v>U2surp</v>
      </c>
      <c r="D7912" s="8"/>
      <c r="E7912" s="8">
        <v>118130</v>
      </c>
      <c r="F7912" s="8"/>
      <c r="G7912" s="15">
        <v>1.5827612850842403</v>
      </c>
      <c r="H7912" s="15">
        <v>1.5827612850842403</v>
      </c>
      <c r="I7912" s="15">
        <v>50.788983050847463</v>
      </c>
      <c r="J7912" s="15">
        <v>50.788983050847463</v>
      </c>
      <c r="K7912" s="15">
        <v>1.5827612850842403</v>
      </c>
      <c r="L7912" s="15">
        <v>1.5827612850842403</v>
      </c>
      <c r="M7912" s="15" t="s">
        <v>10</v>
      </c>
      <c r="N7912" s="15" t="s">
        <v>10</v>
      </c>
      <c r="O7912" s="15" t="s">
        <v>10</v>
      </c>
      <c r="P7912" s="15" t="s">
        <v>10</v>
      </c>
      <c r="Q7912" s="8"/>
      <c r="R7912" s="9" t="s">
        <v>7402</v>
      </c>
    </row>
    <row r="7913" spans="1:18" x14ac:dyDescent="0.25">
      <c r="A7913" s="6" t="str">
        <f>HYPERLINK("proteomic_fractions_linear_files/Yang_linear_img/28077007.jpg", "28077007")</f>
        <v>28077007</v>
      </c>
      <c r="B7913" s="7"/>
      <c r="C7913" s="6" t="str">
        <f>HYPERLINK("http://www.ncbi.nlm.nih.gov/protein/28077007","Uaca")</f>
        <v>Uaca</v>
      </c>
      <c r="D7913" s="8"/>
      <c r="E7913" s="8">
        <v>160787</v>
      </c>
      <c r="F7913" s="8"/>
      <c r="G7913" s="15">
        <v>1.1600362213660891</v>
      </c>
      <c r="H7913" s="15">
        <v>1.1600362213660891</v>
      </c>
      <c r="I7913" s="15" t="s">
        <v>10</v>
      </c>
      <c r="J7913" s="15" t="s">
        <v>10</v>
      </c>
      <c r="K7913" s="15" t="s">
        <v>10</v>
      </c>
      <c r="L7913" s="15" t="s">
        <v>10</v>
      </c>
      <c r="M7913" s="15">
        <v>1.1600362213660891</v>
      </c>
      <c r="N7913" s="15">
        <v>1.1600362213660891</v>
      </c>
      <c r="O7913" s="15" t="s">
        <v>10</v>
      </c>
      <c r="P7913" s="15" t="s">
        <v>10</v>
      </c>
      <c r="Q7913" s="8"/>
      <c r="R7913" s="9" t="s">
        <v>7403</v>
      </c>
    </row>
    <row r="7914" spans="1:18" x14ac:dyDescent="0.25">
      <c r="A7914" s="6" t="str">
        <f>HYPERLINK("proteomic_fractions_linear_files/Yang_linear_img/30520375.jpg", "30520375")</f>
        <v>30520375</v>
      </c>
      <c r="B7914" s="7"/>
      <c r="C7914" s="6" t="str">
        <f>HYPERLINK("http://www.ncbi.nlm.nih.gov/protein/30520375","Uap1")</f>
        <v>Uap1</v>
      </c>
      <c r="D7914" s="8"/>
      <c r="E7914" s="8">
        <v>58365</v>
      </c>
      <c r="F7914" s="8"/>
      <c r="G7914" s="15" t="s">
        <v>10</v>
      </c>
      <c r="H7914" s="15" t="s">
        <v>10</v>
      </c>
      <c r="I7914" s="15">
        <v>1.0133311652688595</v>
      </c>
      <c r="J7914" s="15">
        <v>1.0133311652688595</v>
      </c>
      <c r="K7914" s="15">
        <v>1.1285045401817988</v>
      </c>
      <c r="L7914" s="15">
        <v>1.1285045401817988</v>
      </c>
      <c r="M7914" s="15" t="s">
        <v>10</v>
      </c>
      <c r="N7914" s="15" t="s">
        <v>10</v>
      </c>
      <c r="O7914" s="15">
        <v>0.91587189017243242</v>
      </c>
      <c r="P7914" s="15">
        <v>0.91587189017243242</v>
      </c>
      <c r="Q7914" s="8"/>
      <c r="R7914" s="9" t="s">
        <v>7404</v>
      </c>
    </row>
    <row r="7915" spans="1:18" x14ac:dyDescent="0.25">
      <c r="A7915" s="6" t="str">
        <f>HYPERLINK("proteomic_fractions_linear_files/Yang_linear_img/377833682.jpg", "377833682")</f>
        <v>377833682</v>
      </c>
      <c r="B7915" s="7"/>
      <c r="C7915" s="6" t="str">
        <f>HYPERLINK("http://www.ncbi.nlm.nih.gov/protein/377833682","Uap1")</f>
        <v>Uap1</v>
      </c>
      <c r="D7915" s="8"/>
      <c r="E7915" s="8">
        <v>57365</v>
      </c>
      <c r="F7915" s="8"/>
      <c r="G7915" s="15" t="s">
        <v>10</v>
      </c>
      <c r="H7915" s="15" t="s">
        <v>10</v>
      </c>
      <c r="I7915" s="15">
        <v>1.0311089050104185</v>
      </c>
      <c r="J7915" s="15">
        <v>1.0311089050104185</v>
      </c>
      <c r="K7915" s="15">
        <v>1.1483028654481462</v>
      </c>
      <c r="L7915" s="15">
        <v>1.1483028654481462</v>
      </c>
      <c r="M7915" s="15" t="s">
        <v>10</v>
      </c>
      <c r="N7915" s="15" t="s">
        <v>10</v>
      </c>
      <c r="O7915" s="15">
        <v>0.93193981807019433</v>
      </c>
      <c r="P7915" s="15">
        <v>0.93193981807019433</v>
      </c>
      <c r="Q7915" s="8"/>
      <c r="R7915" s="9" t="s">
        <v>8327</v>
      </c>
    </row>
    <row r="7916" spans="1:18" x14ac:dyDescent="0.25">
      <c r="A7916" s="6" t="str">
        <f>HYPERLINK("proteomic_fractions_linear_files/Yang_linear_img/84794548.jpg", "84794548")</f>
        <v>84794548</v>
      </c>
      <c r="B7916" s="7"/>
      <c r="C7916" s="6" t="str">
        <f>HYPERLINK("http://www.ncbi.nlm.nih.gov/protein/84794548","Uap1l1")</f>
        <v>Uap1l1</v>
      </c>
      <c r="D7916" s="8"/>
      <c r="E7916" s="8">
        <v>56483</v>
      </c>
      <c r="F7916" s="8"/>
      <c r="G7916" s="15" t="s">
        <v>10</v>
      </c>
      <c r="H7916" s="15" t="s">
        <v>10</v>
      </c>
      <c r="I7916" s="15">
        <v>1.0495215640284616</v>
      </c>
      <c r="J7916" s="15">
        <v>1.0495215640284616</v>
      </c>
      <c r="K7916" s="15">
        <v>1.1688082737597203</v>
      </c>
      <c r="L7916" s="15">
        <v>1.1688082737597203</v>
      </c>
      <c r="M7916" s="15">
        <v>1.0495215640284616</v>
      </c>
      <c r="N7916" s="15">
        <v>1.0495215640284616</v>
      </c>
      <c r="O7916" s="15">
        <v>1.0495215640284616</v>
      </c>
      <c r="P7916" s="15">
        <v>1.0495215640284616</v>
      </c>
      <c r="Q7916" s="8"/>
      <c r="R7916" s="9" t="s">
        <v>7405</v>
      </c>
    </row>
    <row r="7917" spans="1:18" x14ac:dyDescent="0.25">
      <c r="A7917" s="6" t="str">
        <f>HYPERLINK("proteomic_fractions_linear_files/Yang_linear_img/209862989.jpg", "209862989")</f>
        <v>209862989</v>
      </c>
      <c r="B7917" s="7"/>
      <c r="C7917" s="6" t="str">
        <f>HYPERLINK("http://www.ncbi.nlm.nih.gov/protein/209862989","Uba1")</f>
        <v>Uba1</v>
      </c>
      <c r="D7917" s="8"/>
      <c r="E7917" s="8">
        <v>117678</v>
      </c>
      <c r="F7917" s="8"/>
      <c r="G7917" s="15">
        <v>1.0908612554670929</v>
      </c>
      <c r="H7917" s="15">
        <v>1.0908612554670929</v>
      </c>
      <c r="I7917" s="15" t="s">
        <v>10</v>
      </c>
      <c r="J7917" s="15" t="s">
        <v>10</v>
      </c>
      <c r="K7917" s="15" t="s">
        <v>10</v>
      </c>
      <c r="L7917" s="15" t="s">
        <v>10</v>
      </c>
      <c r="M7917" s="15" t="s">
        <v>10</v>
      </c>
      <c r="N7917" s="15" t="s">
        <v>10</v>
      </c>
      <c r="O7917" s="15" t="s">
        <v>10</v>
      </c>
      <c r="P7917" s="15" t="s">
        <v>10</v>
      </c>
      <c r="Q7917" s="8"/>
      <c r="R7917" s="9" t="s">
        <v>7406</v>
      </c>
    </row>
    <row r="7918" spans="1:18" x14ac:dyDescent="0.25">
      <c r="A7918" s="6" t="str">
        <f>HYPERLINK("proteomic_fractions_linear_files/Yang_linear_img/209862989;6678483.jpg", "209862989;6678483")</f>
        <v>209862989;6678483</v>
      </c>
      <c r="B7918" s="8"/>
      <c r="C7918" s="6" t="str">
        <f>HYPERLINK("http://www.ncbi.nlm.nih.gov/protein/209862989;6678483","Uba1")</f>
        <v>Uba1</v>
      </c>
      <c r="D7918" s="8"/>
      <c r="E7918" s="8">
        <v>117678</v>
      </c>
      <c r="F7918" s="8"/>
      <c r="G7918" s="15" t="s">
        <v>10</v>
      </c>
      <c r="H7918" s="15" t="s">
        <v>10</v>
      </c>
      <c r="I7918" s="15" t="s">
        <v>10</v>
      </c>
      <c r="J7918" s="15" t="s">
        <v>10</v>
      </c>
      <c r="K7918" s="15">
        <v>1.0908612554670929</v>
      </c>
      <c r="L7918" s="15">
        <v>1.0908612554670929</v>
      </c>
      <c r="M7918" s="15" t="s">
        <v>10</v>
      </c>
      <c r="N7918" s="15" t="s">
        <v>10</v>
      </c>
      <c r="O7918" s="15" t="s">
        <v>10</v>
      </c>
      <c r="P7918" s="15" t="s">
        <v>10</v>
      </c>
      <c r="Q7918" s="8"/>
      <c r="R7918" s="9" t="s">
        <v>7406</v>
      </c>
    </row>
    <row r="7919" spans="1:18" x14ac:dyDescent="0.25">
      <c r="A7919" s="6" t="str">
        <f>HYPERLINK("proteomic_fractions_linear_files/Yang_linear_img/6678483;209862989.jpg", "6678483;209862989")</f>
        <v>6678483;209862989</v>
      </c>
      <c r="B7919" s="8"/>
      <c r="C7919" s="6" t="str">
        <f>HYPERLINK("http://www.ncbi.nlm.nih.gov/protein/6678483;209862989","Uba1")</f>
        <v>Uba1</v>
      </c>
      <c r="D7919" s="8"/>
      <c r="E7919" s="8">
        <v>117678</v>
      </c>
      <c r="F7919" s="8"/>
      <c r="G7919" s="15" t="s">
        <v>10</v>
      </c>
      <c r="H7919" s="15" t="s">
        <v>10</v>
      </c>
      <c r="I7919" s="15">
        <v>0.93052172729772431</v>
      </c>
      <c r="J7919" s="15">
        <v>0.93052172729772431</v>
      </c>
      <c r="K7919" s="15" t="s">
        <v>10</v>
      </c>
      <c r="L7919" s="15" t="s">
        <v>10</v>
      </c>
      <c r="M7919" s="15">
        <v>1.0908612554670929</v>
      </c>
      <c r="N7919" s="15">
        <v>1.0908612554670929</v>
      </c>
      <c r="O7919" s="15">
        <v>1.0908612554670929</v>
      </c>
      <c r="P7919" s="15">
        <v>1.0908612554670929</v>
      </c>
      <c r="Q7919" s="8"/>
      <c r="R7919" s="9" t="s">
        <v>7407</v>
      </c>
    </row>
    <row r="7920" spans="1:18" x14ac:dyDescent="0.25">
      <c r="A7920" s="6" t="str">
        <f>HYPERLINK("proteomic_fractions_linear_files/Yang_linear_img/444189294.jpg", "444189294")</f>
        <v>444189294</v>
      </c>
      <c r="B7920" s="7"/>
      <c r="C7920" s="6" t="str">
        <f>HYPERLINK("http://www.ncbi.nlm.nih.gov/protein/444189294","Uba1")</f>
        <v>Uba1</v>
      </c>
      <c r="D7920" s="8"/>
      <c r="E7920" s="8">
        <v>124106</v>
      </c>
      <c r="F7920" s="8"/>
      <c r="G7920" s="15">
        <v>1.0380776463315884</v>
      </c>
      <c r="H7920" s="15">
        <v>1.0380776463315884</v>
      </c>
      <c r="I7920" s="15">
        <v>0.88549648242847956</v>
      </c>
      <c r="J7920" s="15">
        <v>0.88549648242847956</v>
      </c>
      <c r="K7920" s="15">
        <v>1.0380776463315884</v>
      </c>
      <c r="L7920" s="15">
        <v>1.0380776463315884</v>
      </c>
      <c r="M7920" s="15">
        <v>1.0380776463315884</v>
      </c>
      <c r="N7920" s="15">
        <v>1.0380776463315884</v>
      </c>
      <c r="O7920" s="15">
        <v>1.0380776463315884</v>
      </c>
      <c r="P7920" s="15">
        <v>1.0380776463315884</v>
      </c>
      <c r="Q7920" s="8"/>
      <c r="R7920" s="9" t="s">
        <v>7407</v>
      </c>
    </row>
    <row r="7921" spans="1:18" x14ac:dyDescent="0.25">
      <c r="A7921" s="6" t="str">
        <f>HYPERLINK("proteomic_fractions_linear_files/Yang_linear_img/6755923.jpg", "6755923")</f>
        <v>6755923</v>
      </c>
      <c r="B7921" s="7"/>
      <c r="C7921" s="6" t="str">
        <f>HYPERLINK("http://www.ncbi.nlm.nih.gov/protein/6755923","Uba1y")</f>
        <v>Uba1y</v>
      </c>
      <c r="D7921" s="8"/>
      <c r="E7921" s="8">
        <v>117907</v>
      </c>
      <c r="F7921" s="8"/>
      <c r="G7921" s="15">
        <v>1.3004480604766258</v>
      </c>
      <c r="H7921" s="15">
        <v>1.3004480604766258</v>
      </c>
      <c r="I7921" s="15">
        <v>0.93052172729772431</v>
      </c>
      <c r="J7921" s="15">
        <v>0.93052172729772431</v>
      </c>
      <c r="K7921" s="15">
        <v>1.0908612554670929</v>
      </c>
      <c r="L7921" s="15">
        <v>1.0908612554670929</v>
      </c>
      <c r="M7921" s="15">
        <v>1.0908612554670929</v>
      </c>
      <c r="N7921" s="15">
        <v>1.0908612554670929</v>
      </c>
      <c r="O7921" s="15">
        <v>1.0908612554670929</v>
      </c>
      <c r="P7921" s="15">
        <v>1.0908612554670929</v>
      </c>
      <c r="Q7921" s="8"/>
      <c r="R7921" s="9" t="s">
        <v>7408</v>
      </c>
    </row>
    <row r="7922" spans="1:18" x14ac:dyDescent="0.25">
      <c r="A7922" s="6" t="str">
        <f>HYPERLINK("proteomic_fractions_linear_files/Yang_linear_img/7709986.jpg", "7709986")</f>
        <v>7709986</v>
      </c>
      <c r="B7922" s="7"/>
      <c r="C7922" s="6" t="str">
        <f>HYPERLINK("http://www.ncbi.nlm.nih.gov/protein/7709986","Uba2")</f>
        <v>Uba2</v>
      </c>
      <c r="D7922" s="8"/>
      <c r="E7922" s="8">
        <v>70438</v>
      </c>
      <c r="F7922" s="8"/>
      <c r="G7922" s="15" t="s">
        <v>10</v>
      </c>
      <c r="H7922" s="15" t="s">
        <v>10</v>
      </c>
      <c r="I7922" s="15">
        <v>1.3566854454654931</v>
      </c>
      <c r="J7922" s="15">
        <v>1.3566854454654931</v>
      </c>
      <c r="K7922" s="15">
        <v>1.5685937688733067</v>
      </c>
      <c r="L7922" s="15">
        <v>1.5685937688733067</v>
      </c>
      <c r="M7922" s="15">
        <v>1.3566854454654931</v>
      </c>
      <c r="N7922" s="15">
        <v>1.3566854454654931</v>
      </c>
      <c r="O7922" s="15">
        <v>1.3566854454654931</v>
      </c>
      <c r="P7922" s="15">
        <v>1.3566854454654931</v>
      </c>
      <c r="Q7922" s="8"/>
      <c r="R7922" s="9" t="s">
        <v>7409</v>
      </c>
    </row>
    <row r="7923" spans="1:18" x14ac:dyDescent="0.25">
      <c r="A7923" s="6" t="str">
        <f>HYPERLINK("proteomic_fractions_linear_files/Yang_linear_img/162135936.jpg", "162135936")</f>
        <v>162135936</v>
      </c>
      <c r="B7923" s="7"/>
      <c r="C7923" s="6" t="str">
        <f>HYPERLINK("http://www.ncbi.nlm.nih.gov/protein/162135936","Uba3")</f>
        <v>Uba3</v>
      </c>
      <c r="D7923" s="8"/>
      <c r="E7923" s="8">
        <v>51606</v>
      </c>
      <c r="F7923" s="8"/>
      <c r="G7923" s="15" t="s">
        <v>10</v>
      </c>
      <c r="H7923" s="15" t="s">
        <v>10</v>
      </c>
      <c r="I7923" s="15">
        <v>0.92865337662337022</v>
      </c>
      <c r="J7923" s="15">
        <v>0.92865337662337022</v>
      </c>
      <c r="K7923" s="15">
        <v>1.0215494159615592</v>
      </c>
      <c r="L7923" s="15">
        <v>1.0215494159615592</v>
      </c>
      <c r="M7923" s="15">
        <v>0.92865337662337022</v>
      </c>
      <c r="N7923" s="15">
        <v>0.92865337662337022</v>
      </c>
      <c r="O7923" s="15">
        <v>0.92865337662337022</v>
      </c>
      <c r="P7923" s="15">
        <v>0.92865337662337022</v>
      </c>
      <c r="Q7923" s="8"/>
      <c r="R7923" s="9" t="s">
        <v>7410</v>
      </c>
    </row>
    <row r="7924" spans="1:18" x14ac:dyDescent="0.25">
      <c r="A7924" s="6" t="str">
        <f>HYPERLINK("proteomic_fractions_linear_files/Yang_linear_img/162287057.jpg", "162287057")</f>
        <v>162287057</v>
      </c>
      <c r="B7924" s="7"/>
      <c r="C7924" s="6" t="str">
        <f>HYPERLINK("http://www.ncbi.nlm.nih.gov/protein/162287057","Uba3")</f>
        <v>Uba3</v>
      </c>
      <c r="D7924" s="8"/>
      <c r="E7924" s="8">
        <v>49826</v>
      </c>
      <c r="F7924" s="8"/>
      <c r="G7924" s="15" t="s">
        <v>10</v>
      </c>
      <c r="H7924" s="15" t="s">
        <v>10</v>
      </c>
      <c r="I7924" s="15">
        <v>0.96579951168830502</v>
      </c>
      <c r="J7924" s="15">
        <v>0.96579951168830502</v>
      </c>
      <c r="K7924" s="15">
        <v>1.0624113926000216</v>
      </c>
      <c r="L7924" s="15">
        <v>1.0624113926000216</v>
      </c>
      <c r="M7924" s="15">
        <v>0.96579951168830502</v>
      </c>
      <c r="N7924" s="15">
        <v>0.96579951168830502</v>
      </c>
      <c r="O7924" s="15">
        <v>0.96579951168830502</v>
      </c>
      <c r="P7924" s="15">
        <v>0.96579951168830502</v>
      </c>
      <c r="Q7924" s="8"/>
      <c r="R7924" s="9" t="s">
        <v>7411</v>
      </c>
    </row>
    <row r="7925" spans="1:18" x14ac:dyDescent="0.25">
      <c r="A7925" s="6" t="str">
        <f>HYPERLINK("proteomic_fractions_linear_files/Yang_linear_img/227499242.jpg", "227499242")</f>
        <v>227499242</v>
      </c>
      <c r="B7925" s="7"/>
      <c r="C7925" s="6" t="str">
        <f>HYPERLINK("http://www.ncbi.nlm.nih.gov/protein/227499242","Uba5")</f>
        <v>Uba5</v>
      </c>
      <c r="D7925" s="8"/>
      <c r="E7925" s="8">
        <v>44659</v>
      </c>
      <c r="F7925" s="8"/>
      <c r="G7925" s="15" t="s">
        <v>10</v>
      </c>
      <c r="H7925" s="15" t="s">
        <v>10</v>
      </c>
      <c r="I7925" s="15" t="s">
        <v>10</v>
      </c>
      <c r="J7925" s="15" t="s">
        <v>10</v>
      </c>
      <c r="K7925" s="15">
        <v>1.1804571028889128</v>
      </c>
      <c r="L7925" s="15">
        <v>1.1804571028889128</v>
      </c>
      <c r="M7925" s="15" t="s">
        <v>10</v>
      </c>
      <c r="N7925" s="15" t="s">
        <v>10</v>
      </c>
      <c r="O7925" s="15">
        <v>1.0731105685425613</v>
      </c>
      <c r="P7925" s="15">
        <v>1.0731105685425613</v>
      </c>
      <c r="Q7925" s="8"/>
      <c r="R7925" s="9" t="s">
        <v>7412</v>
      </c>
    </row>
    <row r="7926" spans="1:18" x14ac:dyDescent="0.25">
      <c r="A7926" s="6" t="str">
        <f>HYPERLINK("proteomic_fractions_linear_files/Yang_linear_img/9845265.jpg", "9845265")</f>
        <v>9845265</v>
      </c>
      <c r="B7926" s="7"/>
      <c r="C7926" s="6" t="str">
        <f>HYPERLINK("http://www.ncbi.nlm.nih.gov/protein/9845265","Uba52")</f>
        <v>Uba52</v>
      </c>
      <c r="D7926" s="8"/>
      <c r="E7926" s="8">
        <v>14597</v>
      </c>
      <c r="F7926" s="8"/>
      <c r="G7926" s="15">
        <v>1.9923604594475421</v>
      </c>
      <c r="H7926" s="15">
        <v>1.9923604594475421</v>
      </c>
      <c r="I7926" s="15">
        <v>15.557389841856605</v>
      </c>
      <c r="J7926" s="15">
        <v>15.557389841856605</v>
      </c>
      <c r="K7926" s="15">
        <v>1.6369880408851278</v>
      </c>
      <c r="L7926" s="15">
        <v>1.6369880408851278</v>
      </c>
      <c r="M7926" s="15">
        <v>15.557389841856605</v>
      </c>
      <c r="N7926" s="15">
        <v>15.557389841856605</v>
      </c>
      <c r="O7926" s="15">
        <v>8.5814418763411311</v>
      </c>
      <c r="P7926" s="15">
        <v>8.5814418763411311</v>
      </c>
      <c r="Q7926" s="8"/>
      <c r="R7926" s="9" t="s">
        <v>7413</v>
      </c>
    </row>
    <row r="7927" spans="1:18" x14ac:dyDescent="0.25">
      <c r="A7927" s="6" t="str">
        <f>HYPERLINK("proteomic_fractions_linear_files/Yang_linear_img/27370032.jpg", "27370032")</f>
        <v>27370032</v>
      </c>
      <c r="B7927" s="7"/>
      <c r="C7927" s="6" t="str">
        <f>HYPERLINK("http://www.ncbi.nlm.nih.gov/protein/27370032","Uba6")</f>
        <v>Uba6</v>
      </c>
      <c r="D7927" s="8"/>
      <c r="E7927" s="8">
        <v>117835</v>
      </c>
      <c r="F7927" s="8"/>
      <c r="G7927" s="15" t="s">
        <v>10</v>
      </c>
      <c r="H7927" s="15" t="s">
        <v>10</v>
      </c>
      <c r="I7927" s="15" t="s">
        <v>10</v>
      </c>
      <c r="J7927" s="15" t="s">
        <v>10</v>
      </c>
      <c r="K7927" s="15">
        <v>1.3004480604766258</v>
      </c>
      <c r="L7927" s="15">
        <v>1.3004480604766258</v>
      </c>
      <c r="M7927" s="15" t="s">
        <v>10</v>
      </c>
      <c r="N7927" s="15" t="s">
        <v>10</v>
      </c>
      <c r="O7927" s="15">
        <v>1.0908612554670929</v>
      </c>
      <c r="P7927" s="15">
        <v>1.0908612554670929</v>
      </c>
      <c r="Q7927" s="8"/>
      <c r="R7927" s="9" t="s">
        <v>7414</v>
      </c>
    </row>
    <row r="7928" spans="1:18" x14ac:dyDescent="0.25">
      <c r="A7928" s="6" t="str">
        <f>HYPERLINK("proteomic_fractions_linear_files/Yang_linear_img/30794156.jpg", "30794156")</f>
        <v>30794156</v>
      </c>
      <c r="B7928" s="7"/>
      <c r="C7928" s="6" t="str">
        <f>HYPERLINK("http://www.ncbi.nlm.nih.gov/protein/30794156","Uba7")</f>
        <v>Uba7</v>
      </c>
      <c r="D7928" s="8"/>
      <c r="E7928" s="8">
        <v>108548</v>
      </c>
      <c r="F7928" s="8"/>
      <c r="G7928" s="15" t="s">
        <v>10</v>
      </c>
      <c r="H7928" s="15" t="s">
        <v>10</v>
      </c>
      <c r="I7928" s="15" t="s">
        <v>10</v>
      </c>
      <c r="J7928" s="15" t="s">
        <v>10</v>
      </c>
      <c r="K7928" s="15" t="s">
        <v>10</v>
      </c>
      <c r="L7928" s="15" t="s">
        <v>10</v>
      </c>
      <c r="M7928" s="15" t="s">
        <v>10</v>
      </c>
      <c r="N7928" s="15" t="s">
        <v>10</v>
      </c>
      <c r="O7928" s="15">
        <v>1.1809323683038253</v>
      </c>
      <c r="P7928" s="15">
        <v>1.1809323683038253</v>
      </c>
      <c r="Q7928" s="8"/>
      <c r="R7928" s="9" t="s">
        <v>7415</v>
      </c>
    </row>
    <row r="7929" spans="1:18" x14ac:dyDescent="0.25">
      <c r="A7929" s="6" t="str">
        <f>HYPERLINK("proteomic_fractions_linear_files/Yang_linear_img/260447056.jpg", "260447056")</f>
        <v>260447056</v>
      </c>
      <c r="B7929" s="7"/>
      <c r="C7929" s="6" t="str">
        <f>HYPERLINK("http://www.ncbi.nlm.nih.gov/protein/260447056","Ubac1")</f>
        <v>Ubac1</v>
      </c>
      <c r="D7929" s="8"/>
      <c r="E7929" s="8">
        <v>45400</v>
      </c>
      <c r="F7929" s="8"/>
      <c r="G7929" s="15" t="s">
        <v>10</v>
      </c>
      <c r="H7929" s="15" t="s">
        <v>10</v>
      </c>
      <c r="I7929" s="15" t="s">
        <v>10</v>
      </c>
      <c r="J7929" s="15" t="s">
        <v>10</v>
      </c>
      <c r="K7929" s="15" t="s">
        <v>10</v>
      </c>
      <c r="L7929" s="15" t="s">
        <v>10</v>
      </c>
      <c r="M7929" s="15" t="s">
        <v>10</v>
      </c>
      <c r="N7929" s="15" t="s">
        <v>10</v>
      </c>
      <c r="O7929" s="15">
        <v>0.90016262673828318</v>
      </c>
      <c r="P7929" s="15">
        <v>0.90016262673828318</v>
      </c>
      <c r="Q7929" s="8"/>
      <c r="R7929" s="9" t="s">
        <v>7416</v>
      </c>
    </row>
    <row r="7930" spans="1:18" x14ac:dyDescent="0.25">
      <c r="A7930" s="6" t="str">
        <f>HYPERLINK("proteomic_fractions_linear_files/Yang_linear_img/90568036.jpg", "90568036")</f>
        <v>90568036</v>
      </c>
      <c r="B7930" s="7"/>
      <c r="C7930" s="6" t="str">
        <f>HYPERLINK("http://www.ncbi.nlm.nih.gov/protein/90568036","Ubac2")</f>
        <v>Ubac2</v>
      </c>
      <c r="D7930" s="8"/>
      <c r="E7930" s="8">
        <v>34945</v>
      </c>
      <c r="F7930" s="8"/>
      <c r="G7930" s="15" t="s">
        <v>10</v>
      </c>
      <c r="H7930" s="15" t="s">
        <v>10</v>
      </c>
      <c r="I7930" s="15" t="s">
        <v>10</v>
      </c>
      <c r="J7930" s="15" t="s">
        <v>10</v>
      </c>
      <c r="K7930" s="15">
        <v>0.91668779587810256</v>
      </c>
      <c r="L7930" s="15">
        <v>0.91668779587810256</v>
      </c>
      <c r="M7930" s="15" t="s">
        <v>10</v>
      </c>
      <c r="N7930" s="15" t="s">
        <v>10</v>
      </c>
      <c r="O7930" s="15" t="s">
        <v>10</v>
      </c>
      <c r="P7930" s="15" t="s">
        <v>10</v>
      </c>
      <c r="Q7930" s="8"/>
      <c r="R7930" s="9" t="s">
        <v>7417</v>
      </c>
    </row>
    <row r="7931" spans="1:18" x14ac:dyDescent="0.25">
      <c r="A7931" s="6" t="str">
        <f>HYPERLINK("proteomic_fractions_linear_files/Yang_linear_img/28076915.jpg", "28076915")</f>
        <v>28076915</v>
      </c>
      <c r="B7931" s="7"/>
      <c r="C7931" s="6" t="str">
        <f>HYPERLINK("http://www.ncbi.nlm.nih.gov/protein/28076915","Ubap2")</f>
        <v>Ubap2</v>
      </c>
      <c r="D7931" s="8"/>
      <c r="E7931" s="8">
        <v>117835</v>
      </c>
      <c r="F7931" s="8"/>
      <c r="G7931" s="15" t="s">
        <v>10</v>
      </c>
      <c r="H7931" s="15" t="s">
        <v>10</v>
      </c>
      <c r="I7931" s="15">
        <v>0.10802728255879344</v>
      </c>
      <c r="J7931" s="15">
        <v>0.10802728255879344</v>
      </c>
      <c r="K7931" s="15">
        <v>1.0908612554670929</v>
      </c>
      <c r="L7931" s="15">
        <v>1.0908612554670929</v>
      </c>
      <c r="M7931" s="15" t="s">
        <v>10</v>
      </c>
      <c r="N7931" s="15" t="s">
        <v>10</v>
      </c>
      <c r="O7931" s="15">
        <v>0.12302943832093514</v>
      </c>
      <c r="P7931" s="15">
        <v>0.12302943832093514</v>
      </c>
      <c r="Q7931" s="8"/>
      <c r="R7931" s="9" t="s">
        <v>7418</v>
      </c>
    </row>
    <row r="7932" spans="1:18" x14ac:dyDescent="0.25">
      <c r="A7932" s="6" t="str">
        <f>HYPERLINK("proteomic_fractions_linear_files/Yang_linear_img/260166704.jpg", "260166704")</f>
        <v>260166704</v>
      </c>
      <c r="B7932" s="7"/>
      <c r="C7932" s="6" t="str">
        <f>HYPERLINK("http://www.ncbi.nlm.nih.gov/protein/260166704","Ubap2l")</f>
        <v>Ubap2l</v>
      </c>
      <c r="D7932" s="8"/>
      <c r="E7932" s="8">
        <v>117204</v>
      </c>
      <c r="F7932" s="8"/>
      <c r="G7932" s="15" t="s">
        <v>10</v>
      </c>
      <c r="H7932" s="15" t="s">
        <v>10</v>
      </c>
      <c r="I7932" s="15">
        <v>1.3115630011644601</v>
      </c>
      <c r="J7932" s="15">
        <v>1.3115630011644601</v>
      </c>
      <c r="K7932" s="15">
        <v>1.5962891593157296</v>
      </c>
      <c r="L7932" s="15">
        <v>1.5962891593157296</v>
      </c>
      <c r="M7932" s="15">
        <v>1.1001848559411707</v>
      </c>
      <c r="N7932" s="15">
        <v>1.1001848559411707</v>
      </c>
      <c r="O7932" s="15">
        <v>0.71024494421490481</v>
      </c>
      <c r="P7932" s="15">
        <v>1.5962891593157296</v>
      </c>
      <c r="Q7932" s="8"/>
      <c r="R7932" s="9" t="s">
        <v>7419</v>
      </c>
    </row>
    <row r="7933" spans="1:18" x14ac:dyDescent="0.25">
      <c r="A7933" s="6" t="str">
        <f>HYPERLINK("proteomic_fractions_linear_files/Yang_linear_img/260166706.jpg", "260166706")</f>
        <v>260166706</v>
      </c>
      <c r="B7933" s="7"/>
      <c r="C7933" s="6" t="str">
        <f>HYPERLINK("http://www.ncbi.nlm.nih.gov/protein/260166706","Ubap2l")</f>
        <v>Ubap2l</v>
      </c>
      <c r="D7933" s="8"/>
      <c r="E7933" s="8">
        <v>116668</v>
      </c>
      <c r="F7933" s="8"/>
      <c r="G7933" s="15" t="s">
        <v>10</v>
      </c>
      <c r="H7933" s="15" t="s">
        <v>10</v>
      </c>
      <c r="I7933" s="15">
        <v>1.3115630011644601</v>
      </c>
      <c r="J7933" s="15">
        <v>1.3115630011644601</v>
      </c>
      <c r="K7933" s="15">
        <v>1.5962891593157296</v>
      </c>
      <c r="L7933" s="15">
        <v>1.5962891593157296</v>
      </c>
      <c r="M7933" s="15">
        <v>1.1001848559411707</v>
      </c>
      <c r="N7933" s="15">
        <v>1.1001848559411707</v>
      </c>
      <c r="O7933" s="15">
        <v>0.71024494421490481</v>
      </c>
      <c r="P7933" s="15">
        <v>1.5962891593157296</v>
      </c>
      <c r="Q7933" s="8"/>
      <c r="R7933" s="9" t="s">
        <v>7420</v>
      </c>
    </row>
    <row r="7934" spans="1:18" x14ac:dyDescent="0.25">
      <c r="A7934" s="6" t="str">
        <f>HYPERLINK("proteomic_fractions_linear_files/Yang_linear_img/260166709.jpg", "260166709")</f>
        <v>260166709</v>
      </c>
      <c r="B7934" s="7"/>
      <c r="C7934" s="6" t="str">
        <f>HYPERLINK("http://www.ncbi.nlm.nih.gov/protein/260166709","Ubap2l")</f>
        <v>Ubap2l</v>
      </c>
      <c r="D7934" s="8"/>
      <c r="E7934" s="8">
        <v>112291</v>
      </c>
      <c r="F7934" s="8"/>
      <c r="G7934" s="15" t="s">
        <v>10</v>
      </c>
      <c r="H7934" s="15" t="s">
        <v>10</v>
      </c>
      <c r="I7934" s="15">
        <v>1.3701149208593022</v>
      </c>
      <c r="J7934" s="15">
        <v>1.3701149208593022</v>
      </c>
      <c r="K7934" s="15">
        <v>1.6675520682137532</v>
      </c>
      <c r="L7934" s="15">
        <v>1.6675520682137532</v>
      </c>
      <c r="M7934" s="15">
        <v>1.1493002512956871</v>
      </c>
      <c r="N7934" s="15">
        <v>1.1493002512956871</v>
      </c>
      <c r="O7934" s="15">
        <v>0.74195230779592725</v>
      </c>
      <c r="P7934" s="15">
        <v>1.6675520682137532</v>
      </c>
      <c r="Q7934" s="8"/>
      <c r="R7934" s="9" t="s">
        <v>7421</v>
      </c>
    </row>
    <row r="7935" spans="1:18" x14ac:dyDescent="0.25">
      <c r="A7935" s="6" t="str">
        <f>HYPERLINK("proteomic_fractions_linear_files/Yang_linear_img/260166711;260166713.jpg", "260166711;260166713")</f>
        <v>260166711;260166713</v>
      </c>
      <c r="B7935" s="8"/>
      <c r="C7935" s="6" t="str">
        <f>HYPERLINK("http://www.ncbi.nlm.nih.gov/protein/260166711;260166713","Ubap2l")</f>
        <v>Ubap2l</v>
      </c>
      <c r="D7935" s="8"/>
      <c r="E7935" s="8">
        <v>107111</v>
      </c>
      <c r="F7935" s="8"/>
      <c r="G7935" s="15" t="s">
        <v>10</v>
      </c>
      <c r="H7935" s="15" t="s">
        <v>10</v>
      </c>
      <c r="I7935" s="15">
        <v>1.4341389825816995</v>
      </c>
      <c r="J7935" s="15">
        <v>1.4341389825816995</v>
      </c>
      <c r="K7935" s="15">
        <v>1.7454750620555173</v>
      </c>
      <c r="L7935" s="15">
        <v>1.7454750620555173</v>
      </c>
      <c r="M7935" s="15">
        <v>1.2030058705151119</v>
      </c>
      <c r="N7935" s="15">
        <v>1.2030058705151119</v>
      </c>
      <c r="O7935" s="15">
        <v>0.77662297638452205</v>
      </c>
      <c r="P7935" s="15">
        <v>1.7454750620555173</v>
      </c>
      <c r="Q7935" s="8"/>
      <c r="R7935" s="9" t="s">
        <v>7422</v>
      </c>
    </row>
    <row r="7936" spans="1:18" x14ac:dyDescent="0.25">
      <c r="A7936" s="6" t="str">
        <f>HYPERLINK("proteomic_fractions_linear_files/Yang_linear_img/260166715.jpg", "260166715")</f>
        <v>260166715</v>
      </c>
      <c r="B7936" s="7"/>
      <c r="C7936" s="6" t="str">
        <f>HYPERLINK("http://www.ncbi.nlm.nih.gov/protein/260166715","Ubap2l")</f>
        <v>Ubap2l</v>
      </c>
      <c r="D7936" s="8"/>
      <c r="E7936" s="8">
        <v>103815</v>
      </c>
      <c r="F7936" s="8"/>
      <c r="G7936" s="15" t="s">
        <v>10</v>
      </c>
      <c r="H7936" s="15" t="s">
        <v>10</v>
      </c>
      <c r="I7936" s="15">
        <v>1.4755083763100176</v>
      </c>
      <c r="J7936" s="15">
        <v>1.4755083763100176</v>
      </c>
      <c r="K7936" s="15">
        <v>1.7958253042301957</v>
      </c>
      <c r="L7936" s="15">
        <v>1.7958253042301957</v>
      </c>
      <c r="M7936" s="15">
        <v>1.237707962933817</v>
      </c>
      <c r="N7936" s="15">
        <v>1.237707962933817</v>
      </c>
      <c r="O7936" s="15">
        <v>0.79902556224176791</v>
      </c>
      <c r="P7936" s="15">
        <v>1.7958253042301957</v>
      </c>
      <c r="Q7936" s="8"/>
      <c r="R7936" s="9" t="s">
        <v>7423</v>
      </c>
    </row>
    <row r="7937" spans="1:18" x14ac:dyDescent="0.25">
      <c r="A7937" s="6" t="str">
        <f>HYPERLINK("proteomic_fractions_linear_files/Yang_linear_img/33239421.jpg", "33239421")</f>
        <v>33239421</v>
      </c>
      <c r="B7937" s="7"/>
      <c r="C7937" s="6" t="str">
        <f>HYPERLINK("http://www.ncbi.nlm.nih.gov/protein/33239421","Ubap2l")</f>
        <v>Ubap2l</v>
      </c>
      <c r="D7937" s="8"/>
      <c r="E7937" s="8">
        <v>116773</v>
      </c>
      <c r="F7937" s="8"/>
      <c r="G7937" s="15" t="s">
        <v>10</v>
      </c>
      <c r="H7937" s="15" t="s">
        <v>10</v>
      </c>
      <c r="I7937" s="15">
        <v>1.3115630011644601</v>
      </c>
      <c r="J7937" s="15">
        <v>1.3115630011644601</v>
      </c>
      <c r="K7937" s="15">
        <v>1.5962891593157296</v>
      </c>
      <c r="L7937" s="15">
        <v>1.5962891593157296</v>
      </c>
      <c r="M7937" s="15">
        <v>1.1001848559411707</v>
      </c>
      <c r="N7937" s="15">
        <v>1.1001848559411707</v>
      </c>
      <c r="O7937" s="15">
        <v>0.71024494421490481</v>
      </c>
      <c r="P7937" s="15">
        <v>1.5962891593157296</v>
      </c>
      <c r="Q7937" s="8"/>
      <c r="R7937" s="9" t="s">
        <v>7424</v>
      </c>
    </row>
    <row r="7938" spans="1:18" x14ac:dyDescent="0.25">
      <c r="A7938" s="6" t="str">
        <f>HYPERLINK("proteomic_fractions_linear_files/Yang_linear_img/6755919.jpg", "6755919")</f>
        <v>6755919</v>
      </c>
      <c r="B7938" s="7"/>
      <c r="C7938" s="6" t="str">
        <f>HYPERLINK("http://www.ncbi.nlm.nih.gov/protein/6755919","Ubb")</f>
        <v>Ubb</v>
      </c>
      <c r="D7938" s="8"/>
      <c r="E7938" s="8">
        <v>34237</v>
      </c>
      <c r="F7938" s="8"/>
      <c r="G7938" s="15">
        <v>0.87898255563862149</v>
      </c>
      <c r="H7938" s="15">
        <v>0.87898255563862149</v>
      </c>
      <c r="I7938" s="15">
        <v>6.8635543419955605</v>
      </c>
      <c r="J7938" s="15">
        <v>6.8635543419955605</v>
      </c>
      <c r="K7938" s="15">
        <v>0.72220060627285054</v>
      </c>
      <c r="L7938" s="15">
        <v>0.72220060627285054</v>
      </c>
      <c r="M7938" s="15">
        <v>6.8635543419955605</v>
      </c>
      <c r="N7938" s="15">
        <v>6.8635543419955605</v>
      </c>
      <c r="O7938" s="15">
        <v>3.7859302395622638</v>
      </c>
      <c r="P7938" s="15">
        <v>3.7859302395622638</v>
      </c>
      <c r="Q7938" s="8"/>
      <c r="R7938" s="9" t="s">
        <v>7425</v>
      </c>
    </row>
    <row r="7939" spans="1:18" x14ac:dyDescent="0.25">
      <c r="A7939" s="6" t="str">
        <f>HYPERLINK("proteomic_fractions_linear_files/Yang_linear_img/157671923.jpg", "157671923")</f>
        <v>157671923</v>
      </c>
      <c r="B7939" s="7"/>
      <c r="C7939" s="6" t="str">
        <f>HYPERLINK("http://www.ncbi.nlm.nih.gov/protein/157671923","Ubc")</f>
        <v>Ubc</v>
      </c>
      <c r="D7939" s="8"/>
      <c r="E7939" s="8">
        <v>82419</v>
      </c>
      <c r="F7939" s="8"/>
      <c r="G7939" s="15">
        <v>0.3644561816062577</v>
      </c>
      <c r="H7939" s="15">
        <v>0.3644561816062577</v>
      </c>
      <c r="I7939" s="15">
        <v>2.8458639954615741</v>
      </c>
      <c r="J7939" s="15">
        <v>2.8458639954615741</v>
      </c>
      <c r="K7939" s="15">
        <v>0.29944903186923066</v>
      </c>
      <c r="L7939" s="15">
        <v>0.29944903186923066</v>
      </c>
      <c r="M7939" s="15">
        <v>2.8458639954615741</v>
      </c>
      <c r="N7939" s="15">
        <v>2.8458639954615741</v>
      </c>
      <c r="O7939" s="15">
        <v>1.5697759529892312</v>
      </c>
      <c r="P7939" s="15">
        <v>1.5697759529892312</v>
      </c>
      <c r="Q7939" s="8"/>
      <c r="R7939" s="9" t="s">
        <v>7426</v>
      </c>
    </row>
    <row r="7940" spans="1:18" x14ac:dyDescent="0.25">
      <c r="A7940" s="6" t="str">
        <f>HYPERLINK("proteomic_fractions_linear_files/Yang_linear_img/9790041.jpg", "9790041")</f>
        <v>9790041</v>
      </c>
      <c r="B7940" s="7"/>
      <c r="C7940" s="6" t="str">
        <f>HYPERLINK("http://www.ncbi.nlm.nih.gov/protein/9790041","Ube2a")</f>
        <v>Ube2a</v>
      </c>
      <c r="D7940" s="8"/>
      <c r="E7940" s="8">
        <v>17184</v>
      </c>
      <c r="F7940" s="8"/>
      <c r="G7940" s="15" t="s">
        <v>10</v>
      </c>
      <c r="H7940" s="15" t="s">
        <v>10</v>
      </c>
      <c r="I7940" s="15" t="s">
        <v>10</v>
      </c>
      <c r="J7940" s="15" t="s">
        <v>10</v>
      </c>
      <c r="K7940" s="15" t="s">
        <v>10</v>
      </c>
      <c r="L7940" s="15" t="s">
        <v>10</v>
      </c>
      <c r="M7940" s="15" t="s">
        <v>10</v>
      </c>
      <c r="N7940" s="15" t="s">
        <v>10</v>
      </c>
      <c r="O7940" s="15">
        <v>0.89390225257731093</v>
      </c>
      <c r="P7940" s="15">
        <v>0.85396904246296157</v>
      </c>
      <c r="Q7940" s="8"/>
      <c r="R7940" s="9" t="s">
        <v>7427</v>
      </c>
    </row>
    <row r="7941" spans="1:18" x14ac:dyDescent="0.25">
      <c r="A7941" s="6" t="str">
        <f>HYPERLINK("proteomic_fractions_linear_files/Yang_linear_img/21312888.jpg", "21312888")</f>
        <v>21312888</v>
      </c>
      <c r="B7941" s="7"/>
      <c r="C7941" s="6" t="str">
        <f>HYPERLINK("http://www.ncbi.nlm.nih.gov/protein/21312888","Ube2c")</f>
        <v>Ube2c</v>
      </c>
      <c r="D7941" s="8"/>
      <c r="E7941" s="8">
        <v>19475</v>
      </c>
      <c r="F7941" s="8"/>
      <c r="G7941" s="15" t="s">
        <v>10</v>
      </c>
      <c r="H7941" s="15" t="s">
        <v>10</v>
      </c>
      <c r="I7941" s="15">
        <v>0.97343679813495176</v>
      </c>
      <c r="J7941" s="15">
        <v>0.97343679813495176</v>
      </c>
      <c r="K7941" s="15">
        <v>0.97343679813495176</v>
      </c>
      <c r="L7941" s="15">
        <v>0.97343679813495176</v>
      </c>
      <c r="M7941" s="15" t="s">
        <v>10</v>
      </c>
      <c r="N7941" s="15" t="s">
        <v>10</v>
      </c>
      <c r="O7941" s="15">
        <v>1.0263763067386986</v>
      </c>
      <c r="P7941" s="15">
        <v>1.0263763067386986</v>
      </c>
      <c r="Q7941" s="8"/>
      <c r="R7941" s="9" t="s">
        <v>7428</v>
      </c>
    </row>
    <row r="7942" spans="1:18" x14ac:dyDescent="0.25">
      <c r="A7942" s="6" t="str">
        <f>HYPERLINK("proteomic_fractions_linear_files/Yang_linear_img/21703838.jpg", "21703838")</f>
        <v>21703838</v>
      </c>
      <c r="B7942" s="7"/>
      <c r="C7942" s="6" t="str">
        <f>HYPERLINK("http://www.ncbi.nlm.nih.gov/protein/21703838","Ube2d1")</f>
        <v>Ube2d1</v>
      </c>
      <c r="D7942" s="8"/>
      <c r="E7942" s="8">
        <v>16471</v>
      </c>
      <c r="F7942" s="8"/>
      <c r="G7942" s="15">
        <v>1.3622338919174219</v>
      </c>
      <c r="H7942" s="15">
        <v>1.3622338919174219</v>
      </c>
      <c r="I7942" s="15" t="s">
        <v>10</v>
      </c>
      <c r="J7942" s="15" t="s">
        <v>10</v>
      </c>
      <c r="K7942" s="15" t="s">
        <v>10</v>
      </c>
      <c r="L7942" s="15" t="s">
        <v>10</v>
      </c>
      <c r="M7942" s="15">
        <v>0.99546511144886096</v>
      </c>
      <c r="N7942" s="15">
        <v>0.99546511144886096</v>
      </c>
      <c r="O7942" s="15" t="s">
        <v>10</v>
      </c>
      <c r="P7942" s="15" t="s">
        <v>10</v>
      </c>
      <c r="Q7942" s="8"/>
      <c r="R7942" s="9" t="s">
        <v>7429</v>
      </c>
    </row>
    <row r="7943" spans="1:18" x14ac:dyDescent="0.25">
      <c r="A7943" s="6" t="str">
        <f>HYPERLINK("proteomic_fractions_linear_files/Yang_linear_img/9910600.jpg", "9910600")</f>
        <v>9910600</v>
      </c>
      <c r="B7943" s="7"/>
      <c r="C7943" s="6" t="str">
        <f>HYPERLINK("http://www.ncbi.nlm.nih.gov/protein/9910600","Ube2d2a")</f>
        <v>Ube2d2a</v>
      </c>
      <c r="D7943" s="8"/>
      <c r="E7943" s="8">
        <v>16604</v>
      </c>
      <c r="F7943" s="8"/>
      <c r="G7943" s="15">
        <v>1.2821024865105148</v>
      </c>
      <c r="H7943" s="15">
        <v>1.2821024865105148</v>
      </c>
      <c r="I7943" s="15">
        <v>0.89390225257731093</v>
      </c>
      <c r="J7943" s="15">
        <v>0.89390225257731093</v>
      </c>
      <c r="K7943" s="15">
        <v>0.93690834018716329</v>
      </c>
      <c r="L7943" s="15">
        <v>0.93690834018716329</v>
      </c>
      <c r="M7943" s="15">
        <v>0.93690834018716329</v>
      </c>
      <c r="N7943" s="15">
        <v>0.93690834018716329</v>
      </c>
      <c r="O7943" s="15">
        <v>0.85396904246296157</v>
      </c>
      <c r="P7943" s="15">
        <v>0.85396904246296157</v>
      </c>
      <c r="Q7943" s="8"/>
      <c r="R7943" s="9" t="s">
        <v>7430</v>
      </c>
    </row>
    <row r="7944" spans="1:18" x14ac:dyDescent="0.25">
      <c r="A7944" s="6" t="str">
        <f>HYPERLINK("proteomic_fractions_linear_files/Yang_linear_img/448889035.jpg", "448889035")</f>
        <v>448889035</v>
      </c>
      <c r="B7944" s="7"/>
      <c r="C7944" s="6" t="str">
        <f>HYPERLINK("http://www.ncbi.nlm.nih.gov/protein/448889035","Ube2d2b")</f>
        <v>Ube2d2b</v>
      </c>
      <c r="D7944" s="8"/>
      <c r="E7944" s="8">
        <v>16528</v>
      </c>
      <c r="F7944" s="8"/>
      <c r="G7944" s="15">
        <v>1.2821024865105148</v>
      </c>
      <c r="H7944" s="15">
        <v>1.2821024865105148</v>
      </c>
      <c r="I7944" s="15">
        <v>0.89390225257731093</v>
      </c>
      <c r="J7944" s="15">
        <v>0.89390225257731093</v>
      </c>
      <c r="K7944" s="15">
        <v>0.93690834018716329</v>
      </c>
      <c r="L7944" s="15">
        <v>0.93690834018716329</v>
      </c>
      <c r="M7944" s="15">
        <v>0.89390225257731093</v>
      </c>
      <c r="N7944" s="15">
        <v>0.89390225257731093</v>
      </c>
      <c r="O7944" s="15">
        <v>0.85396904246296157</v>
      </c>
      <c r="P7944" s="15">
        <v>0.85396904246296157</v>
      </c>
      <c r="Q7944" s="8"/>
      <c r="R7944" s="9" t="s">
        <v>7431</v>
      </c>
    </row>
    <row r="7945" spans="1:18" x14ac:dyDescent="0.25">
      <c r="A7945" s="6" t="str">
        <f>HYPERLINK("proteomic_fractions_linear_files/Yang_linear_img/13384718.jpg", "13384718")</f>
        <v>13384718</v>
      </c>
      <c r="B7945" s="7"/>
      <c r="C7945" s="6" t="str">
        <f>HYPERLINK("http://www.ncbi.nlm.nih.gov/protein/13384718","Ube2d3")</f>
        <v>Ube2d3</v>
      </c>
      <c r="D7945" s="8"/>
      <c r="E7945" s="8">
        <v>16556</v>
      </c>
      <c r="F7945" s="8"/>
      <c r="G7945" s="15">
        <v>1.2821024865105148</v>
      </c>
      <c r="H7945" s="15">
        <v>1.2821024865105148</v>
      </c>
      <c r="I7945" s="15">
        <v>0.89390225257731093</v>
      </c>
      <c r="J7945" s="15">
        <v>0.89390225257731093</v>
      </c>
      <c r="K7945" s="15">
        <v>0.93690834018716329</v>
      </c>
      <c r="L7945" s="15">
        <v>0.93690834018716329</v>
      </c>
      <c r="M7945" s="15">
        <v>0.89390225257731093</v>
      </c>
      <c r="N7945" s="15">
        <v>0.89390225257731093</v>
      </c>
      <c r="O7945" s="15">
        <v>0.85396904246296157</v>
      </c>
      <c r="P7945" s="15">
        <v>0.85396904246296157</v>
      </c>
      <c r="Q7945" s="8"/>
      <c r="R7945" s="9" t="s">
        <v>7432</v>
      </c>
    </row>
    <row r="7946" spans="1:18" x14ac:dyDescent="0.25">
      <c r="A7946" s="6" t="str">
        <f>HYPERLINK("proteomic_fractions_linear_files/Yang_linear_img/6678479.jpg", "6678479")</f>
        <v>6678479</v>
      </c>
      <c r="B7946" s="7"/>
      <c r="C7946" s="6" t="str">
        <f>HYPERLINK("http://www.ncbi.nlm.nih.gov/protein/6678479","Ube2e1")</f>
        <v>Ube2e1</v>
      </c>
      <c r="D7946" s="8"/>
      <c r="E7946" s="8">
        <v>21202</v>
      </c>
      <c r="F7946" s="8"/>
      <c r="G7946" s="15" t="s">
        <v>10</v>
      </c>
      <c r="H7946" s="15" t="s">
        <v>10</v>
      </c>
      <c r="I7946" s="15">
        <v>1.100455874986545</v>
      </c>
      <c r="J7946" s="15">
        <v>1.100455874986545</v>
      </c>
      <c r="K7946" s="15">
        <v>1.100455874986545</v>
      </c>
      <c r="L7946" s="15">
        <v>1.100455874986545</v>
      </c>
      <c r="M7946" s="15">
        <v>0.75844960872294165</v>
      </c>
      <c r="N7946" s="15">
        <v>0.75844960872294165</v>
      </c>
      <c r="O7946" s="15">
        <v>0.98083053269791776</v>
      </c>
      <c r="P7946" s="15">
        <v>0.98083053269791776</v>
      </c>
      <c r="Q7946" s="8"/>
      <c r="R7946" s="9" t="s">
        <v>7433</v>
      </c>
    </row>
    <row r="7947" spans="1:18" x14ac:dyDescent="0.25">
      <c r="A7947" s="6" t="str">
        <f>HYPERLINK("proteomic_fractions_linear_files/Yang_linear_img/21450233.jpg", "21450233")</f>
        <v>21450233</v>
      </c>
      <c r="B7947" s="7"/>
      <c r="C7947" s="6" t="str">
        <f>HYPERLINK("http://www.ncbi.nlm.nih.gov/protein/21450233","Ube2e2")</f>
        <v>Ube2e2</v>
      </c>
      <c r="D7947" s="8"/>
      <c r="E7947" s="8">
        <v>22110</v>
      </c>
      <c r="F7947" s="8"/>
      <c r="G7947" s="15" t="s">
        <v>10</v>
      </c>
      <c r="H7947" s="15" t="s">
        <v>10</v>
      </c>
      <c r="I7947" s="15">
        <v>1.0504351533962475</v>
      </c>
      <c r="J7947" s="15">
        <v>1.0504351533962475</v>
      </c>
      <c r="K7947" s="15">
        <v>1.0504351533962475</v>
      </c>
      <c r="L7947" s="15">
        <v>1.0504351533962475</v>
      </c>
      <c r="M7947" s="15">
        <v>1.0504351533962475</v>
      </c>
      <c r="N7947" s="15">
        <v>1.0504351533962475</v>
      </c>
      <c r="O7947" s="15">
        <v>0.93624732666619426</v>
      </c>
      <c r="P7947" s="15">
        <v>0.93624732666619426</v>
      </c>
      <c r="Q7947" s="8"/>
      <c r="R7947" s="9" t="s">
        <v>7434</v>
      </c>
    </row>
    <row r="7948" spans="1:18" x14ac:dyDescent="0.25">
      <c r="A7948" s="6" t="str">
        <f>HYPERLINK("proteomic_fractions_linear_files/Yang_linear_img/6678477.jpg", "6678477")</f>
        <v>6678477</v>
      </c>
      <c r="B7948" s="7"/>
      <c r="C7948" s="6" t="str">
        <f>HYPERLINK("http://www.ncbi.nlm.nih.gov/protein/6678477","Ube2e3")</f>
        <v>Ube2e3</v>
      </c>
      <c r="D7948" s="8"/>
      <c r="E7948" s="8">
        <v>22782</v>
      </c>
      <c r="F7948" s="8"/>
      <c r="G7948" s="15" t="s">
        <v>10</v>
      </c>
      <c r="H7948" s="15" t="s">
        <v>10</v>
      </c>
      <c r="I7948" s="15">
        <v>1.0047640597703238</v>
      </c>
      <c r="J7948" s="15">
        <v>1.0047640597703238</v>
      </c>
      <c r="K7948" s="15">
        <v>1.0047640597703238</v>
      </c>
      <c r="L7948" s="15">
        <v>1.0047640597703238</v>
      </c>
      <c r="M7948" s="15">
        <v>1.0047640597703238</v>
      </c>
      <c r="N7948" s="15">
        <v>1.0047640597703238</v>
      </c>
      <c r="O7948" s="15">
        <v>0.89554092115896833</v>
      </c>
      <c r="P7948" s="15">
        <v>0.89554092115896833</v>
      </c>
      <c r="Q7948" s="8"/>
      <c r="R7948" s="9" t="s">
        <v>7435</v>
      </c>
    </row>
    <row r="7949" spans="1:18" x14ac:dyDescent="0.25">
      <c r="A7949" s="6" t="str">
        <f>HYPERLINK("proteomic_fractions_linear_files/Yang_linear_img/13385948.jpg", "13385948")</f>
        <v>13385948</v>
      </c>
      <c r="B7949" s="7"/>
      <c r="C7949" s="6" t="str">
        <f>HYPERLINK("http://www.ncbi.nlm.nih.gov/protein/13385948","Ube2f")</f>
        <v>Ube2f</v>
      </c>
      <c r="D7949" s="8"/>
      <c r="E7949" s="8">
        <v>20979</v>
      </c>
      <c r="F7949" s="8"/>
      <c r="G7949" s="15" t="s">
        <v>10</v>
      </c>
      <c r="H7949" s="15" t="s">
        <v>10</v>
      </c>
      <c r="I7949" s="15" t="s">
        <v>10</v>
      </c>
      <c r="J7949" s="15" t="s">
        <v>10</v>
      </c>
      <c r="K7949" s="15" t="s">
        <v>10</v>
      </c>
      <c r="L7949" s="15" t="s">
        <v>10</v>
      </c>
      <c r="M7949" s="15" t="s">
        <v>10</v>
      </c>
      <c r="N7949" s="15" t="s">
        <v>10</v>
      </c>
      <c r="O7949" s="15">
        <v>1.0378924890799406</v>
      </c>
      <c r="P7949" s="15">
        <v>1.0378924890799406</v>
      </c>
      <c r="Q7949" s="8"/>
      <c r="R7949" s="9" t="s">
        <v>7436</v>
      </c>
    </row>
    <row r="7950" spans="1:18" x14ac:dyDescent="0.25">
      <c r="A7950" s="6" t="str">
        <f>HYPERLINK("proteomic_fractions_linear_files/Yang_linear_img/27754105.jpg", "27754105")</f>
        <v>27754105</v>
      </c>
      <c r="B7950" s="7"/>
      <c r="C7950" s="6" t="str">
        <f>HYPERLINK("http://www.ncbi.nlm.nih.gov/protein/27754105","Ube2g1")</f>
        <v>Ube2g1</v>
      </c>
      <c r="D7950" s="8"/>
      <c r="E7950" s="8">
        <v>19378</v>
      </c>
      <c r="F7950" s="8"/>
      <c r="G7950" s="15" t="s">
        <v>10</v>
      </c>
      <c r="H7950" s="15" t="s">
        <v>10</v>
      </c>
      <c r="I7950" s="15">
        <v>0.92473367186099831</v>
      </c>
      <c r="J7950" s="15">
        <v>0.97343679813495176</v>
      </c>
      <c r="K7950" s="15" t="s">
        <v>10</v>
      </c>
      <c r="L7950" s="15" t="s">
        <v>10</v>
      </c>
      <c r="M7950" s="15" t="s">
        <v>10</v>
      </c>
      <c r="N7950" s="15" t="s">
        <v>10</v>
      </c>
      <c r="O7950" s="15">
        <v>0.92473367186099831</v>
      </c>
      <c r="P7950" s="15">
        <v>0.92473367186099831</v>
      </c>
      <c r="Q7950" s="8"/>
      <c r="R7950" s="9" t="s">
        <v>7437</v>
      </c>
    </row>
    <row r="7951" spans="1:18" x14ac:dyDescent="0.25">
      <c r="A7951" s="6" t="str">
        <f>HYPERLINK("proteomic_fractions_linear_files/Yang_linear_img/281332142.jpg", "281332142")</f>
        <v>281332142</v>
      </c>
      <c r="B7951" s="7"/>
      <c r="C7951" s="6" t="str">
        <f>HYPERLINK("http://www.ncbi.nlm.nih.gov/protein/281332142","Ube2h")</f>
        <v>Ube2h</v>
      </c>
      <c r="D7951" s="8"/>
      <c r="E7951" s="8">
        <v>17043</v>
      </c>
      <c r="F7951" s="8"/>
      <c r="G7951" s="15" t="s">
        <v>10</v>
      </c>
      <c r="H7951" s="15" t="s">
        <v>10</v>
      </c>
      <c r="I7951" s="15">
        <v>1.1471264604726632</v>
      </c>
      <c r="J7951" s="15">
        <v>1.1471264604726632</v>
      </c>
      <c r="K7951" s="15">
        <v>1.1471264604726632</v>
      </c>
      <c r="L7951" s="15">
        <v>1.1471264604726632</v>
      </c>
      <c r="M7951" s="15">
        <v>1.1471264604726632</v>
      </c>
      <c r="N7951" s="15">
        <v>1.1471264604726632</v>
      </c>
      <c r="O7951" s="15">
        <v>1.1471264604726632</v>
      </c>
      <c r="P7951" s="15">
        <v>1.1471264604726632</v>
      </c>
      <c r="Q7951" s="8"/>
      <c r="R7951" s="9" t="s">
        <v>7438</v>
      </c>
    </row>
    <row r="7952" spans="1:18" x14ac:dyDescent="0.25">
      <c r="A7952" s="6" t="str">
        <f>HYPERLINK("proteomic_fractions_linear_files/Yang_linear_img/6678487.jpg", "6678487")</f>
        <v>6678487</v>
      </c>
      <c r="B7952" s="7"/>
      <c r="C7952" s="6" t="str">
        <f>HYPERLINK("http://www.ncbi.nlm.nih.gov/protein/6678487","Ube2h")</f>
        <v>Ube2h</v>
      </c>
      <c r="D7952" s="8"/>
      <c r="E7952" s="8">
        <v>20524</v>
      </c>
      <c r="F7952" s="8"/>
      <c r="G7952" s="15" t="s">
        <v>10</v>
      </c>
      <c r="H7952" s="15" t="s">
        <v>10</v>
      </c>
      <c r="I7952" s="15">
        <v>0.92862618228739402</v>
      </c>
      <c r="J7952" s="15">
        <v>0.92862618228739402</v>
      </c>
      <c r="K7952" s="15">
        <v>0.92862618228739402</v>
      </c>
      <c r="L7952" s="15">
        <v>0.92862618228739402</v>
      </c>
      <c r="M7952" s="15">
        <v>0.92862618228739402</v>
      </c>
      <c r="N7952" s="15">
        <v>0.92862618228739402</v>
      </c>
      <c r="O7952" s="15">
        <v>0.92862618228739402</v>
      </c>
      <c r="P7952" s="15">
        <v>0.92862618228739402</v>
      </c>
      <c r="Q7952" s="8"/>
      <c r="R7952" s="9" t="s">
        <v>7439</v>
      </c>
    </row>
    <row r="7953" spans="1:18" x14ac:dyDescent="0.25">
      <c r="A7953" s="6" t="str">
        <f>HYPERLINK("proteomic_fractions_linear_files/Yang_linear_img/31542956.jpg", "31542956")</f>
        <v>31542956</v>
      </c>
      <c r="B7953" s="7"/>
      <c r="C7953" s="6" t="str">
        <f>HYPERLINK("http://www.ncbi.nlm.nih.gov/protein/31542956","Ube2k")</f>
        <v>Ube2k</v>
      </c>
      <c r="D7953" s="8"/>
      <c r="E7953" s="8">
        <v>22276</v>
      </c>
      <c r="F7953" s="8"/>
      <c r="G7953" s="15">
        <v>1.4583669479878905</v>
      </c>
      <c r="H7953" s="15">
        <v>1.4583669479878905</v>
      </c>
      <c r="I7953" s="15">
        <v>0.99071555775812503</v>
      </c>
      <c r="J7953" s="15">
        <v>0.99071555775812503</v>
      </c>
      <c r="K7953" s="15">
        <v>1.0504351533962475</v>
      </c>
      <c r="L7953" s="15">
        <v>1.0504351533962475</v>
      </c>
      <c r="M7953" s="15">
        <v>1.0504351533962475</v>
      </c>
      <c r="N7953" s="15">
        <v>1.0504351533962475</v>
      </c>
      <c r="O7953" s="15">
        <v>0.99071555775812503</v>
      </c>
      <c r="P7953" s="15">
        <v>0.99071555775812503</v>
      </c>
      <c r="Q7953" s="8"/>
      <c r="R7953" s="9" t="s">
        <v>7440</v>
      </c>
    </row>
    <row r="7954" spans="1:18" x14ac:dyDescent="0.25">
      <c r="A7954" s="6" t="str">
        <f>HYPERLINK("proteomic_fractions_linear_files/Yang_linear_img/21704162.jpg", "21704162")</f>
        <v>21704162</v>
      </c>
      <c r="B7954" s="7"/>
      <c r="C7954" s="6" t="str">
        <f>HYPERLINK("http://www.ncbi.nlm.nih.gov/protein/21704162","Ube2m")</f>
        <v>Ube2m</v>
      </c>
      <c r="D7954" s="8"/>
      <c r="E7954" s="8">
        <v>20769</v>
      </c>
      <c r="F7954" s="8"/>
      <c r="G7954" s="15">
        <v>0.88072853164590881</v>
      </c>
      <c r="H7954" s="15">
        <v>0.88072853164590881</v>
      </c>
      <c r="I7954" s="15">
        <v>0.92862618228739402</v>
      </c>
      <c r="J7954" s="15">
        <v>0.92862618228739402</v>
      </c>
      <c r="K7954" s="15">
        <v>0.92862618228739402</v>
      </c>
      <c r="L7954" s="15">
        <v>0.92862618228739402</v>
      </c>
      <c r="M7954" s="15">
        <v>0.98083053269791776</v>
      </c>
      <c r="N7954" s="15">
        <v>0.98083053269791776</v>
      </c>
      <c r="O7954" s="15">
        <v>0.92862618228739402</v>
      </c>
      <c r="P7954" s="15">
        <v>0.92862618228739402</v>
      </c>
      <c r="Q7954" s="8"/>
      <c r="R7954" s="9" t="s">
        <v>7441</v>
      </c>
    </row>
    <row r="7955" spans="1:18" x14ac:dyDescent="0.25">
      <c r="A7955" s="6" t="str">
        <f>HYPERLINK("proteomic_fractions_linear_files/Yang_linear_img/270309117.jpg", "270309117")</f>
        <v>270309117</v>
      </c>
      <c r="B7955" s="7"/>
      <c r="C7955" s="6" t="str">
        <f>HYPERLINK("http://www.ncbi.nlm.nih.gov/protein/270309117","Ube2m")</f>
        <v>Ube2m</v>
      </c>
      <c r="D7955" s="8"/>
      <c r="E7955" s="8">
        <v>9971</v>
      </c>
      <c r="F7955" s="8"/>
      <c r="G7955" s="15">
        <v>1.8495299164564085</v>
      </c>
      <c r="H7955" s="15">
        <v>1.8495299164564085</v>
      </c>
      <c r="I7955" s="15">
        <v>1.9501149828035274</v>
      </c>
      <c r="J7955" s="15">
        <v>1.9501149828035274</v>
      </c>
      <c r="K7955" s="15">
        <v>1.9501149828035274</v>
      </c>
      <c r="L7955" s="15">
        <v>1.9501149828035274</v>
      </c>
      <c r="M7955" s="15">
        <v>2.0597441186656273</v>
      </c>
      <c r="N7955" s="15">
        <v>2.0597441186656273</v>
      </c>
      <c r="O7955" s="15">
        <v>1.9501149828035274</v>
      </c>
      <c r="P7955" s="15">
        <v>1.9501149828035274</v>
      </c>
      <c r="Q7955" s="8"/>
      <c r="R7955" s="9" t="s">
        <v>7442</v>
      </c>
    </row>
    <row r="7956" spans="1:18" x14ac:dyDescent="0.25">
      <c r="A7956" s="6" t="str">
        <f>HYPERLINK("proteomic_fractions_linear_files/Yang_linear_img/345525404.jpg", "345525404")</f>
        <v>345525404</v>
      </c>
      <c r="B7956" s="7"/>
      <c r="C7956" s="6" t="str">
        <f>HYPERLINK("http://www.ncbi.nlm.nih.gov/protein/345525404","Ube2m")</f>
        <v>Ube2m</v>
      </c>
      <c r="D7956" s="8"/>
      <c r="E7956" s="8">
        <v>17609</v>
      </c>
      <c r="F7956" s="8"/>
      <c r="G7956" s="15">
        <v>1.0275166202535602</v>
      </c>
      <c r="H7956" s="15">
        <v>1.0275166202535602</v>
      </c>
      <c r="I7956" s="15">
        <v>1.0833972126686264</v>
      </c>
      <c r="J7956" s="15">
        <v>1.0833972126686264</v>
      </c>
      <c r="K7956" s="15">
        <v>1.0833972126686264</v>
      </c>
      <c r="L7956" s="15">
        <v>1.0833972126686264</v>
      </c>
      <c r="M7956" s="15">
        <v>1.1443022881475706</v>
      </c>
      <c r="N7956" s="15">
        <v>1.1443022881475706</v>
      </c>
      <c r="O7956" s="15">
        <v>1.0833972126686264</v>
      </c>
      <c r="P7956" s="15">
        <v>1.0833972126686264</v>
      </c>
      <c r="Q7956" s="8"/>
      <c r="R7956" s="9" t="s">
        <v>7443</v>
      </c>
    </row>
    <row r="7957" spans="1:18" x14ac:dyDescent="0.25">
      <c r="A7957" s="6" t="str">
        <f>HYPERLINK("proteomic_fractions_linear_files/Yang_linear_img/18017605.jpg", "18017605")</f>
        <v>18017605</v>
      </c>
      <c r="B7957" s="7"/>
      <c r="C7957" s="6" t="str">
        <f>HYPERLINK("http://www.ncbi.nlm.nih.gov/protein/18017605","Ube2n")</f>
        <v>Ube2n</v>
      </c>
      <c r="D7957" s="8"/>
      <c r="E7957" s="8">
        <v>17007</v>
      </c>
      <c r="F7957" s="8"/>
      <c r="G7957" s="15">
        <v>10.986225390584726</v>
      </c>
      <c r="H7957" s="15">
        <v>10.986225390584726</v>
      </c>
      <c r="I7957" s="15">
        <v>0.89390225257731093</v>
      </c>
      <c r="J7957" s="15">
        <v>0.89390225257731093</v>
      </c>
      <c r="K7957" s="15">
        <v>0.93690834018716329</v>
      </c>
      <c r="L7957" s="15">
        <v>0.93690834018716329</v>
      </c>
      <c r="M7957" s="15">
        <v>0.93690834018716329</v>
      </c>
      <c r="N7957" s="15">
        <v>0.93690834018716329</v>
      </c>
      <c r="O7957" s="15">
        <v>1.211614187450369</v>
      </c>
      <c r="P7957" s="15">
        <v>0.93690834018716329</v>
      </c>
      <c r="Q7957" s="8"/>
      <c r="R7957" s="9" t="s">
        <v>7444</v>
      </c>
    </row>
    <row r="7958" spans="1:18" x14ac:dyDescent="0.25">
      <c r="A7958" s="6" t="str">
        <f>HYPERLINK("proteomic_fractions_linear_files/Yang_linear_img/50234896.jpg", "50234896")</f>
        <v>50234896</v>
      </c>
      <c r="B7958" s="7"/>
      <c r="C7958" s="6" t="str">
        <f>HYPERLINK("http://www.ncbi.nlm.nih.gov/protein/50234896","Ube2o")</f>
        <v>Ube2o</v>
      </c>
      <c r="D7958" s="8"/>
      <c r="E7958" s="8">
        <v>140703</v>
      </c>
      <c r="F7958" s="8"/>
      <c r="G7958" s="15" t="s">
        <v>10</v>
      </c>
      <c r="H7958" s="15" t="s">
        <v>10</v>
      </c>
      <c r="I7958" s="15">
        <v>1.6550414725379368</v>
      </c>
      <c r="J7958" s="15">
        <v>1.6550414725379368</v>
      </c>
      <c r="K7958" s="15">
        <v>1.6550414725379368</v>
      </c>
      <c r="L7958" s="15">
        <v>1.6550414725379368</v>
      </c>
      <c r="M7958" s="15">
        <v>1.6550414725379368</v>
      </c>
      <c r="N7958" s="15">
        <v>1.6550414725379368</v>
      </c>
      <c r="O7958" s="15">
        <v>1.6550414725379368</v>
      </c>
      <c r="P7958" s="15">
        <v>1.6550414725379368</v>
      </c>
      <c r="Q7958" s="8"/>
      <c r="R7958" s="9" t="s">
        <v>7445</v>
      </c>
    </row>
    <row r="7959" spans="1:18" x14ac:dyDescent="0.25">
      <c r="A7959" s="6" t="str">
        <f>HYPERLINK("proteomic_fractions_linear_files/Yang_linear_img/170172548.jpg", "170172548")</f>
        <v>170172548</v>
      </c>
      <c r="B7959" s="7"/>
      <c r="C7959" s="6" t="str">
        <f>HYPERLINK("http://www.ncbi.nlm.nih.gov/protein/170172548","Ube2q1")</f>
        <v>Ube2q1</v>
      </c>
      <c r="D7959" s="8"/>
      <c r="E7959" s="8">
        <v>46042</v>
      </c>
      <c r="F7959" s="8"/>
      <c r="G7959" s="15" t="s">
        <v>10</v>
      </c>
      <c r="H7959" s="15" t="s">
        <v>10</v>
      </c>
      <c r="I7959" s="15" t="s">
        <v>10</v>
      </c>
      <c r="J7959" s="15" t="s">
        <v>10</v>
      </c>
      <c r="K7959" s="15" t="s">
        <v>10</v>
      </c>
      <c r="L7959" s="15" t="s">
        <v>10</v>
      </c>
      <c r="M7959" s="15" t="s">
        <v>10</v>
      </c>
      <c r="N7959" s="15" t="s">
        <v>10</v>
      </c>
      <c r="O7959" s="15">
        <v>1.0497820779220708</v>
      </c>
      <c r="P7959" s="15">
        <v>1.0497820779220708</v>
      </c>
      <c r="Q7959" s="8"/>
      <c r="R7959" s="9" t="s">
        <v>7446</v>
      </c>
    </row>
    <row r="7960" spans="1:18" x14ac:dyDescent="0.25">
      <c r="A7960" s="6" t="str">
        <f>HYPERLINK("proteomic_fractions_linear_files/Yang_linear_img/257796272.jpg", "257796272")</f>
        <v>257796272</v>
      </c>
      <c r="B7960" s="7"/>
      <c r="C7960" s="6" t="str">
        <f>HYPERLINK("http://www.ncbi.nlm.nih.gov/protein/257796272","Ube2q2")</f>
        <v>Ube2q2</v>
      </c>
      <c r="D7960" s="8"/>
      <c r="E7960" s="8">
        <v>42804</v>
      </c>
      <c r="F7960" s="8"/>
      <c r="G7960" s="15" t="s">
        <v>10</v>
      </c>
      <c r="H7960" s="15" t="s">
        <v>10</v>
      </c>
      <c r="I7960" s="15" t="s">
        <v>10</v>
      </c>
      <c r="J7960" s="15" t="s">
        <v>10</v>
      </c>
      <c r="K7960" s="15" t="s">
        <v>10</v>
      </c>
      <c r="L7960" s="15" t="s">
        <v>10</v>
      </c>
      <c r="M7960" s="15" t="s">
        <v>10</v>
      </c>
      <c r="N7960" s="15" t="s">
        <v>10</v>
      </c>
      <c r="O7960" s="15">
        <v>2.553524740026313</v>
      </c>
      <c r="P7960" s="15">
        <v>2.553524740026313</v>
      </c>
      <c r="Q7960" s="8"/>
      <c r="R7960" s="9" t="s">
        <v>7447</v>
      </c>
    </row>
    <row r="7961" spans="1:18" x14ac:dyDescent="0.25">
      <c r="A7961" s="6" t="str">
        <f>HYPERLINK("proteomic_fractions_linear_files/Yang_linear_img/13385778.jpg", "13385778")</f>
        <v>13385778</v>
      </c>
      <c r="B7961" s="7"/>
      <c r="C7961" s="6" t="str">
        <f>HYPERLINK("http://www.ncbi.nlm.nih.gov/protein/13385778","Ube2r2")</f>
        <v>Ube2r2</v>
      </c>
      <c r="D7961" s="8"/>
      <c r="E7961" s="8">
        <v>27035</v>
      </c>
      <c r="F7961" s="8"/>
      <c r="G7961" s="15" t="s">
        <v>10</v>
      </c>
      <c r="H7961" s="15" t="s">
        <v>10</v>
      </c>
      <c r="I7961" s="15" t="s">
        <v>10</v>
      </c>
      <c r="J7961" s="15" t="s">
        <v>10</v>
      </c>
      <c r="K7961" s="15" t="s">
        <v>10</v>
      </c>
      <c r="L7961" s="15" t="s">
        <v>10</v>
      </c>
      <c r="M7961" s="15" t="s">
        <v>10</v>
      </c>
      <c r="N7961" s="15" t="s">
        <v>10</v>
      </c>
      <c r="O7961" s="15">
        <v>0.96852807834907406</v>
      </c>
      <c r="P7961" s="15">
        <v>0.96852807834907406</v>
      </c>
      <c r="Q7961" s="8"/>
      <c r="R7961" s="9" t="s">
        <v>7448</v>
      </c>
    </row>
    <row r="7962" spans="1:18" x14ac:dyDescent="0.25">
      <c r="A7962" s="6" t="str">
        <f>HYPERLINK("proteomic_fractions_linear_files/Yang_linear_img/19527004.jpg", "19527004")</f>
        <v>19527004</v>
      </c>
      <c r="B7962" s="7"/>
      <c r="C7962" s="6" t="str">
        <f>HYPERLINK("http://www.ncbi.nlm.nih.gov/protein/19527004","Ube2s")</f>
        <v>Ube2s</v>
      </c>
      <c r="D7962" s="8"/>
      <c r="E7962" s="8">
        <v>24052</v>
      </c>
      <c r="F7962" s="8"/>
      <c r="G7962" s="15" t="s">
        <v>10</v>
      </c>
      <c r="H7962" s="15" t="s">
        <v>10</v>
      </c>
      <c r="I7962" s="15">
        <v>1.0895940881427084</v>
      </c>
      <c r="J7962" s="15">
        <v>1.0895940881427084</v>
      </c>
      <c r="K7962" s="15">
        <v>1.0895940881427084</v>
      </c>
      <c r="L7962" s="15">
        <v>1.0895940881427084</v>
      </c>
      <c r="M7962" s="15">
        <v>1.0895940881427084</v>
      </c>
      <c r="N7962" s="15">
        <v>1.0895940881427084</v>
      </c>
      <c r="O7962" s="15">
        <v>0.96289889061322687</v>
      </c>
      <c r="P7962" s="15">
        <v>0.96289889061322687</v>
      </c>
      <c r="Q7962" s="8"/>
      <c r="R7962" s="9" t="s">
        <v>7449</v>
      </c>
    </row>
    <row r="7963" spans="1:18" x14ac:dyDescent="0.25">
      <c r="A7963" s="6" t="str">
        <f>HYPERLINK("proteomic_fractions_linear_files/Yang_linear_img/13385530.jpg", "13385530")</f>
        <v>13385530</v>
      </c>
      <c r="B7963" s="7"/>
      <c r="C7963" s="6" t="str">
        <f>HYPERLINK("http://www.ncbi.nlm.nih.gov/protein/13385530","Ube2t")</f>
        <v>Ube2t</v>
      </c>
      <c r="D7963" s="8"/>
      <c r="E7963" s="8">
        <v>22844</v>
      </c>
      <c r="F7963" s="8"/>
      <c r="G7963" s="15" t="s">
        <v>10</v>
      </c>
      <c r="H7963" s="15" t="s">
        <v>10</v>
      </c>
      <c r="I7963" s="15">
        <v>0.66071036060062116</v>
      </c>
      <c r="J7963" s="15">
        <v>0.66071036060062116</v>
      </c>
      <c r="K7963" s="15" t="s">
        <v>10</v>
      </c>
      <c r="L7963" s="15" t="s">
        <v>10</v>
      </c>
      <c r="M7963" s="15">
        <v>0.69249746883399022</v>
      </c>
      <c r="N7963" s="15">
        <v>0.69249746883399022</v>
      </c>
      <c r="O7963" s="15">
        <v>0.94764096829038047</v>
      </c>
      <c r="P7963" s="15">
        <v>0.94764096829038047</v>
      </c>
      <c r="Q7963" s="8"/>
      <c r="R7963" s="9" t="s">
        <v>7450</v>
      </c>
    </row>
    <row r="7964" spans="1:18" x14ac:dyDescent="0.25">
      <c r="A7964" s="6" t="str">
        <f>HYPERLINK("proteomic_fractions_linear_files/Yang_linear_img/42741690.jpg", "42741690")</f>
        <v>42741690</v>
      </c>
      <c r="B7964" s="7"/>
      <c r="C7964" s="6" t="str">
        <f>HYPERLINK("http://www.ncbi.nlm.nih.gov/protein/42741690","Ube2v1")</f>
        <v>Ube2v1</v>
      </c>
      <c r="D7964" s="8"/>
      <c r="E7964" s="8">
        <v>16224</v>
      </c>
      <c r="F7964" s="8"/>
      <c r="G7964" s="15">
        <v>1.4443483359198404</v>
      </c>
      <c r="H7964" s="15">
        <v>1.4443483359198404</v>
      </c>
      <c r="I7964" s="15">
        <v>1.0447796575379389</v>
      </c>
      <c r="J7964" s="15">
        <v>1.0447796575379389</v>
      </c>
      <c r="K7964" s="15">
        <v>1.0447796575379389</v>
      </c>
      <c r="L7964" s="15">
        <v>1.0447796575379389</v>
      </c>
      <c r="M7964" s="15">
        <v>1.0447796575379389</v>
      </c>
      <c r="N7964" s="15">
        <v>1.0447796575379389</v>
      </c>
      <c r="O7964" s="15">
        <v>0.99546511144886096</v>
      </c>
      <c r="P7964" s="15">
        <v>0.99546511144886096</v>
      </c>
      <c r="Q7964" s="8"/>
      <c r="R7964" s="9" t="s">
        <v>7451</v>
      </c>
    </row>
    <row r="7965" spans="1:18" x14ac:dyDescent="0.25">
      <c r="A7965" s="6" t="str">
        <f>HYPERLINK("proteomic_fractions_linear_files/Yang_linear_img/226823223.jpg", "226823223")</f>
        <v>226823223</v>
      </c>
      <c r="B7965" s="7"/>
      <c r="C7965" s="6" t="str">
        <f>HYPERLINK("http://www.ncbi.nlm.nih.gov/protein/226823223","Ube2v2")</f>
        <v>Ube2v2</v>
      </c>
      <c r="D7965" s="8"/>
      <c r="E7965" s="8">
        <v>11543</v>
      </c>
      <c r="F7965" s="8"/>
      <c r="G7965" s="15">
        <v>1.9257977812264537</v>
      </c>
      <c r="H7965" s="15">
        <v>1.9257977812264537</v>
      </c>
      <c r="I7965" s="15">
        <v>1.3930395433839184</v>
      </c>
      <c r="J7965" s="15">
        <v>1.3930395433839184</v>
      </c>
      <c r="K7965" s="15">
        <v>1.3930395433839184</v>
      </c>
      <c r="L7965" s="15">
        <v>1.3930395433839184</v>
      </c>
      <c r="M7965" s="15">
        <v>1.3930395433839184</v>
      </c>
      <c r="N7965" s="15">
        <v>1.3930395433839184</v>
      </c>
      <c r="O7965" s="15">
        <v>1.327286815265148</v>
      </c>
      <c r="P7965" s="15">
        <v>1.327286815265148</v>
      </c>
      <c r="Q7965" s="8"/>
      <c r="R7965" s="9" t="s">
        <v>7452</v>
      </c>
    </row>
    <row r="7966" spans="1:18" x14ac:dyDescent="0.25">
      <c r="A7966" s="6" t="str">
        <f>HYPERLINK("proteomic_fractions_linear_files/Yang_linear_img/31543918.jpg", "31543918")</f>
        <v>31543918</v>
      </c>
      <c r="B7966" s="7"/>
      <c r="C7966" s="6" t="str">
        <f>HYPERLINK("http://www.ncbi.nlm.nih.gov/protein/31543918","Ube2v2")</f>
        <v>Ube2v2</v>
      </c>
      <c r="D7966" s="8"/>
      <c r="E7966" s="8">
        <v>16236</v>
      </c>
      <c r="F7966" s="8"/>
      <c r="G7966" s="15">
        <v>1.4443483359198404</v>
      </c>
      <c r="H7966" s="15">
        <v>1.4443483359198404</v>
      </c>
      <c r="I7966" s="15">
        <v>1.0447796575379389</v>
      </c>
      <c r="J7966" s="15">
        <v>1.0447796575379389</v>
      </c>
      <c r="K7966" s="15">
        <v>1.0447796575379389</v>
      </c>
      <c r="L7966" s="15">
        <v>1.0447796575379389</v>
      </c>
      <c r="M7966" s="15">
        <v>1.0447796575379389</v>
      </c>
      <c r="N7966" s="15">
        <v>1.0447796575379389</v>
      </c>
      <c r="O7966" s="15">
        <v>0.99546511144886096</v>
      </c>
      <c r="P7966" s="15">
        <v>0.99546511144886096</v>
      </c>
      <c r="Q7966" s="8"/>
      <c r="R7966" s="9" t="s">
        <v>7453</v>
      </c>
    </row>
    <row r="7967" spans="1:18" x14ac:dyDescent="0.25">
      <c r="A7967" s="6" t="str">
        <f>HYPERLINK("proteomic_fractions_linear_files/Yang_linear_img/401891882.jpg", "401891882")</f>
        <v>401891882</v>
      </c>
      <c r="B7967" s="7"/>
      <c r="C7967" s="6" t="str">
        <f>HYPERLINK("http://www.ncbi.nlm.nih.gov/protein/401891882","Ube2w")</f>
        <v>Ube2w</v>
      </c>
      <c r="D7967" s="8"/>
      <c r="E7967" s="8">
        <v>20584</v>
      </c>
      <c r="F7967" s="8"/>
      <c r="G7967" s="15" t="s">
        <v>10</v>
      </c>
      <c r="H7967" s="15" t="s">
        <v>10</v>
      </c>
      <c r="I7967" s="15" t="s">
        <v>10</v>
      </c>
      <c r="J7967" s="15" t="s">
        <v>10</v>
      </c>
      <c r="K7967" s="15" t="s">
        <v>10</v>
      </c>
      <c r="L7967" s="15" t="s">
        <v>10</v>
      </c>
      <c r="M7967" s="15" t="s">
        <v>10</v>
      </c>
      <c r="N7967" s="15" t="s">
        <v>10</v>
      </c>
      <c r="O7967" s="15">
        <v>0.69130827247001658</v>
      </c>
      <c r="P7967" s="15">
        <v>0.69130827247001658</v>
      </c>
      <c r="Q7967" s="8"/>
      <c r="R7967" s="9" t="s">
        <v>7454</v>
      </c>
    </row>
    <row r="7968" spans="1:18" x14ac:dyDescent="0.25">
      <c r="A7968" s="6" t="str">
        <f>HYPERLINK("proteomic_fractions_linear_files/Yang_linear_img/401891885.jpg", "401891885")</f>
        <v>401891885</v>
      </c>
      <c r="B7968" s="7"/>
      <c r="C7968" s="6" t="str">
        <f>HYPERLINK("http://www.ncbi.nlm.nih.gov/protein/401891885","Ube2w")</f>
        <v>Ube2w</v>
      </c>
      <c r="D7968" s="8"/>
      <c r="E7968" s="8">
        <v>20650</v>
      </c>
      <c r="F7968" s="8"/>
      <c r="G7968" s="15" t="s">
        <v>10</v>
      </c>
      <c r="H7968" s="15" t="s">
        <v>10</v>
      </c>
      <c r="I7968" s="15" t="s">
        <v>10</v>
      </c>
      <c r="J7968" s="15" t="s">
        <v>10</v>
      </c>
      <c r="K7968" s="15" t="s">
        <v>10</v>
      </c>
      <c r="L7968" s="15" t="s">
        <v>10</v>
      </c>
      <c r="M7968" s="15" t="s">
        <v>10</v>
      </c>
      <c r="N7968" s="15" t="s">
        <v>10</v>
      </c>
      <c r="O7968" s="15">
        <v>0.69130827247001658</v>
      </c>
      <c r="P7968" s="15">
        <v>0.69130827247001658</v>
      </c>
      <c r="Q7968" s="8"/>
      <c r="R7968" s="9" t="s">
        <v>7455</v>
      </c>
    </row>
    <row r="7969" spans="1:18" x14ac:dyDescent="0.25">
      <c r="A7969" s="6" t="str">
        <f>HYPERLINK("proteomic_fractions_linear_files/Yang_linear_img/401901244.jpg", "401901244")</f>
        <v>401901244</v>
      </c>
      <c r="B7969" s="7"/>
      <c r="C7969" s="6" t="str">
        <f>HYPERLINK("http://www.ncbi.nlm.nih.gov/protein/401901244","Ube2w")</f>
        <v>Ube2w</v>
      </c>
      <c r="D7969" s="8"/>
      <c r="E7969" s="8">
        <v>18055</v>
      </c>
      <c r="F7969" s="8"/>
      <c r="G7969" s="15" t="s">
        <v>10</v>
      </c>
      <c r="H7969" s="15" t="s">
        <v>10</v>
      </c>
      <c r="I7969" s="15" t="s">
        <v>10</v>
      </c>
      <c r="J7969" s="15" t="s">
        <v>10</v>
      </c>
      <c r="K7969" s="15" t="s">
        <v>10</v>
      </c>
      <c r="L7969" s="15" t="s">
        <v>10</v>
      </c>
      <c r="M7969" s="15" t="s">
        <v>10</v>
      </c>
      <c r="N7969" s="15" t="s">
        <v>10</v>
      </c>
      <c r="O7969" s="15">
        <v>0.80652631788168594</v>
      </c>
      <c r="P7969" s="15">
        <v>0.80652631788168594</v>
      </c>
      <c r="Q7969" s="8"/>
      <c r="R7969" s="9" t="s">
        <v>7456</v>
      </c>
    </row>
    <row r="7970" spans="1:18" x14ac:dyDescent="0.25">
      <c r="A7970" s="6" t="str">
        <f>HYPERLINK("proteomic_fractions_linear_files/Yang_linear_img/110681729.jpg", "110681729")</f>
        <v>110681729</v>
      </c>
      <c r="B7970" s="7"/>
      <c r="C7970" s="6" t="str">
        <f>HYPERLINK("http://www.ncbi.nlm.nih.gov/protein/110681729","Ube2z")</f>
        <v>Ube2z</v>
      </c>
      <c r="D7970" s="8"/>
      <c r="E7970" s="8">
        <v>38237</v>
      </c>
      <c r="F7970" s="8"/>
      <c r="G7970" s="15" t="s">
        <v>10</v>
      </c>
      <c r="H7970" s="15" t="s">
        <v>10</v>
      </c>
      <c r="I7970" s="15">
        <v>1.0659820579795458</v>
      </c>
      <c r="J7970" s="15">
        <v>1.0659820579795458</v>
      </c>
      <c r="K7970" s="15">
        <v>1.0659820579795458</v>
      </c>
      <c r="L7970" s="15">
        <v>1.0659820579795458</v>
      </c>
      <c r="M7970" s="15" t="s">
        <v>10</v>
      </c>
      <c r="N7970" s="15" t="s">
        <v>10</v>
      </c>
      <c r="O7970" s="15">
        <v>0.98266648481906815</v>
      </c>
      <c r="P7970" s="15">
        <v>0.98266648481906815</v>
      </c>
      <c r="Q7970" s="8"/>
      <c r="R7970" s="9" t="s">
        <v>7457</v>
      </c>
    </row>
    <row r="7971" spans="1:18" x14ac:dyDescent="0.25">
      <c r="A7971" s="6" t="str">
        <f>HYPERLINK("proteomic_fractions_linear_files/Yang_linear_img/27804321.jpg", "27804321")</f>
        <v>27804321</v>
      </c>
      <c r="B7971" s="7"/>
      <c r="C7971" s="6" t="str">
        <f>HYPERLINK("http://www.ncbi.nlm.nih.gov/protein/27804321","Ube3a")</f>
        <v>Ube3a</v>
      </c>
      <c r="D7971" s="8"/>
      <c r="E7971" s="8">
        <v>87569</v>
      </c>
      <c r="F7971" s="8"/>
      <c r="G7971" s="15" t="s">
        <v>10</v>
      </c>
      <c r="H7971" s="15" t="s">
        <v>10</v>
      </c>
      <c r="I7971" s="15" t="s">
        <v>10</v>
      </c>
      <c r="J7971" s="15" t="s">
        <v>10</v>
      </c>
      <c r="K7971" s="15">
        <v>1.2477450434219486</v>
      </c>
      <c r="L7971" s="15">
        <v>1.2477450434219486</v>
      </c>
      <c r="M7971" s="15">
        <v>1.2477450434219486</v>
      </c>
      <c r="N7971" s="15">
        <v>1.2477450434219486</v>
      </c>
      <c r="O7971" s="15">
        <v>1.0791816043475513</v>
      </c>
      <c r="P7971" s="15">
        <v>1.0791816043475513</v>
      </c>
      <c r="Q7971" s="8"/>
      <c r="R7971" s="9" t="s">
        <v>7458</v>
      </c>
    </row>
    <row r="7972" spans="1:18" x14ac:dyDescent="0.25">
      <c r="A7972" s="6" t="str">
        <f>HYPERLINK("proteomic_fractions_linear_files/Yang_linear_img/76880494.jpg", "76880494")</f>
        <v>76880494</v>
      </c>
      <c r="B7972" s="7"/>
      <c r="C7972" s="6" t="str">
        <f>HYPERLINK("http://www.ncbi.nlm.nih.gov/protein/76880494","Ube3a")</f>
        <v>Ube3a</v>
      </c>
      <c r="D7972" s="8"/>
      <c r="E7972" s="8">
        <v>99689</v>
      </c>
      <c r="F7972" s="8"/>
      <c r="G7972" s="15" t="s">
        <v>10</v>
      </c>
      <c r="H7972" s="15" t="s">
        <v>10</v>
      </c>
      <c r="I7972" s="15" t="s">
        <v>10</v>
      </c>
      <c r="J7972" s="15" t="s">
        <v>10</v>
      </c>
      <c r="K7972" s="15">
        <v>1.0980156382113146</v>
      </c>
      <c r="L7972" s="15">
        <v>1.0980156382113146</v>
      </c>
      <c r="M7972" s="15">
        <v>1.0980156382113146</v>
      </c>
      <c r="N7972" s="15">
        <v>1.0980156382113146</v>
      </c>
      <c r="O7972" s="15">
        <v>0.94967981182584504</v>
      </c>
      <c r="P7972" s="15">
        <v>0.94967981182584504</v>
      </c>
      <c r="Q7972" s="8"/>
      <c r="R7972" s="9" t="s">
        <v>7459</v>
      </c>
    </row>
    <row r="7973" spans="1:18" x14ac:dyDescent="0.25">
      <c r="A7973" s="6" t="str">
        <f>HYPERLINK("proteomic_fractions_linear_files/Yang_linear_img/76880500.jpg", "76880500")</f>
        <v>76880500</v>
      </c>
      <c r="B7973" s="7"/>
      <c r="C7973" s="6" t="str">
        <f>HYPERLINK("http://www.ncbi.nlm.nih.gov/protein/76880500","Ube3a")</f>
        <v>Ube3a</v>
      </c>
      <c r="D7973" s="8"/>
      <c r="E7973" s="8">
        <v>97453</v>
      </c>
      <c r="F7973" s="8"/>
      <c r="G7973" s="15" t="s">
        <v>10</v>
      </c>
      <c r="H7973" s="15" t="s">
        <v>10</v>
      </c>
      <c r="I7973" s="15" t="s">
        <v>10</v>
      </c>
      <c r="J7973" s="15" t="s">
        <v>10</v>
      </c>
      <c r="K7973" s="15">
        <v>1.1319748847539326</v>
      </c>
      <c r="L7973" s="15">
        <v>1.1319748847539326</v>
      </c>
      <c r="M7973" s="15">
        <v>1.1319748847539326</v>
      </c>
      <c r="N7973" s="15">
        <v>1.1319748847539326</v>
      </c>
      <c r="O7973" s="15">
        <v>0.97905135239777841</v>
      </c>
      <c r="P7973" s="15">
        <v>0.97905135239777841</v>
      </c>
      <c r="Q7973" s="8"/>
      <c r="R7973" s="9" t="s">
        <v>7460</v>
      </c>
    </row>
    <row r="7974" spans="1:18" x14ac:dyDescent="0.25">
      <c r="A7974" s="6" t="str">
        <f>HYPERLINK("proteomic_fractions_linear_files/Yang_linear_img/29789341.jpg", "29789341")</f>
        <v>29789341</v>
      </c>
      <c r="B7974" s="7"/>
      <c r="C7974" s="6" t="str">
        <f>HYPERLINK("http://www.ncbi.nlm.nih.gov/protein/29789341","Ube3c")</f>
        <v>Ube3c</v>
      </c>
      <c r="D7974" s="8"/>
      <c r="E7974" s="8">
        <v>123845</v>
      </c>
      <c r="F7974" s="8"/>
      <c r="G7974" s="15" t="s">
        <v>10</v>
      </c>
      <c r="H7974" s="15" t="s">
        <v>10</v>
      </c>
      <c r="I7974" s="15" t="s">
        <v>10</v>
      </c>
      <c r="J7974" s="15" t="s">
        <v>10</v>
      </c>
      <c r="K7974" s="15" t="s">
        <v>10</v>
      </c>
      <c r="L7974" s="15" t="s">
        <v>10</v>
      </c>
      <c r="M7974" s="15">
        <v>1.0380776463315884</v>
      </c>
      <c r="N7974" s="15">
        <v>1.0380776463315884</v>
      </c>
      <c r="O7974" s="15">
        <v>1.0380776463315884</v>
      </c>
      <c r="P7974" s="15">
        <v>1.0380776463315884</v>
      </c>
      <c r="Q7974" s="8"/>
      <c r="R7974" s="9" t="s">
        <v>7461</v>
      </c>
    </row>
    <row r="7975" spans="1:18" x14ac:dyDescent="0.25">
      <c r="A7975" s="6" t="str">
        <f>HYPERLINK("proteomic_fractions_linear_files/Yang_linear_img/167736371.jpg", "167736371")</f>
        <v>167736371</v>
      </c>
      <c r="B7975" s="7"/>
      <c r="C7975" s="6" t="str">
        <f>HYPERLINK("http://www.ncbi.nlm.nih.gov/protein/167736371","Ube4a")</f>
        <v>Ube4a</v>
      </c>
      <c r="D7975" s="8"/>
      <c r="E7975" s="8">
        <v>118068</v>
      </c>
      <c r="F7975" s="8"/>
      <c r="G7975" s="15" t="s">
        <v>10</v>
      </c>
      <c r="H7975" s="15" t="s">
        <v>10</v>
      </c>
      <c r="I7975" s="15">
        <v>1.3004480604766258</v>
      </c>
      <c r="J7975" s="15">
        <v>1.3004480604766258</v>
      </c>
      <c r="K7975" s="15">
        <v>1.3004480604766258</v>
      </c>
      <c r="L7975" s="15">
        <v>1.3004480604766258</v>
      </c>
      <c r="M7975" s="15" t="s">
        <v>10</v>
      </c>
      <c r="N7975" s="15" t="s">
        <v>10</v>
      </c>
      <c r="O7975" s="15">
        <v>1.3004480604766258</v>
      </c>
      <c r="P7975" s="15">
        <v>1.3004480604766258</v>
      </c>
      <c r="Q7975" s="8"/>
      <c r="R7975" s="9" t="s">
        <v>7462</v>
      </c>
    </row>
    <row r="7976" spans="1:18" x14ac:dyDescent="0.25">
      <c r="A7976" s="6" t="str">
        <f>HYPERLINK("proteomic_fractions_linear_files/Yang_linear_img/172073169.jpg", "172073169")</f>
        <v>172073169</v>
      </c>
      <c r="B7976" s="7"/>
      <c r="C7976" s="6" t="str">
        <f>HYPERLINK("http://www.ncbi.nlm.nih.gov/protein/172073169","Ube4b")</f>
        <v>Ube4b</v>
      </c>
      <c r="D7976" s="8"/>
      <c r="E7976" s="8">
        <v>133187</v>
      </c>
      <c r="F7976" s="8"/>
      <c r="G7976" s="15" t="s">
        <v>10</v>
      </c>
      <c r="H7976" s="15" t="s">
        <v>10</v>
      </c>
      <c r="I7976" s="15" t="s">
        <v>10</v>
      </c>
      <c r="J7976" s="15" t="s">
        <v>10</v>
      </c>
      <c r="K7976" s="15">
        <v>1.4042543732326342</v>
      </c>
      <c r="L7976" s="15">
        <v>1.4042543732326342</v>
      </c>
      <c r="M7976" s="15">
        <v>1.1537809859867807</v>
      </c>
      <c r="N7976" s="15">
        <v>1.1537809859867807</v>
      </c>
      <c r="O7976" s="15">
        <v>1.1537809859867807</v>
      </c>
      <c r="P7976" s="15">
        <v>1.1537809859867807</v>
      </c>
      <c r="Q7976" s="8"/>
      <c r="R7976" s="9" t="s">
        <v>7463</v>
      </c>
    </row>
    <row r="7977" spans="1:18" x14ac:dyDescent="0.25">
      <c r="A7977" s="6" t="str">
        <f>HYPERLINK("proteomic_fractions_linear_files/Yang_linear_img/77917602.jpg", "77917602")</f>
        <v>77917602</v>
      </c>
      <c r="B7977" s="7"/>
      <c r="C7977" s="6" t="str">
        <f>HYPERLINK("http://www.ncbi.nlm.nih.gov/protein/77917602","Ubfd1")</f>
        <v>Ubfd1</v>
      </c>
      <c r="D7977" s="8"/>
      <c r="E7977" s="8">
        <v>40012</v>
      </c>
      <c r="F7977" s="8"/>
      <c r="G7977" s="15" t="s">
        <v>10</v>
      </c>
      <c r="H7977" s="15" t="s">
        <v>10</v>
      </c>
      <c r="I7977" s="15" t="s">
        <v>10</v>
      </c>
      <c r="J7977" s="15" t="s">
        <v>10</v>
      </c>
      <c r="K7977" s="15">
        <v>1.0126829550805687</v>
      </c>
      <c r="L7977" s="15">
        <v>1.0126829550805687</v>
      </c>
      <c r="M7977" s="15" t="s">
        <v>10</v>
      </c>
      <c r="N7977" s="15" t="s">
        <v>10</v>
      </c>
      <c r="O7977" s="15">
        <v>0.8638344132618796</v>
      </c>
      <c r="P7977" s="15">
        <v>0.8638344132618796</v>
      </c>
      <c r="Q7977" s="8"/>
      <c r="R7977" s="9" t="s">
        <v>7464</v>
      </c>
    </row>
    <row r="7978" spans="1:18" x14ac:dyDescent="0.25">
      <c r="A7978" s="6" t="str">
        <f>HYPERLINK("proteomic_fractions_linear_files/Yang_linear_img/6755925.jpg", "6755925")</f>
        <v>6755925</v>
      </c>
      <c r="B7978" s="7"/>
      <c r="C7978" s="6" t="str">
        <f>HYPERLINK("http://www.ncbi.nlm.nih.gov/protein/6755925","Ubl3")</f>
        <v>Ubl3</v>
      </c>
      <c r="D7978" s="8"/>
      <c r="E7978" s="8">
        <v>13049</v>
      </c>
      <c r="F7978" s="8"/>
      <c r="G7978" s="15">
        <v>1.0228510786924256</v>
      </c>
      <c r="H7978" s="15">
        <v>1.0228510786924256</v>
      </c>
      <c r="I7978" s="15">
        <v>1.0228510786924256</v>
      </c>
      <c r="J7978" s="15">
        <v>1.0228510786924256</v>
      </c>
      <c r="K7978" s="15">
        <v>1.068142346148973</v>
      </c>
      <c r="L7978" s="15">
        <v>1.068142346148973</v>
      </c>
      <c r="M7978" s="15" t="s">
        <v>10</v>
      </c>
      <c r="N7978" s="15" t="s">
        <v>10</v>
      </c>
      <c r="O7978" s="15" t="s">
        <v>10</v>
      </c>
      <c r="P7978" s="15" t="s">
        <v>10</v>
      </c>
      <c r="Q7978" s="8"/>
      <c r="R7978" s="9" t="s">
        <v>7465</v>
      </c>
    </row>
    <row r="7979" spans="1:18" x14ac:dyDescent="0.25">
      <c r="A7979" s="6" t="str">
        <f>HYPERLINK("proteomic_fractions_linear_files/Yang_linear_img/21703810.jpg", "21703810")</f>
        <v>21703810</v>
      </c>
      <c r="B7979" s="7"/>
      <c r="C7979" s="6" t="str">
        <f>HYPERLINK("http://www.ncbi.nlm.nih.gov/protein/21703810","Ubl4")</f>
        <v>Ubl4</v>
      </c>
      <c r="D7979" s="8"/>
      <c r="E7979" s="8">
        <v>17669</v>
      </c>
      <c r="F7979" s="8"/>
      <c r="G7979" s="15" t="s">
        <v>10</v>
      </c>
      <c r="H7979" s="15" t="s">
        <v>10</v>
      </c>
      <c r="I7979" s="15">
        <v>0.88485787684343198</v>
      </c>
      <c r="J7979" s="15">
        <v>0.88485787684343198</v>
      </c>
      <c r="K7979" s="15">
        <v>0.88485787684343198</v>
      </c>
      <c r="L7979" s="15">
        <v>0.88485787684343198</v>
      </c>
      <c r="M7979" s="15">
        <v>0.88485787684343198</v>
      </c>
      <c r="N7979" s="15">
        <v>0.88485787684343198</v>
      </c>
      <c r="O7979" s="15">
        <v>0.88485787684343198</v>
      </c>
      <c r="P7979" s="15">
        <v>0.88485787684343198</v>
      </c>
      <c r="Q7979" s="8"/>
      <c r="R7979" s="9" t="s">
        <v>7466</v>
      </c>
    </row>
    <row r="7980" spans="1:18" x14ac:dyDescent="0.25">
      <c r="A7980" s="6" t="str">
        <f>HYPERLINK("proteomic_fractions_linear_files/Yang_linear_img/13384784.jpg", "13384784")</f>
        <v>13384784</v>
      </c>
      <c r="B7980" s="7"/>
      <c r="C7980" s="6" t="str">
        <f>HYPERLINK("http://www.ncbi.nlm.nih.gov/protein/13384784","Ubl5")</f>
        <v>Ubl5</v>
      </c>
      <c r="D7980" s="8"/>
      <c r="E7980" s="8">
        <v>8416</v>
      </c>
      <c r="F7980" s="8"/>
      <c r="G7980" s="15">
        <v>1.5934024177422033</v>
      </c>
      <c r="H7980" s="15">
        <v>1.5934024177422033</v>
      </c>
      <c r="I7980" s="15">
        <v>1.5934024177422033</v>
      </c>
      <c r="J7980" s="15">
        <v>1.5934024177422033</v>
      </c>
      <c r="K7980" s="15">
        <v>1.5934024177422033</v>
      </c>
      <c r="L7980" s="15">
        <v>1.5934024177422033</v>
      </c>
      <c r="M7980" s="15">
        <v>1.5934024177422033</v>
      </c>
      <c r="N7980" s="15">
        <v>1.5934024177422033</v>
      </c>
      <c r="O7980" s="15">
        <v>1.5291076615414196</v>
      </c>
      <c r="P7980" s="15">
        <v>1.5291076615414196</v>
      </c>
      <c r="Q7980" s="8"/>
      <c r="R7980" s="9" t="s">
        <v>7467</v>
      </c>
    </row>
    <row r="7981" spans="1:18" x14ac:dyDescent="0.25">
      <c r="A7981" s="6" t="str">
        <f>HYPERLINK("proteomic_fractions_linear_files/Yang_linear_img/407261853.jpg", "407261853")</f>
        <v>407261853</v>
      </c>
      <c r="B7981" s="7"/>
      <c r="C7981" s="6" t="str">
        <f>HYPERLINK("http://www.ncbi.nlm.nih.gov/protein/407261853","Ublcp1")</f>
        <v>Ublcp1</v>
      </c>
      <c r="D7981" s="8"/>
      <c r="E7981" s="8">
        <v>5676</v>
      </c>
      <c r="F7981" s="8"/>
      <c r="G7981" s="15" t="s">
        <v>10</v>
      </c>
      <c r="H7981" s="15" t="s">
        <v>10</v>
      </c>
      <c r="I7981" s="15" t="s">
        <v>10</v>
      </c>
      <c r="J7981" s="15" t="s">
        <v>10</v>
      </c>
      <c r="K7981" s="15" t="s">
        <v>10</v>
      </c>
      <c r="L7981" s="15" t="s">
        <v>10</v>
      </c>
      <c r="M7981" s="15">
        <v>6.7512197005371242</v>
      </c>
      <c r="N7981" s="15">
        <v>6.7512197005371242</v>
      </c>
      <c r="O7981" s="15" t="s">
        <v>10</v>
      </c>
      <c r="P7981" s="15" t="s">
        <v>10</v>
      </c>
      <c r="Q7981" s="8"/>
      <c r="R7981" s="9" t="s">
        <v>8328</v>
      </c>
    </row>
    <row r="7982" spans="1:18" x14ac:dyDescent="0.25">
      <c r="A7982" s="6" t="str">
        <f>HYPERLINK("proteomic_fractions_linear_files/Yang_linear_img/46575895.jpg", "46575895")</f>
        <v>46575895</v>
      </c>
      <c r="B7982" s="7"/>
      <c r="C7982" s="6" t="str">
        <f>HYPERLINK("http://www.ncbi.nlm.nih.gov/protein/46575895","Ublcp1")</f>
        <v>Ublcp1</v>
      </c>
      <c r="D7982" s="8"/>
      <c r="E7982" s="8">
        <v>36706</v>
      </c>
      <c r="F7982" s="8"/>
      <c r="G7982" s="15" t="s">
        <v>10</v>
      </c>
      <c r="H7982" s="15" t="s">
        <v>10</v>
      </c>
      <c r="I7982" s="15">
        <v>1.0947923838708851</v>
      </c>
      <c r="J7982" s="15">
        <v>1.0947923838708851</v>
      </c>
      <c r="K7982" s="15">
        <v>1.0947923838708851</v>
      </c>
      <c r="L7982" s="15">
        <v>1.0947923838708851</v>
      </c>
      <c r="M7982" s="15">
        <v>1.0947923838708851</v>
      </c>
      <c r="N7982" s="15">
        <v>1.0947923838708851</v>
      </c>
      <c r="O7982" s="15">
        <v>0.93387504136419419</v>
      </c>
      <c r="P7982" s="15">
        <v>0.93387504136419419</v>
      </c>
      <c r="Q7982" s="8"/>
      <c r="R7982" s="9" t="s">
        <v>7468</v>
      </c>
    </row>
    <row r="7983" spans="1:18" x14ac:dyDescent="0.25">
      <c r="A7983" s="6" t="str">
        <f>HYPERLINK("proteomic_fractions_linear_files/Yang_linear_img/134032032.jpg", "134032032")</f>
        <v>134032032</v>
      </c>
      <c r="B7983" s="7"/>
      <c r="C7983" s="6" t="str">
        <f>HYPERLINK("http://www.ncbi.nlm.nih.gov/protein/134032032","Ubp1")</f>
        <v>Ubp1</v>
      </c>
      <c r="D7983" s="8"/>
      <c r="E7983" s="8">
        <v>60081</v>
      </c>
      <c r="F7983" s="8"/>
      <c r="G7983" s="15" t="s">
        <v>10</v>
      </c>
      <c r="H7983" s="15" t="s">
        <v>10</v>
      </c>
      <c r="I7983" s="15">
        <v>1.0908877221757389</v>
      </c>
      <c r="J7983" s="15">
        <v>1.0908877221757389</v>
      </c>
      <c r="K7983" s="15" t="s">
        <v>10</v>
      </c>
      <c r="L7983" s="15" t="s">
        <v>10</v>
      </c>
      <c r="M7983" s="15">
        <v>1.0908877221757389</v>
      </c>
      <c r="N7983" s="15">
        <v>1.0908877221757389</v>
      </c>
      <c r="O7983" s="15" t="s">
        <v>10</v>
      </c>
      <c r="P7983" s="15" t="s">
        <v>10</v>
      </c>
      <c r="Q7983" s="8"/>
      <c r="R7983" s="9" t="s">
        <v>7469</v>
      </c>
    </row>
    <row r="7984" spans="1:18" x14ac:dyDescent="0.25">
      <c r="A7984" s="6" t="str">
        <f>HYPERLINK("proteomic_fractions_linear_files/Yang_linear_img/7305605.jpg", "7305605")</f>
        <v>7305605</v>
      </c>
      <c r="B7984" s="7"/>
      <c r="C7984" s="6" t="str">
        <f>HYPERLINK("http://www.ncbi.nlm.nih.gov/protein/7305605","Ubp1")</f>
        <v>Ubp1</v>
      </c>
      <c r="D7984" s="8"/>
      <c r="E7984" s="8">
        <v>56042</v>
      </c>
      <c r="F7984" s="8"/>
      <c r="G7984" s="15" t="s">
        <v>10</v>
      </c>
      <c r="H7984" s="15" t="s">
        <v>10</v>
      </c>
      <c r="I7984" s="15">
        <v>1.1688082737597203</v>
      </c>
      <c r="J7984" s="15">
        <v>1.1688082737597203</v>
      </c>
      <c r="K7984" s="15" t="s">
        <v>10</v>
      </c>
      <c r="L7984" s="15" t="s">
        <v>10</v>
      </c>
      <c r="M7984" s="15">
        <v>1.1688082737597203</v>
      </c>
      <c r="N7984" s="15">
        <v>1.1688082737597203</v>
      </c>
      <c r="O7984" s="15" t="s">
        <v>10</v>
      </c>
      <c r="P7984" s="15" t="s">
        <v>10</v>
      </c>
      <c r="Q7984" s="8"/>
      <c r="R7984" s="9" t="s">
        <v>7470</v>
      </c>
    </row>
    <row r="7985" spans="1:18" x14ac:dyDescent="0.25">
      <c r="A7985" s="6" t="str">
        <f>HYPERLINK("proteomic_fractions_linear_files/Yang_linear_img/22726191.jpg", "22726191")</f>
        <v>22726191</v>
      </c>
      <c r="B7985" s="7"/>
      <c r="C7985" s="6" t="str">
        <f>HYPERLINK("http://www.ncbi.nlm.nih.gov/protein/22726191","Ubqln1")</f>
        <v>Ubqln1</v>
      </c>
      <c r="D7985" s="8"/>
      <c r="E7985" s="8">
        <v>58547</v>
      </c>
      <c r="F7985" s="8"/>
      <c r="G7985" s="15" t="s">
        <v>10</v>
      </c>
      <c r="H7985" s="15" t="s">
        <v>10</v>
      </c>
      <c r="I7985" s="15">
        <v>1.1093773445854971</v>
      </c>
      <c r="J7985" s="15">
        <v>1.1093773445854971</v>
      </c>
      <c r="K7985" s="15">
        <v>1.244680682062411</v>
      </c>
      <c r="L7985" s="15">
        <v>1.244680682062411</v>
      </c>
      <c r="M7985" s="15">
        <v>1.244680682062411</v>
      </c>
      <c r="N7985" s="15">
        <v>1.244680682062411</v>
      </c>
      <c r="O7985" s="15">
        <v>1.244680682062411</v>
      </c>
      <c r="P7985" s="15">
        <v>1.244680682062411</v>
      </c>
      <c r="Q7985" s="8"/>
      <c r="R7985" s="9" t="s">
        <v>7471</v>
      </c>
    </row>
    <row r="7986" spans="1:18" x14ac:dyDescent="0.25">
      <c r="A7986" s="6" t="str">
        <f>HYPERLINK("proteomic_fractions_linear_files/Yang_linear_img/295054230.jpg", "295054230")</f>
        <v>295054230</v>
      </c>
      <c r="B7986" s="7"/>
      <c r="C7986" s="6" t="str">
        <f>HYPERLINK("http://www.ncbi.nlm.nih.gov/protein/295054230","Ubqln1")</f>
        <v>Ubqln1</v>
      </c>
      <c r="D7986" s="8"/>
      <c r="E7986" s="8">
        <v>61846</v>
      </c>
      <c r="F7986" s="8"/>
      <c r="G7986" s="15" t="s">
        <v>10</v>
      </c>
      <c r="H7986" s="15" t="s">
        <v>10</v>
      </c>
      <c r="I7986" s="15">
        <v>1.0556977956539408</v>
      </c>
      <c r="J7986" s="15">
        <v>1.0556977956539408</v>
      </c>
      <c r="K7986" s="15">
        <v>1.1844541974464877</v>
      </c>
      <c r="L7986" s="15">
        <v>1.1844541974464877</v>
      </c>
      <c r="M7986" s="15">
        <v>1.1844541974464877</v>
      </c>
      <c r="N7986" s="15">
        <v>1.1844541974464877</v>
      </c>
      <c r="O7986" s="15">
        <v>1.1844541974464877</v>
      </c>
      <c r="P7986" s="15">
        <v>1.1844541974464877</v>
      </c>
      <c r="Q7986" s="8"/>
      <c r="R7986" s="9" t="s">
        <v>7472</v>
      </c>
    </row>
    <row r="7987" spans="1:18" x14ac:dyDescent="0.25">
      <c r="A7987" s="6" t="str">
        <f>HYPERLINK("proteomic_fractions_linear_files/Yang_linear_img/34328236.jpg", "34328236")</f>
        <v>34328236</v>
      </c>
      <c r="B7987" s="7"/>
      <c r="C7987" s="6" t="str">
        <f>HYPERLINK("http://www.ncbi.nlm.nih.gov/protein/34328236","Ubqln2")</f>
        <v>Ubqln2</v>
      </c>
      <c r="D7987" s="8"/>
      <c r="E7987" s="8">
        <v>67220</v>
      </c>
      <c r="F7987" s="8"/>
      <c r="G7987" s="15" t="s">
        <v>10</v>
      </c>
      <c r="H7987" s="15" t="s">
        <v>10</v>
      </c>
      <c r="I7987" s="15">
        <v>1.2402784846737889</v>
      </c>
      <c r="J7987" s="15">
        <v>1.2402784846737889</v>
      </c>
      <c r="K7987" s="15">
        <v>1.2402784846737889</v>
      </c>
      <c r="L7987" s="15">
        <v>1.2402784846737889</v>
      </c>
      <c r="M7987" s="15">
        <v>1.2402784846737889</v>
      </c>
      <c r="N7987" s="15">
        <v>1.2402784846737889</v>
      </c>
      <c r="O7987" s="15">
        <v>1.2402784846737889</v>
      </c>
      <c r="P7987" s="15">
        <v>1.2402784846737889</v>
      </c>
      <c r="Q7987" s="8"/>
      <c r="R7987" s="9" t="s">
        <v>7473</v>
      </c>
    </row>
    <row r="7988" spans="1:18" x14ac:dyDescent="0.25">
      <c r="A7988" s="6" t="str">
        <f>HYPERLINK("proteomic_fractions_linear_files/Yang_linear_img/15805016.jpg", "15805016")</f>
        <v>15805016</v>
      </c>
      <c r="B7988" s="7"/>
      <c r="C7988" s="6" t="str">
        <f>HYPERLINK("http://www.ncbi.nlm.nih.gov/protein/15805016","Ubqln4")</f>
        <v>Ubqln4</v>
      </c>
      <c r="D7988" s="8"/>
      <c r="E7988" s="8">
        <v>63375</v>
      </c>
      <c r="F7988" s="8"/>
      <c r="G7988" s="15" t="s">
        <v>10</v>
      </c>
      <c r="H7988" s="15" t="s">
        <v>10</v>
      </c>
      <c r="I7988" s="15" t="s">
        <v>10</v>
      </c>
      <c r="J7988" s="15" t="s">
        <v>10</v>
      </c>
      <c r="K7988" s="15">
        <v>1.3190263249705374</v>
      </c>
      <c r="L7988" s="15">
        <v>1.3190263249705374</v>
      </c>
      <c r="M7988" s="15">
        <v>1.1656533371695594</v>
      </c>
      <c r="N7988" s="15">
        <v>1.1656533371695594</v>
      </c>
      <c r="O7988" s="15">
        <v>1.1656533371695594</v>
      </c>
      <c r="P7988" s="15">
        <v>1.1656533371695594</v>
      </c>
      <c r="Q7988" s="8"/>
      <c r="R7988" s="9" t="s">
        <v>7474</v>
      </c>
    </row>
    <row r="7989" spans="1:18" x14ac:dyDescent="0.25">
      <c r="A7989" s="6" t="str">
        <f>HYPERLINK("proteomic_fractions_linear_files/Yang_linear_img/154091026.jpg", "154091026")</f>
        <v>154091026</v>
      </c>
      <c r="B7989" s="7"/>
      <c r="C7989" s="6" t="str">
        <f>HYPERLINK("http://www.ncbi.nlm.nih.gov/protein/154091026","Ubr1")</f>
        <v>Ubr1</v>
      </c>
      <c r="D7989" s="8"/>
      <c r="E7989" s="8">
        <v>200110</v>
      </c>
      <c r="F7989" s="8"/>
      <c r="G7989" s="15" t="s">
        <v>10</v>
      </c>
      <c r="H7989" s="15" t="s">
        <v>10</v>
      </c>
      <c r="I7989" s="15" t="s">
        <v>10</v>
      </c>
      <c r="J7989" s="15" t="s">
        <v>10</v>
      </c>
      <c r="K7989" s="15" t="s">
        <v>10</v>
      </c>
      <c r="L7989" s="15" t="s">
        <v>10</v>
      </c>
      <c r="M7989" s="15" t="s">
        <v>10</v>
      </c>
      <c r="N7989" s="15" t="s">
        <v>10</v>
      </c>
      <c r="O7989" s="15">
        <v>1.1668042381392454</v>
      </c>
      <c r="P7989" s="15">
        <v>1.1668042381392454</v>
      </c>
      <c r="Q7989" s="8"/>
      <c r="R7989" s="9" t="s">
        <v>7475</v>
      </c>
    </row>
    <row r="7990" spans="1:18" x14ac:dyDescent="0.25">
      <c r="A7990" s="6" t="str">
        <f>HYPERLINK("proteomic_fractions_linear_files/Yang_linear_img/293651567.jpg", "293651567")</f>
        <v>293651567</v>
      </c>
      <c r="B7990" s="7"/>
      <c r="C7990" s="6" t="str">
        <f>HYPERLINK("http://www.ncbi.nlm.nih.gov/protein/293651567","Ubr2")</f>
        <v>Ubr2</v>
      </c>
      <c r="D7990" s="8"/>
      <c r="E7990" s="8">
        <v>199068</v>
      </c>
      <c r="F7990" s="8"/>
      <c r="G7990" s="15" t="s">
        <v>10</v>
      </c>
      <c r="H7990" s="15" t="s">
        <v>10</v>
      </c>
      <c r="I7990" s="15" t="s">
        <v>10</v>
      </c>
      <c r="J7990" s="15" t="s">
        <v>10</v>
      </c>
      <c r="K7990" s="15">
        <v>1.1726675760193421</v>
      </c>
      <c r="L7990" s="15">
        <v>1.1726675760193421</v>
      </c>
      <c r="M7990" s="15">
        <v>1.1726675760193421</v>
      </c>
      <c r="N7990" s="15">
        <v>1.1726675760193421</v>
      </c>
      <c r="O7990" s="15">
        <v>1.1726675760193421</v>
      </c>
      <c r="P7990" s="15">
        <v>1.1726675760193421</v>
      </c>
      <c r="Q7990" s="8"/>
      <c r="R7990" s="9" t="s">
        <v>7476</v>
      </c>
    </row>
    <row r="7991" spans="1:18" x14ac:dyDescent="0.25">
      <c r="A7991" s="6" t="str">
        <f>HYPERLINK("proteomic_fractions_linear_files/Yang_linear_img/58615693.jpg", "58615693")</f>
        <v>58615693</v>
      </c>
      <c r="B7991" s="7"/>
      <c r="C7991" s="6" t="str">
        <f>HYPERLINK("http://www.ncbi.nlm.nih.gov/protein/58615693","Ubr2")</f>
        <v>Ubr2</v>
      </c>
      <c r="D7991" s="8"/>
      <c r="E7991" s="8">
        <v>199025</v>
      </c>
      <c r="F7991" s="8"/>
      <c r="G7991" s="15" t="s">
        <v>10</v>
      </c>
      <c r="H7991" s="15" t="s">
        <v>10</v>
      </c>
      <c r="I7991" s="15" t="s">
        <v>10</v>
      </c>
      <c r="J7991" s="15" t="s">
        <v>10</v>
      </c>
      <c r="K7991" s="15">
        <v>1.1726675760193421</v>
      </c>
      <c r="L7991" s="15">
        <v>1.1726675760193421</v>
      </c>
      <c r="M7991" s="15">
        <v>1.1726675760193421</v>
      </c>
      <c r="N7991" s="15">
        <v>1.1726675760193421</v>
      </c>
      <c r="O7991" s="15">
        <v>1.1726675760193421</v>
      </c>
      <c r="P7991" s="15">
        <v>1.1726675760193421</v>
      </c>
      <c r="Q7991" s="8"/>
      <c r="R7991" s="9" t="s">
        <v>7477</v>
      </c>
    </row>
    <row r="7992" spans="1:18" x14ac:dyDescent="0.25">
      <c r="A7992" s="6" t="str">
        <f>HYPERLINK("proteomic_fractions_linear_files/Yang_linear_img/160948616.jpg", "160948616")</f>
        <v>160948616</v>
      </c>
      <c r="B7992" s="7"/>
      <c r="C7992" s="6" t="str">
        <f>HYPERLINK("http://www.ncbi.nlm.nih.gov/protein/160948616","Ubr3")</f>
        <v>Ubr3</v>
      </c>
      <c r="D7992" s="8"/>
      <c r="E7992" s="8">
        <v>212942</v>
      </c>
      <c r="F7992" s="8"/>
      <c r="G7992" s="15" t="s">
        <v>10</v>
      </c>
      <c r="H7992" s="15" t="s">
        <v>10</v>
      </c>
      <c r="I7992" s="15" t="s">
        <v>10</v>
      </c>
      <c r="J7992" s="15" t="s">
        <v>10</v>
      </c>
      <c r="K7992" s="15" t="s">
        <v>10</v>
      </c>
      <c r="L7992" s="15" t="s">
        <v>10</v>
      </c>
      <c r="M7992" s="15" t="s">
        <v>10</v>
      </c>
      <c r="N7992" s="15" t="s">
        <v>10</v>
      </c>
      <c r="O7992" s="15">
        <v>1.0955908339335636</v>
      </c>
      <c r="P7992" s="15">
        <v>1.0955908339335636</v>
      </c>
      <c r="Q7992" s="8"/>
      <c r="R7992" s="9" t="s">
        <v>7478</v>
      </c>
    </row>
    <row r="7993" spans="1:18" x14ac:dyDescent="0.25">
      <c r="A7993" s="6" t="str">
        <f>HYPERLINK("proteomic_fractions_linear_files/Yang_linear_img/160948614.jpg", "160948614")</f>
        <v>160948614</v>
      </c>
      <c r="B7993" s="7"/>
      <c r="C7993" s="6" t="str">
        <f>HYPERLINK("http://www.ncbi.nlm.nih.gov/protein/160948614","Ubr3")</f>
        <v>Ubr3</v>
      </c>
      <c r="D7993" s="8"/>
      <c r="E7993" s="8">
        <v>212627</v>
      </c>
      <c r="F7993" s="8"/>
      <c r="G7993" s="15" t="s">
        <v>10</v>
      </c>
      <c r="H7993" s="15" t="s">
        <v>10</v>
      </c>
      <c r="I7993" s="15" t="s">
        <v>10</v>
      </c>
      <c r="J7993" s="15" t="s">
        <v>10</v>
      </c>
      <c r="K7993" s="15" t="s">
        <v>10</v>
      </c>
      <c r="L7993" s="15" t="s">
        <v>10</v>
      </c>
      <c r="M7993" s="15">
        <v>1.9203922898565249</v>
      </c>
      <c r="N7993" s="15">
        <v>1.9203922898565249</v>
      </c>
      <c r="O7993" s="15">
        <v>1.0955908339335636</v>
      </c>
      <c r="P7993" s="15">
        <v>1.0955908339335636</v>
      </c>
      <c r="Q7993" s="8"/>
      <c r="R7993" s="9" t="s">
        <v>7479</v>
      </c>
    </row>
    <row r="7994" spans="1:18" x14ac:dyDescent="0.25">
      <c r="A7994" s="6" t="str">
        <f>HYPERLINK("proteomic_fractions_linear_files/Yang_linear_img/237820660.jpg", "237820660")</f>
        <v>237820660</v>
      </c>
      <c r="B7994" s="7"/>
      <c r="C7994" s="6" t="str">
        <f>HYPERLINK("http://www.ncbi.nlm.nih.gov/protein/237820660","Ubr4")</f>
        <v>Ubr4</v>
      </c>
      <c r="D7994" s="8"/>
      <c r="E7994" s="8">
        <v>572162</v>
      </c>
      <c r="F7994" s="8"/>
      <c r="G7994" s="15" t="s">
        <v>10</v>
      </c>
      <c r="H7994" s="15" t="s">
        <v>10</v>
      </c>
      <c r="I7994" s="15">
        <v>0.52759322488898386</v>
      </c>
      <c r="J7994" s="15">
        <v>0.52759322488898386</v>
      </c>
      <c r="K7994" s="15">
        <v>0.71511111492909052</v>
      </c>
      <c r="L7994" s="15">
        <v>0.71511111492909052</v>
      </c>
      <c r="M7994" s="15">
        <v>1.0375748350861962</v>
      </c>
      <c r="N7994" s="15">
        <v>1.0375748350861962</v>
      </c>
      <c r="O7994" s="15">
        <v>0.71511111492909052</v>
      </c>
      <c r="P7994" s="15">
        <v>0.71511111492909052</v>
      </c>
      <c r="Q7994" s="8"/>
      <c r="R7994" s="9" t="s">
        <v>7480</v>
      </c>
    </row>
    <row r="7995" spans="1:18" x14ac:dyDescent="0.25">
      <c r="A7995" s="6" t="str">
        <f>HYPERLINK("proteomic_fractions_linear_files/Yang_linear_img/163310751.jpg", "163310751")</f>
        <v>163310751</v>
      </c>
      <c r="B7995" s="7"/>
      <c r="C7995" s="6" t="str">
        <f>HYPERLINK("http://www.ncbi.nlm.nih.gov/protein/163310751","Ubr5")</f>
        <v>Ubr5</v>
      </c>
      <c r="D7995" s="8"/>
      <c r="E7995" s="8">
        <v>308838</v>
      </c>
      <c r="F7995" s="8"/>
      <c r="G7995" s="15" t="s">
        <v>10</v>
      </c>
      <c r="H7995" s="15" t="s">
        <v>10</v>
      </c>
      <c r="I7995" s="15" t="s">
        <v>10</v>
      </c>
      <c r="J7995" s="15" t="s">
        <v>10</v>
      </c>
      <c r="K7995" s="15" t="s">
        <v>10</v>
      </c>
      <c r="L7995" s="15" t="s">
        <v>10</v>
      </c>
      <c r="M7995" s="15">
        <v>1.3237655590273132</v>
      </c>
      <c r="N7995" s="15">
        <v>1.3237655590273132</v>
      </c>
      <c r="O7995" s="15" t="s">
        <v>10</v>
      </c>
      <c r="P7995" s="15" t="s">
        <v>10</v>
      </c>
      <c r="Q7995" s="8"/>
      <c r="R7995" s="9" t="s">
        <v>7481</v>
      </c>
    </row>
    <row r="7996" spans="1:18" x14ac:dyDescent="0.25">
      <c r="A7996" s="6" t="str">
        <f>HYPERLINK("proteomic_fractions_linear_files/Yang_linear_img/163310753.jpg", "163310753")</f>
        <v>163310753</v>
      </c>
      <c r="B7996" s="7"/>
      <c r="C7996" s="6" t="str">
        <f>HYPERLINK("http://www.ncbi.nlm.nih.gov/protein/163310753","Ubr5")</f>
        <v>Ubr5</v>
      </c>
      <c r="D7996" s="8"/>
      <c r="E7996" s="8">
        <v>308189</v>
      </c>
      <c r="F7996" s="8"/>
      <c r="G7996" s="15" t="s">
        <v>10</v>
      </c>
      <c r="H7996" s="15" t="s">
        <v>10</v>
      </c>
      <c r="I7996" s="15" t="s">
        <v>10</v>
      </c>
      <c r="J7996" s="15" t="s">
        <v>10</v>
      </c>
      <c r="K7996" s="15" t="s">
        <v>10</v>
      </c>
      <c r="L7996" s="15" t="s">
        <v>10</v>
      </c>
      <c r="M7996" s="15">
        <v>1.3280634991540252</v>
      </c>
      <c r="N7996" s="15">
        <v>1.3280634991540252</v>
      </c>
      <c r="O7996" s="15" t="s">
        <v>10</v>
      </c>
      <c r="P7996" s="15" t="s">
        <v>10</v>
      </c>
      <c r="Q7996" s="8"/>
      <c r="R7996" s="9" t="s">
        <v>7482</v>
      </c>
    </row>
    <row r="7997" spans="1:18" x14ac:dyDescent="0.25">
      <c r="A7997" s="6" t="str">
        <f>HYPERLINK("proteomic_fractions_linear_files/Yang_linear_img/29789154.jpg", "29789154")</f>
        <v>29789154</v>
      </c>
      <c r="B7997" s="7"/>
      <c r="C7997" s="6" t="str">
        <f>HYPERLINK("http://www.ncbi.nlm.nih.gov/protein/29789154","Ubr7")</f>
        <v>Ubr7</v>
      </c>
      <c r="D7997" s="8"/>
      <c r="E7997" s="8">
        <v>47934</v>
      </c>
      <c r="F7997" s="8"/>
      <c r="G7997" s="15" t="s">
        <v>10</v>
      </c>
      <c r="H7997" s="15" t="s">
        <v>10</v>
      </c>
      <c r="I7997" s="15" t="s">
        <v>10</v>
      </c>
      <c r="J7997" s="15" t="s">
        <v>10</v>
      </c>
      <c r="K7997" s="15" t="s">
        <v>10</v>
      </c>
      <c r="L7997" s="15" t="s">
        <v>10</v>
      </c>
      <c r="M7997" s="15" t="s">
        <v>10</v>
      </c>
      <c r="N7997" s="15" t="s">
        <v>10</v>
      </c>
      <c r="O7997" s="15">
        <v>1.1066785339583558</v>
      </c>
      <c r="P7997" s="15">
        <v>1.1066785339583558</v>
      </c>
      <c r="Q7997" s="8"/>
      <c r="R7997" s="9" t="s">
        <v>7483</v>
      </c>
    </row>
    <row r="7998" spans="1:18" x14ac:dyDescent="0.25">
      <c r="A7998" s="6" t="str">
        <f>HYPERLINK("proteomic_fractions_linear_files/Yang_linear_img/21703984.jpg", "21703984")</f>
        <v>21703984</v>
      </c>
      <c r="B7998" s="7"/>
      <c r="C7998" s="6" t="str">
        <f>HYPERLINK("http://www.ncbi.nlm.nih.gov/protein/21703984","Ubtd1")</f>
        <v>Ubtd1</v>
      </c>
      <c r="D7998" s="8"/>
      <c r="E7998" s="8">
        <v>25854</v>
      </c>
      <c r="F7998" s="8"/>
      <c r="G7998" s="15" t="s">
        <v>10</v>
      </c>
      <c r="H7998" s="15" t="s">
        <v>10</v>
      </c>
      <c r="I7998" s="15">
        <v>1.0057791582855768</v>
      </c>
      <c r="J7998" s="15">
        <v>1.0057791582855768</v>
      </c>
      <c r="K7998" s="15">
        <v>1.0737773576031562</v>
      </c>
      <c r="L7998" s="15">
        <v>1.0057791582855768</v>
      </c>
      <c r="M7998" s="15" t="s">
        <v>10</v>
      </c>
      <c r="N7998" s="15" t="s">
        <v>10</v>
      </c>
      <c r="O7998" s="15" t="s">
        <v>10</v>
      </c>
      <c r="P7998" s="15" t="s">
        <v>10</v>
      </c>
      <c r="Q7998" s="8"/>
      <c r="R7998" s="9" t="s">
        <v>7484</v>
      </c>
    </row>
    <row r="7999" spans="1:18" x14ac:dyDescent="0.25">
      <c r="A7999" s="6" t="str">
        <f>HYPERLINK("proteomic_fractions_linear_files/Yang_linear_img/40254263.jpg", "40254263")</f>
        <v>40254263</v>
      </c>
      <c r="B7999" s="7"/>
      <c r="C7999" s="6" t="str">
        <f>HYPERLINK("http://www.ncbi.nlm.nih.gov/protein/40254263","Ubtd2")</f>
        <v>Ubtd2</v>
      </c>
      <c r="D7999" s="8"/>
      <c r="E7999" s="8">
        <v>26013</v>
      </c>
      <c r="F7999" s="8"/>
      <c r="G7999" s="15" t="s">
        <v>10</v>
      </c>
      <c r="H7999" s="15" t="s">
        <v>10</v>
      </c>
      <c r="I7999" s="15">
        <v>1.0057791582855768</v>
      </c>
      <c r="J7999" s="15">
        <v>1.0057791582855768</v>
      </c>
      <c r="K7999" s="15">
        <v>1.0737773576031562</v>
      </c>
      <c r="L7999" s="15">
        <v>1.0057791582855768</v>
      </c>
      <c r="M7999" s="15" t="s">
        <v>10</v>
      </c>
      <c r="N7999" s="15" t="s">
        <v>10</v>
      </c>
      <c r="O7999" s="15" t="s">
        <v>10</v>
      </c>
      <c r="P7999" s="15" t="s">
        <v>10</v>
      </c>
      <c r="Q7999" s="8"/>
      <c r="R7999" s="9" t="s">
        <v>7485</v>
      </c>
    </row>
    <row r="8000" spans="1:18" x14ac:dyDescent="0.25">
      <c r="A8000" s="6" t="str">
        <f>HYPERLINK("proteomic_fractions_linear_files/Yang_linear_img/113205053.jpg", "113205053")</f>
        <v>113205053</v>
      </c>
      <c r="B8000" s="7"/>
      <c r="C8000" s="6" t="str">
        <f>HYPERLINK("http://www.ncbi.nlm.nih.gov/protein/113205053","Ubtf")</f>
        <v>Ubtf</v>
      </c>
      <c r="D8000" s="8"/>
      <c r="E8000" s="8">
        <v>84879</v>
      </c>
      <c r="F8000" s="8"/>
      <c r="G8000" s="15" t="s">
        <v>10</v>
      </c>
      <c r="H8000" s="15" t="s">
        <v>10</v>
      </c>
      <c r="I8000" s="15">
        <v>70.50705882352942</v>
      </c>
      <c r="J8000" s="15">
        <v>70.50705882352942</v>
      </c>
      <c r="K8000" s="15">
        <v>70.50705882352942</v>
      </c>
      <c r="L8000" s="15">
        <v>70.50705882352942</v>
      </c>
      <c r="M8000" s="15" t="s">
        <v>10</v>
      </c>
      <c r="N8000" s="15" t="s">
        <v>10</v>
      </c>
      <c r="O8000" s="15" t="s">
        <v>10</v>
      </c>
      <c r="P8000" s="15" t="s">
        <v>10</v>
      </c>
      <c r="Q8000" s="8"/>
      <c r="R8000" s="9" t="s">
        <v>7486</v>
      </c>
    </row>
    <row r="8001" spans="1:18" x14ac:dyDescent="0.25">
      <c r="A8001" s="6" t="str">
        <f>HYPERLINK("proteomic_fractions_linear_files/Yang_linear_img/113205057.jpg", "113205057")</f>
        <v>113205057</v>
      </c>
      <c r="B8001" s="7"/>
      <c r="C8001" s="6" t="str">
        <f>HYPERLINK("http://www.ncbi.nlm.nih.gov/protein/113205057","Ubtf")</f>
        <v>Ubtf</v>
      </c>
      <c r="D8001" s="8"/>
      <c r="E8001" s="8">
        <v>89348</v>
      </c>
      <c r="F8001" s="8"/>
      <c r="G8001" s="15" t="s">
        <v>10</v>
      </c>
      <c r="H8001" s="15" t="s">
        <v>10</v>
      </c>
      <c r="I8001" s="15">
        <v>67.33820224719102</v>
      </c>
      <c r="J8001" s="15">
        <v>67.33820224719102</v>
      </c>
      <c r="K8001" s="15">
        <v>67.33820224719102</v>
      </c>
      <c r="L8001" s="15">
        <v>67.33820224719102</v>
      </c>
      <c r="M8001" s="15" t="s">
        <v>10</v>
      </c>
      <c r="N8001" s="15" t="s">
        <v>10</v>
      </c>
      <c r="O8001" s="15" t="s">
        <v>10</v>
      </c>
      <c r="P8001" s="15" t="s">
        <v>10</v>
      </c>
      <c r="Q8001" s="8"/>
      <c r="R8001" s="9" t="s">
        <v>7487</v>
      </c>
    </row>
    <row r="8002" spans="1:18" x14ac:dyDescent="0.25">
      <c r="A8002" s="6" t="str">
        <f>HYPERLINK("proteomic_fractions_linear_files/Yang_linear_img/22122591.jpg", "22122591")</f>
        <v>22122591</v>
      </c>
      <c r="B8002" s="7"/>
      <c r="C8002" s="6" t="str">
        <f>HYPERLINK("http://www.ncbi.nlm.nih.gov/protein/22122591","Ubxn1")</f>
        <v>Ubxn1</v>
      </c>
      <c r="D8002" s="8"/>
      <c r="E8002" s="8">
        <v>33441</v>
      </c>
      <c r="F8002" s="8"/>
      <c r="G8002" s="15" t="s">
        <v>10</v>
      </c>
      <c r="H8002" s="15" t="s">
        <v>10</v>
      </c>
      <c r="I8002" s="15">
        <v>1.2274944910067498</v>
      </c>
      <c r="J8002" s="15">
        <v>1.2274944910067498</v>
      </c>
      <c r="K8002" s="15">
        <v>1.2274944910067498</v>
      </c>
      <c r="L8002" s="15">
        <v>1.2274944910067498</v>
      </c>
      <c r="M8002" s="15">
        <v>1.2274944910067498</v>
      </c>
      <c r="N8002" s="15">
        <v>1.2274944910067498</v>
      </c>
      <c r="O8002" s="15">
        <v>1.0470720160750056</v>
      </c>
      <c r="P8002" s="15">
        <v>1.0470720160750056</v>
      </c>
      <c r="Q8002" s="8"/>
      <c r="R8002" s="9" t="s">
        <v>7488</v>
      </c>
    </row>
    <row r="8003" spans="1:18" x14ac:dyDescent="0.25">
      <c r="A8003" s="6" t="str">
        <f>HYPERLINK("proteomic_fractions_linear_files/Yang_linear_img/85861252.jpg", "85861252")</f>
        <v>85861252</v>
      </c>
      <c r="B8003" s="7"/>
      <c r="C8003" s="6" t="str">
        <f>HYPERLINK("http://www.ncbi.nlm.nih.gov/protein/85861252","Ubxn4")</f>
        <v>Ubxn4</v>
      </c>
      <c r="D8003" s="8"/>
      <c r="E8003" s="8">
        <v>56329</v>
      </c>
      <c r="F8003" s="8"/>
      <c r="G8003" s="15">
        <v>1.4839046155918545</v>
      </c>
      <c r="H8003" s="15">
        <v>1.4839046155918545</v>
      </c>
      <c r="I8003" s="15">
        <v>1.1688082737597203</v>
      </c>
      <c r="J8003" s="15">
        <v>1.1688082737597203</v>
      </c>
      <c r="K8003" s="15">
        <v>1.3113600043157543</v>
      </c>
      <c r="L8003" s="15">
        <v>1.3113600043157543</v>
      </c>
      <c r="M8003" s="15" t="s">
        <v>10</v>
      </c>
      <c r="N8003" s="15" t="s">
        <v>10</v>
      </c>
      <c r="O8003" s="15">
        <v>0.38920968340497769</v>
      </c>
      <c r="P8003" s="15">
        <v>0.38920968340497769</v>
      </c>
      <c r="Q8003" s="8"/>
      <c r="R8003" s="9" t="s">
        <v>7489</v>
      </c>
    </row>
    <row r="8004" spans="1:18" x14ac:dyDescent="0.25">
      <c r="A8004" s="6" t="str">
        <f>HYPERLINK("proteomic_fractions_linear_files/Yang_linear_img/13277354.jpg", "13277354")</f>
        <v>13277354</v>
      </c>
      <c r="B8004" s="7"/>
      <c r="C8004" s="6" t="str">
        <f>HYPERLINK("http://www.ncbi.nlm.nih.gov/protein/13277354","Ubxn6")</f>
        <v>Ubxn6</v>
      </c>
      <c r="D8004" s="8"/>
      <c r="E8004" s="8">
        <v>49665</v>
      </c>
      <c r="F8004" s="8"/>
      <c r="G8004" s="15" t="s">
        <v>10</v>
      </c>
      <c r="H8004" s="15" t="s">
        <v>10</v>
      </c>
      <c r="I8004" s="15">
        <v>1.0624113926000216</v>
      </c>
      <c r="J8004" s="15">
        <v>1.0624113926000216</v>
      </c>
      <c r="K8004" s="15">
        <v>1.1754641517118771</v>
      </c>
      <c r="L8004" s="15">
        <v>1.1754641517118771</v>
      </c>
      <c r="M8004" s="15">
        <v>1.1754641517118771</v>
      </c>
      <c r="N8004" s="15">
        <v>1.1754641517118771</v>
      </c>
      <c r="O8004" s="15">
        <v>1.0624113926000216</v>
      </c>
      <c r="P8004" s="15">
        <v>1.0624113926000216</v>
      </c>
      <c r="Q8004" s="8"/>
      <c r="R8004" s="9" t="s">
        <v>7490</v>
      </c>
    </row>
    <row r="8005" spans="1:18" x14ac:dyDescent="0.25">
      <c r="A8005" s="6" t="str">
        <f>HYPERLINK("proteomic_fractions_linear_files/Yang_linear_img/268839673.jpg", "268839673")</f>
        <v>268839673</v>
      </c>
      <c r="B8005" s="7"/>
      <c r="C8005" s="6" t="str">
        <f>HYPERLINK("http://www.ncbi.nlm.nih.gov/protein/268839673","Ubxn7")</f>
        <v>Ubxn7</v>
      </c>
      <c r="D8005" s="8"/>
      <c r="E8005" s="8">
        <v>54681</v>
      </c>
      <c r="F8005" s="8"/>
      <c r="G8005" s="15" t="s">
        <v>10</v>
      </c>
      <c r="H8005" s="15" t="s">
        <v>10</v>
      </c>
      <c r="I8005" s="15">
        <v>1.1900593332826241</v>
      </c>
      <c r="J8005" s="15">
        <v>1.1900593332826241</v>
      </c>
      <c r="K8005" s="15">
        <v>1.1900593332826241</v>
      </c>
      <c r="L8005" s="15">
        <v>1.1900593332826241</v>
      </c>
      <c r="M8005" s="15" t="s">
        <v>10</v>
      </c>
      <c r="N8005" s="15" t="s">
        <v>10</v>
      </c>
      <c r="O8005" s="15">
        <v>1.0686037742835246</v>
      </c>
      <c r="P8005" s="15">
        <v>1.0686037742835246</v>
      </c>
      <c r="Q8005" s="8"/>
      <c r="R8005" s="9" t="s">
        <v>7491</v>
      </c>
    </row>
    <row r="8006" spans="1:18" x14ac:dyDescent="0.25">
      <c r="A8006" s="6" t="str">
        <f>HYPERLINK("proteomic_fractions_linear_files/Yang_linear_img/139948802.jpg", "139948802")</f>
        <v>139948802</v>
      </c>
      <c r="B8006" s="7"/>
      <c r="C8006" s="6" t="str">
        <f>HYPERLINK("http://www.ncbi.nlm.nih.gov/protein/139948802","Uchl3")</f>
        <v>Uchl3</v>
      </c>
      <c r="D8006" s="8"/>
      <c r="E8006" s="8">
        <v>26021</v>
      </c>
      <c r="F8006" s="8"/>
      <c r="G8006" s="15">
        <v>0.8888297451814402</v>
      </c>
      <c r="H8006" s="15">
        <v>1.3289760204028918</v>
      </c>
      <c r="I8006" s="15">
        <v>0.94441617743372752</v>
      </c>
      <c r="J8006" s="15">
        <v>0.94441617743372752</v>
      </c>
      <c r="K8006" s="15">
        <v>0.94441617743372752</v>
      </c>
      <c r="L8006" s="15">
        <v>0.94441617743372752</v>
      </c>
      <c r="M8006" s="15">
        <v>0.94441617743372752</v>
      </c>
      <c r="N8006" s="15">
        <v>0.94441617743372752</v>
      </c>
      <c r="O8006" s="15">
        <v>0.83829777964149044</v>
      </c>
      <c r="P8006" s="15">
        <v>0.83829777964149044</v>
      </c>
      <c r="Q8006" s="8"/>
      <c r="R8006" s="9" t="s">
        <v>7492</v>
      </c>
    </row>
    <row r="8007" spans="1:18" x14ac:dyDescent="0.25">
      <c r="A8007" s="6" t="str">
        <f>HYPERLINK("proteomic_fractions_linear_files/Yang_linear_img/15809026.jpg", "15809026")</f>
        <v>15809026</v>
      </c>
      <c r="B8007" s="7"/>
      <c r="C8007" s="6" t="str">
        <f>HYPERLINK("http://www.ncbi.nlm.nih.gov/protein/15809026","Uchl4")</f>
        <v>Uchl4</v>
      </c>
      <c r="D8007" s="8"/>
      <c r="E8007" s="8">
        <v>26319</v>
      </c>
      <c r="F8007" s="8"/>
      <c r="G8007" s="15">
        <v>0.8888297451814402</v>
      </c>
      <c r="H8007" s="15">
        <v>1.3289760204028918</v>
      </c>
      <c r="I8007" s="15">
        <v>0.94441617743372752</v>
      </c>
      <c r="J8007" s="15">
        <v>0.94441617743372752</v>
      </c>
      <c r="K8007" s="15">
        <v>0.94441617743372752</v>
      </c>
      <c r="L8007" s="15">
        <v>0.94441617743372752</v>
      </c>
      <c r="M8007" s="15">
        <v>0.94441617743372752</v>
      </c>
      <c r="N8007" s="15">
        <v>0.94441617743372752</v>
      </c>
      <c r="O8007" s="15">
        <v>0.83829777964149044</v>
      </c>
      <c r="P8007" s="15">
        <v>0.83829777964149044</v>
      </c>
      <c r="Q8007" s="8"/>
      <c r="R8007" s="9" t="s">
        <v>7493</v>
      </c>
    </row>
    <row r="8008" spans="1:18" x14ac:dyDescent="0.25">
      <c r="A8008" s="6" t="str">
        <f>HYPERLINK("proteomic_fractions_linear_files/Yang_linear_img/229577281.jpg", "229577281")</f>
        <v>229577281</v>
      </c>
      <c r="B8008" s="7"/>
      <c r="C8008" s="6" t="str">
        <f>HYPERLINK("http://www.ncbi.nlm.nih.gov/protein/229577281","Uchl5")</f>
        <v>Uchl5</v>
      </c>
      <c r="D8008" s="8"/>
      <c r="E8008" s="8">
        <v>37486</v>
      </c>
      <c r="F8008" s="8"/>
      <c r="G8008" s="15" t="s">
        <v>10</v>
      </c>
      <c r="H8008" s="15" t="s">
        <v>10</v>
      </c>
      <c r="I8008" s="15">
        <v>0.86713710420901591</v>
      </c>
      <c r="J8008" s="15">
        <v>0.86713710420901591</v>
      </c>
      <c r="K8008" s="15">
        <v>0.93387504136419419</v>
      </c>
      <c r="L8008" s="15">
        <v>0.93387504136419419</v>
      </c>
      <c r="M8008" s="15">
        <v>0.93387504136419419</v>
      </c>
      <c r="N8008" s="15">
        <v>0.93387504136419419</v>
      </c>
      <c r="O8008" s="15">
        <v>0.86713710420901591</v>
      </c>
      <c r="P8008" s="15">
        <v>0.80771369977603058</v>
      </c>
      <c r="Q8008" s="8"/>
      <c r="R8008" s="9" t="s">
        <v>7494</v>
      </c>
    </row>
    <row r="8009" spans="1:18" x14ac:dyDescent="0.25">
      <c r="A8009" s="6" t="str">
        <f>HYPERLINK("proteomic_fractions_linear_files/Yang_linear_img/229577283.jpg", "229577283")</f>
        <v>229577283</v>
      </c>
      <c r="B8009" s="7"/>
      <c r="C8009" s="6" t="str">
        <f>HYPERLINK("http://www.ncbi.nlm.nih.gov/protein/229577283","Uchl5")</f>
        <v>Uchl5</v>
      </c>
      <c r="D8009" s="8"/>
      <c r="E8009" s="8">
        <v>37357</v>
      </c>
      <c r="F8009" s="8"/>
      <c r="G8009" s="15" t="s">
        <v>10</v>
      </c>
      <c r="H8009" s="15" t="s">
        <v>10</v>
      </c>
      <c r="I8009" s="15">
        <v>0.86713710420901591</v>
      </c>
      <c r="J8009" s="15">
        <v>0.86713710420901591</v>
      </c>
      <c r="K8009" s="15">
        <v>0.93387504136419419</v>
      </c>
      <c r="L8009" s="15">
        <v>0.93387504136419419</v>
      </c>
      <c r="M8009" s="15">
        <v>0.93387504136419419</v>
      </c>
      <c r="N8009" s="15">
        <v>0.93387504136419419</v>
      </c>
      <c r="O8009" s="15">
        <v>0.86713710420901591</v>
      </c>
      <c r="P8009" s="15">
        <v>0.80771369977603058</v>
      </c>
      <c r="Q8009" s="8"/>
      <c r="R8009" s="9" t="s">
        <v>7495</v>
      </c>
    </row>
    <row r="8010" spans="1:18" x14ac:dyDescent="0.25">
      <c r="A8010" s="6" t="str">
        <f>HYPERLINK("proteomic_fractions_linear_files/Yang_linear_img/227498248.jpg", "227498248")</f>
        <v>227498248</v>
      </c>
      <c r="B8010" s="7"/>
      <c r="C8010" s="6" t="str">
        <f>HYPERLINK("http://www.ncbi.nlm.nih.gov/protein/227498248","Uck1")</f>
        <v>Uck1</v>
      </c>
      <c r="D8010" s="8"/>
      <c r="E8010" s="8">
        <v>31538</v>
      </c>
      <c r="F8010" s="8"/>
      <c r="G8010" s="15" t="s">
        <v>10</v>
      </c>
      <c r="H8010" s="15" t="s">
        <v>10</v>
      </c>
      <c r="I8010" s="15" t="s">
        <v>10</v>
      </c>
      <c r="J8010" s="15" t="s">
        <v>10</v>
      </c>
      <c r="K8010" s="15" t="s">
        <v>10</v>
      </c>
      <c r="L8010" s="15" t="s">
        <v>10</v>
      </c>
      <c r="M8010" s="15" t="s">
        <v>10</v>
      </c>
      <c r="N8010" s="15" t="s">
        <v>10</v>
      </c>
      <c r="O8010" s="15">
        <v>0.81719556610703126</v>
      </c>
      <c r="P8010" s="15">
        <v>0.72217416795992018</v>
      </c>
      <c r="Q8010" s="8"/>
      <c r="R8010" s="9" t="s">
        <v>7496</v>
      </c>
    </row>
    <row r="8011" spans="1:18" x14ac:dyDescent="0.25">
      <c r="A8011" s="6" t="str">
        <f>HYPERLINK("proteomic_fractions_linear_files/Yang_linear_img/13507680.jpg", "13507680")</f>
        <v>13507680</v>
      </c>
      <c r="B8011" s="7"/>
      <c r="C8011" s="6" t="str">
        <f>HYPERLINK("http://www.ncbi.nlm.nih.gov/protein/13507680","Uck2")</f>
        <v>Uck2</v>
      </c>
      <c r="D8011" s="8"/>
      <c r="E8011" s="8">
        <v>29273</v>
      </c>
      <c r="F8011" s="8"/>
      <c r="G8011" s="15" t="s">
        <v>10</v>
      </c>
      <c r="H8011" s="15" t="s">
        <v>10</v>
      </c>
      <c r="I8011" s="15" t="s">
        <v>10</v>
      </c>
      <c r="J8011" s="15" t="s">
        <v>10</v>
      </c>
      <c r="K8011" s="15" t="s">
        <v>10</v>
      </c>
      <c r="L8011" s="15" t="s">
        <v>10</v>
      </c>
      <c r="M8011" s="15">
        <v>0.96269694129938133</v>
      </c>
      <c r="N8011" s="15">
        <v>0.96269694129938133</v>
      </c>
      <c r="O8011" s="15">
        <v>0.79688184050749811</v>
      </c>
      <c r="P8011" s="15">
        <v>0.79688184050749811</v>
      </c>
      <c r="Q8011" s="8"/>
      <c r="R8011" s="9" t="s">
        <v>7497</v>
      </c>
    </row>
    <row r="8012" spans="1:18" x14ac:dyDescent="0.25">
      <c r="A8012" s="6" t="str">
        <f>HYPERLINK("proteomic_fractions_linear_files/Yang_linear_img/31541796.jpg", "31541796")</f>
        <v>31541796</v>
      </c>
      <c r="B8012" s="7"/>
      <c r="C8012" s="6" t="str">
        <f>HYPERLINK("http://www.ncbi.nlm.nih.gov/protein/31541796","Uckl1")</f>
        <v>Uckl1</v>
      </c>
      <c r="D8012" s="8"/>
      <c r="E8012" s="8">
        <v>60711</v>
      </c>
      <c r="F8012" s="8"/>
      <c r="G8012" s="15" t="s">
        <v>10</v>
      </c>
      <c r="H8012" s="15" t="s">
        <v>10</v>
      </c>
      <c r="I8012" s="15" t="s">
        <v>10</v>
      </c>
      <c r="J8012" s="15" t="s">
        <v>10</v>
      </c>
      <c r="K8012" s="15" t="s">
        <v>10</v>
      </c>
      <c r="L8012" s="15" t="s">
        <v>10</v>
      </c>
      <c r="M8012" s="15">
        <v>1.0730043168941694</v>
      </c>
      <c r="N8012" s="15">
        <v>1.0730043168941694</v>
      </c>
      <c r="O8012" s="15">
        <v>0.96349520632121066</v>
      </c>
      <c r="P8012" s="15">
        <v>0.96349520632121066</v>
      </c>
      <c r="Q8012" s="8"/>
      <c r="R8012" s="9" t="s">
        <v>7498</v>
      </c>
    </row>
    <row r="8013" spans="1:18" x14ac:dyDescent="0.25">
      <c r="A8013" s="6" t="str">
        <f>HYPERLINK("proteomic_fractions_linear_files/Yang_linear_img/104294890.jpg", "104294890")</f>
        <v>104294890</v>
      </c>
      <c r="B8013" s="7"/>
      <c r="C8013" s="6" t="str">
        <f>HYPERLINK("http://www.ncbi.nlm.nih.gov/protein/104294890","Uevld")</f>
        <v>Uevld</v>
      </c>
      <c r="D8013" s="8"/>
      <c r="E8013" s="8">
        <v>51550</v>
      </c>
      <c r="F8013" s="8"/>
      <c r="G8013" s="15" t="s">
        <v>10</v>
      </c>
      <c r="H8013" s="15" t="s">
        <v>10</v>
      </c>
      <c r="I8013" s="15">
        <v>0.92865337662337022</v>
      </c>
      <c r="J8013" s="15">
        <v>0.29223727488104395</v>
      </c>
      <c r="K8013" s="15">
        <v>0.29223727488104395</v>
      </c>
      <c r="L8013" s="15">
        <v>0.29223727488104395</v>
      </c>
      <c r="M8013" s="15">
        <v>0.29223727488104395</v>
      </c>
      <c r="N8013" s="15">
        <v>0.29223727488104395</v>
      </c>
      <c r="O8013" s="15">
        <v>0.84856902398010514</v>
      </c>
      <c r="P8013" s="15">
        <v>0.84856902398010514</v>
      </c>
      <c r="Q8013" s="8"/>
      <c r="R8013" s="9" t="s">
        <v>7499</v>
      </c>
    </row>
    <row r="8014" spans="1:18" x14ac:dyDescent="0.25">
      <c r="A8014" s="6" t="str">
        <f>HYPERLINK("proteomic_fractions_linear_files/Yang_linear_img/13384768.jpg", "13384768")</f>
        <v>13384768</v>
      </c>
      <c r="B8014" s="7"/>
      <c r="C8014" s="6" t="str">
        <f>HYPERLINK("http://www.ncbi.nlm.nih.gov/protein/13384768","Ufc1")</f>
        <v>Ufc1</v>
      </c>
      <c r="D8014" s="8"/>
      <c r="E8014" s="8">
        <v>19350</v>
      </c>
      <c r="F8014" s="8"/>
      <c r="G8014" s="15" t="s">
        <v>10</v>
      </c>
      <c r="H8014" s="15" t="s">
        <v>10</v>
      </c>
      <c r="I8014" s="15">
        <v>1.0263763067386986</v>
      </c>
      <c r="J8014" s="15">
        <v>1.0263763067386986</v>
      </c>
      <c r="K8014" s="15" t="s">
        <v>10</v>
      </c>
      <c r="L8014" s="15" t="s">
        <v>10</v>
      </c>
      <c r="M8014" s="15" t="s">
        <v>10</v>
      </c>
      <c r="N8014" s="15" t="s">
        <v>10</v>
      </c>
      <c r="O8014" s="15">
        <v>1.0263763067386986</v>
      </c>
      <c r="P8014" s="15">
        <v>1.0263763067386986</v>
      </c>
      <c r="Q8014" s="8"/>
      <c r="R8014" s="9" t="s">
        <v>7500</v>
      </c>
    </row>
    <row r="8015" spans="1:18" x14ac:dyDescent="0.25">
      <c r="A8015" s="6" t="str">
        <f>HYPERLINK("proteomic_fractions_linear_files/Yang_linear_img/257153392.jpg", "257153392")</f>
        <v>257153392</v>
      </c>
      <c r="B8015" s="7"/>
      <c r="C8015" s="6" t="str">
        <f>HYPERLINK("http://www.ncbi.nlm.nih.gov/protein/257153392","Ufd1l")</f>
        <v>Ufd1l</v>
      </c>
      <c r="D8015" s="8"/>
      <c r="E8015" s="8">
        <v>34350</v>
      </c>
      <c r="F8015" s="8"/>
      <c r="G8015" s="15" t="s">
        <v>10</v>
      </c>
      <c r="H8015" s="15" t="s">
        <v>10</v>
      </c>
      <c r="I8015" s="15" t="s">
        <v>10</v>
      </c>
      <c r="J8015" s="15" t="s">
        <v>10</v>
      </c>
      <c r="K8015" s="15">
        <v>1.098274306562488</v>
      </c>
      <c r="L8015" s="15">
        <v>1.098274306562488</v>
      </c>
      <c r="M8015" s="15">
        <v>1.098274306562488</v>
      </c>
      <c r="N8015" s="15">
        <v>1.098274306562488</v>
      </c>
      <c r="O8015" s="15">
        <v>1.0162757803080937</v>
      </c>
      <c r="P8015" s="15">
        <v>1.0162757803080937</v>
      </c>
      <c r="Q8015" s="8"/>
      <c r="R8015" s="9" t="s">
        <v>7501</v>
      </c>
    </row>
    <row r="8016" spans="1:18" x14ac:dyDescent="0.25">
      <c r="A8016" s="6" t="str">
        <f>HYPERLINK("proteomic_fractions_linear_files/Yang_linear_img/227330590.jpg", "227330590")</f>
        <v>227330590</v>
      </c>
      <c r="B8016" s="7"/>
      <c r="C8016" s="6" t="str">
        <f>HYPERLINK("http://www.ncbi.nlm.nih.gov/protein/227330590","Ufl1")</f>
        <v>Ufl1</v>
      </c>
      <c r="D8016" s="8"/>
      <c r="E8016" s="8">
        <v>89389</v>
      </c>
      <c r="F8016" s="8"/>
      <c r="G8016" s="15" t="s">
        <v>10</v>
      </c>
      <c r="H8016" s="15" t="s">
        <v>10</v>
      </c>
      <c r="I8016" s="15">
        <v>1.0670559683436462</v>
      </c>
      <c r="J8016" s="15">
        <v>1.0670559683436462</v>
      </c>
      <c r="K8016" s="15">
        <v>1.0670559683436462</v>
      </c>
      <c r="L8016" s="15">
        <v>1.0670559683436462</v>
      </c>
      <c r="M8016" s="15" t="s">
        <v>10</v>
      </c>
      <c r="N8016" s="15" t="s">
        <v>10</v>
      </c>
      <c r="O8016" s="15" t="s">
        <v>10</v>
      </c>
      <c r="P8016" s="15" t="s">
        <v>10</v>
      </c>
      <c r="Q8016" s="8"/>
      <c r="R8016" s="9" t="s">
        <v>7502</v>
      </c>
    </row>
    <row r="8017" spans="1:18" x14ac:dyDescent="0.25">
      <c r="A8017" s="6" t="str">
        <f>HYPERLINK("proteomic_fractions_linear_files/Yang_linear_img/13385932.jpg", "13385932")</f>
        <v>13385932</v>
      </c>
      <c r="B8017" s="7"/>
      <c r="C8017" s="6" t="str">
        <f>HYPERLINK("http://www.ncbi.nlm.nih.gov/protein/13385932","Ufm1")</f>
        <v>Ufm1</v>
      </c>
      <c r="D8017" s="8"/>
      <c r="E8017" s="8">
        <v>8986</v>
      </c>
      <c r="F8017" s="8"/>
      <c r="G8017" s="15" t="s">
        <v>10</v>
      </c>
      <c r="H8017" s="15" t="s">
        <v>10</v>
      </c>
      <c r="I8017" s="15" t="s">
        <v>10</v>
      </c>
      <c r="J8017" s="15" t="s">
        <v>10</v>
      </c>
      <c r="K8017" s="15">
        <v>1.3592068102590398</v>
      </c>
      <c r="L8017" s="15">
        <v>1.3592068102590398</v>
      </c>
      <c r="M8017" s="15" t="s">
        <v>10</v>
      </c>
      <c r="N8017" s="15" t="s">
        <v>10</v>
      </c>
      <c r="O8017" s="15" t="s">
        <v>10</v>
      </c>
      <c r="P8017" s="15" t="s">
        <v>10</v>
      </c>
      <c r="Q8017" s="8"/>
      <c r="R8017" s="9" t="s">
        <v>7503</v>
      </c>
    </row>
    <row r="8018" spans="1:18" x14ac:dyDescent="0.25">
      <c r="A8018" s="6" t="str">
        <f>HYPERLINK("proteomic_fractions_linear_files/Yang_linear_img/20149754.jpg", "20149754")</f>
        <v>20149754</v>
      </c>
      <c r="B8018" s="7"/>
      <c r="C8018" s="6" t="str">
        <f>HYPERLINK("http://www.ncbi.nlm.nih.gov/protein/20149754","Ufsp2")</f>
        <v>Ufsp2</v>
      </c>
      <c r="D8018" s="8"/>
      <c r="E8018" s="8">
        <v>52384</v>
      </c>
      <c r="F8018" s="8"/>
      <c r="G8018" s="15" t="s">
        <v>10</v>
      </c>
      <c r="H8018" s="15" t="s">
        <v>10</v>
      </c>
      <c r="I8018" s="15">
        <v>0.92865337662337022</v>
      </c>
      <c r="J8018" s="15">
        <v>0.92865337662337022</v>
      </c>
      <c r="K8018" s="15">
        <v>1.0215494159615592</v>
      </c>
      <c r="L8018" s="15">
        <v>1.0215494159615592</v>
      </c>
      <c r="M8018" s="15" t="s">
        <v>10</v>
      </c>
      <c r="N8018" s="15" t="s">
        <v>10</v>
      </c>
      <c r="O8018" s="15" t="s">
        <v>10</v>
      </c>
      <c r="P8018" s="15" t="s">
        <v>10</v>
      </c>
      <c r="Q8018" s="8"/>
      <c r="R8018" s="9" t="s">
        <v>7504</v>
      </c>
    </row>
    <row r="8019" spans="1:18" x14ac:dyDescent="0.25">
      <c r="A8019" s="6" t="str">
        <f>HYPERLINK("proteomic_fractions_linear_files/Yang_linear_img/6678499.jpg", "6678499")</f>
        <v>6678499</v>
      </c>
      <c r="B8019" s="7"/>
      <c r="C8019" s="6" t="str">
        <f>HYPERLINK("http://www.ncbi.nlm.nih.gov/protein/6678499","Ugdh")</f>
        <v>Ugdh</v>
      </c>
      <c r="D8019" s="8"/>
      <c r="E8019" s="8">
        <v>54701</v>
      </c>
      <c r="F8019" s="8"/>
      <c r="G8019" s="15" t="s">
        <v>10</v>
      </c>
      <c r="H8019" s="15" t="s">
        <v>10</v>
      </c>
      <c r="I8019" s="15">
        <v>0.96582853872729235</v>
      </c>
      <c r="J8019" s="15">
        <v>0.96582853872729235</v>
      </c>
      <c r="K8019" s="15">
        <v>1.0686037742835246</v>
      </c>
      <c r="L8019" s="15">
        <v>1.0686037742835246</v>
      </c>
      <c r="M8019" s="15">
        <v>0.96582853872729235</v>
      </c>
      <c r="N8019" s="15">
        <v>0.96582853872729235</v>
      </c>
      <c r="O8019" s="15">
        <v>0.96582853872729235</v>
      </c>
      <c r="P8019" s="15">
        <v>0.96582853872729235</v>
      </c>
      <c r="Q8019" s="8"/>
      <c r="R8019" s="9" t="s">
        <v>7505</v>
      </c>
    </row>
    <row r="8020" spans="1:18" x14ac:dyDescent="0.25">
      <c r="A8020" s="6" t="str">
        <f>HYPERLINK("proteomic_fractions_linear_files/Yang_linear_img/236466498.jpg", "236466498")</f>
        <v>236466498</v>
      </c>
      <c r="B8020" s="7"/>
      <c r="C8020" s="6" t="str">
        <f>HYPERLINK("http://www.ncbi.nlm.nih.gov/protein/236466498","Uggt1")</f>
        <v>Uggt1</v>
      </c>
      <c r="D8020" s="8"/>
      <c r="E8020" s="8">
        <v>171984</v>
      </c>
      <c r="F8020" s="8"/>
      <c r="G8020" s="15">
        <v>1.0858478583717464</v>
      </c>
      <c r="H8020" s="15">
        <v>1.0858478583717464</v>
      </c>
      <c r="I8020" s="15">
        <v>0.89216785544326649</v>
      </c>
      <c r="J8020" s="15">
        <v>0.89216785544326649</v>
      </c>
      <c r="K8020" s="15">
        <v>1.3567491141154016</v>
      </c>
      <c r="L8020" s="15">
        <v>1.3567491141154016</v>
      </c>
      <c r="M8020" s="15">
        <v>1.3567491141154016</v>
      </c>
      <c r="N8020" s="15">
        <v>1.3567491141154016</v>
      </c>
      <c r="O8020" s="15">
        <v>1.0858478583717464</v>
      </c>
      <c r="P8020" s="15">
        <v>1.0858478583717464</v>
      </c>
      <c r="Q8020" s="8"/>
      <c r="R8020" s="9" t="s">
        <v>7506</v>
      </c>
    </row>
    <row r="8021" spans="1:18" x14ac:dyDescent="0.25">
      <c r="A8021" s="6" t="str">
        <f>HYPERLINK("proteomic_fractions_linear_files/Yang_linear_img/158749642.jpg", "158749642")</f>
        <v>158749642</v>
      </c>
      <c r="B8021" s="7"/>
      <c r="C8021" s="6" t="str">
        <f>HYPERLINK("http://www.ncbi.nlm.nih.gov/protein/158749642","Uggt2")</f>
        <v>Uggt2</v>
      </c>
      <c r="D8021" s="8"/>
      <c r="E8021" s="8">
        <v>170629</v>
      </c>
      <c r="F8021" s="8"/>
      <c r="G8021" s="15" t="s">
        <v>10</v>
      </c>
      <c r="H8021" s="15" t="s">
        <v>10</v>
      </c>
      <c r="I8021" s="15">
        <v>0.25804438156120157</v>
      </c>
      <c r="J8021" s="15">
        <v>0.25804438156120157</v>
      </c>
      <c r="K8021" s="15" t="s">
        <v>10</v>
      </c>
      <c r="L8021" s="15" t="s">
        <v>10</v>
      </c>
      <c r="M8021" s="15" t="s">
        <v>10</v>
      </c>
      <c r="N8021" s="15" t="s">
        <v>10</v>
      </c>
      <c r="O8021" s="15" t="s">
        <v>10</v>
      </c>
      <c r="P8021" s="15" t="s">
        <v>10</v>
      </c>
      <c r="Q8021" s="8"/>
      <c r="R8021" s="9" t="s">
        <v>7507</v>
      </c>
    </row>
    <row r="8022" spans="1:18" x14ac:dyDescent="0.25">
      <c r="A8022" s="6" t="str">
        <f>HYPERLINK("proteomic_fractions_linear_files/Yang_linear_img/21314832.jpg", "21314832")</f>
        <v>21314832</v>
      </c>
      <c r="B8022" s="7"/>
      <c r="C8022" s="6" t="str">
        <f>HYPERLINK("http://www.ncbi.nlm.nih.gov/protein/21314832","Ugp2")</f>
        <v>Ugp2</v>
      </c>
      <c r="D8022" s="8"/>
      <c r="E8022" s="8">
        <v>56848</v>
      </c>
      <c r="F8022" s="8"/>
      <c r="G8022" s="15" t="s">
        <v>10</v>
      </c>
      <c r="H8022" s="15" t="s">
        <v>10</v>
      </c>
      <c r="I8022" s="15">
        <v>0.93193981807019433</v>
      </c>
      <c r="J8022" s="15">
        <v>0.93193981807019433</v>
      </c>
      <c r="K8022" s="15">
        <v>0.93193981807019433</v>
      </c>
      <c r="L8022" s="15">
        <v>0.93193981807019433</v>
      </c>
      <c r="M8022" s="15">
        <v>0.93193981807019433</v>
      </c>
      <c r="N8022" s="15">
        <v>0.93193981807019433</v>
      </c>
      <c r="O8022" s="15">
        <v>0.84719255411254824</v>
      </c>
      <c r="P8022" s="15">
        <v>0.84719255411254824</v>
      </c>
      <c r="Q8022" s="8"/>
      <c r="R8022" s="9" t="s">
        <v>7508</v>
      </c>
    </row>
    <row r="8023" spans="1:18" x14ac:dyDescent="0.25">
      <c r="A8023" s="6" t="str">
        <f>HYPERLINK("proteomic_fractions_linear_files/Yang_linear_img/31543926.jpg", "31543926")</f>
        <v>31543926</v>
      </c>
      <c r="B8023" s="7"/>
      <c r="C8023" s="6" t="str">
        <f>HYPERLINK("http://www.ncbi.nlm.nih.gov/protein/31543926","Ugt8a")</f>
        <v>Ugt8a</v>
      </c>
      <c r="D8023" s="8"/>
      <c r="E8023" s="8">
        <v>58962</v>
      </c>
      <c r="F8023" s="8"/>
      <c r="G8023" s="15" t="s">
        <v>10</v>
      </c>
      <c r="H8023" s="15" t="s">
        <v>10</v>
      </c>
      <c r="I8023" s="15">
        <v>0.99615606077277719</v>
      </c>
      <c r="J8023" s="15">
        <v>0.99615606077277719</v>
      </c>
      <c r="K8023" s="15">
        <v>0.99615606077277719</v>
      </c>
      <c r="L8023" s="15">
        <v>0.99615606077277719</v>
      </c>
      <c r="M8023" s="15" t="s">
        <v>10</v>
      </c>
      <c r="N8023" s="15" t="s">
        <v>10</v>
      </c>
      <c r="O8023" s="15" t="s">
        <v>10</v>
      </c>
      <c r="P8023" s="15" t="s">
        <v>10</v>
      </c>
      <c r="Q8023" s="8"/>
      <c r="R8023" s="9" t="s">
        <v>7509</v>
      </c>
    </row>
    <row r="8024" spans="1:18" x14ac:dyDescent="0.25">
      <c r="A8024" s="6" t="str">
        <f>HYPERLINK("proteomic_fractions_linear_files/Yang_linear_img/161621269.jpg", "161621269")</f>
        <v>161621269</v>
      </c>
      <c r="B8024" s="7"/>
      <c r="C8024" s="6" t="str">
        <f>HYPERLINK("http://www.ncbi.nlm.nih.gov/protein/161621269","Uhrf1")</f>
        <v>Uhrf1</v>
      </c>
      <c r="D8024" s="8"/>
      <c r="E8024" s="8">
        <v>88173</v>
      </c>
      <c r="F8024" s="8"/>
      <c r="G8024" s="15">
        <v>1.2477450434219486</v>
      </c>
      <c r="H8024" s="15">
        <v>1.2477450434219486</v>
      </c>
      <c r="I8024" s="15" t="s">
        <v>10</v>
      </c>
      <c r="J8024" s="15" t="s">
        <v>10</v>
      </c>
      <c r="K8024" s="15" t="s">
        <v>10</v>
      </c>
      <c r="L8024" s="15" t="s">
        <v>10</v>
      </c>
      <c r="M8024" s="15" t="s">
        <v>10</v>
      </c>
      <c r="N8024" s="15" t="s">
        <v>10</v>
      </c>
      <c r="O8024" s="15" t="s">
        <v>10</v>
      </c>
      <c r="P8024" s="15" t="s">
        <v>10</v>
      </c>
      <c r="Q8024" s="8"/>
      <c r="R8024" s="9" t="s">
        <v>7510</v>
      </c>
    </row>
    <row r="8025" spans="1:18" x14ac:dyDescent="0.25">
      <c r="A8025" s="6" t="str">
        <f>HYPERLINK("proteomic_fractions_linear_files/Yang_linear_img/162287241.jpg", "162287241")</f>
        <v>162287241</v>
      </c>
      <c r="B8025" s="7"/>
      <c r="C8025" s="6" t="str">
        <f>HYPERLINK("http://www.ncbi.nlm.nih.gov/protein/162287241","Uhrf1")</f>
        <v>Uhrf1</v>
      </c>
      <c r="D8025" s="8"/>
      <c r="E8025" s="8">
        <v>87425</v>
      </c>
      <c r="F8025" s="8"/>
      <c r="G8025" s="15">
        <v>1.2620869404727755</v>
      </c>
      <c r="H8025" s="15">
        <v>1.2620869404727755</v>
      </c>
      <c r="I8025" s="15" t="s">
        <v>10</v>
      </c>
      <c r="J8025" s="15" t="s">
        <v>10</v>
      </c>
      <c r="K8025" s="15" t="s">
        <v>10</v>
      </c>
      <c r="L8025" s="15" t="s">
        <v>10</v>
      </c>
      <c r="M8025" s="15" t="s">
        <v>10</v>
      </c>
      <c r="N8025" s="15" t="s">
        <v>10</v>
      </c>
      <c r="O8025" s="15" t="s">
        <v>10</v>
      </c>
      <c r="P8025" s="15" t="s">
        <v>10</v>
      </c>
      <c r="Q8025" s="8"/>
      <c r="R8025" s="9" t="s">
        <v>7511</v>
      </c>
    </row>
    <row r="8026" spans="1:18" x14ac:dyDescent="0.25">
      <c r="A8026" s="6" t="str">
        <f>HYPERLINK("proteomic_fractions_linear_files/Yang_linear_img/124107591.jpg", "124107591")</f>
        <v>124107591</v>
      </c>
      <c r="B8026" s="7"/>
      <c r="C8026" s="6" t="str">
        <f>HYPERLINK("http://www.ncbi.nlm.nih.gov/protein/124107591","Uhrf1bp1")</f>
        <v>Uhrf1bp1</v>
      </c>
      <c r="D8026" s="8"/>
      <c r="E8026" s="8">
        <v>156882</v>
      </c>
      <c r="F8026" s="8"/>
      <c r="G8026" s="15" t="s">
        <v>10</v>
      </c>
      <c r="H8026" s="15" t="s">
        <v>10</v>
      </c>
      <c r="I8026" s="15" t="s">
        <v>10</v>
      </c>
      <c r="J8026" s="15" t="s">
        <v>10</v>
      </c>
      <c r="K8026" s="15">
        <v>0.12421114540149857</v>
      </c>
      <c r="L8026" s="15">
        <v>0.12421114540149857</v>
      </c>
      <c r="M8026" s="15">
        <v>0.22008520083105212</v>
      </c>
      <c r="N8026" s="15">
        <v>0.22008520083105212</v>
      </c>
      <c r="O8026" s="15" t="s">
        <v>10</v>
      </c>
      <c r="P8026" s="15" t="s">
        <v>10</v>
      </c>
      <c r="Q8026" s="8"/>
      <c r="R8026" s="9" t="s">
        <v>7512</v>
      </c>
    </row>
    <row r="8027" spans="1:18" x14ac:dyDescent="0.25">
      <c r="A8027" s="6" t="str">
        <f>HYPERLINK("proteomic_fractions_linear_files/Yang_linear_img/33859498.jpg", "33859498")</f>
        <v>33859498</v>
      </c>
      <c r="B8027" s="7"/>
      <c r="C8027" s="6" t="str">
        <f>HYPERLINK("http://www.ncbi.nlm.nih.gov/protein/33859498","Umps")</f>
        <v>Umps</v>
      </c>
      <c r="D8027" s="8"/>
      <c r="E8027" s="8">
        <v>52162</v>
      </c>
      <c r="F8027" s="8"/>
      <c r="G8027" s="15">
        <v>1.2587166025104679</v>
      </c>
      <c r="H8027" s="15">
        <v>1.2587166025104679</v>
      </c>
      <c r="I8027" s="15">
        <v>1.0215494159615592</v>
      </c>
      <c r="J8027" s="15">
        <v>1.0215494159615592</v>
      </c>
      <c r="K8027" s="15">
        <v>1.0215494159615592</v>
      </c>
      <c r="L8027" s="15">
        <v>1.0215494159615592</v>
      </c>
      <c r="M8027" s="15">
        <v>1.0215494159615592</v>
      </c>
      <c r="N8027" s="15">
        <v>1.0215494159615592</v>
      </c>
      <c r="O8027" s="15">
        <v>0.92865337662337022</v>
      </c>
      <c r="P8027" s="15">
        <v>0.92865337662337022</v>
      </c>
      <c r="Q8027" s="8"/>
      <c r="R8027" s="9" t="s">
        <v>7513</v>
      </c>
    </row>
    <row r="8028" spans="1:18" x14ac:dyDescent="0.25">
      <c r="A8028" s="6" t="str">
        <f>HYPERLINK("proteomic_fractions_linear_files/Yang_linear_img/6755939.jpg", "6755939")</f>
        <v>6755939</v>
      </c>
      <c r="B8028" s="7"/>
      <c r="C8028" s="6" t="str">
        <f>HYPERLINK("http://www.ncbi.nlm.nih.gov/protein/6755939","Unc119")</f>
        <v>Unc119</v>
      </c>
      <c r="D8028" s="8"/>
      <c r="E8028" s="8">
        <v>26879</v>
      </c>
      <c r="F8028" s="8"/>
      <c r="G8028" s="15" t="s">
        <v>10</v>
      </c>
      <c r="H8028" s="15" t="s">
        <v>10</v>
      </c>
      <c r="I8028" s="15" t="s">
        <v>10</v>
      </c>
      <c r="J8028" s="15" t="s">
        <v>10</v>
      </c>
      <c r="K8028" s="15" t="s">
        <v>10</v>
      </c>
      <c r="L8028" s="15" t="s">
        <v>10</v>
      </c>
      <c r="M8028" s="15" t="s">
        <v>10</v>
      </c>
      <c r="N8028" s="15" t="s">
        <v>10</v>
      </c>
      <c r="O8028" s="15">
        <v>0.96852807834907406</v>
      </c>
      <c r="P8028" s="15">
        <v>0.96852807834907406</v>
      </c>
      <c r="Q8028" s="8"/>
      <c r="R8028" s="9" t="s">
        <v>7514</v>
      </c>
    </row>
    <row r="8029" spans="1:18" x14ac:dyDescent="0.25">
      <c r="A8029" s="6" t="str">
        <f>HYPERLINK("proteomic_fractions_linear_files/Yang_linear_img/30425054.jpg", "30425054")</f>
        <v>30425054</v>
      </c>
      <c r="B8029" s="7"/>
      <c r="C8029" s="6" t="str">
        <f>HYPERLINK("http://www.ncbi.nlm.nih.gov/protein/30425054","Unc119b")</f>
        <v>Unc119b</v>
      </c>
      <c r="D8029" s="8"/>
      <c r="E8029" s="8">
        <v>28172</v>
      </c>
      <c r="F8029" s="8"/>
      <c r="G8029" s="15" t="s">
        <v>10</v>
      </c>
      <c r="H8029" s="15" t="s">
        <v>10</v>
      </c>
      <c r="I8029" s="15">
        <v>0.99707897491721642</v>
      </c>
      <c r="J8029" s="15">
        <v>0.99707897491721642</v>
      </c>
      <c r="K8029" s="15">
        <v>0.99707897491721642</v>
      </c>
      <c r="L8029" s="15">
        <v>0.99707897491721642</v>
      </c>
      <c r="M8029" s="15">
        <v>0.99707897491721642</v>
      </c>
      <c r="N8029" s="15">
        <v>0.99707897491721642</v>
      </c>
      <c r="O8029" s="15">
        <v>0.87695787904560418</v>
      </c>
      <c r="P8029" s="15">
        <v>0.87695787904560418</v>
      </c>
      <c r="Q8029" s="8"/>
      <c r="R8029" s="9" t="s">
        <v>7515</v>
      </c>
    </row>
    <row r="8030" spans="1:18" x14ac:dyDescent="0.25">
      <c r="A8030" s="6" t="str">
        <f>HYPERLINK("proteomic_fractions_linear_files/Yang_linear_img/124487217.jpg", "124487217")</f>
        <v>124487217</v>
      </c>
      <c r="B8030" s="7"/>
      <c r="C8030" s="6" t="str">
        <f>HYPERLINK("http://www.ncbi.nlm.nih.gov/protein/124487217","Unc13c")</f>
        <v>Unc13c</v>
      </c>
      <c r="D8030" s="8"/>
      <c r="E8030" s="8">
        <v>249714</v>
      </c>
      <c r="F8030" s="8"/>
      <c r="G8030" s="15" t="s">
        <v>10</v>
      </c>
      <c r="H8030" s="15" t="s">
        <v>10</v>
      </c>
      <c r="I8030" s="15" t="s">
        <v>10</v>
      </c>
      <c r="J8030" s="15" t="s">
        <v>10</v>
      </c>
      <c r="K8030" s="15" t="s">
        <v>10</v>
      </c>
      <c r="L8030" s="15" t="s">
        <v>10</v>
      </c>
      <c r="M8030" s="15">
        <v>6.3709767132727108E-2</v>
      </c>
      <c r="N8030" s="15">
        <v>6.3709767132727108E-2</v>
      </c>
      <c r="O8030" s="15" t="s">
        <v>10</v>
      </c>
      <c r="P8030" s="15" t="s">
        <v>10</v>
      </c>
      <c r="Q8030" s="8"/>
      <c r="R8030" s="9" t="s">
        <v>7516</v>
      </c>
    </row>
    <row r="8031" spans="1:18" x14ac:dyDescent="0.25">
      <c r="A8031" s="6" t="str">
        <f>HYPERLINK("proteomic_fractions_linear_files/Yang_linear_img/62243588.jpg", "62243588")</f>
        <v>62243588</v>
      </c>
      <c r="B8031" s="7"/>
      <c r="C8031" s="6" t="str">
        <f>HYPERLINK("http://www.ncbi.nlm.nih.gov/protein/62243588","Unc13d")</f>
        <v>Unc13d</v>
      </c>
      <c r="D8031" s="8"/>
      <c r="E8031" s="8">
        <v>122761</v>
      </c>
      <c r="F8031" s="8"/>
      <c r="G8031" s="15" t="s">
        <v>10</v>
      </c>
      <c r="H8031" s="15" t="s">
        <v>10</v>
      </c>
      <c r="I8031" s="15" t="s">
        <v>10</v>
      </c>
      <c r="J8031" s="15" t="s">
        <v>10</v>
      </c>
      <c r="K8031" s="15">
        <v>1.0465173019928209</v>
      </c>
      <c r="L8031" s="15">
        <v>1.0465173019928209</v>
      </c>
      <c r="M8031" s="15" t="s">
        <v>10</v>
      </c>
      <c r="N8031" s="15" t="s">
        <v>10</v>
      </c>
      <c r="O8031" s="15" t="s">
        <v>10</v>
      </c>
      <c r="P8031" s="15" t="s">
        <v>10</v>
      </c>
      <c r="Q8031" s="8"/>
      <c r="R8031" s="9" t="s">
        <v>7517</v>
      </c>
    </row>
    <row r="8032" spans="1:18" x14ac:dyDescent="0.25">
      <c r="A8032" s="6" t="str">
        <f>HYPERLINK("proteomic_fractions_linear_files/Yang_linear_img/227908790.jpg", "227908790")</f>
        <v>227908790</v>
      </c>
      <c r="B8032" s="7"/>
      <c r="C8032" s="6" t="str">
        <f>HYPERLINK("http://www.ncbi.nlm.nih.gov/protein/227908790","Unc45a")</f>
        <v>Unc45a</v>
      </c>
      <c r="D8032" s="8"/>
      <c r="E8032" s="8">
        <v>103317</v>
      </c>
      <c r="F8032" s="8"/>
      <c r="G8032" s="15" t="s">
        <v>10</v>
      </c>
      <c r="H8032" s="15" t="s">
        <v>10</v>
      </c>
      <c r="I8032" s="15">
        <v>1.0660346002051599</v>
      </c>
      <c r="J8032" s="15">
        <v>1.0660346002051599</v>
      </c>
      <c r="K8032" s="15">
        <v>1.0660346002051599</v>
      </c>
      <c r="L8032" s="15">
        <v>1.0660346002051599</v>
      </c>
      <c r="M8032" s="15">
        <v>1.0660346002051599</v>
      </c>
      <c r="N8032" s="15">
        <v>1.0660346002051599</v>
      </c>
      <c r="O8032" s="15">
        <v>1.0660346002051599</v>
      </c>
      <c r="P8032" s="15">
        <v>1.0660346002051599</v>
      </c>
      <c r="Q8032" s="8"/>
      <c r="R8032" s="9" t="s">
        <v>7518</v>
      </c>
    </row>
    <row r="8033" spans="1:18" x14ac:dyDescent="0.25">
      <c r="A8033" s="6" t="str">
        <f>HYPERLINK("proteomic_fractions_linear_files/Yang_linear_img/313661493.jpg", "313661493")</f>
        <v>313661493</v>
      </c>
      <c r="B8033" s="7"/>
      <c r="C8033" s="6" t="str">
        <f>HYPERLINK("http://www.ncbi.nlm.nih.gov/protein/313661493","Unc79")</f>
        <v>Unc79</v>
      </c>
      <c r="D8033" s="8"/>
      <c r="E8033" s="8">
        <v>290610</v>
      </c>
      <c r="F8033" s="8"/>
      <c r="G8033" s="15" t="s">
        <v>10</v>
      </c>
      <c r="H8033" s="15" t="s">
        <v>10</v>
      </c>
      <c r="I8033" s="15" t="s">
        <v>10</v>
      </c>
      <c r="J8033" s="15" t="s">
        <v>10</v>
      </c>
      <c r="K8033" s="15">
        <v>0.11025454589599171</v>
      </c>
      <c r="L8033" s="15">
        <v>0.11025454589599171</v>
      </c>
      <c r="M8033" s="15" t="s">
        <v>10</v>
      </c>
      <c r="N8033" s="15" t="s">
        <v>10</v>
      </c>
      <c r="O8033" s="15" t="s">
        <v>10</v>
      </c>
      <c r="P8033" s="15" t="s">
        <v>10</v>
      </c>
      <c r="Q8033" s="8"/>
      <c r="R8033" s="9" t="s">
        <v>7519</v>
      </c>
    </row>
    <row r="8034" spans="1:18" x14ac:dyDescent="0.25">
      <c r="A8034" s="6" t="str">
        <f>HYPERLINK("proteomic_fractions_linear_files/Yang_linear_img/101943608.jpg", "101943608")</f>
        <v>101943608</v>
      </c>
      <c r="B8034" s="7"/>
      <c r="C8034" s="6" t="str">
        <f>HYPERLINK("http://www.ncbi.nlm.nih.gov/protein/101943608","Ung")</f>
        <v>Ung</v>
      </c>
      <c r="D8034" s="8"/>
      <c r="E8034" s="8">
        <v>33795</v>
      </c>
      <c r="F8034" s="8"/>
      <c r="G8034" s="15" t="s">
        <v>10</v>
      </c>
      <c r="H8034" s="15" t="s">
        <v>10</v>
      </c>
      <c r="I8034" s="15" t="s">
        <v>10</v>
      </c>
      <c r="J8034" s="15" t="s">
        <v>10</v>
      </c>
      <c r="K8034" s="15" t="s">
        <v>10</v>
      </c>
      <c r="L8034" s="15" t="s">
        <v>10</v>
      </c>
      <c r="M8034" s="15">
        <v>0.87898255563862149</v>
      </c>
      <c r="N8034" s="15">
        <v>0.87898255563862149</v>
      </c>
      <c r="O8034" s="15">
        <v>0.82112386169653118</v>
      </c>
      <c r="P8034" s="15">
        <v>0.82112386169653118</v>
      </c>
      <c r="Q8034" s="8"/>
      <c r="R8034" s="9" t="s">
        <v>7520</v>
      </c>
    </row>
    <row r="8035" spans="1:18" x14ac:dyDescent="0.25">
      <c r="A8035" s="6" t="str">
        <f>HYPERLINK("proteomic_fractions_linear_files/Yang_linear_img/27369808.jpg", "27369808")</f>
        <v>27369808</v>
      </c>
      <c r="B8035" s="7"/>
      <c r="C8035" s="6" t="str">
        <f>HYPERLINK("http://www.ncbi.nlm.nih.gov/protein/27369808","Unk")</f>
        <v>Unk</v>
      </c>
      <c r="D8035" s="8"/>
      <c r="E8035" s="8">
        <v>87928</v>
      </c>
      <c r="F8035" s="8"/>
      <c r="G8035" s="15" t="s">
        <v>10</v>
      </c>
      <c r="H8035" s="15" t="s">
        <v>10</v>
      </c>
      <c r="I8035" s="15">
        <v>0.6678773589272029</v>
      </c>
      <c r="J8035" s="15">
        <v>0.6678773589272029</v>
      </c>
      <c r="K8035" s="15">
        <v>1.2477450434219486</v>
      </c>
      <c r="L8035" s="15">
        <v>1.2477450434219486</v>
      </c>
      <c r="M8035" s="15" t="s">
        <v>10</v>
      </c>
      <c r="N8035" s="15" t="s">
        <v>10</v>
      </c>
      <c r="O8035" s="15" t="s">
        <v>10</v>
      </c>
      <c r="P8035" s="15" t="s">
        <v>10</v>
      </c>
      <c r="Q8035" s="8"/>
      <c r="R8035" s="9" t="s">
        <v>7521</v>
      </c>
    </row>
    <row r="8036" spans="1:18" x14ac:dyDescent="0.25">
      <c r="A8036" s="6" t="str">
        <f>HYPERLINK("proteomic_fractions_linear_files/Yang_linear_img/170784811.jpg", "170784811")</f>
        <v>170784811</v>
      </c>
      <c r="B8036" s="7"/>
      <c r="C8036" s="6" t="str">
        <f>HYPERLINK("http://www.ncbi.nlm.nih.gov/protein/170784811","Upf1")</f>
        <v>Upf1</v>
      </c>
      <c r="D8036" s="8"/>
      <c r="E8036" s="8">
        <v>122527</v>
      </c>
      <c r="F8036" s="8"/>
      <c r="G8036" s="15">
        <v>1.0465173019928209</v>
      </c>
      <c r="H8036" s="15">
        <v>1.0465173019928209</v>
      </c>
      <c r="I8036" s="15">
        <v>1.2475843181808279</v>
      </c>
      <c r="J8036" s="15">
        <v>1.2475843181808279</v>
      </c>
      <c r="K8036" s="15">
        <v>1.2475843181808279</v>
      </c>
      <c r="L8036" s="15">
        <v>1.2475843181808279</v>
      </c>
      <c r="M8036" s="15">
        <v>1.2475843181808279</v>
      </c>
      <c r="N8036" s="15">
        <v>1.2475843181808279</v>
      </c>
      <c r="O8036" s="15">
        <v>1.2475843181808279</v>
      </c>
      <c r="P8036" s="15">
        <v>1.2475843181808279</v>
      </c>
      <c r="Q8036" s="8"/>
      <c r="R8036" s="9" t="s">
        <v>7522</v>
      </c>
    </row>
    <row r="8037" spans="1:18" x14ac:dyDescent="0.25">
      <c r="A8037" s="6" t="str">
        <f>HYPERLINK("proteomic_fractions_linear_files/Yang_linear_img/170784813.jpg", "170784813")</f>
        <v>170784813</v>
      </c>
      <c r="B8037" s="7"/>
      <c r="C8037" s="6" t="str">
        <f>HYPERLINK("http://www.ncbi.nlm.nih.gov/protein/170784813","Upf1")</f>
        <v>Upf1</v>
      </c>
      <c r="D8037" s="8"/>
      <c r="E8037" s="8">
        <v>123836</v>
      </c>
      <c r="F8037" s="8"/>
      <c r="G8037" s="15">
        <v>1.0380776463315884</v>
      </c>
      <c r="H8037" s="15">
        <v>1.0380776463315884</v>
      </c>
      <c r="I8037" s="15">
        <v>1.2375231543245309</v>
      </c>
      <c r="J8037" s="15">
        <v>1.2375231543245309</v>
      </c>
      <c r="K8037" s="15">
        <v>1.2375231543245309</v>
      </c>
      <c r="L8037" s="15">
        <v>1.2375231543245309</v>
      </c>
      <c r="M8037" s="15">
        <v>1.2375231543245309</v>
      </c>
      <c r="N8037" s="15">
        <v>1.2375231543245309</v>
      </c>
      <c r="O8037" s="15">
        <v>1.2375231543245309</v>
      </c>
      <c r="P8037" s="15">
        <v>1.2375231543245309</v>
      </c>
      <c r="Q8037" s="8"/>
      <c r="R8037" s="9" t="s">
        <v>7523</v>
      </c>
    </row>
    <row r="8038" spans="1:18" x14ac:dyDescent="0.25">
      <c r="A8038" s="6" t="str">
        <f>HYPERLINK("proteomic_fractions_linear_files/Yang_linear_img/124487283.jpg", "124487283")</f>
        <v>124487283</v>
      </c>
      <c r="B8038" s="7"/>
      <c r="C8038" s="6" t="str">
        <f>HYPERLINK("http://www.ncbi.nlm.nih.gov/protein/124487283","Upf2")</f>
        <v>Upf2</v>
      </c>
      <c r="D8038" s="8"/>
      <c r="E8038" s="8">
        <v>147422</v>
      </c>
      <c r="F8038" s="8"/>
      <c r="G8038" s="15" t="s">
        <v>10</v>
      </c>
      <c r="H8038" s="15" t="s">
        <v>10</v>
      </c>
      <c r="I8038" s="15" t="s">
        <v>10</v>
      </c>
      <c r="J8038" s="15" t="s">
        <v>10</v>
      </c>
      <c r="K8038" s="15">
        <v>1.5874887593731228</v>
      </c>
      <c r="L8038" s="15">
        <v>1.5874887593731228</v>
      </c>
      <c r="M8038" s="15">
        <v>1.2705158614961929</v>
      </c>
      <c r="N8038" s="15">
        <v>1.2705158614961929</v>
      </c>
      <c r="O8038" s="15" t="s">
        <v>10</v>
      </c>
      <c r="P8038" s="15" t="s">
        <v>10</v>
      </c>
      <c r="Q8038" s="8"/>
      <c r="R8038" s="9" t="s">
        <v>7524</v>
      </c>
    </row>
    <row r="8039" spans="1:18" x14ac:dyDescent="0.25">
      <c r="A8039" s="6" t="str">
        <f>HYPERLINK("proteomic_fractions_linear_files/Yang_linear_img/74959788.jpg", "74959788")</f>
        <v>74959788</v>
      </c>
      <c r="B8039" s="7"/>
      <c r="C8039" s="6" t="str">
        <f>HYPERLINK("http://www.ncbi.nlm.nih.gov/protein/74959788","Upf3b")</f>
        <v>Upf3b</v>
      </c>
      <c r="D8039" s="8"/>
      <c r="E8039" s="8">
        <v>56934</v>
      </c>
      <c r="F8039" s="8"/>
      <c r="G8039" s="15" t="s">
        <v>10</v>
      </c>
      <c r="H8039" s="15" t="s">
        <v>10</v>
      </c>
      <c r="I8039" s="15" t="s">
        <v>10</v>
      </c>
      <c r="J8039" s="15" t="s">
        <v>10</v>
      </c>
      <c r="K8039" s="15">
        <v>1.1483028654481462</v>
      </c>
      <c r="L8039" s="15">
        <v>1.1483028654481462</v>
      </c>
      <c r="M8039" s="15">
        <v>1.1483028654481462</v>
      </c>
      <c r="N8039" s="15">
        <v>1.1483028654481462</v>
      </c>
      <c r="O8039" s="15" t="s">
        <v>10</v>
      </c>
      <c r="P8039" s="15" t="s">
        <v>10</v>
      </c>
      <c r="Q8039" s="8"/>
      <c r="R8039" s="9" t="s">
        <v>7525</v>
      </c>
    </row>
    <row r="8040" spans="1:18" x14ac:dyDescent="0.25">
      <c r="A8040" s="6" t="str">
        <f>HYPERLINK("proteomic_fractions_linear_files/Yang_linear_img/58037127.jpg", "58037127")</f>
        <v>58037127</v>
      </c>
      <c r="B8040" s="7"/>
      <c r="C8040" s="6" t="str">
        <f>HYPERLINK("http://www.ncbi.nlm.nih.gov/protein/58037127","Upk1a")</f>
        <v>Upk1a</v>
      </c>
      <c r="D8040" s="8"/>
      <c r="E8040" s="8">
        <v>28723</v>
      </c>
      <c r="F8040" s="8"/>
      <c r="G8040" s="15">
        <v>1.1063473398528822</v>
      </c>
      <c r="H8040" s="15">
        <v>1.1063473398528822</v>
      </c>
      <c r="I8040" s="15">
        <v>0.79688184050749811</v>
      </c>
      <c r="J8040" s="15">
        <v>0.79688184050749811</v>
      </c>
      <c r="K8040" s="15">
        <v>0.79688184050749811</v>
      </c>
      <c r="L8040" s="15">
        <v>0.79688184050749811</v>
      </c>
      <c r="M8040" s="15" t="s">
        <v>10</v>
      </c>
      <c r="N8040" s="15" t="s">
        <v>10</v>
      </c>
      <c r="O8040" s="15" t="s">
        <v>10</v>
      </c>
      <c r="P8040" s="15" t="s">
        <v>10</v>
      </c>
      <c r="Q8040" s="8"/>
      <c r="R8040" s="9" t="s">
        <v>7526</v>
      </c>
    </row>
    <row r="8041" spans="1:18" x14ac:dyDescent="0.25">
      <c r="A8041" s="6" t="str">
        <f>HYPERLINK("proteomic_fractions_linear_files/Yang_linear_img/121949819.jpg", "121949819")</f>
        <v>121949819</v>
      </c>
      <c r="B8041" s="7"/>
      <c r="C8041" s="6" t="str">
        <f>HYPERLINK("http://www.ncbi.nlm.nih.gov/protein/121949819","Upk2")</f>
        <v>Upk2</v>
      </c>
      <c r="D8041" s="8"/>
      <c r="E8041" s="8">
        <v>10601</v>
      </c>
      <c r="F8041" s="8"/>
      <c r="G8041" s="15" t="s">
        <v>10</v>
      </c>
      <c r="H8041" s="15" t="s">
        <v>10</v>
      </c>
      <c r="I8041" s="15" t="s">
        <v>10</v>
      </c>
      <c r="J8041" s="15" t="s">
        <v>10</v>
      </c>
      <c r="K8041" s="15">
        <v>1.3814852994376623</v>
      </c>
      <c r="L8041" s="15">
        <v>1.3814852994376623</v>
      </c>
      <c r="M8041" s="15" t="s">
        <v>10</v>
      </c>
      <c r="N8041" s="15" t="s">
        <v>10</v>
      </c>
      <c r="O8041" s="15" t="s">
        <v>10</v>
      </c>
      <c r="P8041" s="15" t="s">
        <v>10</v>
      </c>
      <c r="Q8041" s="8"/>
      <c r="R8041" s="9" t="s">
        <v>7527</v>
      </c>
    </row>
    <row r="8042" spans="1:18" x14ac:dyDescent="0.25">
      <c r="A8042" s="6" t="str">
        <f>HYPERLINK("proteomic_fractions_linear_files/Yang_linear_img/124487135.jpg", "124487135")</f>
        <v>124487135</v>
      </c>
      <c r="B8042" s="7"/>
      <c r="C8042" s="6" t="str">
        <f>HYPERLINK("http://www.ncbi.nlm.nih.gov/protein/124487135","Uprt")</f>
        <v>Uprt</v>
      </c>
      <c r="D8042" s="8"/>
      <c r="E8042" s="8">
        <v>34147</v>
      </c>
      <c r="F8042" s="8"/>
      <c r="G8042" s="15" t="s">
        <v>10</v>
      </c>
      <c r="H8042" s="15" t="s">
        <v>10</v>
      </c>
      <c r="I8042" s="15" t="s">
        <v>10</v>
      </c>
      <c r="J8042" s="15" t="s">
        <v>10</v>
      </c>
      <c r="K8042" s="15" t="s">
        <v>10</v>
      </c>
      <c r="L8042" s="15" t="s">
        <v>10</v>
      </c>
      <c r="M8042" s="15">
        <v>1.098274306562488</v>
      </c>
      <c r="N8042" s="15">
        <v>1.098274306562488</v>
      </c>
      <c r="O8042" s="15" t="s">
        <v>10</v>
      </c>
      <c r="P8042" s="15" t="s">
        <v>10</v>
      </c>
      <c r="Q8042" s="8"/>
      <c r="R8042" s="9" t="s">
        <v>7528</v>
      </c>
    </row>
    <row r="8043" spans="1:18" x14ac:dyDescent="0.25">
      <c r="A8043" s="6" t="str">
        <f>HYPERLINK("proteomic_fractions_linear_files/Yang_linear_img/213512915.jpg", "213512915")</f>
        <v>213512915</v>
      </c>
      <c r="B8043" s="7"/>
      <c r="C8043" s="6" t="str">
        <f>HYPERLINK("http://www.ncbi.nlm.nih.gov/protein/213512915","Uqcc1")</f>
        <v>Uqcc1</v>
      </c>
      <c r="D8043" s="8"/>
      <c r="E8043" s="8">
        <v>34169</v>
      </c>
      <c r="F8043" s="8"/>
      <c r="G8043" s="15">
        <v>0.94364920163922317</v>
      </c>
      <c r="H8043" s="15">
        <v>0.94364920163922317</v>
      </c>
      <c r="I8043" s="15">
        <v>0.67969333455051306</v>
      </c>
      <c r="J8043" s="15">
        <v>0.67969333455051306</v>
      </c>
      <c r="K8043" s="15">
        <v>0.67969333455051306</v>
      </c>
      <c r="L8043" s="15">
        <v>0.67969333455051306</v>
      </c>
      <c r="M8043" s="15" t="s">
        <v>10</v>
      </c>
      <c r="N8043" s="15" t="s">
        <v>10</v>
      </c>
      <c r="O8043" s="15" t="s">
        <v>10</v>
      </c>
      <c r="P8043" s="15" t="s">
        <v>10</v>
      </c>
      <c r="Q8043" s="8"/>
      <c r="R8043" s="9" t="s">
        <v>7529</v>
      </c>
    </row>
    <row r="8044" spans="1:18" x14ac:dyDescent="0.25">
      <c r="A8044" s="6" t="str">
        <f>HYPERLINK("proteomic_fractions_linear_files/Yang_linear_img/13385560.jpg", "13385560")</f>
        <v>13385560</v>
      </c>
      <c r="B8044" s="7"/>
      <c r="C8044" s="6" t="str">
        <f>HYPERLINK("http://www.ncbi.nlm.nih.gov/protein/13385560","Uqcc2")</f>
        <v>Uqcc2</v>
      </c>
      <c r="D8044" s="8"/>
      <c r="E8044" s="8">
        <v>14698</v>
      </c>
      <c r="F8044" s="8"/>
      <c r="G8044" s="15">
        <v>0.96783158145802317</v>
      </c>
      <c r="H8044" s="15">
        <v>0.96783158145802317</v>
      </c>
      <c r="I8044" s="15">
        <v>1.0130892195876191</v>
      </c>
      <c r="J8044" s="15">
        <v>1.0130892195876191</v>
      </c>
      <c r="K8044" s="15" t="s">
        <v>10</v>
      </c>
      <c r="L8044" s="15" t="s">
        <v>10</v>
      </c>
      <c r="M8044" s="15" t="s">
        <v>10</v>
      </c>
      <c r="N8044" s="15" t="s">
        <v>10</v>
      </c>
      <c r="O8044" s="15" t="s">
        <v>10</v>
      </c>
      <c r="P8044" s="15" t="s">
        <v>10</v>
      </c>
      <c r="Q8044" s="8"/>
      <c r="R8044" s="9" t="s">
        <v>7530</v>
      </c>
    </row>
    <row r="8045" spans="1:18" x14ac:dyDescent="0.25">
      <c r="A8045" s="6" t="str">
        <f>HYPERLINK("proteomic_fractions_linear_files/Yang_linear_img/37574048.jpg", "37574048")</f>
        <v>37574048</v>
      </c>
      <c r="B8045" s="7"/>
      <c r="C8045" s="6" t="str">
        <f>HYPERLINK("http://www.ncbi.nlm.nih.gov/protein/37574048","Uqcr10")</f>
        <v>Uqcr10</v>
      </c>
      <c r="D8045" s="8"/>
      <c r="E8045" s="8">
        <v>7314</v>
      </c>
      <c r="F8045" s="8"/>
      <c r="G8045" s="15">
        <v>1.6787022322605194</v>
      </c>
      <c r="H8045" s="15">
        <v>1.6787022322605194</v>
      </c>
      <c r="I8045" s="15">
        <v>1.6787022322605194</v>
      </c>
      <c r="J8045" s="15">
        <v>1.6787022322605194</v>
      </c>
      <c r="K8045" s="15">
        <v>1.7475516131901938</v>
      </c>
      <c r="L8045" s="15">
        <v>1.7475516131901938</v>
      </c>
      <c r="M8045" s="15" t="s">
        <v>10</v>
      </c>
      <c r="N8045" s="15" t="s">
        <v>10</v>
      </c>
      <c r="O8045" s="15" t="s">
        <v>10</v>
      </c>
      <c r="P8045" s="15" t="s">
        <v>10</v>
      </c>
      <c r="Q8045" s="8"/>
      <c r="R8045" s="9" t="s">
        <v>7531</v>
      </c>
    </row>
    <row r="8046" spans="1:18" x14ac:dyDescent="0.25">
      <c r="A8046" s="6" t="str">
        <f>HYPERLINK("proteomic_fractions_linear_files/Yang_linear_img/13385112.jpg", "13385112")</f>
        <v>13385112</v>
      </c>
      <c r="B8046" s="7"/>
      <c r="C8046" s="6" t="str">
        <f>HYPERLINK("http://www.ncbi.nlm.nih.gov/protein/13385112","Uqcr11")</f>
        <v>Uqcr11</v>
      </c>
      <c r="D8046" s="8"/>
      <c r="E8046" s="8">
        <v>6407</v>
      </c>
      <c r="F8046" s="8"/>
      <c r="G8046" s="15">
        <v>998.85</v>
      </c>
      <c r="H8046" s="15">
        <v>998.85</v>
      </c>
      <c r="I8046" s="15" t="s">
        <v>10</v>
      </c>
      <c r="J8046" s="15" t="s">
        <v>10</v>
      </c>
      <c r="K8046" s="15">
        <v>2.0388102153885597</v>
      </c>
      <c r="L8046" s="15">
        <v>2.0388102153885597</v>
      </c>
      <c r="M8046" s="15" t="s">
        <v>10</v>
      </c>
      <c r="N8046" s="15" t="s">
        <v>10</v>
      </c>
      <c r="O8046" s="15" t="s">
        <v>10</v>
      </c>
      <c r="P8046" s="15" t="s">
        <v>10</v>
      </c>
      <c r="Q8046" s="8"/>
      <c r="R8046" s="9" t="s">
        <v>7532</v>
      </c>
    </row>
    <row r="8047" spans="1:18" x14ac:dyDescent="0.25">
      <c r="A8047" s="6" t="str">
        <f>HYPERLINK("proteomic_fractions_linear_files/Yang_linear_img/13385726.jpg", "13385726")</f>
        <v>13385726</v>
      </c>
      <c r="B8047" s="7"/>
      <c r="C8047" s="6" t="str">
        <f>HYPERLINK("http://www.ncbi.nlm.nih.gov/protein/13385726","Uqcrb")</f>
        <v>Uqcrb</v>
      </c>
      <c r="D8047" s="8"/>
      <c r="E8047" s="8">
        <v>13430</v>
      </c>
      <c r="F8047" s="8"/>
      <c r="G8047" s="15">
        <v>1.5000884483104058</v>
      </c>
      <c r="H8047" s="15">
        <v>1.5000884483104058</v>
      </c>
      <c r="I8047" s="15">
        <v>1.068142346148973</v>
      </c>
      <c r="J8047" s="15">
        <v>1.068142346148973</v>
      </c>
      <c r="K8047" s="15">
        <v>1.1167287478361805</v>
      </c>
      <c r="L8047" s="15">
        <v>1.068142346148973</v>
      </c>
      <c r="M8047" s="15" t="s">
        <v>10</v>
      </c>
      <c r="N8047" s="15" t="s">
        <v>10</v>
      </c>
      <c r="O8047" s="15" t="s">
        <v>10</v>
      </c>
      <c r="P8047" s="15" t="s">
        <v>10</v>
      </c>
      <c r="Q8047" s="8"/>
      <c r="R8047" s="9" t="s">
        <v>7533</v>
      </c>
    </row>
    <row r="8048" spans="1:18" x14ac:dyDescent="0.25">
      <c r="A8048" s="6" t="str">
        <f>HYPERLINK("proteomic_fractions_linear_files/Yang_linear_img/46593021.jpg", "46593021")</f>
        <v>46593021</v>
      </c>
      <c r="B8048" s="7"/>
      <c r="C8048" s="6" t="str">
        <f>HYPERLINK("http://www.ncbi.nlm.nih.gov/protein/46593021","Uqcrc1")</f>
        <v>Uqcrc1</v>
      </c>
      <c r="D8048" s="8"/>
      <c r="E8048" s="8">
        <v>49303</v>
      </c>
      <c r="F8048" s="8"/>
      <c r="G8048" s="15">
        <v>1.1994532160325275</v>
      </c>
      <c r="H8048" s="15">
        <v>1.1994532160325275</v>
      </c>
      <c r="I8048" s="15">
        <v>0.9855097058043929</v>
      </c>
      <c r="J8048" s="15">
        <v>0.9855097058043929</v>
      </c>
      <c r="K8048" s="15">
        <v>0.9855097058043929</v>
      </c>
      <c r="L8048" s="15">
        <v>0.9855097058043929</v>
      </c>
      <c r="M8048" s="15" t="s">
        <v>10</v>
      </c>
      <c r="N8048" s="15" t="s">
        <v>10</v>
      </c>
      <c r="O8048" s="15" t="s">
        <v>10</v>
      </c>
      <c r="P8048" s="15" t="s">
        <v>10</v>
      </c>
      <c r="Q8048" s="8"/>
      <c r="R8048" s="9" t="s">
        <v>7534</v>
      </c>
    </row>
    <row r="8049" spans="1:18" x14ac:dyDescent="0.25">
      <c r="A8049" s="6" t="str">
        <f>HYPERLINK("proteomic_fractions_linear_files/Yang_linear_img/22267442.jpg", "22267442")</f>
        <v>22267442</v>
      </c>
      <c r="B8049" s="7"/>
      <c r="C8049" s="6" t="str">
        <f>HYPERLINK("http://www.ncbi.nlm.nih.gov/protein/22267442","Uqcrc2")</f>
        <v>Uqcrc2</v>
      </c>
      <c r="D8049" s="8"/>
      <c r="E8049" s="8">
        <v>46590</v>
      </c>
      <c r="F8049" s="8"/>
      <c r="G8049" s="15">
        <v>1.1302248857447037</v>
      </c>
      <c r="H8049" s="15">
        <v>1.1302248857447037</v>
      </c>
      <c r="I8049" s="15">
        <v>0.86185783411112227</v>
      </c>
      <c r="J8049" s="15">
        <v>0.86185783411112227</v>
      </c>
      <c r="K8049" s="15">
        <v>0.86185783411112227</v>
      </c>
      <c r="L8049" s="15">
        <v>0.86185783411112227</v>
      </c>
      <c r="M8049" s="15">
        <v>0.86185783411112227</v>
      </c>
      <c r="N8049" s="15">
        <v>0.86185783411112227</v>
      </c>
      <c r="O8049" s="15" t="s">
        <v>10</v>
      </c>
      <c r="P8049" s="15" t="s">
        <v>10</v>
      </c>
      <c r="Q8049" s="8"/>
      <c r="R8049" s="9" t="s">
        <v>7535</v>
      </c>
    </row>
    <row r="8050" spans="1:18" x14ac:dyDescent="0.25">
      <c r="A8050" s="6" t="str">
        <f>HYPERLINK("proteomic_fractions_linear_files/Yang_linear_img/13385168.jpg", "13385168")</f>
        <v>13385168</v>
      </c>
      <c r="B8050" s="7"/>
      <c r="C8050" s="6" t="str">
        <f>HYPERLINK("http://www.ncbi.nlm.nih.gov/protein/13385168","Uqcrfs1")</f>
        <v>Uqcrfs1</v>
      </c>
      <c r="D8050" s="8"/>
      <c r="E8050" s="8">
        <v>21493</v>
      </c>
      <c r="F8050" s="8"/>
      <c r="G8050" s="15">
        <v>1.6453988824035801</v>
      </c>
      <c r="H8050" s="15">
        <v>1.6453988824035801</v>
      </c>
      <c r="I8050" s="15">
        <v>1.1692771720608055</v>
      </c>
      <c r="J8050" s="15">
        <v>1.1692771720608055</v>
      </c>
      <c r="K8050" s="15">
        <v>1.1692771720608055</v>
      </c>
      <c r="L8050" s="15">
        <v>1.1692771720608055</v>
      </c>
      <c r="M8050" s="15" t="s">
        <v>10</v>
      </c>
      <c r="N8050" s="15" t="s">
        <v>10</v>
      </c>
      <c r="O8050" s="15" t="s">
        <v>10</v>
      </c>
      <c r="P8050" s="15" t="s">
        <v>10</v>
      </c>
      <c r="Q8050" s="8"/>
      <c r="R8050" s="9" t="s">
        <v>7536</v>
      </c>
    </row>
    <row r="8051" spans="1:18" x14ac:dyDescent="0.25">
      <c r="A8051" s="6" t="str">
        <f>HYPERLINK("proteomic_fractions_linear_files/Yang_linear_img/21539599.jpg", "21539599")</f>
        <v>21539599</v>
      </c>
      <c r="B8051" s="7"/>
      <c r="C8051" s="6" t="str">
        <f>HYPERLINK("http://www.ncbi.nlm.nih.gov/protein/21539599","Uqcrh")</f>
        <v>Uqcrh</v>
      </c>
      <c r="D8051" s="8"/>
      <c r="E8051" s="8">
        <v>8986</v>
      </c>
      <c r="F8051" s="8"/>
      <c r="G8051" s="15">
        <v>1.5428722777707389</v>
      </c>
      <c r="H8051" s="15">
        <v>1.5428722777707389</v>
      </c>
      <c r="I8051" s="15">
        <v>1.5428722777707389</v>
      </c>
      <c r="J8051" s="15">
        <v>1.5428722777707389</v>
      </c>
      <c r="K8051" s="15" t="s">
        <v>10</v>
      </c>
      <c r="L8051" s="15" t="s">
        <v>10</v>
      </c>
      <c r="M8051" s="15" t="s">
        <v>10</v>
      </c>
      <c r="N8051" s="15" t="s">
        <v>10</v>
      </c>
      <c r="O8051" s="15" t="s">
        <v>10</v>
      </c>
      <c r="P8051" s="15" t="s">
        <v>10</v>
      </c>
      <c r="Q8051" s="8"/>
      <c r="R8051" s="9" t="s">
        <v>7537</v>
      </c>
    </row>
    <row r="8052" spans="1:18" x14ac:dyDescent="0.25">
      <c r="A8052" s="6" t="str">
        <f>HYPERLINK("proteomic_fractions_linear_files/Yang_linear_img/21539585.jpg", "21539585")</f>
        <v>21539585</v>
      </c>
      <c r="B8052" s="7"/>
      <c r="C8052" s="6" t="str">
        <f>HYPERLINK("http://www.ncbi.nlm.nih.gov/protein/21539585","Uqcrq")</f>
        <v>Uqcrq</v>
      </c>
      <c r="D8052" s="8"/>
      <c r="E8052" s="8">
        <v>9637</v>
      </c>
      <c r="F8052" s="8"/>
      <c r="G8052" s="15">
        <v>1.9501149828035274</v>
      </c>
      <c r="H8052" s="15">
        <v>1.9501149828035274</v>
      </c>
      <c r="I8052" s="15">
        <v>1.3297064023001535</v>
      </c>
      <c r="J8052" s="15">
        <v>1.3297064023001535</v>
      </c>
      <c r="K8052" s="15">
        <v>1.3885850499936649</v>
      </c>
      <c r="L8052" s="15">
        <v>1.3885850499936649</v>
      </c>
      <c r="M8052" s="15" t="s">
        <v>10</v>
      </c>
      <c r="N8052" s="15" t="s">
        <v>10</v>
      </c>
      <c r="O8052" s="15" t="s">
        <v>10</v>
      </c>
      <c r="P8052" s="15" t="s">
        <v>10</v>
      </c>
      <c r="Q8052" s="8"/>
      <c r="R8052" s="9" t="s">
        <v>7538</v>
      </c>
    </row>
    <row r="8053" spans="1:18" x14ac:dyDescent="0.25">
      <c r="A8053" s="6" t="str">
        <f>HYPERLINK("proteomic_fractions_linear_files/Yang_linear_img/256818750.jpg", "256818750")</f>
        <v>256818750</v>
      </c>
      <c r="B8053" s="7"/>
      <c r="C8053" s="6" t="str">
        <f>HYPERLINK("http://www.ncbi.nlm.nih.gov/protein/256818750","Urb1")</f>
        <v>Urb1</v>
      </c>
      <c r="D8053" s="8"/>
      <c r="E8053" s="8">
        <v>254713</v>
      </c>
      <c r="F8053" s="8"/>
      <c r="G8053" s="15">
        <v>0.91514057893274148</v>
      </c>
      <c r="H8053" s="15">
        <v>0.91514057893274148</v>
      </c>
      <c r="I8053" s="15" t="s">
        <v>10</v>
      </c>
      <c r="J8053" s="15" t="s">
        <v>10</v>
      </c>
      <c r="K8053" s="15">
        <v>1.1834640181823481</v>
      </c>
      <c r="L8053" s="15">
        <v>1.1834640181823481</v>
      </c>
      <c r="M8053" s="15">
        <v>1.1834640181823481</v>
      </c>
      <c r="N8053" s="15">
        <v>1.1834640181823481</v>
      </c>
      <c r="O8053" s="15" t="s">
        <v>10</v>
      </c>
      <c r="P8053" s="15" t="s">
        <v>10</v>
      </c>
      <c r="Q8053" s="8"/>
      <c r="R8053" s="9" t="s">
        <v>7539</v>
      </c>
    </row>
    <row r="8054" spans="1:18" x14ac:dyDescent="0.25">
      <c r="A8054" s="6" t="str">
        <f>HYPERLINK("proteomic_fractions_linear_files/Yang_linear_img/71274162.jpg", "71274162")</f>
        <v>71274162</v>
      </c>
      <c r="B8054" s="7"/>
      <c r="C8054" s="6" t="str">
        <f>HYPERLINK("http://www.ncbi.nlm.nih.gov/protein/71274162","Urb2")</f>
        <v>Urb2</v>
      </c>
      <c r="D8054" s="8"/>
      <c r="E8054" s="8">
        <v>171489</v>
      </c>
      <c r="F8054" s="8"/>
      <c r="G8054" s="15" t="s">
        <v>10</v>
      </c>
      <c r="H8054" s="15" t="s">
        <v>10</v>
      </c>
      <c r="I8054" s="15" t="s">
        <v>10</v>
      </c>
      <c r="J8054" s="15" t="s">
        <v>10</v>
      </c>
      <c r="K8054" s="15">
        <v>0.4859570670944085</v>
      </c>
      <c r="L8054" s="15">
        <v>0.4859570670944085</v>
      </c>
      <c r="M8054" s="15" t="s">
        <v>10</v>
      </c>
      <c r="N8054" s="15" t="s">
        <v>10</v>
      </c>
      <c r="O8054" s="15" t="s">
        <v>10</v>
      </c>
      <c r="P8054" s="15" t="s">
        <v>10</v>
      </c>
      <c r="Q8054" s="8"/>
      <c r="R8054" s="9" t="s">
        <v>7540</v>
      </c>
    </row>
    <row r="8055" spans="1:18" x14ac:dyDescent="0.25">
      <c r="A8055" s="6" t="str">
        <f>HYPERLINK("proteomic_fractions_linear_files/Yang_linear_img/110347606.jpg", "110347606")</f>
        <v>110347606</v>
      </c>
      <c r="B8055" s="7"/>
      <c r="C8055" s="6" t="str">
        <f>HYPERLINK("http://www.ncbi.nlm.nih.gov/protein/110347606","Urod")</f>
        <v>Urod</v>
      </c>
      <c r="D8055" s="8"/>
      <c r="E8055" s="8">
        <v>40561</v>
      </c>
      <c r="F8055" s="8"/>
      <c r="G8055" s="15" t="s">
        <v>10</v>
      </c>
      <c r="H8055" s="15" t="s">
        <v>10</v>
      </c>
      <c r="I8055" s="15" t="s">
        <v>10</v>
      </c>
      <c r="J8055" s="15" t="s">
        <v>10</v>
      </c>
      <c r="K8055" s="15">
        <v>0.91076405910059977</v>
      </c>
      <c r="L8055" s="15">
        <v>0.91076405910059977</v>
      </c>
      <c r="M8055" s="15" t="s">
        <v>10</v>
      </c>
      <c r="N8055" s="15" t="s">
        <v>10</v>
      </c>
      <c r="O8055" s="15">
        <v>0.78253836233496554</v>
      </c>
      <c r="P8055" s="15">
        <v>0.78253836233496554</v>
      </c>
      <c r="Q8055" s="8"/>
      <c r="R8055" s="9" t="s">
        <v>7541</v>
      </c>
    </row>
    <row r="8056" spans="1:18" x14ac:dyDescent="0.25">
      <c r="A8056" s="6" t="str">
        <f>HYPERLINK("proteomic_fractions_linear_files/Yang_linear_img/6678519.jpg", "6678519")</f>
        <v>6678519</v>
      </c>
      <c r="B8056" s="7"/>
      <c r="C8056" s="6" t="str">
        <f>HYPERLINK("http://www.ncbi.nlm.nih.gov/protein/6678519","Uros")</f>
        <v>Uros</v>
      </c>
      <c r="D8056" s="8"/>
      <c r="E8056" s="8">
        <v>28373</v>
      </c>
      <c r="F8056" s="8"/>
      <c r="G8056" s="15" t="s">
        <v>10</v>
      </c>
      <c r="H8056" s="15" t="s">
        <v>10</v>
      </c>
      <c r="I8056" s="15" t="s">
        <v>10</v>
      </c>
      <c r="J8056" s="15" t="s">
        <v>10</v>
      </c>
      <c r="K8056" s="15" t="s">
        <v>10</v>
      </c>
      <c r="L8056" s="15" t="s">
        <v>10</v>
      </c>
      <c r="M8056" s="15" t="s">
        <v>10</v>
      </c>
      <c r="N8056" s="15" t="s">
        <v>10</v>
      </c>
      <c r="O8056" s="15">
        <v>0.77841936680995538</v>
      </c>
      <c r="P8056" s="15">
        <v>0.77841936680995538</v>
      </c>
      <c r="Q8056" s="8"/>
      <c r="R8056" s="9" t="s">
        <v>7542</v>
      </c>
    </row>
    <row r="8057" spans="1:18" x14ac:dyDescent="0.25">
      <c r="A8057" s="6" t="str">
        <f>HYPERLINK("proteomic_fractions_linear_files/Yang_linear_img/21630259.jpg", "21630259")</f>
        <v>21630259</v>
      </c>
      <c r="B8057" s="7"/>
      <c r="C8057" s="6" t="str">
        <f>HYPERLINK("http://www.ncbi.nlm.nih.gov/protein/21630259","Use1")</f>
        <v>Use1</v>
      </c>
      <c r="D8057" s="8"/>
      <c r="E8057" s="8">
        <v>30463</v>
      </c>
      <c r="F8057" s="8"/>
      <c r="G8057" s="15">
        <v>0.87167527051416671</v>
      </c>
      <c r="H8057" s="15">
        <v>0.87167527051416671</v>
      </c>
      <c r="I8057" s="15" t="s">
        <v>10</v>
      </c>
      <c r="J8057" s="15" t="s">
        <v>10</v>
      </c>
      <c r="K8057" s="15" t="s">
        <v>10</v>
      </c>
      <c r="L8057" s="15" t="s">
        <v>10</v>
      </c>
      <c r="M8057" s="15" t="s">
        <v>10</v>
      </c>
      <c r="N8057" s="15" t="s">
        <v>10</v>
      </c>
      <c r="O8057" s="15" t="s">
        <v>10</v>
      </c>
      <c r="P8057" s="15" t="s">
        <v>10</v>
      </c>
      <c r="Q8057" s="8"/>
      <c r="R8057" s="9" t="s">
        <v>7543</v>
      </c>
    </row>
    <row r="8058" spans="1:18" x14ac:dyDescent="0.25">
      <c r="A8058" s="6" t="str">
        <f>HYPERLINK("proteomic_fractions_linear_files/Yang_linear_img/224809387.jpg", "224809387")</f>
        <v>224809387</v>
      </c>
      <c r="B8058" s="7"/>
      <c r="C8058" s="6" t="str">
        <f>HYPERLINK("http://www.ncbi.nlm.nih.gov/protein/224809387","Use1")</f>
        <v>Use1</v>
      </c>
      <c r="D8058" s="8"/>
      <c r="E8058" s="8">
        <v>32073</v>
      </c>
      <c r="F8058" s="8"/>
      <c r="G8058" s="15">
        <v>0.81719556610703126</v>
      </c>
      <c r="H8058" s="15">
        <v>0.81719556610703126</v>
      </c>
      <c r="I8058" s="15" t="s">
        <v>10</v>
      </c>
      <c r="J8058" s="15" t="s">
        <v>10</v>
      </c>
      <c r="K8058" s="15" t="s">
        <v>10</v>
      </c>
      <c r="L8058" s="15" t="s">
        <v>10</v>
      </c>
      <c r="M8058" s="15" t="s">
        <v>10</v>
      </c>
      <c r="N8058" s="15" t="s">
        <v>10</v>
      </c>
      <c r="O8058" s="15" t="s">
        <v>10</v>
      </c>
      <c r="P8058" s="15" t="s">
        <v>10</v>
      </c>
      <c r="Q8058" s="8"/>
      <c r="R8058" s="9" t="s">
        <v>7544</v>
      </c>
    </row>
    <row r="8059" spans="1:18" x14ac:dyDescent="0.25">
      <c r="A8059" s="6" t="str">
        <f>HYPERLINK("proteomic_fractions_linear_files/Yang_linear_img/254911001.jpg", "254911001")</f>
        <v>254911001</v>
      </c>
      <c r="B8059" s="7"/>
      <c r="C8059" s="6" t="str">
        <f>HYPERLINK("http://www.ncbi.nlm.nih.gov/protein/254911001","Ush1c")</f>
        <v>Ush1c</v>
      </c>
      <c r="D8059" s="8"/>
      <c r="E8059" s="8">
        <v>102163</v>
      </c>
      <c r="F8059" s="8"/>
      <c r="G8059" s="15" t="s">
        <v>10</v>
      </c>
      <c r="H8059" s="15" t="s">
        <v>10</v>
      </c>
      <c r="I8059" s="15">
        <v>0.31454973387974106</v>
      </c>
      <c r="J8059" s="15">
        <v>0.31454973387974106</v>
      </c>
      <c r="K8059" s="15" t="s">
        <v>10</v>
      </c>
      <c r="L8059" s="15" t="s">
        <v>10</v>
      </c>
      <c r="M8059" s="15" t="s">
        <v>10</v>
      </c>
      <c r="N8059" s="15" t="s">
        <v>10</v>
      </c>
      <c r="O8059" s="15" t="s">
        <v>10</v>
      </c>
      <c r="P8059" s="15" t="s">
        <v>10</v>
      </c>
      <c r="Q8059" s="8"/>
      <c r="R8059" s="9" t="s">
        <v>7545</v>
      </c>
    </row>
    <row r="8060" spans="1:18" x14ac:dyDescent="0.25">
      <c r="A8060" s="6" t="str">
        <f>HYPERLINK("proteomic_fractions_linear_files/Yang_linear_img/254911003.jpg", "254911003")</f>
        <v>254911003</v>
      </c>
      <c r="B8060" s="7"/>
      <c r="C8060" s="6" t="str">
        <f>HYPERLINK("http://www.ncbi.nlm.nih.gov/protein/254911003","Ush1c")</f>
        <v>Ush1c</v>
      </c>
      <c r="D8060" s="8"/>
      <c r="E8060" s="8">
        <v>61580</v>
      </c>
      <c r="F8060" s="8"/>
      <c r="G8060" s="15" t="s">
        <v>10</v>
      </c>
      <c r="H8060" s="15" t="s">
        <v>10</v>
      </c>
      <c r="I8060" s="15">
        <v>0.51748504606021917</v>
      </c>
      <c r="J8060" s="15">
        <v>0.51748504606021917</v>
      </c>
      <c r="K8060" s="15" t="s">
        <v>10</v>
      </c>
      <c r="L8060" s="15" t="s">
        <v>10</v>
      </c>
      <c r="M8060" s="15" t="s">
        <v>10</v>
      </c>
      <c r="N8060" s="15" t="s">
        <v>10</v>
      </c>
      <c r="O8060" s="15" t="s">
        <v>10</v>
      </c>
      <c r="P8060" s="15" t="s">
        <v>10</v>
      </c>
      <c r="Q8060" s="8"/>
      <c r="R8060" s="9" t="s">
        <v>7546</v>
      </c>
    </row>
    <row r="8061" spans="1:18" x14ac:dyDescent="0.25">
      <c r="A8061" s="6" t="str">
        <f>HYPERLINK("proteomic_fractions_linear_files/Yang_linear_img/254911005.jpg", "254911005")</f>
        <v>254911005</v>
      </c>
      <c r="B8061" s="7"/>
      <c r="C8061" s="6" t="str">
        <f>HYPERLINK("http://www.ncbi.nlm.nih.gov/protein/254911005","Ush1c")</f>
        <v>Ush1c</v>
      </c>
      <c r="D8061" s="8"/>
      <c r="E8061" s="8">
        <v>100125</v>
      </c>
      <c r="F8061" s="8"/>
      <c r="G8061" s="15" t="s">
        <v>10</v>
      </c>
      <c r="H8061" s="15" t="s">
        <v>10</v>
      </c>
      <c r="I8061" s="15">
        <v>0.32084072855733586</v>
      </c>
      <c r="J8061" s="15">
        <v>0.32084072855733586</v>
      </c>
      <c r="K8061" s="15" t="s">
        <v>10</v>
      </c>
      <c r="L8061" s="15" t="s">
        <v>10</v>
      </c>
      <c r="M8061" s="15" t="s">
        <v>10</v>
      </c>
      <c r="N8061" s="15" t="s">
        <v>10</v>
      </c>
      <c r="O8061" s="15" t="s">
        <v>10</v>
      </c>
      <c r="P8061" s="15" t="s">
        <v>10</v>
      </c>
      <c r="Q8061" s="8"/>
      <c r="R8061" s="9" t="s">
        <v>7547</v>
      </c>
    </row>
    <row r="8062" spans="1:18" x14ac:dyDescent="0.25">
      <c r="A8062" s="6" t="str">
        <f>HYPERLINK("proteomic_fractions_linear_files/Yang_linear_img/23956096.jpg", "23956096")</f>
        <v>23956096</v>
      </c>
      <c r="B8062" s="7"/>
      <c r="C8062" s="6" t="str">
        <f>HYPERLINK("http://www.ncbi.nlm.nih.gov/protein/23956096","Uso1")</f>
        <v>Uso1</v>
      </c>
      <c r="D8062" s="8"/>
      <c r="E8062" s="8">
        <v>106853</v>
      </c>
      <c r="F8062" s="8"/>
      <c r="G8062" s="15">
        <v>3.8228369882190636</v>
      </c>
      <c r="H8062" s="15">
        <v>3.8228369882190636</v>
      </c>
      <c r="I8062" s="15">
        <v>1.0261828394498267</v>
      </c>
      <c r="J8062" s="15">
        <v>1.0261828394498267</v>
      </c>
      <c r="K8062" s="15">
        <v>1.2030058705151119</v>
      </c>
      <c r="L8062" s="15">
        <v>1.2030058705151119</v>
      </c>
      <c r="M8062" s="15">
        <v>1.2030058705151119</v>
      </c>
      <c r="N8062" s="15">
        <v>1.2030058705151119</v>
      </c>
      <c r="O8062" s="15">
        <v>1.2030058705151119</v>
      </c>
      <c r="P8062" s="15">
        <v>1.2030058705151119</v>
      </c>
      <c r="Q8062" s="8"/>
      <c r="R8062" s="9" t="s">
        <v>7548</v>
      </c>
    </row>
    <row r="8063" spans="1:18" x14ac:dyDescent="0.25">
      <c r="A8063" s="6" t="str">
        <f>HYPERLINK("proteomic_fractions_linear_files/Yang_linear_img/6678493.jpg", "6678493")</f>
        <v>6678493</v>
      </c>
      <c r="B8063" s="7"/>
      <c r="C8063" s="6" t="str">
        <f>HYPERLINK("http://www.ncbi.nlm.nih.gov/protein/6678493","Usp10")</f>
        <v>Usp10</v>
      </c>
      <c r="D8063" s="8"/>
      <c r="E8063" s="8">
        <v>86962</v>
      </c>
      <c r="F8063" s="8"/>
      <c r="G8063" s="15" t="s">
        <v>10</v>
      </c>
      <c r="H8063" s="15" t="s">
        <v>10</v>
      </c>
      <c r="I8063" s="15" t="s">
        <v>10</v>
      </c>
      <c r="J8063" s="15" t="s">
        <v>10</v>
      </c>
      <c r="K8063" s="15">
        <v>1.7638261050142741</v>
      </c>
      <c r="L8063" s="15">
        <v>1.7638261050142741</v>
      </c>
      <c r="M8063" s="15">
        <v>1.4795589441967467</v>
      </c>
      <c r="N8063" s="15">
        <v>1.4795589441967467</v>
      </c>
      <c r="O8063" s="15" t="s">
        <v>10</v>
      </c>
      <c r="P8063" s="15" t="s">
        <v>10</v>
      </c>
      <c r="Q8063" s="8"/>
      <c r="R8063" s="9" t="s">
        <v>7549</v>
      </c>
    </row>
    <row r="8064" spans="1:18" x14ac:dyDescent="0.25">
      <c r="A8064" s="6" t="str">
        <f>HYPERLINK("proteomic_fractions_linear_files/Yang_linear_img/164663834.jpg", "164663834")</f>
        <v>164663834</v>
      </c>
      <c r="B8064" s="7"/>
      <c r="C8064" s="6" t="str">
        <f>HYPERLINK("http://www.ncbi.nlm.nih.gov/protein/164663834","Usp11")</f>
        <v>Usp11</v>
      </c>
      <c r="D8064" s="8"/>
      <c r="E8064" s="8">
        <v>105254</v>
      </c>
      <c r="F8064" s="8"/>
      <c r="G8064" s="15" t="s">
        <v>10</v>
      </c>
      <c r="H8064" s="15" t="s">
        <v>10</v>
      </c>
      <c r="I8064" s="15" t="s">
        <v>10</v>
      </c>
      <c r="J8064" s="15" t="s">
        <v>10</v>
      </c>
      <c r="K8064" s="15" t="s">
        <v>10</v>
      </c>
      <c r="L8064" s="15" t="s">
        <v>10</v>
      </c>
      <c r="M8064" s="15" t="s">
        <v>10</v>
      </c>
      <c r="N8064" s="15" t="s">
        <v>10</v>
      </c>
      <c r="O8064" s="15">
        <v>1.2259202680487331</v>
      </c>
      <c r="P8064" s="15">
        <v>1.2259202680487331</v>
      </c>
      <c r="Q8064" s="8"/>
      <c r="R8064" s="9" t="s">
        <v>7550</v>
      </c>
    </row>
    <row r="8065" spans="1:18" x14ac:dyDescent="0.25">
      <c r="A8065" s="6" t="str">
        <f>HYPERLINK("proteomic_fractions_linear_files/Yang_linear_img/34328057.jpg", "34328057")</f>
        <v>34328057</v>
      </c>
      <c r="B8065" s="7"/>
      <c r="C8065" s="6" t="str">
        <f>HYPERLINK("http://www.ncbi.nlm.nih.gov/protein/34328057","Usp12")</f>
        <v>Usp12</v>
      </c>
      <c r="D8065" s="8"/>
      <c r="E8065" s="8">
        <v>42783</v>
      </c>
      <c r="F8065" s="8"/>
      <c r="G8065" s="15" t="s">
        <v>10</v>
      </c>
      <c r="H8065" s="15" t="s">
        <v>10</v>
      </c>
      <c r="I8065" s="15" t="s">
        <v>10</v>
      </c>
      <c r="J8065" s="15" t="s">
        <v>10</v>
      </c>
      <c r="K8065" s="15">
        <v>0.86840294007266494</v>
      </c>
      <c r="L8065" s="15">
        <v>0.86840294007266494</v>
      </c>
      <c r="M8065" s="15" t="s">
        <v>10</v>
      </c>
      <c r="N8065" s="15" t="s">
        <v>10</v>
      </c>
      <c r="O8065" s="15" t="s">
        <v>10</v>
      </c>
      <c r="P8065" s="15" t="s">
        <v>10</v>
      </c>
      <c r="Q8065" s="8"/>
      <c r="R8065" s="9" t="s">
        <v>7551</v>
      </c>
    </row>
    <row r="8066" spans="1:18" x14ac:dyDescent="0.25">
      <c r="A8066" s="6" t="str">
        <f>HYPERLINK("proteomic_fractions_linear_files/Yang_linear_img/31560313.jpg", "31560313")</f>
        <v>31560313</v>
      </c>
      <c r="B8066" s="7"/>
      <c r="C8066" s="6" t="str">
        <f>HYPERLINK("http://www.ncbi.nlm.nih.gov/protein/31560313","Usp14")</f>
        <v>Usp14</v>
      </c>
      <c r="D8066" s="8"/>
      <c r="E8066" s="8">
        <v>55871</v>
      </c>
      <c r="F8066" s="8"/>
      <c r="G8066" s="15" t="s">
        <v>10</v>
      </c>
      <c r="H8066" s="15" t="s">
        <v>10</v>
      </c>
      <c r="I8066" s="15">
        <v>1.0495215640284616</v>
      </c>
      <c r="J8066" s="15">
        <v>1.0495215640284616</v>
      </c>
      <c r="K8066" s="15">
        <v>1.1688082737597203</v>
      </c>
      <c r="L8066" s="15">
        <v>1.1688082737597203</v>
      </c>
      <c r="M8066" s="15">
        <v>1.0495215640284616</v>
      </c>
      <c r="N8066" s="15">
        <v>1.0495215640284616</v>
      </c>
      <c r="O8066" s="15">
        <v>1.0495215640284616</v>
      </c>
      <c r="P8066" s="15">
        <v>0.94858160053573359</v>
      </c>
      <c r="Q8066" s="8"/>
      <c r="R8066" s="9" t="s">
        <v>7552</v>
      </c>
    </row>
    <row r="8067" spans="1:18" x14ac:dyDescent="0.25">
      <c r="A8067" s="6" t="str">
        <f>HYPERLINK("proteomic_fractions_linear_files/Yang_linear_img/84452155.jpg", "84452155")</f>
        <v>84452155</v>
      </c>
      <c r="B8067" s="7"/>
      <c r="C8067" s="6" t="str">
        <f>HYPERLINK("http://www.ncbi.nlm.nih.gov/protein/84452155","Usp14")</f>
        <v>Usp14</v>
      </c>
      <c r="D8067" s="8"/>
      <c r="E8067" s="8">
        <v>52188</v>
      </c>
      <c r="F8067" s="8"/>
      <c r="G8067" s="15" t="s">
        <v>10</v>
      </c>
      <c r="H8067" s="15" t="s">
        <v>10</v>
      </c>
      <c r="I8067" s="15">
        <v>1.1302539920306509</v>
      </c>
      <c r="J8067" s="15">
        <v>1.1302539920306509</v>
      </c>
      <c r="K8067" s="15">
        <v>1.2587166025104679</v>
      </c>
      <c r="L8067" s="15">
        <v>1.2587166025104679</v>
      </c>
      <c r="M8067" s="15">
        <v>1.1302539920306509</v>
      </c>
      <c r="N8067" s="15">
        <v>1.1302539920306509</v>
      </c>
      <c r="O8067" s="15">
        <v>1.1302539920306509</v>
      </c>
      <c r="P8067" s="15">
        <v>1.0215494159615592</v>
      </c>
      <c r="Q8067" s="8"/>
      <c r="R8067" s="9" t="s">
        <v>7553</v>
      </c>
    </row>
    <row r="8068" spans="1:18" x14ac:dyDescent="0.25">
      <c r="A8068" s="6" t="str">
        <f>HYPERLINK("proteomic_fractions_linear_files/Yang_linear_img/21489969.jpg", "21489969")</f>
        <v>21489969</v>
      </c>
      <c r="B8068" s="7"/>
      <c r="C8068" s="6" t="str">
        <f>HYPERLINK("http://www.ncbi.nlm.nih.gov/protein/21489969","Usp15")</f>
        <v>Usp15</v>
      </c>
      <c r="D8068" s="8"/>
      <c r="E8068" s="8">
        <v>112194</v>
      </c>
      <c r="F8068" s="8"/>
      <c r="G8068" s="15" t="s">
        <v>10</v>
      </c>
      <c r="H8068" s="15" t="s">
        <v>10</v>
      </c>
      <c r="I8068" s="15" t="s">
        <v>10</v>
      </c>
      <c r="J8068" s="15" t="s">
        <v>10</v>
      </c>
      <c r="K8068" s="15">
        <v>1.3701149208593022</v>
      </c>
      <c r="L8068" s="15">
        <v>1.3701149208593022</v>
      </c>
      <c r="M8068" s="15">
        <v>1.3701149208593022</v>
      </c>
      <c r="N8068" s="15">
        <v>1.3701149208593022</v>
      </c>
      <c r="O8068" s="15">
        <v>1.1493002512956871</v>
      </c>
      <c r="P8068" s="15">
        <v>1.1493002512956871</v>
      </c>
      <c r="Q8068" s="8"/>
      <c r="R8068" s="9" t="s">
        <v>7554</v>
      </c>
    </row>
    <row r="8069" spans="1:18" x14ac:dyDescent="0.25">
      <c r="A8069" s="6" t="str">
        <f>HYPERLINK("proteomic_fractions_linear_files/Yang_linear_img/251823802.jpg", "251823802")</f>
        <v>251823802</v>
      </c>
      <c r="B8069" s="7"/>
      <c r="C8069" s="6" t="str">
        <f>HYPERLINK("http://www.ncbi.nlm.nih.gov/protein/251823802","Usp16")</f>
        <v>Usp16</v>
      </c>
      <c r="D8069" s="8"/>
      <c r="E8069" s="8">
        <v>93304</v>
      </c>
      <c r="F8069" s="8"/>
      <c r="G8069" s="15" t="s">
        <v>10</v>
      </c>
      <c r="H8069" s="15" t="s">
        <v>10</v>
      </c>
      <c r="I8069" s="15" t="s">
        <v>10</v>
      </c>
      <c r="J8069" s="15" t="s">
        <v>10</v>
      </c>
      <c r="K8069" s="15">
        <v>1.650030872432708</v>
      </c>
      <c r="L8069" s="15">
        <v>1.650030872432708</v>
      </c>
      <c r="M8069" s="15">
        <v>1.650030872432708</v>
      </c>
      <c r="N8069" s="15">
        <v>1.650030872432708</v>
      </c>
      <c r="O8069" s="15" t="s">
        <v>10</v>
      </c>
      <c r="P8069" s="15" t="s">
        <v>10</v>
      </c>
      <c r="Q8069" s="8"/>
      <c r="R8069" s="9" t="s">
        <v>7555</v>
      </c>
    </row>
    <row r="8070" spans="1:18" x14ac:dyDescent="0.25">
      <c r="A8070" s="6" t="str">
        <f>HYPERLINK("proteomic_fractions_linear_files/Yang_linear_img/112983634.jpg", "112983634")</f>
        <v>112983634</v>
      </c>
      <c r="B8070" s="7"/>
      <c r="C8070" s="6" t="str">
        <f>HYPERLINK("http://www.ncbi.nlm.nih.gov/protein/112983634","Usp17ld")</f>
        <v>Usp17ld</v>
      </c>
      <c r="D8070" s="8"/>
      <c r="E8070" s="8">
        <v>61320</v>
      </c>
      <c r="F8070" s="8"/>
      <c r="G8070" s="15" t="s">
        <v>10</v>
      </c>
      <c r="H8070" s="15" t="s">
        <v>10</v>
      </c>
      <c r="I8070" s="15" t="s">
        <v>10</v>
      </c>
      <c r="J8070" s="15" t="s">
        <v>10</v>
      </c>
      <c r="K8070" s="15">
        <v>2.1101906253297864</v>
      </c>
      <c r="L8070" s="15">
        <v>2.1101906253297864</v>
      </c>
      <c r="M8070" s="15" t="s">
        <v>10</v>
      </c>
      <c r="N8070" s="15" t="s">
        <v>10</v>
      </c>
      <c r="O8070" s="15" t="s">
        <v>10</v>
      </c>
      <c r="P8070" s="15" t="s">
        <v>10</v>
      </c>
      <c r="Q8070" s="8"/>
      <c r="R8070" s="9" t="s">
        <v>7556</v>
      </c>
    </row>
    <row r="8071" spans="1:18" x14ac:dyDescent="0.25">
      <c r="A8071" s="6" t="str">
        <f>HYPERLINK("proteomic_fractions_linear_files/Yang_linear_img/270265841.jpg", "270265841")</f>
        <v>270265841</v>
      </c>
      <c r="B8071" s="7"/>
      <c r="C8071" s="6" t="str">
        <f>HYPERLINK("http://www.ncbi.nlm.nih.gov/protein/270265841","Usp19")</f>
        <v>Usp19</v>
      </c>
      <c r="D8071" s="8"/>
      <c r="E8071" s="8">
        <v>150418</v>
      </c>
      <c r="F8071" s="8"/>
      <c r="G8071" s="15" t="s">
        <v>10</v>
      </c>
      <c r="H8071" s="15" t="s">
        <v>10</v>
      </c>
      <c r="I8071" s="15">
        <v>1.0230191409082789</v>
      </c>
      <c r="J8071" s="15">
        <v>1.0230191409082789</v>
      </c>
      <c r="K8071" s="15">
        <v>1.2451055442662691</v>
      </c>
      <c r="L8071" s="15">
        <v>1.2451055442662691</v>
      </c>
      <c r="M8071" s="15">
        <v>1.2451055442662691</v>
      </c>
      <c r="N8071" s="15">
        <v>1.2451055442662691</v>
      </c>
      <c r="O8071" s="15">
        <v>1.0230191409082789</v>
      </c>
      <c r="P8071" s="15">
        <v>1.0230191409082789</v>
      </c>
      <c r="Q8071" s="8"/>
      <c r="R8071" s="9" t="s">
        <v>7557</v>
      </c>
    </row>
    <row r="8072" spans="1:18" x14ac:dyDescent="0.25">
      <c r="A8072" s="6" t="str">
        <f>HYPERLINK("proteomic_fractions_linear_files/Yang_linear_img/270265843.jpg", "270265843")</f>
        <v>270265843</v>
      </c>
      <c r="B8072" s="7"/>
      <c r="C8072" s="6" t="str">
        <f>HYPERLINK("http://www.ncbi.nlm.nih.gov/protein/270265843","Usp19")</f>
        <v>Usp19</v>
      </c>
      <c r="D8072" s="8"/>
      <c r="E8072" s="8">
        <v>146280</v>
      </c>
      <c r="F8072" s="8"/>
      <c r="G8072" s="15" t="s">
        <v>10</v>
      </c>
      <c r="H8072" s="15" t="s">
        <v>10</v>
      </c>
      <c r="I8072" s="15">
        <v>1.051047062576999</v>
      </c>
      <c r="J8072" s="15">
        <v>1.051047062576999</v>
      </c>
      <c r="K8072" s="15">
        <v>1.2792180249310983</v>
      </c>
      <c r="L8072" s="15">
        <v>1.2792180249310983</v>
      </c>
      <c r="M8072" s="15">
        <v>1.2792180249310983</v>
      </c>
      <c r="N8072" s="15">
        <v>1.2792180249310983</v>
      </c>
      <c r="O8072" s="15">
        <v>1.051047062576999</v>
      </c>
      <c r="P8072" s="15">
        <v>1.051047062576999</v>
      </c>
      <c r="Q8072" s="8"/>
      <c r="R8072" s="9" t="s">
        <v>7558</v>
      </c>
    </row>
    <row r="8073" spans="1:18" x14ac:dyDescent="0.25">
      <c r="A8073" s="6" t="str">
        <f>HYPERLINK("proteomic_fractions_linear_files/Yang_linear_img/270265845.jpg", "270265845")</f>
        <v>270265845</v>
      </c>
      <c r="B8073" s="7"/>
      <c r="C8073" s="6" t="str">
        <f>HYPERLINK("http://www.ncbi.nlm.nih.gov/protein/270265845","Usp19")</f>
        <v>Usp19</v>
      </c>
      <c r="D8073" s="8"/>
      <c r="E8073" s="8">
        <v>146152</v>
      </c>
      <c r="F8073" s="8"/>
      <c r="G8073" s="15" t="s">
        <v>10</v>
      </c>
      <c r="H8073" s="15" t="s">
        <v>10</v>
      </c>
      <c r="I8073" s="15">
        <v>1.051047062576999</v>
      </c>
      <c r="J8073" s="15">
        <v>1.051047062576999</v>
      </c>
      <c r="K8073" s="15">
        <v>1.2792180249310983</v>
      </c>
      <c r="L8073" s="15">
        <v>1.2792180249310983</v>
      </c>
      <c r="M8073" s="15">
        <v>1.2792180249310983</v>
      </c>
      <c r="N8073" s="15">
        <v>1.2792180249310983</v>
      </c>
      <c r="O8073" s="15">
        <v>1.051047062576999</v>
      </c>
      <c r="P8073" s="15">
        <v>1.051047062576999</v>
      </c>
      <c r="Q8073" s="8"/>
      <c r="R8073" s="9" t="s">
        <v>7559</v>
      </c>
    </row>
    <row r="8074" spans="1:18" x14ac:dyDescent="0.25">
      <c r="A8074" s="6" t="str">
        <f>HYPERLINK("proteomic_fractions_linear_files/Yang_linear_img/270265848.jpg", "270265848")</f>
        <v>270265848</v>
      </c>
      <c r="B8074" s="7"/>
      <c r="C8074" s="6" t="str">
        <f>HYPERLINK("http://www.ncbi.nlm.nih.gov/protein/270265848","Usp19")</f>
        <v>Usp19</v>
      </c>
      <c r="D8074" s="8"/>
      <c r="E8074" s="8">
        <v>146152</v>
      </c>
      <c r="F8074" s="8"/>
      <c r="G8074" s="15" t="s">
        <v>10</v>
      </c>
      <c r="H8074" s="15" t="s">
        <v>10</v>
      </c>
      <c r="I8074" s="15">
        <v>1.051047062576999</v>
      </c>
      <c r="J8074" s="15">
        <v>1.051047062576999</v>
      </c>
      <c r="K8074" s="15">
        <v>1.2792180249310983</v>
      </c>
      <c r="L8074" s="15">
        <v>1.2792180249310983</v>
      </c>
      <c r="M8074" s="15">
        <v>1.2792180249310983</v>
      </c>
      <c r="N8074" s="15">
        <v>1.2792180249310983</v>
      </c>
      <c r="O8074" s="15">
        <v>1.051047062576999</v>
      </c>
      <c r="P8074" s="15">
        <v>1.051047062576999</v>
      </c>
      <c r="Q8074" s="8"/>
      <c r="R8074" s="9" t="s">
        <v>7560</v>
      </c>
    </row>
    <row r="8075" spans="1:18" x14ac:dyDescent="0.25">
      <c r="A8075" s="6" t="str">
        <f>HYPERLINK("proteomic_fractions_linear_files/Yang_linear_img/270265851.jpg", "270265851")</f>
        <v>270265851</v>
      </c>
      <c r="B8075" s="7"/>
      <c r="C8075" s="6" t="str">
        <f>HYPERLINK("http://www.ncbi.nlm.nih.gov/protein/270265851","Usp19")</f>
        <v>Usp19</v>
      </c>
      <c r="D8075" s="8"/>
      <c r="E8075" s="8">
        <v>143322</v>
      </c>
      <c r="F8075" s="8"/>
      <c r="G8075" s="15" t="s">
        <v>10</v>
      </c>
      <c r="H8075" s="15" t="s">
        <v>10</v>
      </c>
      <c r="I8075" s="15">
        <v>1.0730970009527401</v>
      </c>
      <c r="J8075" s="15">
        <v>1.0730970009527401</v>
      </c>
      <c r="K8075" s="15">
        <v>1.3060547667128697</v>
      </c>
      <c r="L8075" s="15">
        <v>1.3060547667128697</v>
      </c>
      <c r="M8075" s="15">
        <v>1.3060547667128697</v>
      </c>
      <c r="N8075" s="15">
        <v>1.3060547667128697</v>
      </c>
      <c r="O8075" s="15">
        <v>1.0730970009527401</v>
      </c>
      <c r="P8075" s="15">
        <v>1.0730970009527401</v>
      </c>
      <c r="Q8075" s="8"/>
      <c r="R8075" s="9" t="s">
        <v>7561</v>
      </c>
    </row>
    <row r="8076" spans="1:18" x14ac:dyDescent="0.25">
      <c r="A8076" s="6" t="str">
        <f>HYPERLINK("proteomic_fractions_linear_files/Yang_linear_img/260064007.jpg", "260064007")</f>
        <v>260064007</v>
      </c>
      <c r="B8076" s="7"/>
      <c r="C8076" s="6" t="str">
        <f>HYPERLINK("http://www.ncbi.nlm.nih.gov/protein/260064007","Usp24")</f>
        <v>Usp24</v>
      </c>
      <c r="D8076" s="8"/>
      <c r="E8076" s="8">
        <v>293871</v>
      </c>
      <c r="F8076" s="8"/>
      <c r="G8076" s="15" t="s">
        <v>10</v>
      </c>
      <c r="H8076" s="15" t="s">
        <v>10</v>
      </c>
      <c r="I8076" s="15" t="s">
        <v>10</v>
      </c>
      <c r="J8076" s="15" t="s">
        <v>10</v>
      </c>
      <c r="K8076" s="15">
        <v>1.3913046181613598</v>
      </c>
      <c r="L8076" s="15">
        <v>1.3913046181613598</v>
      </c>
      <c r="M8076" s="15">
        <v>20.384693877551022</v>
      </c>
      <c r="N8076" s="15">
        <v>20.384693877551022</v>
      </c>
      <c r="O8076" s="15">
        <v>1.0264738933214244</v>
      </c>
      <c r="P8076" s="15">
        <v>1.0264738933214244</v>
      </c>
      <c r="Q8076" s="8"/>
      <c r="R8076" s="9" t="s">
        <v>7562</v>
      </c>
    </row>
    <row r="8077" spans="1:18" x14ac:dyDescent="0.25">
      <c r="A8077" s="6" t="str">
        <f>HYPERLINK("proteomic_fractions_linear_files/Yang_linear_img/31980712.jpg", "31980712")</f>
        <v>31980712</v>
      </c>
      <c r="B8077" s="7"/>
      <c r="C8077" s="6" t="str">
        <f>HYPERLINK("http://www.ncbi.nlm.nih.gov/protein/31980712","Usp25")</f>
        <v>Usp25</v>
      </c>
      <c r="D8077" s="8"/>
      <c r="E8077" s="8">
        <v>121290</v>
      </c>
      <c r="F8077" s="8"/>
      <c r="G8077" s="15" t="s">
        <v>10</v>
      </c>
      <c r="H8077" s="15" t="s">
        <v>10</v>
      </c>
      <c r="I8077" s="15" t="s">
        <v>10</v>
      </c>
      <c r="J8077" s="15" t="s">
        <v>10</v>
      </c>
      <c r="K8077" s="15" t="s">
        <v>10</v>
      </c>
      <c r="L8077" s="15" t="s">
        <v>10</v>
      </c>
      <c r="M8077" s="15" t="s">
        <v>10</v>
      </c>
      <c r="N8077" s="15" t="s">
        <v>10</v>
      </c>
      <c r="O8077" s="15">
        <v>1.2682055465805111</v>
      </c>
      <c r="P8077" s="15">
        <v>1.2682055465805111</v>
      </c>
      <c r="Q8077" s="8"/>
      <c r="R8077" s="9" t="s">
        <v>7563</v>
      </c>
    </row>
    <row r="8078" spans="1:18" x14ac:dyDescent="0.25">
      <c r="A8078" s="6" t="str">
        <f>HYPERLINK("proteomic_fractions_linear_files/Yang_linear_img/126032299.jpg", "126032299")</f>
        <v>126032299</v>
      </c>
      <c r="B8078" s="7"/>
      <c r="C8078" s="6" t="str">
        <f>HYPERLINK("http://www.ncbi.nlm.nih.gov/protein/126032299","Usp32")</f>
        <v>Usp32</v>
      </c>
      <c r="D8078" s="8"/>
      <c r="E8078" s="8">
        <v>181603</v>
      </c>
      <c r="F8078" s="8"/>
      <c r="G8078" s="15" t="s">
        <v>10</v>
      </c>
      <c r="H8078" s="15" t="s">
        <v>10</v>
      </c>
      <c r="I8078" s="15" t="s">
        <v>10</v>
      </c>
      <c r="J8078" s="15" t="s">
        <v>10</v>
      </c>
      <c r="K8078" s="15">
        <v>1.2822024594936763</v>
      </c>
      <c r="L8078" s="15">
        <v>1.2822024594936763</v>
      </c>
      <c r="M8078" s="15" t="s">
        <v>10</v>
      </c>
      <c r="N8078" s="15" t="s">
        <v>10</v>
      </c>
      <c r="O8078" s="15" t="s">
        <v>10</v>
      </c>
      <c r="P8078" s="15" t="s">
        <v>10</v>
      </c>
      <c r="Q8078" s="8"/>
      <c r="R8078" s="9" t="s">
        <v>7564</v>
      </c>
    </row>
    <row r="8079" spans="1:18" x14ac:dyDescent="0.25">
      <c r="A8079" s="6" t="str">
        <f>HYPERLINK("proteomic_fractions_linear_files/Yang_linear_img/357527386.jpg", "357527386")</f>
        <v>357527386</v>
      </c>
      <c r="B8079" s="7"/>
      <c r="C8079" s="6" t="str">
        <f>HYPERLINK("http://www.ncbi.nlm.nih.gov/protein/357527386","Usp34")</f>
        <v>Usp34</v>
      </c>
      <c r="D8079" s="8"/>
      <c r="E8079" s="8">
        <v>408086</v>
      </c>
      <c r="F8079" s="8"/>
      <c r="G8079" s="15" t="s">
        <v>10</v>
      </c>
      <c r="H8079" s="15" t="s">
        <v>10</v>
      </c>
      <c r="I8079" s="15" t="s">
        <v>10</v>
      </c>
      <c r="J8079" s="15" t="s">
        <v>10</v>
      </c>
      <c r="K8079" s="15" t="s">
        <v>10</v>
      </c>
      <c r="L8079" s="15" t="s">
        <v>10</v>
      </c>
      <c r="M8079" s="15">
        <v>1.0025577395574505</v>
      </c>
      <c r="N8079" s="15">
        <v>1.0025577395574505</v>
      </c>
      <c r="O8079" s="15">
        <v>0.73966501136396756</v>
      </c>
      <c r="P8079" s="15">
        <v>0.73966501136396756</v>
      </c>
      <c r="Q8079" s="8"/>
      <c r="R8079" s="9" t="s">
        <v>7565</v>
      </c>
    </row>
    <row r="8080" spans="1:18" x14ac:dyDescent="0.25">
      <c r="A8080" s="6" t="str">
        <f>HYPERLINK("proteomic_fractions_linear_files/Yang_linear_img/226442882.jpg", "226442882")</f>
        <v>226442882</v>
      </c>
      <c r="B8080" s="7"/>
      <c r="C8080" s="6" t="str">
        <f>HYPERLINK("http://www.ncbi.nlm.nih.gov/protein/226442882","Usp36")</f>
        <v>Usp36</v>
      </c>
      <c r="D8080" s="8"/>
      <c r="E8080" s="8">
        <v>119783</v>
      </c>
      <c r="F8080" s="8"/>
      <c r="G8080" s="15" t="s">
        <v>10</v>
      </c>
      <c r="H8080" s="15" t="s">
        <v>10</v>
      </c>
      <c r="I8080" s="15" t="s">
        <v>10</v>
      </c>
      <c r="J8080" s="15" t="s">
        <v>10</v>
      </c>
      <c r="K8080" s="15" t="s">
        <v>10</v>
      </c>
      <c r="L8080" s="15" t="s">
        <v>10</v>
      </c>
      <c r="M8080" s="15" t="s">
        <v>10</v>
      </c>
      <c r="N8080" s="15" t="s">
        <v>10</v>
      </c>
      <c r="O8080" s="15">
        <v>3.4086963144953315</v>
      </c>
      <c r="P8080" s="15">
        <v>3.4086963144953315</v>
      </c>
      <c r="Q8080" s="8"/>
      <c r="R8080" s="9" t="s">
        <v>7566</v>
      </c>
    </row>
    <row r="8081" spans="1:18" x14ac:dyDescent="0.25">
      <c r="A8081" s="6" t="str">
        <f>HYPERLINK("proteomic_fractions_linear_files/Yang_linear_img/34328301.jpg", "34328301")</f>
        <v>34328301</v>
      </c>
      <c r="B8081" s="7"/>
      <c r="C8081" s="6" t="str">
        <f>HYPERLINK("http://www.ncbi.nlm.nih.gov/protein/34328301","Usp38")</f>
        <v>Usp38</v>
      </c>
      <c r="D8081" s="8"/>
      <c r="E8081" s="8">
        <v>115971</v>
      </c>
      <c r="F8081" s="8"/>
      <c r="G8081" s="15" t="s">
        <v>10</v>
      </c>
      <c r="H8081" s="15" t="s">
        <v>10</v>
      </c>
      <c r="I8081" s="15" t="s">
        <v>10</v>
      </c>
      <c r="J8081" s="15" t="s">
        <v>10</v>
      </c>
      <c r="K8081" s="15" t="s">
        <v>10</v>
      </c>
      <c r="L8081" s="15" t="s">
        <v>10</v>
      </c>
      <c r="M8081" s="15" t="s">
        <v>10</v>
      </c>
      <c r="N8081" s="15" t="s">
        <v>10</v>
      </c>
      <c r="O8081" s="15">
        <v>1.3228695787607054</v>
      </c>
      <c r="P8081" s="15">
        <v>1.3228695787607054</v>
      </c>
      <c r="Q8081" s="8"/>
      <c r="R8081" s="9" t="s">
        <v>7567</v>
      </c>
    </row>
    <row r="8082" spans="1:18" x14ac:dyDescent="0.25">
      <c r="A8082" s="6" t="str">
        <f>HYPERLINK("proteomic_fractions_linear_files/Yang_linear_img/20070404.jpg", "20070404")</f>
        <v>20070404</v>
      </c>
      <c r="B8082" s="7"/>
      <c r="C8082" s="6" t="str">
        <f>HYPERLINK("http://www.ncbi.nlm.nih.gov/protein/20070404","Usp39")</f>
        <v>Usp39</v>
      </c>
      <c r="D8082" s="8"/>
      <c r="E8082" s="8">
        <v>65015</v>
      </c>
      <c r="F8082" s="8"/>
      <c r="G8082" s="15">
        <v>1.2784408995868286</v>
      </c>
      <c r="H8082" s="15">
        <v>1.2784408995868286</v>
      </c>
      <c r="I8082" s="15">
        <v>1.1297870806412653</v>
      </c>
      <c r="J8082" s="15">
        <v>1.1297870806412653</v>
      </c>
      <c r="K8082" s="15">
        <v>1.1297870806412653</v>
      </c>
      <c r="L8082" s="15">
        <v>1.1297870806412653</v>
      </c>
      <c r="M8082" s="15">
        <v>1.1297870806412653</v>
      </c>
      <c r="N8082" s="15">
        <v>1.1297870806412653</v>
      </c>
      <c r="O8082" s="15" t="s">
        <v>10</v>
      </c>
      <c r="P8082" s="15" t="s">
        <v>10</v>
      </c>
      <c r="Q8082" s="8"/>
      <c r="R8082" s="9" t="s">
        <v>7568</v>
      </c>
    </row>
    <row r="8083" spans="1:18" x14ac:dyDescent="0.25">
      <c r="A8083" s="6" t="str">
        <f>HYPERLINK("proteomic_fractions_linear_files/Yang_linear_img/164519045.jpg", "164519045")</f>
        <v>164519045</v>
      </c>
      <c r="B8083" s="7"/>
      <c r="C8083" s="6" t="str">
        <f>HYPERLINK("http://www.ncbi.nlm.nih.gov/protein/164519045","Usp4")</f>
        <v>Usp4</v>
      </c>
      <c r="D8083" s="8"/>
      <c r="E8083" s="8">
        <v>108212</v>
      </c>
      <c r="F8083" s="8"/>
      <c r="G8083" s="15" t="s">
        <v>10</v>
      </c>
      <c r="H8083" s="15" t="s">
        <v>10</v>
      </c>
      <c r="I8083" s="15" t="s">
        <v>10</v>
      </c>
      <c r="J8083" s="15" t="s">
        <v>10</v>
      </c>
      <c r="K8083" s="15">
        <v>1.1918669272696016</v>
      </c>
      <c r="L8083" s="15">
        <v>1.1918669272696016</v>
      </c>
      <c r="M8083" s="15" t="s">
        <v>10</v>
      </c>
      <c r="N8083" s="15" t="s">
        <v>10</v>
      </c>
      <c r="O8083" s="15">
        <v>1.1918669272696016</v>
      </c>
      <c r="P8083" s="15">
        <v>1.1918669272696016</v>
      </c>
      <c r="Q8083" s="8"/>
      <c r="R8083" s="9" t="s">
        <v>7569</v>
      </c>
    </row>
    <row r="8084" spans="1:18" x14ac:dyDescent="0.25">
      <c r="A8084" s="6" t="str">
        <f>HYPERLINK("proteomic_fractions_linear_files/Yang_linear_img/312836847.jpg", "312836847")</f>
        <v>312836847</v>
      </c>
      <c r="B8084" s="7"/>
      <c r="C8084" s="6" t="str">
        <f>HYPERLINK("http://www.ncbi.nlm.nih.gov/protein/312836847","Usp47")</f>
        <v>Usp47</v>
      </c>
      <c r="D8084" s="8"/>
      <c r="E8084" s="8">
        <v>157325</v>
      </c>
      <c r="F8084" s="8"/>
      <c r="G8084" s="15" t="s">
        <v>10</v>
      </c>
      <c r="H8084" s="15" t="s">
        <v>10</v>
      </c>
      <c r="I8084" s="15" t="s">
        <v>10</v>
      </c>
      <c r="J8084" s="15" t="s">
        <v>10</v>
      </c>
      <c r="K8084" s="15">
        <v>1.4863748256550897</v>
      </c>
      <c r="L8084" s="15">
        <v>1.4863748256550897</v>
      </c>
      <c r="M8084" s="15" t="s">
        <v>10</v>
      </c>
      <c r="N8084" s="15" t="s">
        <v>10</v>
      </c>
      <c r="O8084" s="15">
        <v>1.1895912843308303</v>
      </c>
      <c r="P8084" s="15">
        <v>1.1895912843308303</v>
      </c>
      <c r="Q8084" s="8"/>
      <c r="R8084" s="9" t="s">
        <v>7570</v>
      </c>
    </row>
    <row r="8085" spans="1:18" x14ac:dyDescent="0.25">
      <c r="A8085" s="6" t="str">
        <f>HYPERLINK("proteomic_fractions_linear_files/Yang_linear_img/48928014.jpg", "48928014")</f>
        <v>48928014</v>
      </c>
      <c r="B8085" s="7"/>
      <c r="C8085" s="6" t="str">
        <f>HYPERLINK("http://www.ncbi.nlm.nih.gov/protein/48928014","Usp47")</f>
        <v>Usp47</v>
      </c>
      <c r="D8085" s="8"/>
      <c r="E8085" s="8">
        <v>154711</v>
      </c>
      <c r="F8085" s="8"/>
      <c r="G8085" s="15" t="s">
        <v>10</v>
      </c>
      <c r="H8085" s="15" t="s">
        <v>10</v>
      </c>
      <c r="I8085" s="15" t="s">
        <v>10</v>
      </c>
      <c r="J8085" s="15" t="s">
        <v>10</v>
      </c>
      <c r="K8085" s="15">
        <v>1.5055538556635424</v>
      </c>
      <c r="L8085" s="15">
        <v>1.5055538556635424</v>
      </c>
      <c r="M8085" s="15" t="s">
        <v>10</v>
      </c>
      <c r="N8085" s="15" t="s">
        <v>10</v>
      </c>
      <c r="O8085" s="15">
        <v>1.2049408492899378</v>
      </c>
      <c r="P8085" s="15">
        <v>1.2049408492899378</v>
      </c>
      <c r="Q8085" s="8"/>
      <c r="R8085" s="9" t="s">
        <v>7571</v>
      </c>
    </row>
    <row r="8086" spans="1:18" x14ac:dyDescent="0.25">
      <c r="A8086" s="6" t="str">
        <f>HYPERLINK("proteomic_fractions_linear_files/Yang_linear_img/7305619.jpg", "7305619")</f>
        <v>7305619</v>
      </c>
      <c r="B8086" s="7"/>
      <c r="C8086" s="6" t="str">
        <f>HYPERLINK("http://www.ncbi.nlm.nih.gov/protein/7305619","Usp5")</f>
        <v>Usp5</v>
      </c>
      <c r="D8086" s="8"/>
      <c r="E8086" s="8">
        <v>95703</v>
      </c>
      <c r="F8086" s="8"/>
      <c r="G8086" s="15" t="s">
        <v>10</v>
      </c>
      <c r="H8086" s="15" t="s">
        <v>10</v>
      </c>
      <c r="I8086" s="15">
        <v>1.1437662898034529</v>
      </c>
      <c r="J8086" s="15">
        <v>1.1437662898034529</v>
      </c>
      <c r="K8086" s="15">
        <v>1.1437662898034529</v>
      </c>
      <c r="L8086" s="15">
        <v>1.1437662898034529</v>
      </c>
      <c r="M8086" s="15">
        <v>1.1437662898034529</v>
      </c>
      <c r="N8086" s="15">
        <v>1.1437662898034529</v>
      </c>
      <c r="O8086" s="15">
        <v>1.1437662898034529</v>
      </c>
      <c r="P8086" s="15">
        <v>1.1437662898034529</v>
      </c>
      <c r="Q8086" s="8"/>
      <c r="R8086" s="9" t="s">
        <v>7572</v>
      </c>
    </row>
    <row r="8087" spans="1:18" x14ac:dyDescent="0.25">
      <c r="A8087" s="6" t="str">
        <f>HYPERLINK("proteomic_fractions_linear_files/Yang_linear_img/154146209.jpg", "154146209")</f>
        <v>154146209</v>
      </c>
      <c r="B8087" s="7"/>
      <c r="C8087" s="6" t="str">
        <f>HYPERLINK("http://www.ncbi.nlm.nih.gov/protein/154146209","Usp7")</f>
        <v>Usp7</v>
      </c>
      <c r="D8087" s="8"/>
      <c r="E8087" s="8">
        <v>128344</v>
      </c>
      <c r="F8087" s="8"/>
      <c r="G8087" s="15">
        <v>1.1988505557518894</v>
      </c>
      <c r="H8087" s="15">
        <v>1.1988505557518894</v>
      </c>
      <c r="I8087" s="15">
        <v>1.1988505557518894</v>
      </c>
      <c r="J8087" s="15">
        <v>1.1988505557518894</v>
      </c>
      <c r="K8087" s="15">
        <v>1.1988505557518894</v>
      </c>
      <c r="L8087" s="15">
        <v>1.1988505557518894</v>
      </c>
      <c r="M8087" s="15">
        <v>1.1988505557518894</v>
      </c>
      <c r="N8087" s="15">
        <v>1.1988505557518894</v>
      </c>
      <c r="O8087" s="15">
        <v>1.1988505557518894</v>
      </c>
      <c r="P8087" s="15">
        <v>1.1988505557518894</v>
      </c>
      <c r="Q8087" s="8"/>
      <c r="R8087" s="9" t="s">
        <v>7573</v>
      </c>
    </row>
    <row r="8088" spans="1:18" x14ac:dyDescent="0.25">
      <c r="A8088" s="6" t="str">
        <f>HYPERLINK("proteomic_fractions_linear_files/Yang_linear_img/31981044.jpg", "31981044")</f>
        <v>31981044</v>
      </c>
      <c r="B8088" s="7"/>
      <c r="C8088" s="6" t="str">
        <f>HYPERLINK("http://www.ncbi.nlm.nih.gov/protein/31981044","Usp8")</f>
        <v>Usp8</v>
      </c>
      <c r="D8088" s="8"/>
      <c r="E8088" s="8">
        <v>122480</v>
      </c>
      <c r="F8088" s="8"/>
      <c r="G8088" s="15" t="s">
        <v>10</v>
      </c>
      <c r="H8088" s="15" t="s">
        <v>10</v>
      </c>
      <c r="I8088" s="15">
        <v>1.2578104191495232</v>
      </c>
      <c r="J8088" s="15">
        <v>1.2578104191495232</v>
      </c>
      <c r="K8088" s="15" t="s">
        <v>10</v>
      </c>
      <c r="L8088" s="15" t="s">
        <v>10</v>
      </c>
      <c r="M8088" s="15">
        <v>1.2578104191495232</v>
      </c>
      <c r="N8088" s="15">
        <v>1.2578104191495232</v>
      </c>
      <c r="O8088" s="15">
        <v>1.2578104191495232</v>
      </c>
      <c r="P8088" s="15">
        <v>1.2578104191495232</v>
      </c>
      <c r="Q8088" s="8"/>
      <c r="R8088" s="9" t="s">
        <v>7574</v>
      </c>
    </row>
    <row r="8089" spans="1:18" x14ac:dyDescent="0.25">
      <c r="A8089" s="6" t="str">
        <f>HYPERLINK("proteomic_fractions_linear_files/Yang_linear_img/357588457.jpg", "357588457")</f>
        <v>357588457</v>
      </c>
      <c r="B8089" s="7"/>
      <c r="C8089" s="6" t="str">
        <f>HYPERLINK("http://www.ncbi.nlm.nih.gov/protein/357588457","Usp8")</f>
        <v>Usp8</v>
      </c>
      <c r="D8089" s="8"/>
      <c r="E8089" s="8">
        <v>123757</v>
      </c>
      <c r="F8089" s="8"/>
      <c r="G8089" s="15" t="s">
        <v>10</v>
      </c>
      <c r="H8089" s="15" t="s">
        <v>10</v>
      </c>
      <c r="I8089" s="15">
        <v>1.2375231543245309</v>
      </c>
      <c r="J8089" s="15">
        <v>1.2375231543245309</v>
      </c>
      <c r="K8089" s="15" t="s">
        <v>10</v>
      </c>
      <c r="L8089" s="15" t="s">
        <v>10</v>
      </c>
      <c r="M8089" s="15">
        <v>1.2375231543245309</v>
      </c>
      <c r="N8089" s="15">
        <v>1.2375231543245309</v>
      </c>
      <c r="O8089" s="15">
        <v>1.2375231543245309</v>
      </c>
      <c r="P8089" s="15">
        <v>1.2375231543245309</v>
      </c>
      <c r="Q8089" s="8"/>
      <c r="R8089" s="9" t="s">
        <v>7575</v>
      </c>
    </row>
    <row r="8090" spans="1:18" x14ac:dyDescent="0.25">
      <c r="A8090" s="6" t="str">
        <f>HYPERLINK("proteomic_fractions_linear_files/Yang_linear_img/115511018.jpg", "115511018")</f>
        <v>115511018</v>
      </c>
      <c r="B8090" s="7"/>
      <c r="C8090" s="6" t="str">
        <f>HYPERLINK("http://www.ncbi.nlm.nih.gov/protein/115511018","Usp9x")</f>
        <v>Usp9x</v>
      </c>
      <c r="D8090" s="8"/>
      <c r="E8090" s="8">
        <v>290086</v>
      </c>
      <c r="F8090" s="8"/>
      <c r="G8090" s="15" t="s">
        <v>10</v>
      </c>
      <c r="H8090" s="15" t="s">
        <v>10</v>
      </c>
      <c r="I8090" s="15">
        <v>1.0406321539189614</v>
      </c>
      <c r="J8090" s="15">
        <v>1.0406321539189614</v>
      </c>
      <c r="K8090" s="15">
        <v>1.0406321539189614</v>
      </c>
      <c r="L8090" s="15">
        <v>1.0406321539189614</v>
      </c>
      <c r="M8090" s="15">
        <v>1.4104950266877234</v>
      </c>
      <c r="N8090" s="15">
        <v>1.4104950266877234</v>
      </c>
      <c r="O8090" s="15">
        <v>1.0406321539189614</v>
      </c>
      <c r="P8090" s="15">
        <v>1.0406321539189614</v>
      </c>
      <c r="Q8090" s="8"/>
      <c r="R8090" s="9" t="s">
        <v>7576</v>
      </c>
    </row>
    <row r="8091" spans="1:18" x14ac:dyDescent="0.25">
      <c r="A8091" s="6" t="str">
        <f>HYPERLINK("proteomic_fractions_linear_files/Yang_linear_img/120300980.jpg", "120300980")</f>
        <v>120300980</v>
      </c>
      <c r="B8091" s="7"/>
      <c r="C8091" s="6" t="str">
        <f>HYPERLINK("http://www.ncbi.nlm.nih.gov/protein/120300980","Usp9y")</f>
        <v>Usp9y</v>
      </c>
      <c r="D8091" s="8"/>
      <c r="E8091" s="8">
        <v>292138</v>
      </c>
      <c r="F8091" s="8"/>
      <c r="G8091" s="15" t="s">
        <v>10</v>
      </c>
      <c r="H8091" s="15" t="s">
        <v>10</v>
      </c>
      <c r="I8091" s="15">
        <v>1.0335045364263657</v>
      </c>
      <c r="J8091" s="15">
        <v>7.0539182146083124E-2</v>
      </c>
      <c r="K8091" s="15">
        <v>1.0335045364263657</v>
      </c>
      <c r="L8091" s="15">
        <v>1.0335045364263657</v>
      </c>
      <c r="M8091" s="15">
        <v>1.4008341018473967</v>
      </c>
      <c r="N8091" s="15">
        <v>1.0335045364263657</v>
      </c>
      <c r="O8091" s="15">
        <v>1.0335045364263657</v>
      </c>
      <c r="P8091" s="15">
        <v>1.0335045364263657</v>
      </c>
      <c r="Q8091" s="8"/>
      <c r="R8091" s="9" t="s">
        <v>7577</v>
      </c>
    </row>
    <row r="8092" spans="1:18" x14ac:dyDescent="0.25">
      <c r="A8092" s="6" t="str">
        <f>HYPERLINK("proteomic_fractions_linear_files/Yang_linear_img/169646253.jpg", "169646253")</f>
        <v>169646253</v>
      </c>
      <c r="B8092" s="7"/>
      <c r="C8092" s="6" t="str">
        <f>HYPERLINK("http://www.ncbi.nlm.nih.gov/protein/169646253","Uspl1")</f>
        <v>Uspl1</v>
      </c>
      <c r="D8092" s="8"/>
      <c r="E8092" s="8">
        <v>118274</v>
      </c>
      <c r="F8092" s="8"/>
      <c r="G8092" s="15">
        <v>0.1176766991520055</v>
      </c>
      <c r="H8092" s="15">
        <v>0.1176766991520055</v>
      </c>
      <c r="I8092" s="15" t="s">
        <v>10</v>
      </c>
      <c r="J8092" s="15" t="s">
        <v>10</v>
      </c>
      <c r="K8092" s="15" t="s">
        <v>10</v>
      </c>
      <c r="L8092" s="15" t="s">
        <v>10</v>
      </c>
      <c r="M8092" s="15" t="s">
        <v>10</v>
      </c>
      <c r="N8092" s="15" t="s">
        <v>10</v>
      </c>
      <c r="O8092" s="15" t="s">
        <v>10</v>
      </c>
      <c r="P8092" s="15" t="s">
        <v>10</v>
      </c>
      <c r="Q8092" s="8"/>
      <c r="R8092" s="9" t="s">
        <v>7578</v>
      </c>
    </row>
    <row r="8093" spans="1:18" x14ac:dyDescent="0.25">
      <c r="A8093" s="6" t="str">
        <f>HYPERLINK("proteomic_fractions_linear_files/Yang_linear_img/169646335.jpg", "169646335")</f>
        <v>169646335</v>
      </c>
      <c r="B8093" s="7"/>
      <c r="C8093" s="6" t="str">
        <f>HYPERLINK("http://www.ncbi.nlm.nih.gov/protein/169646335","Uspl1")</f>
        <v>Uspl1</v>
      </c>
      <c r="D8093" s="8"/>
      <c r="E8093" s="8">
        <v>97103</v>
      </c>
      <c r="F8093" s="8"/>
      <c r="G8093" s="15">
        <v>0.14315309793749123</v>
      </c>
      <c r="H8093" s="15">
        <v>0.14315309793749123</v>
      </c>
      <c r="I8093" s="15" t="s">
        <v>10</v>
      </c>
      <c r="J8093" s="15" t="s">
        <v>10</v>
      </c>
      <c r="K8093" s="15" t="s">
        <v>10</v>
      </c>
      <c r="L8093" s="15" t="s">
        <v>10</v>
      </c>
      <c r="M8093" s="15" t="s">
        <v>10</v>
      </c>
      <c r="N8093" s="15" t="s">
        <v>10</v>
      </c>
      <c r="O8093" s="15" t="s">
        <v>10</v>
      </c>
      <c r="P8093" s="15" t="s">
        <v>10</v>
      </c>
      <c r="Q8093" s="8"/>
      <c r="R8093" s="9" t="s">
        <v>7579</v>
      </c>
    </row>
    <row r="8094" spans="1:18" x14ac:dyDescent="0.25">
      <c r="A8094" s="6" t="str">
        <f>HYPERLINK("proteomic_fractions_linear_files/Yang_linear_img/558472807.jpg", "558472807")</f>
        <v>558472807</v>
      </c>
      <c r="B8094" s="7"/>
      <c r="C8094" s="6" t="str">
        <f>HYPERLINK("http://www.ncbi.nlm.nih.gov/protein/558472807","Uspl1")</f>
        <v>Uspl1</v>
      </c>
      <c r="D8094" s="8"/>
      <c r="E8094" s="8">
        <v>116857</v>
      </c>
      <c r="F8094" s="8"/>
      <c r="G8094" s="15">
        <v>0.11868248290544145</v>
      </c>
      <c r="H8094" s="15">
        <v>0.11868248290544145</v>
      </c>
      <c r="I8094" s="15" t="s">
        <v>10</v>
      </c>
      <c r="J8094" s="15" t="s">
        <v>10</v>
      </c>
      <c r="K8094" s="15" t="s">
        <v>10</v>
      </c>
      <c r="L8094" s="15" t="s">
        <v>10</v>
      </c>
      <c r="M8094" s="15" t="s">
        <v>10</v>
      </c>
      <c r="N8094" s="15" t="s">
        <v>10</v>
      </c>
      <c r="O8094" s="15" t="s">
        <v>10</v>
      </c>
      <c r="P8094" s="15" t="s">
        <v>10</v>
      </c>
      <c r="Q8094" s="8"/>
      <c r="R8094" s="9" t="s">
        <v>7580</v>
      </c>
    </row>
    <row r="8095" spans="1:18" x14ac:dyDescent="0.25">
      <c r="A8095" s="6" t="str">
        <f>HYPERLINK("proteomic_fractions_linear_files/Yang_linear_img/110556631.jpg", "110556631")</f>
        <v>110556631</v>
      </c>
      <c r="B8095" s="7"/>
      <c r="C8095" s="6" t="str">
        <f>HYPERLINK("http://www.ncbi.nlm.nih.gov/protein/110556631","Ust")</f>
        <v>Ust</v>
      </c>
      <c r="D8095" s="8"/>
      <c r="E8095" s="8">
        <v>47599</v>
      </c>
      <c r="F8095" s="8"/>
      <c r="G8095" s="15" t="s">
        <v>10</v>
      </c>
      <c r="H8095" s="15" t="s">
        <v>10</v>
      </c>
      <c r="I8095" s="15" t="s">
        <v>10</v>
      </c>
      <c r="J8095" s="15" t="s">
        <v>10</v>
      </c>
      <c r="K8095" s="15">
        <v>2.2875325796069057</v>
      </c>
      <c r="L8095" s="15">
        <v>2.2875325796069057</v>
      </c>
      <c r="M8095" s="15" t="s">
        <v>10</v>
      </c>
      <c r="N8095" s="15" t="s">
        <v>10</v>
      </c>
      <c r="O8095" s="15" t="s">
        <v>10</v>
      </c>
      <c r="P8095" s="15" t="s">
        <v>10</v>
      </c>
      <c r="Q8095" s="8"/>
      <c r="R8095" s="9" t="s">
        <v>7581</v>
      </c>
    </row>
    <row r="8096" spans="1:18" x14ac:dyDescent="0.25">
      <c r="A8096" s="6" t="str">
        <f>HYPERLINK("proteomic_fractions_linear_files/Yang_linear_img/30725776.jpg", "30725776")</f>
        <v>30725776</v>
      </c>
      <c r="B8096" s="7"/>
      <c r="C8096" s="6" t="str">
        <f>HYPERLINK("http://www.ncbi.nlm.nih.gov/protein/30725776","Utp15")</f>
        <v>Utp15</v>
      </c>
      <c r="D8096" s="8"/>
      <c r="E8096" s="8">
        <v>59244</v>
      </c>
      <c r="F8096" s="8"/>
      <c r="G8096" s="15" t="s">
        <v>10</v>
      </c>
      <c r="H8096" s="15" t="s">
        <v>10</v>
      </c>
      <c r="I8096" s="15" t="s">
        <v>10</v>
      </c>
      <c r="J8096" s="15" t="s">
        <v>10</v>
      </c>
      <c r="K8096" s="15">
        <v>1.1093773445854971</v>
      </c>
      <c r="L8096" s="15">
        <v>1.1093773445854971</v>
      </c>
      <c r="M8096" s="15" t="s">
        <v>10</v>
      </c>
      <c r="N8096" s="15" t="s">
        <v>10</v>
      </c>
      <c r="O8096" s="15" t="s">
        <v>10</v>
      </c>
      <c r="P8096" s="15" t="s">
        <v>10</v>
      </c>
      <c r="Q8096" s="8"/>
      <c r="R8096" s="9" t="s">
        <v>7582</v>
      </c>
    </row>
    <row r="8097" spans="1:18" x14ac:dyDescent="0.25">
      <c r="A8097" s="6" t="str">
        <f>HYPERLINK("proteomic_fractions_linear_files/Yang_linear_img/226437674.jpg", "226437674")</f>
        <v>226437674</v>
      </c>
      <c r="B8097" s="7"/>
      <c r="C8097" s="6" t="str">
        <f>HYPERLINK("http://www.ncbi.nlm.nih.gov/protein/226437674","Utp20")</f>
        <v>Utp20</v>
      </c>
      <c r="D8097" s="8"/>
      <c r="E8097" s="8">
        <v>317744</v>
      </c>
      <c r="F8097" s="8"/>
      <c r="G8097" s="15" t="s">
        <v>10</v>
      </c>
      <c r="H8097" s="15" t="s">
        <v>10</v>
      </c>
      <c r="I8097" s="15">
        <v>0.34528793654443857</v>
      </c>
      <c r="J8097" s="15">
        <v>0.34528793654443857</v>
      </c>
      <c r="K8097" s="15">
        <v>0.34528793654443857</v>
      </c>
      <c r="L8097" s="15">
        <v>0.34528793654443857</v>
      </c>
      <c r="M8097" s="15" t="s">
        <v>10</v>
      </c>
      <c r="N8097" s="15" t="s">
        <v>10</v>
      </c>
      <c r="O8097" s="15">
        <v>0.34528793654443857</v>
      </c>
      <c r="P8097" s="15">
        <v>0.34528793654443857</v>
      </c>
      <c r="Q8097" s="8"/>
      <c r="R8097" s="9" t="s">
        <v>7583</v>
      </c>
    </row>
    <row r="8098" spans="1:18" x14ac:dyDescent="0.25">
      <c r="A8098" s="6" t="str">
        <f>HYPERLINK("proteomic_fractions_linear_files/Yang_linear_img/12746430.jpg", "12746430")</f>
        <v>12746430</v>
      </c>
      <c r="B8098" s="7"/>
      <c r="C8098" s="6" t="str">
        <f>HYPERLINK("http://www.ncbi.nlm.nih.gov/protein/12746430","Utp3")</f>
        <v>Utp3</v>
      </c>
      <c r="D8098" s="8"/>
      <c r="E8098" s="8">
        <v>53268</v>
      </c>
      <c r="F8098" s="8"/>
      <c r="G8098" s="15">
        <v>1.5678992164744123</v>
      </c>
      <c r="H8098" s="15">
        <v>2.0717276192666314</v>
      </c>
      <c r="I8098" s="15" t="s">
        <v>10</v>
      </c>
      <c r="J8098" s="15" t="s">
        <v>10</v>
      </c>
      <c r="K8098" s="15" t="s">
        <v>10</v>
      </c>
      <c r="L8098" s="15" t="s">
        <v>10</v>
      </c>
      <c r="M8098" s="15" t="s">
        <v>10</v>
      </c>
      <c r="N8098" s="15" t="s">
        <v>10</v>
      </c>
      <c r="O8098" s="15" t="s">
        <v>10</v>
      </c>
      <c r="P8098" s="15" t="s">
        <v>10</v>
      </c>
      <c r="Q8098" s="8"/>
      <c r="R8098" s="9" t="s">
        <v>7584</v>
      </c>
    </row>
    <row r="8099" spans="1:18" x14ac:dyDescent="0.25">
      <c r="A8099" s="6" t="str">
        <f>HYPERLINK("proteomic_fractions_linear_files/Yang_linear_img/110431378.jpg", "110431378")</f>
        <v>110431378</v>
      </c>
      <c r="B8099" s="7"/>
      <c r="C8099" s="6" t="str">
        <f>HYPERLINK("http://www.ncbi.nlm.nih.gov/protein/110431378","Utrn")</f>
        <v>Utrn</v>
      </c>
      <c r="D8099" s="8"/>
      <c r="E8099" s="8">
        <v>392576</v>
      </c>
      <c r="F8099" s="8"/>
      <c r="G8099" s="15">
        <v>0.76789650034732515</v>
      </c>
      <c r="H8099" s="15">
        <v>0.76789650034732515</v>
      </c>
      <c r="I8099" s="15">
        <v>0.76789650034732515</v>
      </c>
      <c r="J8099" s="15">
        <v>0.76789650034732515</v>
      </c>
      <c r="K8099" s="15">
        <v>1.0408233021359792</v>
      </c>
      <c r="L8099" s="15">
        <v>1.0408233021359792</v>
      </c>
      <c r="M8099" s="15">
        <v>1.0408233021359792</v>
      </c>
      <c r="N8099" s="15">
        <v>1.0408233021359792</v>
      </c>
      <c r="O8099" s="15">
        <v>0.76789650034732515</v>
      </c>
      <c r="P8099" s="15">
        <v>0.76789650034732515</v>
      </c>
      <c r="Q8099" s="8"/>
      <c r="R8099" s="9" t="s">
        <v>7585</v>
      </c>
    </row>
    <row r="8100" spans="1:18" x14ac:dyDescent="0.25">
      <c r="A8100" s="6" t="str">
        <f>HYPERLINK("proteomic_fractions_linear_files/Yang_linear_img/6755931.jpg", "6755931")</f>
        <v>6755931</v>
      </c>
      <c r="B8100" s="7"/>
      <c r="C8100" s="6" t="str">
        <f>HYPERLINK("http://www.ncbi.nlm.nih.gov/protein/6755931","Uts2")</f>
        <v>Uts2</v>
      </c>
      <c r="D8100" s="8"/>
      <c r="E8100" s="8">
        <v>1653</v>
      </c>
      <c r="F8100" s="8"/>
      <c r="G8100" s="15" t="s">
        <v>10</v>
      </c>
      <c r="H8100" s="15" t="s">
        <v>10</v>
      </c>
      <c r="I8100" s="15" t="s">
        <v>10</v>
      </c>
      <c r="J8100" s="15" t="s">
        <v>10</v>
      </c>
      <c r="K8100" s="15" t="s">
        <v>10</v>
      </c>
      <c r="L8100" s="15" t="s">
        <v>10</v>
      </c>
      <c r="M8100" s="15" t="s">
        <v>10</v>
      </c>
      <c r="N8100" s="15" t="s">
        <v>10</v>
      </c>
      <c r="O8100" s="15">
        <v>150.89166231824939</v>
      </c>
      <c r="P8100" s="15">
        <v>150.89166231824939</v>
      </c>
      <c r="Q8100" s="8"/>
      <c r="R8100" s="9" t="s">
        <v>7586</v>
      </c>
    </row>
    <row r="8101" spans="1:18" x14ac:dyDescent="0.25">
      <c r="A8101" s="6" t="str">
        <f>HYPERLINK("proteomic_fractions_linear_files/Yang_linear_img/170671724.jpg", "170671724")</f>
        <v>170671724</v>
      </c>
      <c r="B8101" s="7"/>
      <c r="C8101" s="6" t="str">
        <f>HYPERLINK("http://www.ncbi.nlm.nih.gov/protein/170671724","Uvrag")</f>
        <v>Uvrag</v>
      </c>
      <c r="D8101" s="8"/>
      <c r="E8101" s="8">
        <v>77394</v>
      </c>
      <c r="F8101" s="8"/>
      <c r="G8101" s="15" t="s">
        <v>10</v>
      </c>
      <c r="H8101" s="15" t="s">
        <v>10</v>
      </c>
      <c r="I8101" s="15" t="s">
        <v>10</v>
      </c>
      <c r="J8101" s="15" t="s">
        <v>10</v>
      </c>
      <c r="K8101" s="15">
        <v>0.68987752766235166</v>
      </c>
      <c r="L8101" s="15">
        <v>0.68987752766235166</v>
      </c>
      <c r="M8101" s="15" t="s">
        <v>10</v>
      </c>
      <c r="N8101" s="15" t="s">
        <v>10</v>
      </c>
      <c r="O8101" s="15" t="s">
        <v>10</v>
      </c>
      <c r="P8101" s="15" t="s">
        <v>10</v>
      </c>
      <c r="Q8101" s="8"/>
      <c r="R8101" s="9" t="s">
        <v>7587</v>
      </c>
    </row>
    <row r="8102" spans="1:18" x14ac:dyDescent="0.25">
      <c r="A8102" s="6" t="str">
        <f>HYPERLINK("proteomic_fractions_linear_files/Yang_linear_img/28076899.jpg", "28076899")</f>
        <v>28076899</v>
      </c>
      <c r="B8102" s="7"/>
      <c r="C8102" s="6" t="str">
        <f>HYPERLINK("http://www.ncbi.nlm.nih.gov/protein/28076899","Uxs1")</f>
        <v>Uxs1</v>
      </c>
      <c r="D8102" s="8"/>
      <c r="E8102" s="8">
        <v>47422</v>
      </c>
      <c r="F8102" s="8"/>
      <c r="G8102" s="15" t="s">
        <v>10</v>
      </c>
      <c r="H8102" s="15" t="s">
        <v>10</v>
      </c>
      <c r="I8102" s="15">
        <v>1.0274462890301117</v>
      </c>
      <c r="J8102" s="15">
        <v>1.0274462890301117</v>
      </c>
      <c r="K8102" s="15" t="s">
        <v>10</v>
      </c>
      <c r="L8102" s="15" t="s">
        <v>10</v>
      </c>
      <c r="M8102" s="15" t="s">
        <v>10</v>
      </c>
      <c r="N8102" s="15" t="s">
        <v>10</v>
      </c>
      <c r="O8102" s="15" t="s">
        <v>10</v>
      </c>
      <c r="P8102" s="15" t="s">
        <v>10</v>
      </c>
      <c r="Q8102" s="8"/>
      <c r="R8102" s="9" t="s">
        <v>7588</v>
      </c>
    </row>
    <row r="8103" spans="1:18" x14ac:dyDescent="0.25">
      <c r="A8103" s="6" t="str">
        <f>HYPERLINK("proteomic_fractions_linear_files/Yang_linear_img/30841023.jpg", "30841023")</f>
        <v>30841023</v>
      </c>
      <c r="B8103" s="7"/>
      <c r="C8103" s="6" t="str">
        <f>HYPERLINK("http://www.ncbi.nlm.nih.gov/protein/30841023","Uxt")</f>
        <v>Uxt</v>
      </c>
      <c r="D8103" s="8"/>
      <c r="E8103" s="8">
        <v>18056</v>
      </c>
      <c r="F8103" s="8"/>
      <c r="G8103" s="15" t="s">
        <v>10</v>
      </c>
      <c r="H8103" s="15" t="s">
        <v>10</v>
      </c>
      <c r="I8103" s="15">
        <v>0.9286930289226123</v>
      </c>
      <c r="J8103" s="15">
        <v>0.9286930289226123</v>
      </c>
      <c r="K8103" s="15">
        <v>0.9286930289226123</v>
      </c>
      <c r="L8103" s="15">
        <v>0.9286930289226123</v>
      </c>
      <c r="M8103" s="15">
        <v>0.97610776474216487</v>
      </c>
      <c r="N8103" s="15">
        <v>0.97610776474216487</v>
      </c>
      <c r="O8103" s="15">
        <v>0.9286930289226123</v>
      </c>
      <c r="P8103" s="15">
        <v>0.9286930289226123</v>
      </c>
      <c r="Q8103" s="8"/>
      <c r="R8103" s="9" t="s">
        <v>7589</v>
      </c>
    </row>
    <row r="8104" spans="1:18" x14ac:dyDescent="0.25">
      <c r="A8104" s="6" t="str">
        <f>HYPERLINK("proteomic_fractions_linear_files/Yang_linear_img/31542488.jpg", "31542488")</f>
        <v>31542488</v>
      </c>
      <c r="B8104" s="7"/>
      <c r="C8104" s="6" t="str">
        <f>HYPERLINK("http://www.ncbi.nlm.nih.gov/protein/31542488","Vac14")</f>
        <v>Vac14</v>
      </c>
      <c r="D8104" s="8"/>
      <c r="E8104" s="8">
        <v>87917</v>
      </c>
      <c r="F8104" s="8"/>
      <c r="G8104" s="15">
        <v>1.2477450434219486</v>
      </c>
      <c r="H8104" s="15">
        <v>1.2477450434219486</v>
      </c>
      <c r="I8104" s="15">
        <v>1.0791816043475513</v>
      </c>
      <c r="J8104" s="15">
        <v>1.0791816043475513</v>
      </c>
      <c r="K8104" s="15">
        <v>1.0791816043475513</v>
      </c>
      <c r="L8104" s="15">
        <v>1.0791816043475513</v>
      </c>
      <c r="M8104" s="15">
        <v>1.0791816043475513</v>
      </c>
      <c r="N8104" s="15">
        <v>1.0791816043475513</v>
      </c>
      <c r="O8104" s="15">
        <v>1.0791816043475513</v>
      </c>
      <c r="P8104" s="15">
        <v>1.0791816043475513</v>
      </c>
      <c r="Q8104" s="8"/>
      <c r="R8104" s="9" t="s">
        <v>7590</v>
      </c>
    </row>
    <row r="8105" spans="1:18" x14ac:dyDescent="0.25">
      <c r="A8105" s="6" t="str">
        <f>HYPERLINK("proteomic_fractions_linear_files/Yang_linear_img/123702073.jpg", "123702073")</f>
        <v>123702073</v>
      </c>
      <c r="B8105" s="7"/>
      <c r="C8105" s="6" t="str">
        <f>HYPERLINK("http://www.ncbi.nlm.nih.gov/protein/123702073","Vamp1")</f>
        <v>Vamp1</v>
      </c>
      <c r="D8105" s="8"/>
      <c r="E8105" s="8">
        <v>12622</v>
      </c>
      <c r="F8105" s="8"/>
      <c r="G8105" s="15">
        <v>1.5844185528197132</v>
      </c>
      <c r="H8105" s="15">
        <v>1.5844185528197132</v>
      </c>
      <c r="I8105" s="15">
        <v>0.98055533399520201</v>
      </c>
      <c r="J8105" s="15">
        <v>0.98055533399520201</v>
      </c>
      <c r="K8105" s="15">
        <v>1.3515338281045359</v>
      </c>
      <c r="L8105" s="15">
        <v>1.3515338281045359</v>
      </c>
      <c r="M8105" s="15" t="s">
        <v>10</v>
      </c>
      <c r="N8105" s="15" t="s">
        <v>10</v>
      </c>
      <c r="O8105" s="15" t="s">
        <v>10</v>
      </c>
      <c r="P8105" s="15" t="s">
        <v>10</v>
      </c>
      <c r="Q8105" s="8"/>
      <c r="R8105" s="9" t="s">
        <v>7591</v>
      </c>
    </row>
    <row r="8106" spans="1:18" x14ac:dyDescent="0.25">
      <c r="A8106" s="6" t="str">
        <f>HYPERLINK("proteomic_fractions_linear_files/Yang_linear_img/6678549.jpg", "6678549")</f>
        <v>6678549</v>
      </c>
      <c r="B8106" s="7"/>
      <c r="C8106" s="6" t="str">
        <f>HYPERLINK("http://www.ncbi.nlm.nih.gov/protein/6678549","Vamp1")</f>
        <v>Vamp1</v>
      </c>
      <c r="D8106" s="8"/>
      <c r="E8106" s="8">
        <v>12759</v>
      </c>
      <c r="F8106" s="8"/>
      <c r="G8106" s="15">
        <v>1.5844185528197132</v>
      </c>
      <c r="H8106" s="15">
        <v>1.5844185528197132</v>
      </c>
      <c r="I8106" s="15">
        <v>0.98055533399520201</v>
      </c>
      <c r="J8106" s="15">
        <v>0.98055533399520201</v>
      </c>
      <c r="K8106" s="15">
        <v>1.3515338281045359</v>
      </c>
      <c r="L8106" s="15">
        <v>1.3515338281045359</v>
      </c>
      <c r="M8106" s="15" t="s">
        <v>10</v>
      </c>
      <c r="N8106" s="15" t="s">
        <v>10</v>
      </c>
      <c r="O8106" s="15" t="s">
        <v>10</v>
      </c>
      <c r="P8106" s="15" t="s">
        <v>10</v>
      </c>
      <c r="Q8106" s="8"/>
      <c r="R8106" s="9" t="s">
        <v>7592</v>
      </c>
    </row>
    <row r="8107" spans="1:18" x14ac:dyDescent="0.25">
      <c r="A8107" s="6" t="str">
        <f>HYPERLINK("proteomic_fractions_linear_files/Yang_linear_img/6678551.jpg", "6678551")</f>
        <v>6678551</v>
      </c>
      <c r="B8107" s="7"/>
      <c r="C8107" s="6" t="str">
        <f>HYPERLINK("http://www.ncbi.nlm.nih.gov/protein/6678551","Vamp2")</f>
        <v>Vamp2</v>
      </c>
      <c r="D8107" s="8"/>
      <c r="E8107" s="8">
        <v>12560</v>
      </c>
      <c r="F8107" s="8"/>
      <c r="G8107" s="15">
        <v>1.5844185528197132</v>
      </c>
      <c r="H8107" s="15">
        <v>1.6765955592829809</v>
      </c>
      <c r="I8107" s="15">
        <v>1.2251878294755212</v>
      </c>
      <c r="J8107" s="15">
        <v>1.2251878294755212</v>
      </c>
      <c r="K8107" s="15">
        <v>1.2858826554313094</v>
      </c>
      <c r="L8107" s="15">
        <v>1.2858826554313094</v>
      </c>
      <c r="M8107" s="15">
        <v>1.2858826554313094</v>
      </c>
      <c r="N8107" s="15">
        <v>1.2858826554313094</v>
      </c>
      <c r="O8107" s="15" t="s">
        <v>10</v>
      </c>
      <c r="P8107" s="15" t="s">
        <v>10</v>
      </c>
      <c r="Q8107" s="8"/>
      <c r="R8107" s="9" t="s">
        <v>7593</v>
      </c>
    </row>
    <row r="8108" spans="1:18" x14ac:dyDescent="0.25">
      <c r="A8108" s="6" t="str">
        <f>HYPERLINK("proteomic_fractions_linear_files/Yang_linear_img/6678553.jpg", "6678553")</f>
        <v>6678553</v>
      </c>
      <c r="B8108" s="7"/>
      <c r="C8108" s="6" t="str">
        <f>HYPERLINK("http://www.ncbi.nlm.nih.gov/protein/6678553","Vamp3")</f>
        <v>Vamp3</v>
      </c>
      <c r="D8108" s="8"/>
      <c r="E8108" s="8">
        <v>11349</v>
      </c>
      <c r="F8108" s="8"/>
      <c r="G8108" s="15">
        <v>1.8724946533323885</v>
      </c>
      <c r="H8108" s="15">
        <v>1.9814311155162501</v>
      </c>
      <c r="I8108" s="15">
        <v>1.447949253016525</v>
      </c>
      <c r="J8108" s="15">
        <v>1.447949253016525</v>
      </c>
      <c r="K8108" s="15">
        <v>1.5196795018733658</v>
      </c>
      <c r="L8108" s="15">
        <v>1.5196795018733658</v>
      </c>
      <c r="M8108" s="15">
        <v>1.3197703383518498</v>
      </c>
      <c r="N8108" s="15">
        <v>1.5196795018733658</v>
      </c>
      <c r="O8108" s="15" t="s">
        <v>10</v>
      </c>
      <c r="P8108" s="15" t="s">
        <v>10</v>
      </c>
      <c r="Q8108" s="8"/>
      <c r="R8108" s="9" t="s">
        <v>7594</v>
      </c>
    </row>
    <row r="8109" spans="1:18" x14ac:dyDescent="0.25">
      <c r="A8109" s="6" t="str">
        <f>HYPERLINK("proteomic_fractions_linear_files/Yang_linear_img/31543938.jpg", "31543938")</f>
        <v>31543938</v>
      </c>
      <c r="B8109" s="7"/>
      <c r="C8109" s="6" t="str">
        <f>HYPERLINK("http://www.ncbi.nlm.nih.gov/protein/31543938","Vamp4")</f>
        <v>Vamp4</v>
      </c>
      <c r="D8109" s="8"/>
      <c r="E8109" s="8">
        <v>16227</v>
      </c>
      <c r="F8109" s="8"/>
      <c r="G8109" s="15" t="s">
        <v>10</v>
      </c>
      <c r="H8109" s="15" t="s">
        <v>10</v>
      </c>
      <c r="I8109" s="15">
        <v>1.0447796575379389</v>
      </c>
      <c r="J8109" s="15">
        <v>1.0447796575379389</v>
      </c>
      <c r="K8109" s="15">
        <v>1.0981212353349354</v>
      </c>
      <c r="L8109" s="15">
        <v>1.0981212353349354</v>
      </c>
      <c r="M8109" s="15" t="s">
        <v>10</v>
      </c>
      <c r="N8109" s="15" t="s">
        <v>10</v>
      </c>
      <c r="O8109" s="15" t="s">
        <v>10</v>
      </c>
      <c r="P8109" s="15" t="s">
        <v>10</v>
      </c>
      <c r="Q8109" s="8"/>
      <c r="R8109" s="9" t="s">
        <v>7595</v>
      </c>
    </row>
    <row r="8110" spans="1:18" x14ac:dyDescent="0.25">
      <c r="A8110" s="6" t="str">
        <f>HYPERLINK("proteomic_fractions_linear_files/Yang_linear_img/124001562;8394526.jpg", "124001562;8394526")</f>
        <v>124001562;8394526</v>
      </c>
      <c r="B8110" s="8"/>
      <c r="C8110" s="6" t="str">
        <f>HYPERLINK("http://www.ncbi.nlm.nih.gov/protein/124001562;8394526","Vamp5")</f>
        <v>Vamp5</v>
      </c>
      <c r="D8110" s="8"/>
      <c r="E8110" s="8">
        <v>11285</v>
      </c>
      <c r="F8110" s="8"/>
      <c r="G8110" s="15" t="s">
        <v>10</v>
      </c>
      <c r="H8110" s="15" t="s">
        <v>10</v>
      </c>
      <c r="I8110" s="15">
        <v>1.3197703383518498</v>
      </c>
      <c r="J8110" s="15">
        <v>1.3197703383518498</v>
      </c>
      <c r="K8110" s="15">
        <v>1.3197703383518498</v>
      </c>
      <c r="L8110" s="15">
        <v>1.3197703383518498</v>
      </c>
      <c r="M8110" s="15" t="s">
        <v>10</v>
      </c>
      <c r="N8110" s="15" t="s">
        <v>10</v>
      </c>
      <c r="O8110" s="15" t="s">
        <v>10</v>
      </c>
      <c r="P8110" s="15" t="s">
        <v>10</v>
      </c>
      <c r="Q8110" s="8"/>
      <c r="R8110" s="9" t="s">
        <v>7596</v>
      </c>
    </row>
    <row r="8111" spans="1:18" x14ac:dyDescent="0.25">
      <c r="A8111" s="6" t="str">
        <f>HYPERLINK("proteomic_fractions_linear_files/Yang_linear_img/33468929.jpg", "33468929")</f>
        <v>33468929</v>
      </c>
      <c r="B8111" s="7"/>
      <c r="C8111" s="6" t="str">
        <f>HYPERLINK("http://www.ncbi.nlm.nih.gov/protein/33468929","Vamp7")</f>
        <v>Vamp7</v>
      </c>
      <c r="D8111" s="8"/>
      <c r="E8111" s="8">
        <v>24836</v>
      </c>
      <c r="F8111" s="8"/>
      <c r="G8111" s="15" t="s">
        <v>10</v>
      </c>
      <c r="H8111" s="15" t="s">
        <v>10</v>
      </c>
      <c r="I8111" s="15">
        <v>0.87182969082715001</v>
      </c>
      <c r="J8111" s="15">
        <v>0.87182969082715001</v>
      </c>
      <c r="K8111" s="15">
        <v>0.87182969082715001</v>
      </c>
      <c r="L8111" s="15">
        <v>0.87182969082715001</v>
      </c>
      <c r="M8111" s="15">
        <v>0.87182969082715001</v>
      </c>
      <c r="N8111" s="15">
        <v>0.87182969082715001</v>
      </c>
      <c r="O8111" s="15" t="s">
        <v>10</v>
      </c>
      <c r="P8111" s="15" t="s">
        <v>10</v>
      </c>
      <c r="Q8111" s="8"/>
      <c r="R8111" s="9" t="s">
        <v>7597</v>
      </c>
    </row>
    <row r="8112" spans="1:18" x14ac:dyDescent="0.25">
      <c r="A8112" s="6" t="str">
        <f>HYPERLINK("proteomic_fractions_linear_files/Yang_linear_img/31980629.jpg", "31980629")</f>
        <v>31980629</v>
      </c>
      <c r="B8112" s="7"/>
      <c r="C8112" s="6" t="str">
        <f>HYPERLINK("http://www.ncbi.nlm.nih.gov/protein/31980629","Vamp8")</f>
        <v>Vamp8</v>
      </c>
      <c r="D8112" s="8"/>
      <c r="E8112" s="8">
        <v>11304</v>
      </c>
      <c r="F8112" s="8"/>
      <c r="G8112" s="15">
        <v>1.2623500454487864</v>
      </c>
      <c r="H8112" s="15">
        <v>1.2623500454487864</v>
      </c>
      <c r="I8112" s="15">
        <v>1.2623500454487864</v>
      </c>
      <c r="J8112" s="15">
        <v>1.2623500454487864</v>
      </c>
      <c r="K8112" s="15">
        <v>1.3814852994376623</v>
      </c>
      <c r="L8112" s="15">
        <v>1.3814852994376623</v>
      </c>
      <c r="M8112" s="15">
        <v>1.3197703383518498</v>
      </c>
      <c r="N8112" s="15">
        <v>1.3197703383518498</v>
      </c>
      <c r="O8112" s="15" t="s">
        <v>10</v>
      </c>
      <c r="P8112" s="15" t="s">
        <v>10</v>
      </c>
      <c r="Q8112" s="8"/>
      <c r="R8112" s="9" t="s">
        <v>7598</v>
      </c>
    </row>
    <row r="8113" spans="1:18" x14ac:dyDescent="0.25">
      <c r="A8113" s="6" t="str">
        <f>HYPERLINK("proteomic_fractions_linear_files/Yang_linear_img/260099697.jpg", "260099697")</f>
        <v>260099697</v>
      </c>
      <c r="B8113" s="7"/>
      <c r="C8113" s="6" t="str">
        <f>HYPERLINK("http://www.ncbi.nlm.nih.gov/protein/260099697","Vangl1")</f>
        <v>Vangl1</v>
      </c>
      <c r="D8113" s="8"/>
      <c r="E8113" s="8">
        <v>59933</v>
      </c>
      <c r="F8113" s="8"/>
      <c r="G8113" s="15" t="s">
        <v>10</v>
      </c>
      <c r="H8113" s="15" t="s">
        <v>10</v>
      </c>
      <c r="I8113" s="15">
        <v>1.0908877221757389</v>
      </c>
      <c r="J8113" s="15">
        <v>1.0908877221757389</v>
      </c>
      <c r="K8113" s="15">
        <v>1.2239360040280374</v>
      </c>
      <c r="L8113" s="15">
        <v>1.2239360040280374</v>
      </c>
      <c r="M8113" s="15">
        <v>1.0908877221757389</v>
      </c>
      <c r="N8113" s="15">
        <v>1.0908877221757389</v>
      </c>
      <c r="O8113" s="15" t="s">
        <v>10</v>
      </c>
      <c r="P8113" s="15" t="s">
        <v>10</v>
      </c>
      <c r="Q8113" s="8"/>
      <c r="R8113" s="9" t="s">
        <v>7599</v>
      </c>
    </row>
    <row r="8114" spans="1:18" x14ac:dyDescent="0.25">
      <c r="A8114" s="6" t="str">
        <f>HYPERLINK("proteomic_fractions_linear_files/Yang_linear_img/260099699.jpg", "260099699")</f>
        <v>260099699</v>
      </c>
      <c r="B8114" s="7"/>
      <c r="C8114" s="6" t="str">
        <f>HYPERLINK("http://www.ncbi.nlm.nih.gov/protein/260099699","Vangl1")</f>
        <v>Vangl1</v>
      </c>
      <c r="D8114" s="8"/>
      <c r="E8114" s="8">
        <v>44116</v>
      </c>
      <c r="F8114" s="8"/>
      <c r="G8114" s="15" t="s">
        <v>10</v>
      </c>
      <c r="H8114" s="15" t="s">
        <v>10</v>
      </c>
      <c r="I8114" s="15">
        <v>1.4875741666032802</v>
      </c>
      <c r="J8114" s="15">
        <v>1.4875741666032802</v>
      </c>
      <c r="K8114" s="15">
        <v>1.6690036418564147</v>
      </c>
      <c r="L8114" s="15">
        <v>1.6690036418564147</v>
      </c>
      <c r="M8114" s="15">
        <v>1.4875741666032802</v>
      </c>
      <c r="N8114" s="15">
        <v>1.4875741666032802</v>
      </c>
      <c r="O8114" s="15" t="s">
        <v>10</v>
      </c>
      <c r="P8114" s="15" t="s">
        <v>10</v>
      </c>
      <c r="Q8114" s="8"/>
      <c r="R8114" s="9" t="s">
        <v>7600</v>
      </c>
    </row>
    <row r="8115" spans="1:18" x14ac:dyDescent="0.25">
      <c r="A8115" s="6" t="str">
        <f>HYPERLINK("proteomic_fractions_linear_files/Yang_linear_img/94721328.jpg", "94721328")</f>
        <v>94721328</v>
      </c>
      <c r="B8115" s="7"/>
      <c r="C8115" s="6" t="str">
        <f>HYPERLINK("http://www.ncbi.nlm.nih.gov/protein/94721328","Vapa")</f>
        <v>Vapa</v>
      </c>
      <c r="D8115" s="8"/>
      <c r="E8115" s="8">
        <v>27724</v>
      </c>
      <c r="F8115" s="8"/>
      <c r="G8115" s="15">
        <v>1.3336188008258782</v>
      </c>
      <c r="H8115" s="15">
        <v>1.3336188008258782</v>
      </c>
      <c r="I8115" s="15">
        <v>0.93393778983660714</v>
      </c>
      <c r="J8115" s="15">
        <v>0.93393778983660714</v>
      </c>
      <c r="K8115" s="15">
        <v>0.99707897491721642</v>
      </c>
      <c r="L8115" s="15">
        <v>0.99707897491721642</v>
      </c>
      <c r="M8115" s="15">
        <v>0.93393778983660714</v>
      </c>
      <c r="N8115" s="15">
        <v>0.93393778983660714</v>
      </c>
      <c r="O8115" s="15">
        <v>0.56883720654220626</v>
      </c>
      <c r="P8115" s="15">
        <v>0.56883720654220626</v>
      </c>
      <c r="Q8115" s="8"/>
      <c r="R8115" s="9" t="s">
        <v>7601</v>
      </c>
    </row>
    <row r="8116" spans="1:18" x14ac:dyDescent="0.25">
      <c r="A8116" s="6" t="str">
        <f>HYPERLINK("proteomic_fractions_linear_files/Yang_linear_img/31543940.jpg", "31543940")</f>
        <v>31543940</v>
      </c>
      <c r="B8116" s="7"/>
      <c r="C8116" s="6" t="str">
        <f>HYPERLINK("http://www.ncbi.nlm.nih.gov/protein/31543940","Vapb")</f>
        <v>Vapb</v>
      </c>
      <c r="D8116" s="8"/>
      <c r="E8116" s="8">
        <v>26787</v>
      </c>
      <c r="F8116" s="8"/>
      <c r="G8116" s="15">
        <v>1.3830120897453553</v>
      </c>
      <c r="H8116" s="15">
        <v>1.3830120897453553</v>
      </c>
      <c r="I8116" s="15">
        <v>0.96852807834907406</v>
      </c>
      <c r="J8116" s="15">
        <v>0.96852807834907406</v>
      </c>
      <c r="K8116" s="15">
        <v>1.0340078258400762</v>
      </c>
      <c r="L8116" s="15">
        <v>1.0340078258400762</v>
      </c>
      <c r="M8116" s="15">
        <v>0.96852807834907406</v>
      </c>
      <c r="N8116" s="15">
        <v>0.96852807834907406</v>
      </c>
      <c r="O8116" s="15">
        <v>0.58990525122895465</v>
      </c>
      <c r="P8116" s="15">
        <v>0.58990525122895465</v>
      </c>
      <c r="Q8116" s="8"/>
      <c r="R8116" s="9" t="s">
        <v>7602</v>
      </c>
    </row>
    <row r="8117" spans="1:18" x14ac:dyDescent="0.25">
      <c r="A8117" s="6" t="str">
        <f>HYPERLINK("proteomic_fractions_linear_files/Yang_linear_img/255069795.jpg", "255069795")</f>
        <v>255069795</v>
      </c>
      <c r="B8117" s="7"/>
      <c r="C8117" s="6" t="str">
        <f>HYPERLINK("http://www.ncbi.nlm.nih.gov/protein/255069795","Vars")</f>
        <v>Vars</v>
      </c>
      <c r="D8117" s="8"/>
      <c r="E8117" s="8">
        <v>140085</v>
      </c>
      <c r="F8117" s="8"/>
      <c r="G8117" s="15">
        <v>1.3340416545710025</v>
      </c>
      <c r="H8117" s="15">
        <v>1.3340416545710025</v>
      </c>
      <c r="I8117" s="15">
        <v>1.0960919366874418</v>
      </c>
      <c r="J8117" s="15">
        <v>1.0960919366874418</v>
      </c>
      <c r="K8117" s="15">
        <v>1.3340416545710025</v>
      </c>
      <c r="L8117" s="15">
        <v>1.3340416545710025</v>
      </c>
      <c r="M8117" s="15">
        <v>1.3340416545710025</v>
      </c>
      <c r="N8117" s="15">
        <v>1.3340416545710025</v>
      </c>
      <c r="O8117" s="15">
        <v>1.0960919366874418</v>
      </c>
      <c r="P8117" s="15">
        <v>1.0960919366874418</v>
      </c>
      <c r="Q8117" s="8"/>
      <c r="R8117" s="9" t="s">
        <v>7603</v>
      </c>
    </row>
    <row r="8118" spans="1:18" x14ac:dyDescent="0.25">
      <c r="A8118" s="6" t="str">
        <f>HYPERLINK("proteomic_fractions_linear_files/Yang_linear_img/160333671.jpg", "160333671")</f>
        <v>160333671</v>
      </c>
      <c r="B8118" s="7"/>
      <c r="C8118" s="6" t="str">
        <f>HYPERLINK("http://www.ncbi.nlm.nih.gov/protein/160333671","Vars2")</f>
        <v>Vars2</v>
      </c>
      <c r="D8118" s="8"/>
      <c r="E8118" s="8">
        <v>116761</v>
      </c>
      <c r="F8118" s="8"/>
      <c r="G8118" s="15" t="s">
        <v>10</v>
      </c>
      <c r="H8118" s="15" t="s">
        <v>10</v>
      </c>
      <c r="I8118" s="15">
        <v>1.1001848559411707</v>
      </c>
      <c r="J8118" s="15">
        <v>1.1001848559411707</v>
      </c>
      <c r="K8118" s="15" t="s">
        <v>10</v>
      </c>
      <c r="L8118" s="15" t="s">
        <v>10</v>
      </c>
      <c r="M8118" s="15" t="s">
        <v>10</v>
      </c>
      <c r="N8118" s="15" t="s">
        <v>10</v>
      </c>
      <c r="O8118" s="15" t="s">
        <v>10</v>
      </c>
      <c r="P8118" s="15" t="s">
        <v>10</v>
      </c>
      <c r="Q8118" s="8"/>
      <c r="R8118" s="9" t="s">
        <v>7604</v>
      </c>
    </row>
    <row r="8119" spans="1:18" x14ac:dyDescent="0.25">
      <c r="A8119" s="6" t="str">
        <f>HYPERLINK("proteomic_fractions_linear_files/Yang_linear_img/31981693.jpg", "31981693")</f>
        <v>31981693</v>
      </c>
      <c r="B8119" s="7"/>
      <c r="C8119" s="6" t="str">
        <f>HYPERLINK("http://www.ncbi.nlm.nih.gov/protein/31981693","Vasn")</f>
        <v>Vasn</v>
      </c>
      <c r="D8119" s="8"/>
      <c r="E8119" s="8">
        <v>69762</v>
      </c>
      <c r="F8119" s="8"/>
      <c r="G8119" s="15" t="s">
        <v>10</v>
      </c>
      <c r="H8119" s="15" t="s">
        <v>10</v>
      </c>
      <c r="I8119" s="15" t="s">
        <v>10</v>
      </c>
      <c r="J8119" s="15" t="s">
        <v>10</v>
      </c>
      <c r="K8119" s="15" t="s">
        <v>10</v>
      </c>
      <c r="L8119" s="15" t="s">
        <v>10</v>
      </c>
      <c r="M8119" s="15" t="s">
        <v>10</v>
      </c>
      <c r="N8119" s="15" t="s">
        <v>10</v>
      </c>
      <c r="O8119" s="15">
        <v>2.6680833091420051</v>
      </c>
      <c r="P8119" s="15">
        <v>2.6680833091420051</v>
      </c>
      <c r="Q8119" s="8"/>
      <c r="R8119" s="9" t="s">
        <v>7605</v>
      </c>
    </row>
    <row r="8120" spans="1:18" x14ac:dyDescent="0.25">
      <c r="A8120" s="6" t="str">
        <f>HYPERLINK("proteomic_fractions_linear_files/Yang_linear_img/530537260.jpg", "530537260")</f>
        <v>530537260</v>
      </c>
      <c r="B8120" s="7"/>
      <c r="C8120" s="6" t="str">
        <f>HYPERLINK("http://www.ncbi.nlm.nih.gov/protein/530537260","Vasp")</f>
        <v>Vasp</v>
      </c>
      <c r="D8120" s="8"/>
      <c r="E8120" s="8">
        <v>39407</v>
      </c>
      <c r="F8120" s="8"/>
      <c r="G8120" s="15">
        <v>1.5070053227075346</v>
      </c>
      <c r="H8120" s="15">
        <v>1.5070053227075346</v>
      </c>
      <c r="I8120" s="15" t="s">
        <v>10</v>
      </c>
      <c r="J8120" s="15" t="s">
        <v>10</v>
      </c>
      <c r="K8120" s="15" t="s">
        <v>10</v>
      </c>
      <c r="L8120" s="15" t="s">
        <v>10</v>
      </c>
      <c r="M8120" s="15" t="s">
        <v>10</v>
      </c>
      <c r="N8120" s="15" t="s">
        <v>10</v>
      </c>
      <c r="O8120" s="15" t="s">
        <v>10</v>
      </c>
      <c r="P8120" s="15" t="s">
        <v>10</v>
      </c>
      <c r="Q8120" s="8"/>
      <c r="R8120" s="9" t="s">
        <v>7606</v>
      </c>
    </row>
    <row r="8121" spans="1:18" x14ac:dyDescent="0.25">
      <c r="A8121" s="6" t="str">
        <f>HYPERLINK("proteomic_fractions_linear_files/Yang_linear_img/530537263.jpg", "530537263")</f>
        <v>530537263</v>
      </c>
      <c r="B8121" s="7"/>
      <c r="C8121" s="6" t="str">
        <f>HYPERLINK("http://www.ncbi.nlm.nih.gov/protein/530537263","Vasp")</f>
        <v>Vasp</v>
      </c>
      <c r="D8121" s="8"/>
      <c r="E8121" s="8">
        <v>38535</v>
      </c>
      <c r="F8121" s="8"/>
      <c r="G8121" s="15">
        <v>1.5070053227075346</v>
      </c>
      <c r="H8121" s="15">
        <v>1.5070053227075346</v>
      </c>
      <c r="I8121" s="15" t="s">
        <v>10</v>
      </c>
      <c r="J8121" s="15" t="s">
        <v>10</v>
      </c>
      <c r="K8121" s="15" t="s">
        <v>10</v>
      </c>
      <c r="L8121" s="15" t="s">
        <v>10</v>
      </c>
      <c r="M8121" s="15" t="s">
        <v>10</v>
      </c>
      <c r="N8121" s="15" t="s">
        <v>10</v>
      </c>
      <c r="O8121" s="15" t="s">
        <v>10</v>
      </c>
      <c r="P8121" s="15" t="s">
        <v>10</v>
      </c>
      <c r="Q8121" s="8"/>
      <c r="R8121" s="9" t="s">
        <v>7607</v>
      </c>
    </row>
    <row r="8122" spans="1:18" x14ac:dyDescent="0.25">
      <c r="A8122" s="6" t="str">
        <f>HYPERLINK("proteomic_fractions_linear_files/Yang_linear_img/160707909.jpg", "160707909")</f>
        <v>160707909</v>
      </c>
      <c r="B8122" s="7"/>
      <c r="C8122" s="6" t="str">
        <f>HYPERLINK("http://www.ncbi.nlm.nih.gov/protein/160707909","Vasp")</f>
        <v>Vasp</v>
      </c>
      <c r="D8122" s="8"/>
      <c r="E8122" s="8">
        <v>39536</v>
      </c>
      <c r="F8122" s="8"/>
      <c r="G8122" s="15">
        <v>1.4693301896398463</v>
      </c>
      <c r="H8122" s="15">
        <v>1.4693301896398463</v>
      </c>
      <c r="I8122" s="15">
        <v>1.1031397311741367</v>
      </c>
      <c r="J8122" s="15">
        <v>1.1031397311741367</v>
      </c>
      <c r="K8122" s="15">
        <v>1.2072493896103813</v>
      </c>
      <c r="L8122" s="15">
        <v>1.2072493896103813</v>
      </c>
      <c r="M8122" s="15">
        <v>1.1031397311741367</v>
      </c>
      <c r="N8122" s="15">
        <v>1.1031397311741367</v>
      </c>
      <c r="O8122" s="15">
        <v>1.0126829550805687</v>
      </c>
      <c r="P8122" s="15">
        <v>1.0126829550805687</v>
      </c>
      <c r="Q8122" s="8"/>
      <c r="R8122" s="9" t="s">
        <v>7608</v>
      </c>
    </row>
    <row r="8123" spans="1:18" x14ac:dyDescent="0.25">
      <c r="A8123" s="6" t="str">
        <f>HYPERLINK("proteomic_fractions_linear_files/Yang_linear_img/33859662.jpg", "33859662")</f>
        <v>33859662</v>
      </c>
      <c r="B8123" s="7"/>
      <c r="C8123" s="6" t="str">
        <f>HYPERLINK("http://www.ncbi.nlm.nih.gov/protein/33859662","Vat1")</f>
        <v>Vat1</v>
      </c>
      <c r="D8123" s="8"/>
      <c r="E8123" s="8">
        <v>42966</v>
      </c>
      <c r="F8123" s="8"/>
      <c r="G8123" s="15">
        <v>1.5221689146638218</v>
      </c>
      <c r="H8123" s="15">
        <v>1.5221689146638218</v>
      </c>
      <c r="I8123" s="15">
        <v>1.123022688009657</v>
      </c>
      <c r="J8123" s="15">
        <v>1.123022688009657</v>
      </c>
      <c r="K8123" s="15">
        <v>1.2353620844186297</v>
      </c>
      <c r="L8123" s="15">
        <v>1.2353620844186297</v>
      </c>
      <c r="M8123" s="15">
        <v>1.123022688009657</v>
      </c>
      <c r="N8123" s="15">
        <v>1.123022688009657</v>
      </c>
      <c r="O8123" s="15">
        <v>1.0261764941154761</v>
      </c>
      <c r="P8123" s="15">
        <v>1.0261764941154761</v>
      </c>
      <c r="Q8123" s="8"/>
      <c r="R8123" s="9" t="s">
        <v>7609</v>
      </c>
    </row>
    <row r="8124" spans="1:18" x14ac:dyDescent="0.25">
      <c r="A8124" s="6" t="str">
        <f>HYPERLINK("proteomic_fractions_linear_files/Yang_linear_img/6678555.jpg", "6678555")</f>
        <v>6678555</v>
      </c>
      <c r="B8124" s="7"/>
      <c r="C8124" s="6" t="str">
        <f>HYPERLINK("http://www.ncbi.nlm.nih.gov/protein/6678555","Vav2")</f>
        <v>Vav2</v>
      </c>
      <c r="D8124" s="8"/>
      <c r="E8124" s="8">
        <v>99785</v>
      </c>
      <c r="F8124" s="8"/>
      <c r="G8124" s="15" t="s">
        <v>10</v>
      </c>
      <c r="H8124" s="15" t="s">
        <v>10</v>
      </c>
      <c r="I8124" s="15">
        <v>1.0980156382113146</v>
      </c>
      <c r="J8124" s="15">
        <v>1.0980156382113146</v>
      </c>
      <c r="K8124" s="15" t="s">
        <v>10</v>
      </c>
      <c r="L8124" s="15" t="s">
        <v>10</v>
      </c>
      <c r="M8124" s="15" t="s">
        <v>10</v>
      </c>
      <c r="N8124" s="15" t="s">
        <v>10</v>
      </c>
      <c r="O8124" s="15">
        <v>1.0980156382113146</v>
      </c>
      <c r="P8124" s="15">
        <v>1.0980156382113146</v>
      </c>
      <c r="Q8124" s="8"/>
      <c r="R8124" s="9" t="s">
        <v>7610</v>
      </c>
    </row>
    <row r="8125" spans="1:18" x14ac:dyDescent="0.25">
      <c r="A8125" s="6" t="str">
        <f>HYPERLINK("proteomic_fractions_linear_files/Yang_linear_img/124248572.jpg", "124248572")</f>
        <v>124248572</v>
      </c>
      <c r="B8125" s="7"/>
      <c r="C8125" s="6" t="str">
        <f>HYPERLINK("http://www.ncbi.nlm.nih.gov/protein/124248572","Vbp1")</f>
        <v>Vbp1</v>
      </c>
      <c r="D8125" s="8"/>
      <c r="E8125" s="8">
        <v>22305</v>
      </c>
      <c r="F8125" s="8"/>
      <c r="G8125" s="15" t="s">
        <v>10</v>
      </c>
      <c r="H8125" s="15" t="s">
        <v>10</v>
      </c>
      <c r="I8125" s="15">
        <v>1.0504351533962475</v>
      </c>
      <c r="J8125" s="15">
        <v>1.0504351533962475</v>
      </c>
      <c r="K8125" s="15">
        <v>1.0504351533962475</v>
      </c>
      <c r="L8125" s="15">
        <v>1.0504351533962475</v>
      </c>
      <c r="M8125" s="15">
        <v>1.0504351533962475</v>
      </c>
      <c r="N8125" s="15">
        <v>1.0504351533962475</v>
      </c>
      <c r="O8125" s="15">
        <v>0.93624732666619426</v>
      </c>
      <c r="P8125" s="15">
        <v>0.93624732666619426</v>
      </c>
      <c r="Q8125" s="8"/>
      <c r="R8125" s="9" t="s">
        <v>7611</v>
      </c>
    </row>
    <row r="8126" spans="1:18" x14ac:dyDescent="0.25">
      <c r="A8126" s="6" t="str">
        <f>HYPERLINK("proteomic_fractions_linear_files/Yang_linear_img/31543942.jpg", "31543942")</f>
        <v>31543942</v>
      </c>
      <c r="B8126" s="7"/>
      <c r="C8126" s="6" t="str">
        <f>HYPERLINK("http://www.ncbi.nlm.nih.gov/protein/31543942","Vcl")</f>
        <v>Vcl</v>
      </c>
      <c r="D8126" s="8"/>
      <c r="E8126" s="8">
        <v>116587</v>
      </c>
      <c r="F8126" s="8"/>
      <c r="G8126" s="15">
        <v>1.3115630011644601</v>
      </c>
      <c r="H8126" s="15">
        <v>1.3115630011644601</v>
      </c>
      <c r="I8126" s="15">
        <v>1.3115630011644601</v>
      </c>
      <c r="J8126" s="15">
        <v>1.3115630011644601</v>
      </c>
      <c r="K8126" s="15">
        <v>1.3115630011644601</v>
      </c>
      <c r="L8126" s="15">
        <v>1.3115630011644601</v>
      </c>
      <c r="M8126" s="15">
        <v>1.3115630011644601</v>
      </c>
      <c r="N8126" s="15">
        <v>1.3115630011644601</v>
      </c>
      <c r="O8126" s="15">
        <v>1.3115630011644601</v>
      </c>
      <c r="P8126" s="15">
        <v>1.3115630011644601</v>
      </c>
      <c r="Q8126" s="8"/>
      <c r="R8126" s="9" t="s">
        <v>7612</v>
      </c>
    </row>
    <row r="8127" spans="1:18" x14ac:dyDescent="0.25">
      <c r="A8127" s="6" t="str">
        <f>HYPERLINK("proteomic_fractions_linear_files/Yang_linear_img/225543319.jpg", "225543319")</f>
        <v>225543319</v>
      </c>
      <c r="B8127" s="7"/>
      <c r="C8127" s="6" t="str">
        <f>HYPERLINK("http://www.ncbi.nlm.nih.gov/protein/225543319","Vcp")</f>
        <v>Vcp</v>
      </c>
      <c r="D8127" s="8"/>
      <c r="E8127" s="8">
        <v>89191</v>
      </c>
      <c r="F8127" s="8"/>
      <c r="G8127" s="15">
        <v>1.0670559683436462</v>
      </c>
      <c r="H8127" s="15">
        <v>1.4463104285968198</v>
      </c>
      <c r="I8127" s="15">
        <v>1.2337254361924883</v>
      </c>
      <c r="J8127" s="15">
        <v>1.2337254361924883</v>
      </c>
      <c r="K8127" s="15">
        <v>1.2337254361924883</v>
      </c>
      <c r="L8127" s="15">
        <v>1.2337254361924883</v>
      </c>
      <c r="M8127" s="15">
        <v>1.2337254361924883</v>
      </c>
      <c r="N8127" s="15">
        <v>1.2337254361924883</v>
      </c>
      <c r="O8127" s="15">
        <v>1.0670559683436462</v>
      </c>
      <c r="P8127" s="15">
        <v>1.0670559683436462</v>
      </c>
      <c r="Q8127" s="8"/>
      <c r="R8127" s="9" t="s">
        <v>7613</v>
      </c>
    </row>
    <row r="8128" spans="1:18" x14ac:dyDescent="0.25">
      <c r="A8128" s="6" t="str">
        <f>HYPERLINK("proteomic_fractions_linear_files/Yang_linear_img/70778826.jpg", "70778826")</f>
        <v>70778826</v>
      </c>
      <c r="B8128" s="7"/>
      <c r="C8128" s="6" t="str">
        <f>HYPERLINK("http://www.ncbi.nlm.nih.gov/protein/70778826","Vcpip1")</f>
        <v>Vcpip1</v>
      </c>
      <c r="D8128" s="8"/>
      <c r="E8128" s="8">
        <v>134312</v>
      </c>
      <c r="F8128" s="8"/>
      <c r="G8128" s="15" t="s">
        <v>10</v>
      </c>
      <c r="H8128" s="15" t="s">
        <v>10</v>
      </c>
      <c r="I8128" s="15">
        <v>1.1451706801212078</v>
      </c>
      <c r="J8128" s="15">
        <v>1.1451706801212078</v>
      </c>
      <c r="K8128" s="15" t="s">
        <v>10</v>
      </c>
      <c r="L8128" s="15" t="s">
        <v>10</v>
      </c>
      <c r="M8128" s="15">
        <v>1.3937748629846296</v>
      </c>
      <c r="N8128" s="15">
        <v>1.3937748629846296</v>
      </c>
      <c r="O8128" s="15">
        <v>1.1451706801212078</v>
      </c>
      <c r="P8128" s="15">
        <v>1.1451706801212078</v>
      </c>
      <c r="Q8128" s="8"/>
      <c r="R8128" s="9" t="s">
        <v>7614</v>
      </c>
    </row>
    <row r="8129" spans="1:18" x14ac:dyDescent="0.25">
      <c r="A8129" s="6" t="str">
        <f>HYPERLINK("proteomic_fractions_linear_files/Yang_linear_img/98986329.jpg", "98986329")</f>
        <v>98986329</v>
      </c>
      <c r="B8129" s="7"/>
      <c r="C8129" s="6" t="str">
        <f>HYPERLINK("http://www.ncbi.nlm.nih.gov/protein/98986329","Vcpkmt")</f>
        <v>Vcpkmt</v>
      </c>
      <c r="D8129" s="8"/>
      <c r="E8129" s="8">
        <v>25404</v>
      </c>
      <c r="F8129" s="8"/>
      <c r="G8129" s="15" t="s">
        <v>10</v>
      </c>
      <c r="H8129" s="15" t="s">
        <v>10</v>
      </c>
      <c r="I8129" s="15" t="s">
        <v>10</v>
      </c>
      <c r="J8129" s="15" t="s">
        <v>10</v>
      </c>
      <c r="K8129" s="15" t="s">
        <v>10</v>
      </c>
      <c r="L8129" s="15" t="s">
        <v>10</v>
      </c>
      <c r="M8129" s="15" t="s">
        <v>10</v>
      </c>
      <c r="N8129" s="15" t="s">
        <v>10</v>
      </c>
      <c r="O8129" s="15">
        <v>0.87182969082715001</v>
      </c>
      <c r="P8129" s="15">
        <v>0.87182969082715001</v>
      </c>
      <c r="Q8129" s="8"/>
      <c r="R8129" s="9" t="s">
        <v>7615</v>
      </c>
    </row>
    <row r="8130" spans="1:18" x14ac:dyDescent="0.25">
      <c r="A8130" s="6" t="str">
        <f>HYPERLINK("proteomic_fractions_linear_files/Yang_linear_img/6755963.jpg", "6755963")</f>
        <v>6755963</v>
      </c>
      <c r="B8130" s="7"/>
      <c r="C8130" s="6" t="str">
        <f>HYPERLINK("http://www.ncbi.nlm.nih.gov/protein/6755963","Vdac1")</f>
        <v>Vdac1</v>
      </c>
      <c r="D8130" s="8"/>
      <c r="E8130" s="8">
        <v>30624</v>
      </c>
      <c r="F8130" s="8"/>
      <c r="G8130" s="15">
        <v>1.3066876839749273</v>
      </c>
      <c r="H8130" s="15">
        <v>1.3066876839749273</v>
      </c>
      <c r="I8130" s="15">
        <v>0.96404538360364944</v>
      </c>
      <c r="J8130" s="15">
        <v>0.96404538360364944</v>
      </c>
      <c r="K8130" s="15">
        <v>0.7920909875250618</v>
      </c>
      <c r="L8130" s="15">
        <v>0.7920909875250618</v>
      </c>
      <c r="M8130" s="15">
        <v>0.96404538360364944</v>
      </c>
      <c r="N8130" s="15">
        <v>0.96404538360364944</v>
      </c>
      <c r="O8130" s="15" t="s">
        <v>10</v>
      </c>
      <c r="P8130" s="15" t="s">
        <v>10</v>
      </c>
      <c r="Q8130" s="8"/>
      <c r="R8130" s="9" t="s">
        <v>7616</v>
      </c>
    </row>
    <row r="8131" spans="1:18" x14ac:dyDescent="0.25">
      <c r="A8131" s="6" t="str">
        <f>HYPERLINK("proteomic_fractions_linear_files/Yang_linear_img/6755965.jpg", "6755965")</f>
        <v>6755965</v>
      </c>
      <c r="B8131" s="7"/>
      <c r="C8131" s="6" t="str">
        <f>HYPERLINK("http://www.ncbi.nlm.nih.gov/protein/6755965","Vdac2")</f>
        <v>Vdac2</v>
      </c>
      <c r="D8131" s="8"/>
      <c r="E8131" s="8">
        <v>31602</v>
      </c>
      <c r="F8131" s="8"/>
      <c r="G8131" s="15">
        <v>1.2658536938507108</v>
      </c>
      <c r="H8131" s="15">
        <v>1.2658536938507108</v>
      </c>
      <c r="I8131" s="15">
        <v>0.93391896536603536</v>
      </c>
      <c r="J8131" s="15">
        <v>0.93391896536603536</v>
      </c>
      <c r="K8131" s="15">
        <v>0.93391896536603536</v>
      </c>
      <c r="L8131" s="15">
        <v>0.93391896536603536</v>
      </c>
      <c r="M8131" s="15">
        <v>0.93391896536603536</v>
      </c>
      <c r="N8131" s="15">
        <v>0.93391896536603536</v>
      </c>
      <c r="O8131" s="15" t="s">
        <v>10</v>
      </c>
      <c r="P8131" s="15" t="s">
        <v>10</v>
      </c>
      <c r="Q8131" s="8"/>
      <c r="R8131" s="9" t="s">
        <v>7617</v>
      </c>
    </row>
    <row r="8132" spans="1:18" x14ac:dyDescent="0.25">
      <c r="A8132" s="6" t="str">
        <f>HYPERLINK("proteomic_fractions_linear_files/Yang_linear_img/312222784.jpg", "312222784")</f>
        <v>312222784</v>
      </c>
      <c r="B8132" s="7"/>
      <c r="C8132" s="6" t="str">
        <f>HYPERLINK("http://www.ncbi.nlm.nih.gov/protein/312222784","Vdac3")</f>
        <v>Vdac3</v>
      </c>
      <c r="D8132" s="8"/>
      <c r="E8132" s="8">
        <v>30753</v>
      </c>
      <c r="F8132" s="8"/>
      <c r="G8132" s="15">
        <v>1.2045589168749868</v>
      </c>
      <c r="H8132" s="15">
        <v>1.2045589168749868</v>
      </c>
      <c r="I8132" s="15">
        <v>0.90058746121555033</v>
      </c>
      <c r="J8132" s="15">
        <v>0.90058746121555033</v>
      </c>
      <c r="K8132" s="15">
        <v>0.90058746121555033</v>
      </c>
      <c r="L8132" s="15">
        <v>0.90058746121555033</v>
      </c>
      <c r="M8132" s="15">
        <v>0.90058746121555033</v>
      </c>
      <c r="N8132" s="15">
        <v>0.90058746121555033</v>
      </c>
      <c r="O8132" s="15" t="s">
        <v>10</v>
      </c>
      <c r="P8132" s="15" t="s">
        <v>10</v>
      </c>
      <c r="Q8132" s="8"/>
      <c r="R8132" s="9" t="s">
        <v>7618</v>
      </c>
    </row>
    <row r="8133" spans="1:18" x14ac:dyDescent="0.25">
      <c r="A8133" s="6" t="str">
        <f>HYPERLINK("proteomic_fractions_linear_files/Yang_linear_img/6755967.jpg", "6755967")</f>
        <v>6755967</v>
      </c>
      <c r="B8133" s="7"/>
      <c r="C8133" s="6" t="str">
        <f>HYPERLINK("http://www.ncbi.nlm.nih.gov/protein/6755967","Vdac3")</f>
        <v>Vdac3</v>
      </c>
      <c r="D8133" s="8"/>
      <c r="E8133" s="8">
        <v>30622</v>
      </c>
      <c r="F8133" s="8"/>
      <c r="G8133" s="15">
        <v>1.2045589168749868</v>
      </c>
      <c r="H8133" s="15">
        <v>1.2045589168749868</v>
      </c>
      <c r="I8133" s="15">
        <v>0.90058746121555033</v>
      </c>
      <c r="J8133" s="15">
        <v>0.90058746121555033</v>
      </c>
      <c r="K8133" s="15">
        <v>0.90058746121555033</v>
      </c>
      <c r="L8133" s="15">
        <v>0.90058746121555033</v>
      </c>
      <c r="M8133" s="15">
        <v>0.90058746121555033</v>
      </c>
      <c r="N8133" s="15">
        <v>0.90058746121555033</v>
      </c>
      <c r="O8133" s="15" t="s">
        <v>10</v>
      </c>
      <c r="P8133" s="15" t="s">
        <v>10</v>
      </c>
      <c r="Q8133" s="8"/>
      <c r="R8133" s="9" t="s">
        <v>7619</v>
      </c>
    </row>
    <row r="8134" spans="1:18" x14ac:dyDescent="0.25">
      <c r="A8134" s="6" t="str">
        <f>HYPERLINK("proteomic_fractions_linear_files/Yang_linear_img/240848537.jpg", "240848537")</f>
        <v>240848537</v>
      </c>
      <c r="B8134" s="7"/>
      <c r="C8134" s="6" t="str">
        <f>HYPERLINK("http://www.ncbi.nlm.nih.gov/protein/240848537","Veph1")</f>
        <v>Veph1</v>
      </c>
      <c r="D8134" s="8"/>
      <c r="E8134" s="8">
        <v>94371</v>
      </c>
      <c r="F8134" s="8"/>
      <c r="G8134" s="15" t="s">
        <v>10</v>
      </c>
      <c r="H8134" s="15" t="s">
        <v>10</v>
      </c>
      <c r="I8134" s="15">
        <v>1.0102976721551544</v>
      </c>
      <c r="J8134" s="15">
        <v>1.0102976721551544</v>
      </c>
      <c r="K8134" s="15">
        <v>1.1681017427779943</v>
      </c>
      <c r="L8134" s="15">
        <v>1.1681017427779943</v>
      </c>
      <c r="M8134" s="15">
        <v>1.1681017427779943</v>
      </c>
      <c r="N8134" s="15">
        <v>1.1681017427779943</v>
      </c>
      <c r="O8134" s="15" t="s">
        <v>10</v>
      </c>
      <c r="P8134" s="15" t="s">
        <v>10</v>
      </c>
      <c r="Q8134" s="8"/>
      <c r="R8134" s="9" t="s">
        <v>7620</v>
      </c>
    </row>
    <row r="8135" spans="1:18" x14ac:dyDescent="0.25">
      <c r="A8135" s="6" t="str">
        <f>HYPERLINK("proteomic_fractions_linear_files/Yang_linear_img/6678567.jpg", "6678567")</f>
        <v>6678567</v>
      </c>
      <c r="B8135" s="7"/>
      <c r="C8135" s="6" t="str">
        <f>HYPERLINK("http://www.ncbi.nlm.nih.gov/protein/6678567","Vhl")</f>
        <v>Vhl</v>
      </c>
      <c r="D8135" s="8"/>
      <c r="E8135" s="8">
        <v>20638</v>
      </c>
      <c r="F8135" s="8"/>
      <c r="G8135" s="15" t="s">
        <v>10</v>
      </c>
      <c r="H8135" s="15" t="s">
        <v>10</v>
      </c>
      <c r="I8135" s="15" t="s">
        <v>10</v>
      </c>
      <c r="J8135" s="15" t="s">
        <v>10</v>
      </c>
      <c r="K8135" s="15" t="s">
        <v>10</v>
      </c>
      <c r="L8135" s="15" t="s">
        <v>10</v>
      </c>
      <c r="M8135" s="15" t="s">
        <v>10</v>
      </c>
      <c r="N8135" s="15" t="s">
        <v>10</v>
      </c>
      <c r="O8135" s="15">
        <v>0.88072853164590881</v>
      </c>
      <c r="P8135" s="15">
        <v>0.88072853164590881</v>
      </c>
      <c r="Q8135" s="8"/>
      <c r="R8135" s="9" t="s">
        <v>7621</v>
      </c>
    </row>
    <row r="8136" spans="1:18" x14ac:dyDescent="0.25">
      <c r="A8136" s="6" t="str">
        <f>HYPERLINK("proteomic_fractions_linear_files/Yang_linear_img/190684696.jpg", "190684696")</f>
        <v>190684696</v>
      </c>
      <c r="B8136" s="7"/>
      <c r="C8136" s="6" t="str">
        <f>HYPERLINK("http://www.ncbi.nlm.nih.gov/protein/190684696","Vil1")</f>
        <v>Vil1</v>
      </c>
      <c r="D8136" s="8"/>
      <c r="E8136" s="8">
        <v>92644</v>
      </c>
      <c r="F8136" s="8"/>
      <c r="G8136" s="15" t="s">
        <v>10</v>
      </c>
      <c r="H8136" s="15" t="s">
        <v>10</v>
      </c>
      <c r="I8136" s="15" t="s">
        <v>10</v>
      </c>
      <c r="J8136" s="15" t="s">
        <v>10</v>
      </c>
      <c r="K8136" s="15" t="s">
        <v>10</v>
      </c>
      <c r="L8136" s="15" t="s">
        <v>10</v>
      </c>
      <c r="M8136" s="15" t="s">
        <v>10</v>
      </c>
      <c r="N8136" s="15" t="s">
        <v>10</v>
      </c>
      <c r="O8136" s="15">
        <v>2.509256426105904</v>
      </c>
      <c r="P8136" s="15">
        <v>2.509256426105904</v>
      </c>
      <c r="Q8136" s="8"/>
      <c r="R8136" s="9" t="s">
        <v>7622</v>
      </c>
    </row>
    <row r="8137" spans="1:18" x14ac:dyDescent="0.25">
      <c r="A8137" s="6" t="str">
        <f>HYPERLINK("proteomic_fractions_linear_files/Yang_linear_img/257096031.jpg", "257096031")</f>
        <v>257096031</v>
      </c>
      <c r="B8137" s="7"/>
      <c r="C8137" s="6" t="str">
        <f>HYPERLINK("http://www.ncbi.nlm.nih.gov/protein/257096031","Vill")</f>
        <v>Vill</v>
      </c>
      <c r="D8137" s="8"/>
      <c r="E8137" s="8">
        <v>96467</v>
      </c>
      <c r="F8137" s="8"/>
      <c r="G8137" s="15">
        <v>1.3408502931783017</v>
      </c>
      <c r="H8137" s="15">
        <v>1.3408502931783017</v>
      </c>
      <c r="I8137" s="15">
        <v>1.1437662898034529</v>
      </c>
      <c r="J8137" s="15">
        <v>1.1437662898034529</v>
      </c>
      <c r="K8137" s="15">
        <v>1.1437662898034529</v>
      </c>
      <c r="L8137" s="15">
        <v>1.1437662898034529</v>
      </c>
      <c r="M8137" s="15" t="s">
        <v>10</v>
      </c>
      <c r="N8137" s="15" t="s">
        <v>10</v>
      </c>
      <c r="O8137" s="15">
        <v>1.1437662898034529</v>
      </c>
      <c r="P8137" s="15">
        <v>1.1437662898034529</v>
      </c>
      <c r="Q8137" s="8"/>
      <c r="R8137" s="9" t="s">
        <v>7623</v>
      </c>
    </row>
    <row r="8138" spans="1:18" x14ac:dyDescent="0.25">
      <c r="A8138" s="6" t="str">
        <f>HYPERLINK("proteomic_fractions_linear_files/Yang_linear_img/257096033.jpg", "257096033")</f>
        <v>257096033</v>
      </c>
      <c r="B8138" s="7"/>
      <c r="C8138" s="6" t="str">
        <f>HYPERLINK("http://www.ncbi.nlm.nih.gov/protein/257096033","Vill")</f>
        <v>Vill</v>
      </c>
      <c r="D8138" s="8"/>
      <c r="E8138" s="8">
        <v>86778</v>
      </c>
      <c r="F8138" s="8"/>
      <c r="G8138" s="15">
        <v>1.4795589441967467</v>
      </c>
      <c r="H8138" s="15">
        <v>1.4795589441967467</v>
      </c>
      <c r="I8138" s="15">
        <v>1.2620869404727755</v>
      </c>
      <c r="J8138" s="15">
        <v>1.2620869404727755</v>
      </c>
      <c r="K8138" s="15">
        <v>1.2620869404727755</v>
      </c>
      <c r="L8138" s="15">
        <v>1.2620869404727755</v>
      </c>
      <c r="M8138" s="15" t="s">
        <v>10</v>
      </c>
      <c r="N8138" s="15" t="s">
        <v>10</v>
      </c>
      <c r="O8138" s="15">
        <v>1.2620869404727755</v>
      </c>
      <c r="P8138" s="15">
        <v>1.2620869404727755</v>
      </c>
      <c r="Q8138" s="8"/>
      <c r="R8138" s="9" t="s">
        <v>7624</v>
      </c>
    </row>
    <row r="8139" spans="1:18" x14ac:dyDescent="0.25">
      <c r="A8139" s="6" t="str">
        <f>HYPERLINK("proteomic_fractions_linear_files/Yang_linear_img/31982755.jpg", "31982755")</f>
        <v>31982755</v>
      </c>
      <c r="B8139" s="7"/>
      <c r="C8139" s="6" t="str">
        <f>HYPERLINK("http://www.ncbi.nlm.nih.gov/protein/31982755","Vim")</f>
        <v>Vim</v>
      </c>
      <c r="D8139" s="8"/>
      <c r="E8139" s="8">
        <v>53557</v>
      </c>
      <c r="F8139" s="8"/>
      <c r="G8139" s="15">
        <v>1.359928893364486</v>
      </c>
      <c r="H8139" s="15">
        <v>1.359928893364486</v>
      </c>
      <c r="I8139" s="15" t="s">
        <v>10</v>
      </c>
      <c r="J8139" s="15" t="s">
        <v>10</v>
      </c>
      <c r="K8139" s="15">
        <v>1.0883927330665528</v>
      </c>
      <c r="L8139" s="15">
        <v>1.0883927330665528</v>
      </c>
      <c r="M8139" s="15" t="s">
        <v>10</v>
      </c>
      <c r="N8139" s="15" t="s">
        <v>10</v>
      </c>
      <c r="O8139" s="15" t="s">
        <v>10</v>
      </c>
      <c r="P8139" s="15" t="s">
        <v>10</v>
      </c>
      <c r="Q8139" s="8"/>
      <c r="R8139" s="9" t="s">
        <v>7625</v>
      </c>
    </row>
    <row r="8140" spans="1:18" x14ac:dyDescent="0.25">
      <c r="A8140" s="6" t="str">
        <f>HYPERLINK("proteomic_fractions_linear_files/Yang_linear_img/111119010.jpg", "111119010")</f>
        <v>111119010</v>
      </c>
      <c r="B8140" s="7"/>
      <c r="C8140" s="6" t="str">
        <f>HYPERLINK("http://www.ncbi.nlm.nih.gov/protein/111119010","Vimp")</f>
        <v>Vimp</v>
      </c>
      <c r="D8140" s="8"/>
      <c r="E8140" s="8">
        <v>21378</v>
      </c>
      <c r="F8140" s="8"/>
      <c r="G8140" s="15" t="s">
        <v>10</v>
      </c>
      <c r="H8140" s="15" t="s">
        <v>10</v>
      </c>
      <c r="I8140" s="15">
        <v>0.92862618228739402</v>
      </c>
      <c r="J8140" s="15">
        <v>0.92862618228739402</v>
      </c>
      <c r="K8140" s="15">
        <v>1.0378924890799406</v>
      </c>
      <c r="L8140" s="15">
        <v>1.0378924890799406</v>
      </c>
      <c r="M8140" s="15" t="s">
        <v>10</v>
      </c>
      <c r="N8140" s="15" t="s">
        <v>10</v>
      </c>
      <c r="O8140" s="15" t="s">
        <v>10</v>
      </c>
      <c r="P8140" s="15" t="s">
        <v>10</v>
      </c>
      <c r="Q8140" s="8"/>
      <c r="R8140" s="9" t="s">
        <v>7626</v>
      </c>
    </row>
    <row r="8141" spans="1:18" x14ac:dyDescent="0.25">
      <c r="A8141" s="6" t="str">
        <f>HYPERLINK("proteomic_fractions_linear_files/Yang_linear_img/217035166.jpg", "217035166")</f>
        <v>217035166</v>
      </c>
      <c r="B8141" s="7"/>
      <c r="C8141" s="6" t="str">
        <f>HYPERLINK("http://www.ncbi.nlm.nih.gov/protein/217035166","Vipas39")</f>
        <v>Vipas39</v>
      </c>
      <c r="D8141" s="8"/>
      <c r="E8141" s="8">
        <v>54216</v>
      </c>
      <c r="F8141" s="8"/>
      <c r="G8141" s="15" t="s">
        <v>10</v>
      </c>
      <c r="H8141" s="15" t="s">
        <v>10</v>
      </c>
      <c r="I8141" s="15" t="s">
        <v>10</v>
      </c>
      <c r="J8141" s="15" t="s">
        <v>10</v>
      </c>
      <c r="K8141" s="15">
        <v>0.98371425240742738</v>
      </c>
      <c r="L8141" s="15">
        <v>0.98371425240742738</v>
      </c>
      <c r="M8141" s="15" t="s">
        <v>10</v>
      </c>
      <c r="N8141" s="15" t="s">
        <v>10</v>
      </c>
      <c r="O8141" s="15" t="s">
        <v>10</v>
      </c>
      <c r="P8141" s="15" t="s">
        <v>10</v>
      </c>
      <c r="Q8141" s="8"/>
      <c r="R8141" s="9" t="s">
        <v>7627</v>
      </c>
    </row>
    <row r="8142" spans="1:18" x14ac:dyDescent="0.25">
      <c r="A8142" s="6" t="str">
        <f>HYPERLINK("proteomic_fractions_linear_files/Yang_linear_img/217272818.jpg", "217272818")</f>
        <v>217272818</v>
      </c>
      <c r="B8142" s="7"/>
      <c r="C8142" s="6" t="str">
        <f>HYPERLINK("http://www.ncbi.nlm.nih.gov/protein/217272818","Vipas39")</f>
        <v>Vipas39</v>
      </c>
      <c r="D8142" s="8"/>
      <c r="E8142" s="8">
        <v>56494</v>
      </c>
      <c r="F8142" s="8"/>
      <c r="G8142" s="15" t="s">
        <v>10</v>
      </c>
      <c r="H8142" s="15" t="s">
        <v>10</v>
      </c>
      <c r="I8142" s="15" t="s">
        <v>10</v>
      </c>
      <c r="J8142" s="15" t="s">
        <v>10</v>
      </c>
      <c r="K8142" s="15">
        <v>0.94858160053573359</v>
      </c>
      <c r="L8142" s="15">
        <v>0.94858160053573359</v>
      </c>
      <c r="M8142" s="15" t="s">
        <v>10</v>
      </c>
      <c r="N8142" s="15" t="s">
        <v>10</v>
      </c>
      <c r="O8142" s="15" t="s">
        <v>10</v>
      </c>
      <c r="P8142" s="15" t="s">
        <v>10</v>
      </c>
      <c r="Q8142" s="8"/>
      <c r="R8142" s="9" t="s">
        <v>7628</v>
      </c>
    </row>
    <row r="8143" spans="1:18" x14ac:dyDescent="0.25">
      <c r="A8143" s="6" t="str">
        <f>HYPERLINK("proteomic_fractions_linear_files/Yang_linear_img/30519915.jpg", "30519915")</f>
        <v>30519915</v>
      </c>
      <c r="B8143" s="7"/>
      <c r="C8143" s="6" t="str">
        <f>HYPERLINK("http://www.ncbi.nlm.nih.gov/protein/30519915","Vkorc1")</f>
        <v>Vkorc1</v>
      </c>
      <c r="D8143" s="8"/>
      <c r="E8143" s="8">
        <v>14503</v>
      </c>
      <c r="F8143" s="8"/>
      <c r="G8143" s="15" t="s">
        <v>10</v>
      </c>
      <c r="H8143" s="15" t="s">
        <v>10</v>
      </c>
      <c r="I8143" s="15">
        <v>1.0618294522121183</v>
      </c>
      <c r="J8143" s="15">
        <v>1.0618294522121183</v>
      </c>
      <c r="K8143" s="15">
        <v>1.0618294522121183</v>
      </c>
      <c r="L8143" s="15">
        <v>1.0618294522121183</v>
      </c>
      <c r="M8143" s="15" t="s">
        <v>10</v>
      </c>
      <c r="N8143" s="15" t="s">
        <v>10</v>
      </c>
      <c r="O8143" s="15" t="s">
        <v>10</v>
      </c>
      <c r="P8143" s="15" t="s">
        <v>10</v>
      </c>
      <c r="Q8143" s="8"/>
      <c r="R8143" s="9" t="s">
        <v>7629</v>
      </c>
    </row>
    <row r="8144" spans="1:18" x14ac:dyDescent="0.25">
      <c r="A8144" s="6" t="str">
        <f>HYPERLINK("proteomic_fractions_linear_files/Yang_linear_img/556503385.jpg", "556503385")</f>
        <v>556503385</v>
      </c>
      <c r="B8144" s="7"/>
      <c r="C8144" s="6" t="str">
        <f>HYPERLINK("http://www.ncbi.nlm.nih.gov/protein/556503385","Vkorc1l1")</f>
        <v>Vkorc1l1</v>
      </c>
      <c r="D8144" s="8"/>
      <c r="E8144" s="8">
        <v>14533</v>
      </c>
      <c r="F8144" s="8"/>
      <c r="G8144" s="15">
        <v>1.6369880408851278</v>
      </c>
      <c r="H8144" s="15">
        <v>1.6369880408851278</v>
      </c>
      <c r="I8144" s="15" t="s">
        <v>10</v>
      </c>
      <c r="J8144" s="15" t="s">
        <v>10</v>
      </c>
      <c r="K8144" s="15" t="s">
        <v>10</v>
      </c>
      <c r="L8144" s="15" t="s">
        <v>10</v>
      </c>
      <c r="M8144" s="15" t="s">
        <v>10</v>
      </c>
      <c r="N8144" s="15" t="s">
        <v>10</v>
      </c>
      <c r="O8144" s="15" t="s">
        <v>10</v>
      </c>
      <c r="P8144" s="15" t="s">
        <v>10</v>
      </c>
      <c r="Q8144" s="8"/>
      <c r="R8144" s="9" t="s">
        <v>7630</v>
      </c>
    </row>
    <row r="8145" spans="1:18" x14ac:dyDescent="0.25">
      <c r="A8145" s="6" t="str">
        <f>HYPERLINK("proteomic_fractions_linear_files/Yang_linear_img/47717109.jpg", "47717109")</f>
        <v>47717109</v>
      </c>
      <c r="B8145" s="7"/>
      <c r="C8145" s="6" t="str">
        <f>HYPERLINK("http://www.ncbi.nlm.nih.gov/protein/47717109","Vkorc1l1")</f>
        <v>Vkorc1l1</v>
      </c>
      <c r="D8145" s="8"/>
      <c r="E8145" s="8">
        <v>14064</v>
      </c>
      <c r="F8145" s="8"/>
      <c r="G8145" s="15" t="s">
        <v>10</v>
      </c>
      <c r="H8145" s="15" t="s">
        <v>10</v>
      </c>
      <c r="I8145" s="15">
        <v>1.2549956975256404</v>
      </c>
      <c r="J8145" s="15">
        <v>1.2549956975256404</v>
      </c>
      <c r="K8145" s="15" t="s">
        <v>10</v>
      </c>
      <c r="L8145" s="15" t="s">
        <v>10</v>
      </c>
      <c r="M8145" s="15" t="s">
        <v>10</v>
      </c>
      <c r="N8145" s="15" t="s">
        <v>10</v>
      </c>
      <c r="O8145" s="15" t="s">
        <v>10</v>
      </c>
      <c r="P8145" s="15" t="s">
        <v>10</v>
      </c>
      <c r="Q8145" s="8"/>
      <c r="R8145" s="9" t="s">
        <v>7631</v>
      </c>
    </row>
    <row r="8146" spans="1:18" x14ac:dyDescent="0.25">
      <c r="A8146" s="6" t="str">
        <f>HYPERLINK("proteomic_fractions_linear_files/Yang_linear_img/46309457.jpg", "46309457")</f>
        <v>46309457</v>
      </c>
      <c r="B8146" s="7"/>
      <c r="C8146" s="6" t="str">
        <f>HYPERLINK("http://www.ncbi.nlm.nih.gov/protein/46309457","Vkorc1l1")</f>
        <v>Vkorc1l1</v>
      </c>
      <c r="D8146" s="8"/>
      <c r="E8146" s="8">
        <v>19647</v>
      </c>
      <c r="F8146" s="8"/>
      <c r="G8146" s="15">
        <v>1.2277410306638459</v>
      </c>
      <c r="H8146" s="15">
        <v>1.2277410306638459</v>
      </c>
      <c r="I8146" s="15">
        <v>0.87849698826794831</v>
      </c>
      <c r="J8146" s="15">
        <v>0.87849698826794831</v>
      </c>
      <c r="K8146" s="15" t="s">
        <v>10</v>
      </c>
      <c r="L8146" s="15" t="s">
        <v>10</v>
      </c>
      <c r="M8146" s="15" t="s">
        <v>10</v>
      </c>
      <c r="N8146" s="15" t="s">
        <v>10</v>
      </c>
      <c r="O8146" s="15" t="s">
        <v>10</v>
      </c>
      <c r="P8146" s="15" t="s">
        <v>10</v>
      </c>
      <c r="Q8146" s="8"/>
      <c r="R8146" s="9" t="s">
        <v>7632</v>
      </c>
    </row>
    <row r="8147" spans="1:18" x14ac:dyDescent="0.25">
      <c r="A8147" s="6" t="str">
        <f>HYPERLINK("proteomic_fractions_linear_files/Yang_linear_img/238637303.jpg", "238637303")</f>
        <v>238637303</v>
      </c>
      <c r="B8147" s="7"/>
      <c r="C8147" s="6" t="str">
        <f>HYPERLINK("http://www.ncbi.nlm.nih.gov/protein/238637303","Vldlr")</f>
        <v>Vldlr</v>
      </c>
      <c r="D8147" s="8"/>
      <c r="E8147" s="8">
        <v>93486</v>
      </c>
      <c r="F8147" s="8"/>
      <c r="G8147" s="15" t="s">
        <v>10</v>
      </c>
      <c r="H8147" s="15" t="s">
        <v>10</v>
      </c>
      <c r="I8147" s="15">
        <v>1.650030872432708</v>
      </c>
      <c r="J8147" s="15">
        <v>1.650030872432708</v>
      </c>
      <c r="K8147" s="15">
        <v>1.650030872432708</v>
      </c>
      <c r="L8147" s="15">
        <v>1.650030872432708</v>
      </c>
      <c r="M8147" s="15" t="s">
        <v>10</v>
      </c>
      <c r="N8147" s="15" t="s">
        <v>10</v>
      </c>
      <c r="O8147" s="15" t="s">
        <v>10</v>
      </c>
      <c r="P8147" s="15" t="s">
        <v>10</v>
      </c>
      <c r="Q8147" s="8"/>
      <c r="R8147" s="9" t="s">
        <v>7633</v>
      </c>
    </row>
    <row r="8148" spans="1:18" x14ac:dyDescent="0.25">
      <c r="A8148" s="6" t="str">
        <f>HYPERLINK("proteomic_fractions_linear_files/Yang_linear_img/238637305.jpg", "238637305")</f>
        <v>238637305</v>
      </c>
      <c r="B8148" s="7"/>
      <c r="C8148" s="6" t="str">
        <f>HYPERLINK("http://www.ncbi.nlm.nih.gov/protein/238637305","Vldlr")</f>
        <v>Vldlr</v>
      </c>
      <c r="D8148" s="8"/>
      <c r="E8148" s="8">
        <v>90649</v>
      </c>
      <c r="F8148" s="8"/>
      <c r="G8148" s="15" t="s">
        <v>10</v>
      </c>
      <c r="H8148" s="15" t="s">
        <v>10</v>
      </c>
      <c r="I8148" s="15">
        <v>1.6862952872114487</v>
      </c>
      <c r="J8148" s="15">
        <v>1.6862952872114487</v>
      </c>
      <c r="K8148" s="15">
        <v>1.6862952872114487</v>
      </c>
      <c r="L8148" s="15">
        <v>1.6862952872114487</v>
      </c>
      <c r="M8148" s="15" t="s">
        <v>10</v>
      </c>
      <c r="N8148" s="15" t="s">
        <v>10</v>
      </c>
      <c r="O8148" s="15" t="s">
        <v>10</v>
      </c>
      <c r="P8148" s="15" t="s">
        <v>10</v>
      </c>
      <c r="Q8148" s="8"/>
      <c r="R8148" s="9" t="s">
        <v>7634</v>
      </c>
    </row>
    <row r="8149" spans="1:18" x14ac:dyDescent="0.25">
      <c r="A8149" s="6" t="str">
        <f>HYPERLINK("proteomic_fractions_linear_files/Yang_linear_img/124486867.jpg", "124486867")</f>
        <v>124486867</v>
      </c>
      <c r="B8149" s="7"/>
      <c r="C8149" s="6" t="str">
        <f>HYPERLINK("http://www.ncbi.nlm.nih.gov/protein/124486867","Vma21")</f>
        <v>Vma21</v>
      </c>
      <c r="D8149" s="8"/>
      <c r="E8149" s="8">
        <v>11234</v>
      </c>
      <c r="F8149" s="8"/>
      <c r="G8149" s="15" t="s">
        <v>10</v>
      </c>
      <c r="H8149" s="15" t="s">
        <v>10</v>
      </c>
      <c r="I8149" s="15">
        <v>1.2088240020910486</v>
      </c>
      <c r="J8149" s="15">
        <v>1.2088240020910486</v>
      </c>
      <c r="K8149" s="15">
        <v>1.3197703383518498</v>
      </c>
      <c r="L8149" s="15">
        <v>1.3197703383518498</v>
      </c>
      <c r="M8149" s="15" t="s">
        <v>10</v>
      </c>
      <c r="N8149" s="15" t="s">
        <v>10</v>
      </c>
      <c r="O8149" s="15" t="s">
        <v>10</v>
      </c>
      <c r="P8149" s="15" t="s">
        <v>10</v>
      </c>
      <c r="Q8149" s="8"/>
      <c r="R8149" s="9" t="s">
        <v>7635</v>
      </c>
    </row>
    <row r="8150" spans="1:18" x14ac:dyDescent="0.25">
      <c r="A8150" s="6" t="str">
        <f>HYPERLINK("proteomic_fractions_linear_files/Yang_linear_img/262050612.jpg", "262050612")</f>
        <v>262050612</v>
      </c>
      <c r="B8150" s="7"/>
      <c r="C8150" s="6" t="str">
        <f>HYPERLINK("http://www.ncbi.nlm.nih.gov/protein/262050612","Vmac")</f>
        <v>Vmac</v>
      </c>
      <c r="D8150" s="8"/>
      <c r="E8150" s="8">
        <v>8723</v>
      </c>
      <c r="F8150" s="8"/>
      <c r="G8150" s="15" t="s">
        <v>10</v>
      </c>
      <c r="H8150" s="15" t="s">
        <v>10</v>
      </c>
      <c r="I8150" s="15" t="s">
        <v>10</v>
      </c>
      <c r="J8150" s="15" t="s">
        <v>10</v>
      </c>
      <c r="K8150" s="15" t="s">
        <v>10</v>
      </c>
      <c r="L8150" s="15" t="s">
        <v>10</v>
      </c>
      <c r="M8150" s="15" t="s">
        <v>10</v>
      </c>
      <c r="N8150" s="15" t="s">
        <v>10</v>
      </c>
      <c r="O8150" s="15">
        <v>2.0550332405071203</v>
      </c>
      <c r="P8150" s="15">
        <v>2.0550332405071203</v>
      </c>
      <c r="Q8150" s="8"/>
      <c r="R8150" s="9" t="s">
        <v>7636</v>
      </c>
    </row>
    <row r="8151" spans="1:18" x14ac:dyDescent="0.25">
      <c r="A8151" s="6" t="str">
        <f>HYPERLINK("proteomic_fractions_linear_files/Yang_linear_img/30725792.jpg", "30725792")</f>
        <v>30725792</v>
      </c>
      <c r="B8151" s="7"/>
      <c r="C8151" s="6" t="str">
        <f>HYPERLINK("http://www.ncbi.nlm.nih.gov/protein/30725792","Vmac")</f>
        <v>Vmac</v>
      </c>
      <c r="D8151" s="8"/>
      <c r="E8151" s="8">
        <v>18886</v>
      </c>
      <c r="F8151" s="8"/>
      <c r="G8151" s="15" t="s">
        <v>10</v>
      </c>
      <c r="H8151" s="15" t="s">
        <v>10</v>
      </c>
      <c r="I8151" s="15" t="s">
        <v>10</v>
      </c>
      <c r="J8151" s="15" t="s">
        <v>10</v>
      </c>
      <c r="K8151" s="15" t="s">
        <v>10</v>
      </c>
      <c r="L8151" s="15" t="s">
        <v>10</v>
      </c>
      <c r="M8151" s="15" t="s">
        <v>10</v>
      </c>
      <c r="N8151" s="15" t="s">
        <v>10</v>
      </c>
      <c r="O8151" s="15">
        <v>0.97343679813495176</v>
      </c>
      <c r="P8151" s="15">
        <v>0.97343679813495176</v>
      </c>
      <c r="Q8151" s="8"/>
      <c r="R8151" s="9" t="s">
        <v>7637</v>
      </c>
    </row>
    <row r="8152" spans="1:18" x14ac:dyDescent="0.25">
      <c r="A8152" s="6" t="str">
        <f>HYPERLINK("proteomic_fractions_linear_files/Yang_linear_img/282847329.jpg", "282847329")</f>
        <v>282847329</v>
      </c>
      <c r="B8152" s="7"/>
      <c r="C8152" s="6" t="str">
        <f>HYPERLINK("http://www.ncbi.nlm.nih.gov/protein/282847329","Vmn1r11")</f>
        <v>Vmn1r11</v>
      </c>
      <c r="D8152" s="8"/>
      <c r="E8152" s="8">
        <v>34426</v>
      </c>
      <c r="F8152" s="8"/>
      <c r="G8152" s="15" t="s">
        <v>10</v>
      </c>
      <c r="H8152" s="15" t="s">
        <v>10</v>
      </c>
      <c r="I8152" s="15">
        <v>1.5623696950000316</v>
      </c>
      <c r="J8152" s="15">
        <v>1.5623696950000316</v>
      </c>
      <c r="K8152" s="15">
        <v>1.5623696950000316</v>
      </c>
      <c r="L8152" s="15">
        <v>1.5623696950000316</v>
      </c>
      <c r="M8152" s="15" t="s">
        <v>10</v>
      </c>
      <c r="N8152" s="15" t="s">
        <v>10</v>
      </c>
      <c r="O8152" s="15">
        <v>1.4202933995416251</v>
      </c>
      <c r="P8152" s="15">
        <v>1.4202933995416251</v>
      </c>
      <c r="Q8152" s="8"/>
      <c r="R8152" s="9" t="s">
        <v>7638</v>
      </c>
    </row>
    <row r="8153" spans="1:18" x14ac:dyDescent="0.25">
      <c r="A8153" s="6" t="str">
        <f>HYPERLINK("proteomic_fractions_linear_files/Yang_linear_img/285026477.jpg", "285026477")</f>
        <v>285026477</v>
      </c>
      <c r="B8153" s="7"/>
      <c r="C8153" s="6" t="str">
        <f>HYPERLINK("http://www.ncbi.nlm.nih.gov/protein/285026477","Vmn1r68")</f>
        <v>Vmn1r68</v>
      </c>
      <c r="D8153" s="8"/>
      <c r="E8153" s="8">
        <v>36393</v>
      </c>
      <c r="F8153" s="8"/>
      <c r="G8153" s="15" t="s">
        <v>10</v>
      </c>
      <c r="H8153" s="15" t="s">
        <v>10</v>
      </c>
      <c r="I8153" s="15" t="s">
        <v>10</v>
      </c>
      <c r="J8153" s="15" t="s">
        <v>10</v>
      </c>
      <c r="K8153" s="15">
        <v>2.0398933400467292</v>
      </c>
      <c r="L8153" s="15">
        <v>2.0398933400467292</v>
      </c>
      <c r="M8153" s="15" t="s">
        <v>10</v>
      </c>
      <c r="N8153" s="15" t="s">
        <v>10</v>
      </c>
      <c r="O8153" s="15" t="s">
        <v>10</v>
      </c>
      <c r="P8153" s="15" t="s">
        <v>10</v>
      </c>
      <c r="Q8153" s="8"/>
      <c r="R8153" s="9" t="s">
        <v>7639</v>
      </c>
    </row>
    <row r="8154" spans="1:18" x14ac:dyDescent="0.25">
      <c r="A8154" s="6" t="str">
        <f>HYPERLINK("proteomic_fractions_linear_files/Yang_linear_img/22003898.jpg", "22003898")</f>
        <v>22003898</v>
      </c>
      <c r="B8154" s="7"/>
      <c r="C8154" s="6" t="str">
        <f>HYPERLINK("http://www.ncbi.nlm.nih.gov/protein/22003898","Vmn1r69")</f>
        <v>Vmn1r69</v>
      </c>
      <c r="D8154" s="8"/>
      <c r="E8154" s="8">
        <v>36415</v>
      </c>
      <c r="F8154" s="8"/>
      <c r="G8154" s="15" t="s">
        <v>10</v>
      </c>
      <c r="H8154" s="15" t="s">
        <v>10</v>
      </c>
      <c r="I8154" s="15" t="s">
        <v>10</v>
      </c>
      <c r="J8154" s="15" t="s">
        <v>10</v>
      </c>
      <c r="K8154" s="15">
        <v>2.0398933400467292</v>
      </c>
      <c r="L8154" s="15">
        <v>2.0398933400467292</v>
      </c>
      <c r="M8154" s="15" t="s">
        <v>10</v>
      </c>
      <c r="N8154" s="15" t="s">
        <v>10</v>
      </c>
      <c r="O8154" s="15" t="s">
        <v>10</v>
      </c>
      <c r="P8154" s="15" t="s">
        <v>10</v>
      </c>
      <c r="Q8154" s="8"/>
      <c r="R8154" s="9" t="s">
        <v>7640</v>
      </c>
    </row>
    <row r="8155" spans="1:18" x14ac:dyDescent="0.25">
      <c r="A8155" s="6" t="str">
        <f>HYPERLINK("proteomic_fractions_linear_files/Yang_linear_img/27753991.jpg", "27753991")</f>
        <v>27753991</v>
      </c>
      <c r="B8155" s="7"/>
      <c r="C8155" s="6" t="str">
        <f>HYPERLINK("http://www.ncbi.nlm.nih.gov/protein/27753991","Vmp1")</f>
        <v>Vmp1</v>
      </c>
      <c r="D8155" s="8"/>
      <c r="E8155" s="8">
        <v>45829</v>
      </c>
      <c r="F8155" s="8"/>
      <c r="G8155" s="15" t="s">
        <v>10</v>
      </c>
      <c r="H8155" s="15" t="s">
        <v>10</v>
      </c>
      <c r="I8155" s="15">
        <v>0.88059387398310318</v>
      </c>
      <c r="J8155" s="15">
        <v>0.88059387398310318</v>
      </c>
      <c r="K8155" s="15">
        <v>0.95925194015142323</v>
      </c>
      <c r="L8155" s="15">
        <v>0.95925194015142323</v>
      </c>
      <c r="M8155" s="15" t="s">
        <v>10</v>
      </c>
      <c r="N8155" s="15" t="s">
        <v>10</v>
      </c>
      <c r="O8155" s="15" t="s">
        <v>10</v>
      </c>
      <c r="P8155" s="15" t="s">
        <v>10</v>
      </c>
      <c r="Q8155" s="8"/>
      <c r="R8155" s="9" t="s">
        <v>7641</v>
      </c>
    </row>
    <row r="8156" spans="1:18" x14ac:dyDescent="0.25">
      <c r="A8156" s="6" t="str">
        <f>HYPERLINK("proteomic_fractions_linear_files/Yang_linear_img/82617569.jpg", "82617569")</f>
        <v>82617569</v>
      </c>
      <c r="B8156" s="7"/>
      <c r="C8156" s="6" t="str">
        <f>HYPERLINK("http://www.ncbi.nlm.nih.gov/protein/82617569","Vprbp")</f>
        <v>Vprbp</v>
      </c>
      <c r="D8156" s="8"/>
      <c r="E8156" s="8">
        <v>159154</v>
      </c>
      <c r="F8156" s="8"/>
      <c r="G8156" s="15" t="s">
        <v>10</v>
      </c>
      <c r="H8156" s="15" t="s">
        <v>10</v>
      </c>
      <c r="I8156" s="15" t="s">
        <v>10</v>
      </c>
      <c r="J8156" s="15" t="s">
        <v>10</v>
      </c>
      <c r="K8156" s="15" t="s">
        <v>10</v>
      </c>
      <c r="L8156" s="15" t="s">
        <v>10</v>
      </c>
      <c r="M8156" s="15">
        <v>1.4676782869676042</v>
      </c>
      <c r="N8156" s="15">
        <v>1.4676782869676042</v>
      </c>
      <c r="O8156" s="15">
        <v>1.4676782869676042</v>
      </c>
      <c r="P8156" s="15">
        <v>1.4676782869676042</v>
      </c>
      <c r="Q8156" s="8"/>
      <c r="R8156" s="9" t="s">
        <v>7642</v>
      </c>
    </row>
    <row r="8157" spans="1:18" x14ac:dyDescent="0.25">
      <c r="A8157" s="6" t="str">
        <f>HYPERLINK("proteomic_fractions_linear_files/Yang_linear_img/58037259.jpg", "58037259")</f>
        <v>58037259</v>
      </c>
      <c r="B8157" s="7"/>
      <c r="C8157" s="6" t="str">
        <f>HYPERLINK("http://www.ncbi.nlm.nih.gov/protein/58037259","Vps11")</f>
        <v>Vps11</v>
      </c>
      <c r="D8157" s="8"/>
      <c r="E8157" s="8">
        <v>107588</v>
      </c>
      <c r="F8157" s="8"/>
      <c r="G8157" s="15" t="s">
        <v>10</v>
      </c>
      <c r="H8157" s="15" t="s">
        <v>10</v>
      </c>
      <c r="I8157" s="15">
        <v>1.0166811464919581</v>
      </c>
      <c r="J8157" s="15">
        <v>1.0166811464919581</v>
      </c>
      <c r="K8157" s="15">
        <v>1.0166811464919581</v>
      </c>
      <c r="L8157" s="15">
        <v>1.0166811464919581</v>
      </c>
      <c r="M8157" s="15" t="s">
        <v>10</v>
      </c>
      <c r="N8157" s="15" t="s">
        <v>10</v>
      </c>
      <c r="O8157" s="15" t="s">
        <v>10</v>
      </c>
      <c r="P8157" s="15" t="s">
        <v>10</v>
      </c>
      <c r="Q8157" s="8"/>
      <c r="R8157" s="9" t="s">
        <v>7643</v>
      </c>
    </row>
    <row r="8158" spans="1:18" x14ac:dyDescent="0.25">
      <c r="A8158" s="6" t="str">
        <f>HYPERLINK("proteomic_fractions_linear_files/Yang_linear_img/66392160.jpg", "66392160")</f>
        <v>66392160</v>
      </c>
      <c r="B8158" s="7"/>
      <c r="C8158" s="6" t="str">
        <f>HYPERLINK("http://www.ncbi.nlm.nih.gov/protein/66392160","Vps13a")</f>
        <v>Vps13a</v>
      </c>
      <c r="D8158" s="8"/>
      <c r="E8158" s="8">
        <v>359271</v>
      </c>
      <c r="F8158" s="8"/>
      <c r="G8158" s="15" t="s">
        <v>10</v>
      </c>
      <c r="H8158" s="15" t="s">
        <v>10</v>
      </c>
      <c r="I8158" s="15">
        <v>0.84062207419637547</v>
      </c>
      <c r="J8158" s="15">
        <v>0.84062207419637547</v>
      </c>
      <c r="K8158" s="15">
        <v>0.84062207419637547</v>
      </c>
      <c r="L8158" s="15">
        <v>0.84062207419637547</v>
      </c>
      <c r="M8158" s="15" t="s">
        <v>10</v>
      </c>
      <c r="N8158" s="15" t="s">
        <v>10</v>
      </c>
      <c r="O8158" s="15" t="s">
        <v>10</v>
      </c>
      <c r="P8158" s="15" t="s">
        <v>10</v>
      </c>
      <c r="Q8158" s="8"/>
      <c r="R8158" s="9" t="s">
        <v>7644</v>
      </c>
    </row>
    <row r="8159" spans="1:18" x14ac:dyDescent="0.25">
      <c r="A8159" s="6" t="str">
        <f>HYPERLINK("proteomic_fractions_linear_files/Yang_linear_img/122114537.jpg", "122114537")</f>
        <v>122114537</v>
      </c>
      <c r="B8159" s="7"/>
      <c r="C8159" s="6" t="str">
        <f>HYPERLINK("http://www.ncbi.nlm.nih.gov/protein/122114537","Vps13c")</f>
        <v>Vps13c</v>
      </c>
      <c r="D8159" s="8"/>
      <c r="E8159" s="8">
        <v>419960</v>
      </c>
      <c r="F8159" s="8"/>
      <c r="G8159" s="15" t="s">
        <v>10</v>
      </c>
      <c r="H8159" s="15" t="s">
        <v>10</v>
      </c>
      <c r="I8159" s="15">
        <v>0.71853172532499709</v>
      </c>
      <c r="J8159" s="15">
        <v>0.71853172532499709</v>
      </c>
      <c r="K8159" s="15">
        <v>0.97391323271295194</v>
      </c>
      <c r="L8159" s="15">
        <v>0.97391323271295194</v>
      </c>
      <c r="M8159" s="15">
        <v>0.97391323271295194</v>
      </c>
      <c r="N8159" s="15">
        <v>0.97391323271295194</v>
      </c>
      <c r="O8159" s="15">
        <v>0.71853172532499709</v>
      </c>
      <c r="P8159" s="15">
        <v>0.71853172532499709</v>
      </c>
      <c r="Q8159" s="8"/>
      <c r="R8159" s="9" t="s">
        <v>7645</v>
      </c>
    </row>
    <row r="8160" spans="1:18" x14ac:dyDescent="0.25">
      <c r="A8160" s="6" t="str">
        <f>HYPERLINK("proteomic_fractions_linear_files/Yang_linear_img/451172096.jpg", "451172096")</f>
        <v>451172096</v>
      </c>
      <c r="B8160" s="7"/>
      <c r="C8160" s="6" t="str">
        <f>HYPERLINK("http://www.ncbi.nlm.nih.gov/protein/451172096","Vps13d")</f>
        <v>Vps13d</v>
      </c>
      <c r="D8160" s="8"/>
      <c r="E8160" s="8">
        <v>490769</v>
      </c>
      <c r="F8160" s="8"/>
      <c r="G8160" s="15" t="s">
        <v>10</v>
      </c>
      <c r="H8160" s="15" t="s">
        <v>10</v>
      </c>
      <c r="I8160" s="15" t="s">
        <v>10</v>
      </c>
      <c r="J8160" s="15" t="s">
        <v>10</v>
      </c>
      <c r="K8160" s="15">
        <v>0.83308260232065134</v>
      </c>
      <c r="L8160" s="15">
        <v>0.83308260232065134</v>
      </c>
      <c r="M8160" s="15" t="s">
        <v>10</v>
      </c>
      <c r="N8160" s="15" t="s">
        <v>10</v>
      </c>
      <c r="O8160" s="15" t="s">
        <v>10</v>
      </c>
      <c r="P8160" s="15" t="s">
        <v>10</v>
      </c>
      <c r="Q8160" s="8"/>
      <c r="R8160" s="9" t="s">
        <v>7646</v>
      </c>
    </row>
    <row r="8161" spans="1:18" x14ac:dyDescent="0.25">
      <c r="A8161" s="6" t="str">
        <f>HYPERLINK("proteomic_fractions_linear_files/Yang_linear_img/451805038.jpg", "451805038")</f>
        <v>451805038</v>
      </c>
      <c r="B8161" s="7"/>
      <c r="C8161" s="6" t="str">
        <f>HYPERLINK("http://www.ncbi.nlm.nih.gov/protein/451805038","Vps13d")</f>
        <v>Vps13d</v>
      </c>
      <c r="D8161" s="8"/>
      <c r="E8161" s="8">
        <v>490840</v>
      </c>
      <c r="F8161" s="8"/>
      <c r="G8161" s="15" t="s">
        <v>10</v>
      </c>
      <c r="H8161" s="15" t="s">
        <v>10</v>
      </c>
      <c r="I8161" s="15" t="s">
        <v>10</v>
      </c>
      <c r="J8161" s="15" t="s">
        <v>10</v>
      </c>
      <c r="K8161" s="15">
        <v>0.83308260232065134</v>
      </c>
      <c r="L8161" s="15">
        <v>0.83308260232065134</v>
      </c>
      <c r="M8161" s="15" t="s">
        <v>10</v>
      </c>
      <c r="N8161" s="15" t="s">
        <v>10</v>
      </c>
      <c r="O8161" s="15" t="s">
        <v>10</v>
      </c>
      <c r="P8161" s="15" t="s">
        <v>10</v>
      </c>
      <c r="Q8161" s="8"/>
      <c r="R8161" s="9" t="s">
        <v>7647</v>
      </c>
    </row>
    <row r="8162" spans="1:18" x14ac:dyDescent="0.25">
      <c r="A8162" s="6" t="str">
        <f>HYPERLINK("proteomic_fractions_linear_files/Yang_linear_img/254939640.jpg", "254939640")</f>
        <v>254939640</v>
      </c>
      <c r="B8162" s="7"/>
      <c r="C8162" s="6" t="str">
        <f>HYPERLINK("http://www.ncbi.nlm.nih.gov/protein/254939640","Vps16")</f>
        <v>Vps16</v>
      </c>
      <c r="D8162" s="8"/>
      <c r="E8162" s="8">
        <v>94695</v>
      </c>
      <c r="F8162" s="8"/>
      <c r="G8162" s="15" t="s">
        <v>10</v>
      </c>
      <c r="H8162" s="15" t="s">
        <v>10</v>
      </c>
      <c r="I8162" s="15">
        <v>0.99966295981667908</v>
      </c>
      <c r="J8162" s="15">
        <v>0.99966295981667908</v>
      </c>
      <c r="K8162" s="15">
        <v>1.1558059349592786</v>
      </c>
      <c r="L8162" s="15">
        <v>1.1558059349592786</v>
      </c>
      <c r="M8162" s="15">
        <v>0.99966295981667908</v>
      </c>
      <c r="N8162" s="15">
        <v>0.99966295981667908</v>
      </c>
      <c r="O8162" s="15" t="s">
        <v>10</v>
      </c>
      <c r="P8162" s="15" t="s">
        <v>10</v>
      </c>
      <c r="Q8162" s="8"/>
      <c r="R8162" s="9" t="s">
        <v>7648</v>
      </c>
    </row>
    <row r="8163" spans="1:18" x14ac:dyDescent="0.25">
      <c r="A8163" s="6" t="str">
        <f>HYPERLINK("proteomic_fractions_linear_files/Yang_linear_img/254675217.jpg", "254675217")</f>
        <v>254675217</v>
      </c>
      <c r="B8163" s="7"/>
      <c r="C8163" s="6" t="str">
        <f>HYPERLINK("http://www.ncbi.nlm.nih.gov/protein/254675217","Vps18")</f>
        <v>Vps18</v>
      </c>
      <c r="D8163" s="8"/>
      <c r="E8163" s="8">
        <v>110088</v>
      </c>
      <c r="F8163" s="8"/>
      <c r="G8163" s="15" t="s">
        <v>10</v>
      </c>
      <c r="H8163" s="15" t="s">
        <v>10</v>
      </c>
      <c r="I8163" s="15">
        <v>0.9981960347375588</v>
      </c>
      <c r="J8163" s="15">
        <v>0.9981960347375588</v>
      </c>
      <c r="K8163" s="15">
        <v>1.1701966195010634</v>
      </c>
      <c r="L8163" s="15">
        <v>1.1701966195010634</v>
      </c>
      <c r="M8163" s="15">
        <v>0.9981960347375588</v>
      </c>
      <c r="N8163" s="15">
        <v>0.9981960347375588</v>
      </c>
      <c r="O8163" s="15" t="s">
        <v>10</v>
      </c>
      <c r="P8163" s="15" t="s">
        <v>10</v>
      </c>
      <c r="Q8163" s="8"/>
      <c r="R8163" s="9" t="s">
        <v>7649</v>
      </c>
    </row>
    <row r="8164" spans="1:18" x14ac:dyDescent="0.25">
      <c r="A8164" s="6" t="str">
        <f>HYPERLINK("proteomic_fractions_linear_files/Yang_linear_img/548923764.jpg", "548923764")</f>
        <v>548923764</v>
      </c>
      <c r="B8164" s="7"/>
      <c r="C8164" s="6" t="str">
        <f>HYPERLINK("http://www.ncbi.nlm.nih.gov/protein/548923764","Vps25")</f>
        <v>Vps25</v>
      </c>
      <c r="D8164" s="8"/>
      <c r="E8164" s="8">
        <v>21464</v>
      </c>
      <c r="F8164" s="8"/>
      <c r="G8164" s="15">
        <v>0.83666379835042703</v>
      </c>
      <c r="H8164" s="15">
        <v>0.83666379835042703</v>
      </c>
      <c r="I8164" s="15" t="s">
        <v>10</v>
      </c>
      <c r="J8164" s="15" t="s">
        <v>10</v>
      </c>
      <c r="K8164" s="15" t="s">
        <v>10</v>
      </c>
      <c r="L8164" s="15" t="s">
        <v>10</v>
      </c>
      <c r="M8164" s="15" t="s">
        <v>10</v>
      </c>
      <c r="N8164" s="15" t="s">
        <v>10</v>
      </c>
      <c r="O8164" s="15" t="s">
        <v>10</v>
      </c>
      <c r="P8164" s="15" t="s">
        <v>10</v>
      </c>
      <c r="Q8164" s="8"/>
      <c r="R8164" s="9" t="s">
        <v>7650</v>
      </c>
    </row>
    <row r="8165" spans="1:18" x14ac:dyDescent="0.25">
      <c r="A8165" s="6" t="str">
        <f>HYPERLINK("proteomic_fractions_linear_files/Yang_linear_img/25092662.jpg", "25092662")</f>
        <v>25092662</v>
      </c>
      <c r="B8165" s="7"/>
      <c r="C8165" s="6" t="str">
        <f>HYPERLINK("http://www.ncbi.nlm.nih.gov/protein/25092662","Vps25")</f>
        <v>Vps25</v>
      </c>
      <c r="D8165" s="8"/>
      <c r="E8165" s="8">
        <v>20617</v>
      </c>
      <c r="F8165" s="8"/>
      <c r="G8165" s="15">
        <v>0.83666379835042703</v>
      </c>
      <c r="H8165" s="15">
        <v>0.83666379835042703</v>
      </c>
      <c r="I8165" s="15">
        <v>0.88072853164590881</v>
      </c>
      <c r="J8165" s="15">
        <v>0.88072853164590881</v>
      </c>
      <c r="K8165" s="15">
        <v>0.92862618228739402</v>
      </c>
      <c r="L8165" s="15">
        <v>0.92862618228739402</v>
      </c>
      <c r="M8165" s="15">
        <v>0.92862618228739402</v>
      </c>
      <c r="N8165" s="15">
        <v>0.92862618228739402</v>
      </c>
      <c r="O8165" s="15">
        <v>0.92862618228739402</v>
      </c>
      <c r="P8165" s="15">
        <v>0.92862618228739402</v>
      </c>
      <c r="Q8165" s="8"/>
      <c r="R8165" s="9" t="s">
        <v>7651</v>
      </c>
    </row>
    <row r="8166" spans="1:18" x14ac:dyDescent="0.25">
      <c r="A8166" s="6" t="str">
        <f>HYPERLINK("proteomic_fractions_linear_files/Yang_linear_img/164518904.jpg", "164518904")</f>
        <v>164518904</v>
      </c>
      <c r="B8166" s="7"/>
      <c r="C8166" s="6" t="str">
        <f>HYPERLINK("http://www.ncbi.nlm.nih.gov/protein/164518904","Vps26a")</f>
        <v>Vps26a</v>
      </c>
      <c r="D8166" s="8"/>
      <c r="E8166" s="8">
        <v>41417</v>
      </c>
      <c r="F8166" s="8"/>
      <c r="G8166" s="15">
        <v>1.1778042825467134</v>
      </c>
      <c r="H8166" s="15">
        <v>1.1778042825467134</v>
      </c>
      <c r="I8166" s="15">
        <v>0.84276528123110206</v>
      </c>
      <c r="J8166" s="15">
        <v>0.84276528123110206</v>
      </c>
      <c r="K8166" s="15">
        <v>0.91076405910059977</v>
      </c>
      <c r="L8166" s="15">
        <v>0.91076405910059977</v>
      </c>
      <c r="M8166" s="15">
        <v>0.91076405910059977</v>
      </c>
      <c r="N8166" s="15">
        <v>0.91076405910059977</v>
      </c>
      <c r="O8166" s="15">
        <v>0.84276528123110206</v>
      </c>
      <c r="P8166" s="15">
        <v>0.84276528123110206</v>
      </c>
      <c r="Q8166" s="8"/>
      <c r="R8166" s="9" t="s">
        <v>7652</v>
      </c>
    </row>
    <row r="8167" spans="1:18" x14ac:dyDescent="0.25">
      <c r="A8167" s="6" t="str">
        <f>HYPERLINK("proteomic_fractions_linear_files/Yang_linear_img/19526826.jpg", "19526826")</f>
        <v>19526826</v>
      </c>
      <c r="B8167" s="7"/>
      <c r="C8167" s="6" t="str">
        <f>HYPERLINK("http://www.ncbi.nlm.nih.gov/protein/19526826","Vps26a")</f>
        <v>Vps26a</v>
      </c>
      <c r="D8167" s="8"/>
      <c r="E8167" s="8">
        <v>37983</v>
      </c>
      <c r="F8167" s="8"/>
      <c r="G8167" s="15">
        <v>1.2707888311688225</v>
      </c>
      <c r="H8167" s="15">
        <v>1.2707888311688225</v>
      </c>
      <c r="I8167" s="15">
        <v>0.90929938238092589</v>
      </c>
      <c r="J8167" s="15">
        <v>0.90929938238092589</v>
      </c>
      <c r="K8167" s="15">
        <v>0.98266648481906815</v>
      </c>
      <c r="L8167" s="15">
        <v>0.98266648481906815</v>
      </c>
      <c r="M8167" s="15">
        <v>0.98266648481906815</v>
      </c>
      <c r="N8167" s="15">
        <v>0.98266648481906815</v>
      </c>
      <c r="O8167" s="15">
        <v>0.90929938238092589</v>
      </c>
      <c r="P8167" s="15">
        <v>0.90929938238092589</v>
      </c>
      <c r="Q8167" s="8"/>
      <c r="R8167" s="9" t="s">
        <v>7653</v>
      </c>
    </row>
    <row r="8168" spans="1:18" x14ac:dyDescent="0.25">
      <c r="A8168" s="6" t="str">
        <f>HYPERLINK("proteomic_fractions_linear_files/Yang_linear_img/29825827.jpg", "29825827")</f>
        <v>29825827</v>
      </c>
      <c r="B8168" s="7"/>
      <c r="C8168" s="6" t="str">
        <f>HYPERLINK("http://www.ncbi.nlm.nih.gov/protein/29825827","Vps26b")</f>
        <v>Vps26b</v>
      </c>
      <c r="D8168" s="8"/>
      <c r="E8168" s="8">
        <v>38994</v>
      </c>
      <c r="F8168" s="8"/>
      <c r="G8168" s="15">
        <v>1.2382045021644936</v>
      </c>
      <c r="H8168" s="15">
        <v>1.2382045021644936</v>
      </c>
      <c r="I8168" s="15">
        <v>1.038649184698019</v>
      </c>
      <c r="J8168" s="15">
        <v>1.038649184698019</v>
      </c>
      <c r="K8168" s="15">
        <v>1.038649184698019</v>
      </c>
      <c r="L8168" s="15">
        <v>1.038649184698019</v>
      </c>
      <c r="M8168" s="15">
        <v>1.038649184698019</v>
      </c>
      <c r="N8168" s="15">
        <v>1.038649184698019</v>
      </c>
      <c r="O8168" s="15">
        <v>0.8859840136019278</v>
      </c>
      <c r="P8168" s="15">
        <v>0.8859840136019278</v>
      </c>
      <c r="Q8168" s="8"/>
      <c r="R8168" s="9" t="s">
        <v>7654</v>
      </c>
    </row>
    <row r="8169" spans="1:18" x14ac:dyDescent="0.25">
      <c r="A8169" s="6" t="str">
        <f>HYPERLINK("proteomic_fractions_linear_files/Yang_linear_img/13385320.jpg", "13385320")</f>
        <v>13385320</v>
      </c>
      <c r="B8169" s="7"/>
      <c r="C8169" s="6" t="str">
        <f>HYPERLINK("http://www.ncbi.nlm.nih.gov/protein/13385320","Vps28")</f>
        <v>Vps28</v>
      </c>
      <c r="D8169" s="8"/>
      <c r="E8169" s="8">
        <v>25321</v>
      </c>
      <c r="F8169" s="8"/>
      <c r="G8169" s="15" t="s">
        <v>10</v>
      </c>
      <c r="H8169" s="15" t="s">
        <v>10</v>
      </c>
      <c r="I8169" s="15">
        <v>0.92438293498869784</v>
      </c>
      <c r="J8169" s="15">
        <v>0.92438293498869784</v>
      </c>
      <c r="K8169" s="15">
        <v>0.92438293498869784</v>
      </c>
      <c r="L8169" s="15">
        <v>0.92438293498869784</v>
      </c>
      <c r="M8169" s="15">
        <v>0.92438293498869784</v>
      </c>
      <c r="N8169" s="15">
        <v>0.92438293498869784</v>
      </c>
      <c r="O8169" s="15">
        <v>0.82389764746625094</v>
      </c>
      <c r="P8169" s="15">
        <v>0.82389764746625094</v>
      </c>
      <c r="Q8169" s="8"/>
      <c r="R8169" s="9" t="s">
        <v>7655</v>
      </c>
    </row>
    <row r="8170" spans="1:18" x14ac:dyDescent="0.25">
      <c r="A8170" s="6" t="str">
        <f>HYPERLINK("proteomic_fractions_linear_files/Yang_linear_img/9790285.jpg", "9790285")</f>
        <v>9790285</v>
      </c>
      <c r="B8170" s="7"/>
      <c r="C8170" s="6" t="str">
        <f>HYPERLINK("http://www.ncbi.nlm.nih.gov/protein/9790285","Vps29")</f>
        <v>Vps29</v>
      </c>
      <c r="D8170" s="8"/>
      <c r="E8170" s="8">
        <v>20365</v>
      </c>
      <c r="F8170" s="8"/>
      <c r="G8170" s="15">
        <v>1.4942703445856567</v>
      </c>
      <c r="H8170" s="15">
        <v>1.4942703445856567</v>
      </c>
      <c r="I8170" s="15">
        <v>0.97505749140176368</v>
      </c>
      <c r="J8170" s="15">
        <v>0.97505749140176368</v>
      </c>
      <c r="K8170" s="15">
        <v>0.97505749140176368</v>
      </c>
      <c r="L8170" s="15">
        <v>0.97505749140176368</v>
      </c>
      <c r="M8170" s="15">
        <v>1.0298720593328137</v>
      </c>
      <c r="N8170" s="15">
        <v>0.97505749140176368</v>
      </c>
      <c r="O8170" s="15">
        <v>0.97505749140176368</v>
      </c>
      <c r="P8170" s="15">
        <v>0.97505749140176368</v>
      </c>
      <c r="Q8170" s="8"/>
      <c r="R8170" s="9" t="s">
        <v>7656</v>
      </c>
    </row>
    <row r="8171" spans="1:18" x14ac:dyDescent="0.25">
      <c r="A8171" s="6" t="str">
        <f>HYPERLINK("proteomic_fractions_linear_files/Yang_linear_img/254588041.jpg", "254588041")</f>
        <v>254588041</v>
      </c>
      <c r="B8171" s="7"/>
      <c r="C8171" s="6" t="str">
        <f>HYPERLINK("http://www.ncbi.nlm.nih.gov/protein/254588041","Vps33a")</f>
        <v>Vps33a</v>
      </c>
      <c r="D8171" s="8"/>
      <c r="E8171" s="8">
        <v>67424</v>
      </c>
      <c r="F8171" s="8"/>
      <c r="G8171" s="15" t="s">
        <v>10</v>
      </c>
      <c r="H8171" s="15" t="s">
        <v>10</v>
      </c>
      <c r="I8171" s="15">
        <v>0.97691437806782588</v>
      </c>
      <c r="J8171" s="15">
        <v>0.97691437806782588</v>
      </c>
      <c r="K8171" s="15">
        <v>1.0960620931594365</v>
      </c>
      <c r="L8171" s="15">
        <v>1.0960620931594365</v>
      </c>
      <c r="M8171" s="15">
        <v>1.0960620931594365</v>
      </c>
      <c r="N8171" s="15">
        <v>1.0960620931594365</v>
      </c>
      <c r="O8171" s="15" t="s">
        <v>10</v>
      </c>
      <c r="P8171" s="15" t="s">
        <v>10</v>
      </c>
      <c r="Q8171" s="8"/>
      <c r="R8171" s="9" t="s">
        <v>7657</v>
      </c>
    </row>
    <row r="8172" spans="1:18" x14ac:dyDescent="0.25">
      <c r="A8172" s="6" t="str">
        <f>HYPERLINK("proteomic_fractions_linear_files/Yang_linear_img/158937308.jpg", "158937308")</f>
        <v>158937308</v>
      </c>
      <c r="B8172" s="7"/>
      <c r="C8172" s="6" t="str">
        <f>HYPERLINK("http://www.ncbi.nlm.nih.gov/protein/158937308","Vps33b")</f>
        <v>Vps33b</v>
      </c>
      <c r="D8172" s="8"/>
      <c r="E8172" s="8">
        <v>70395</v>
      </c>
      <c r="F8172" s="8"/>
      <c r="G8172" s="15" t="s">
        <v>10</v>
      </c>
      <c r="H8172" s="15" t="s">
        <v>10</v>
      </c>
      <c r="I8172" s="15" t="s">
        <v>10</v>
      </c>
      <c r="J8172" s="15" t="s">
        <v>10</v>
      </c>
      <c r="K8172" s="15">
        <v>1.0490880034526036</v>
      </c>
      <c r="L8172" s="15">
        <v>1.0490880034526036</v>
      </c>
      <c r="M8172" s="15">
        <v>1.0490880034526036</v>
      </c>
      <c r="N8172" s="15">
        <v>1.0490880034526036</v>
      </c>
      <c r="O8172" s="15" t="s">
        <v>10</v>
      </c>
      <c r="P8172" s="15" t="s">
        <v>10</v>
      </c>
      <c r="Q8172" s="8"/>
      <c r="R8172" s="9" t="s">
        <v>7658</v>
      </c>
    </row>
    <row r="8173" spans="1:18" x14ac:dyDescent="0.25">
      <c r="A8173" s="6" t="str">
        <f>HYPERLINK("proteomic_fractions_linear_files/Yang_linear_img/13928670.jpg", "13928670")</f>
        <v>13928670</v>
      </c>
      <c r="B8173" s="7"/>
      <c r="C8173" s="6" t="str">
        <f>HYPERLINK("http://www.ncbi.nlm.nih.gov/protein/13928670","Vps35")</f>
        <v>Vps35</v>
      </c>
      <c r="D8173" s="8"/>
      <c r="E8173" s="8">
        <v>91582</v>
      </c>
      <c r="F8173" s="8"/>
      <c r="G8173" s="15">
        <v>1.193495258925342</v>
      </c>
      <c r="H8173" s="15">
        <v>1.193495258925342</v>
      </c>
      <c r="I8173" s="15">
        <v>0.90324628775156368</v>
      </c>
      <c r="J8173" s="15">
        <v>0.90324628775156368</v>
      </c>
      <c r="K8173" s="15">
        <v>1.0322606650280925</v>
      </c>
      <c r="L8173" s="15">
        <v>1.0322606650280925</v>
      </c>
      <c r="M8173" s="15">
        <v>0.90324628775156368</v>
      </c>
      <c r="N8173" s="15">
        <v>0.90324628775156368</v>
      </c>
      <c r="O8173" s="15">
        <v>0.90324628775156368</v>
      </c>
      <c r="P8173" s="15">
        <v>0.90324628775156368</v>
      </c>
      <c r="Q8173" s="8"/>
      <c r="R8173" s="9" t="s">
        <v>7659</v>
      </c>
    </row>
    <row r="8174" spans="1:18" x14ac:dyDescent="0.25">
      <c r="A8174" s="6" t="str">
        <f>HYPERLINK("proteomic_fractions_linear_files/Yang_linear_img/30794416.jpg", "30794416")</f>
        <v>30794416</v>
      </c>
      <c r="B8174" s="7"/>
      <c r="C8174" s="6" t="str">
        <f>HYPERLINK("http://www.ncbi.nlm.nih.gov/protein/30794416","Vps36")</f>
        <v>Vps36</v>
      </c>
      <c r="D8174" s="8"/>
      <c r="E8174" s="8">
        <v>43605</v>
      </c>
      <c r="F8174" s="8"/>
      <c r="G8174" s="15" t="s">
        <v>10</v>
      </c>
      <c r="H8174" s="15" t="s">
        <v>10</v>
      </c>
      <c r="I8174" s="15">
        <v>0.9206208682550624</v>
      </c>
      <c r="J8174" s="15">
        <v>0.9206208682550624</v>
      </c>
      <c r="K8174" s="15">
        <v>1.0028543010673969</v>
      </c>
      <c r="L8174" s="15">
        <v>1.0028543010673969</v>
      </c>
      <c r="M8174" s="15">
        <v>0.9206208682550624</v>
      </c>
      <c r="N8174" s="15">
        <v>0.9206208682550624</v>
      </c>
      <c r="O8174" s="15">
        <v>0.84866650961646795</v>
      </c>
      <c r="P8174" s="15">
        <v>0.84866650961646795</v>
      </c>
      <c r="Q8174" s="8"/>
      <c r="R8174" s="9" t="s">
        <v>7660</v>
      </c>
    </row>
    <row r="8175" spans="1:18" x14ac:dyDescent="0.25">
      <c r="A8175" s="6" t="str">
        <f>HYPERLINK("proteomic_fractions_linear_files/Yang_linear_img/29244484.jpg", "29244484")</f>
        <v>29244484</v>
      </c>
      <c r="B8175" s="7"/>
      <c r="C8175" s="6" t="str">
        <f>HYPERLINK("http://www.ncbi.nlm.nih.gov/protein/29244484","Vps37b")</f>
        <v>Vps37b</v>
      </c>
      <c r="D8175" s="8"/>
      <c r="E8175" s="8">
        <v>30925</v>
      </c>
      <c r="F8175" s="8"/>
      <c r="G8175" s="15" t="s">
        <v>10</v>
      </c>
      <c r="H8175" s="15" t="s">
        <v>10</v>
      </c>
      <c r="I8175" s="15" t="s">
        <v>10</v>
      </c>
      <c r="J8175" s="15" t="s">
        <v>10</v>
      </c>
      <c r="K8175" s="15">
        <v>1.0349700921204383</v>
      </c>
      <c r="L8175" s="15">
        <v>1.0349700921204383</v>
      </c>
      <c r="M8175" s="15" t="s">
        <v>10</v>
      </c>
      <c r="N8175" s="15" t="s">
        <v>10</v>
      </c>
      <c r="O8175" s="15">
        <v>0.90058746121555033</v>
      </c>
      <c r="P8175" s="15">
        <v>0.90058746121555033</v>
      </c>
      <c r="Q8175" s="8"/>
      <c r="R8175" s="9" t="s">
        <v>7661</v>
      </c>
    </row>
    <row r="8176" spans="1:18" x14ac:dyDescent="0.25">
      <c r="A8176" s="6" t="str">
        <f>HYPERLINK("proteomic_fractions_linear_files/Yang_linear_img/31088908.jpg", "31088908")</f>
        <v>31088908</v>
      </c>
      <c r="B8176" s="7"/>
      <c r="C8176" s="6" t="str">
        <f>HYPERLINK("http://www.ncbi.nlm.nih.gov/protein/31088908","Vps37c")</f>
        <v>Vps37c</v>
      </c>
      <c r="D8176" s="8"/>
      <c r="E8176" s="8">
        <v>38322</v>
      </c>
      <c r="F8176" s="8"/>
      <c r="G8176" s="15" t="s">
        <v>10</v>
      </c>
      <c r="H8176" s="15" t="s">
        <v>10</v>
      </c>
      <c r="I8176" s="15">
        <v>1.0659820579795458</v>
      </c>
      <c r="J8176" s="15">
        <v>1.0659820579795458</v>
      </c>
      <c r="K8176" s="15">
        <v>1.1611997170254071</v>
      </c>
      <c r="L8176" s="15">
        <v>1.1611997170254071</v>
      </c>
      <c r="M8176" s="15" t="s">
        <v>10</v>
      </c>
      <c r="N8176" s="15" t="s">
        <v>10</v>
      </c>
      <c r="O8176" s="15">
        <v>0.98266648481906815</v>
      </c>
      <c r="P8176" s="15">
        <v>0.98266648481906815</v>
      </c>
      <c r="Q8176" s="8"/>
      <c r="R8176" s="9" t="s">
        <v>7662</v>
      </c>
    </row>
    <row r="8177" spans="1:18" x14ac:dyDescent="0.25">
      <c r="A8177" s="6" t="str">
        <f>HYPERLINK("proteomic_fractions_linear_files/Yang_linear_img/22164794.jpg", "22164794")</f>
        <v>22164794</v>
      </c>
      <c r="B8177" s="7"/>
      <c r="C8177" s="6" t="str">
        <f>HYPERLINK("http://www.ncbi.nlm.nih.gov/protein/22164794","Vps39")</f>
        <v>Vps39</v>
      </c>
      <c r="D8177" s="8"/>
      <c r="E8177" s="8">
        <v>101562</v>
      </c>
      <c r="F8177" s="8"/>
      <c r="G8177" s="15" t="s">
        <v>10</v>
      </c>
      <c r="H8177" s="15" t="s">
        <v>10</v>
      </c>
      <c r="I8177" s="15">
        <v>1.0764859198150143</v>
      </c>
      <c r="J8177" s="15">
        <v>1.0764859198150143</v>
      </c>
      <c r="K8177" s="15">
        <v>1.0764859198150143</v>
      </c>
      <c r="L8177" s="15">
        <v>1.0764859198150143</v>
      </c>
      <c r="M8177" s="15" t="s">
        <v>10</v>
      </c>
      <c r="N8177" s="15" t="s">
        <v>10</v>
      </c>
      <c r="O8177" s="15" t="s">
        <v>10</v>
      </c>
      <c r="P8177" s="15" t="s">
        <v>10</v>
      </c>
      <c r="Q8177" s="8"/>
      <c r="R8177" s="9" t="s">
        <v>7663</v>
      </c>
    </row>
    <row r="8178" spans="1:18" x14ac:dyDescent="0.25">
      <c r="A8178" s="6" t="str">
        <f>HYPERLINK("proteomic_fractions_linear_files/Yang_linear_img/30578384.jpg", "30578384")</f>
        <v>30578384</v>
      </c>
      <c r="B8178" s="7"/>
      <c r="C8178" s="6" t="str">
        <f>HYPERLINK("http://www.ncbi.nlm.nih.gov/protein/30578384","Vps39")</f>
        <v>Vps39</v>
      </c>
      <c r="D8178" s="8"/>
      <c r="E8178" s="8">
        <v>100522</v>
      </c>
      <c r="F8178" s="8"/>
      <c r="G8178" s="15" t="s">
        <v>10</v>
      </c>
      <c r="H8178" s="15" t="s">
        <v>10</v>
      </c>
      <c r="I8178" s="15">
        <v>1.0871441962488264</v>
      </c>
      <c r="J8178" s="15">
        <v>1.0871441962488264</v>
      </c>
      <c r="K8178" s="15">
        <v>1.0871441962488264</v>
      </c>
      <c r="L8178" s="15">
        <v>1.0871441962488264</v>
      </c>
      <c r="M8178" s="15" t="s">
        <v>10</v>
      </c>
      <c r="N8178" s="15" t="s">
        <v>10</v>
      </c>
      <c r="O8178" s="15" t="s">
        <v>10</v>
      </c>
      <c r="P8178" s="15" t="s">
        <v>10</v>
      </c>
      <c r="Q8178" s="8"/>
      <c r="R8178" s="9" t="s">
        <v>7664</v>
      </c>
    </row>
    <row r="8179" spans="1:18" x14ac:dyDescent="0.25">
      <c r="A8179" s="6" t="str">
        <f>HYPERLINK("proteomic_fractions_linear_files/Yang_linear_img/7305631.jpg", "7305631")</f>
        <v>7305631</v>
      </c>
      <c r="B8179" s="7"/>
      <c r="C8179" s="6" t="str">
        <f>HYPERLINK("http://www.ncbi.nlm.nih.gov/protein/7305631","Vps45")</f>
        <v>Vps45</v>
      </c>
      <c r="D8179" s="8"/>
      <c r="E8179" s="8">
        <v>64922</v>
      </c>
      <c r="F8179" s="8"/>
      <c r="G8179" s="15">
        <v>1.2784408995868286</v>
      </c>
      <c r="H8179" s="15">
        <v>1.2784408995868286</v>
      </c>
      <c r="I8179" s="15">
        <v>1.0069732820083743</v>
      </c>
      <c r="J8179" s="15">
        <v>1.0069732820083743</v>
      </c>
      <c r="K8179" s="15">
        <v>1.1297870806412653</v>
      </c>
      <c r="L8179" s="15">
        <v>1.1297870806412653</v>
      </c>
      <c r="M8179" s="15">
        <v>1.0069732820083743</v>
      </c>
      <c r="N8179" s="15">
        <v>1.0069732820083743</v>
      </c>
      <c r="O8179" s="15" t="s">
        <v>10</v>
      </c>
      <c r="P8179" s="15" t="s">
        <v>10</v>
      </c>
      <c r="Q8179" s="8"/>
      <c r="R8179" s="9" t="s">
        <v>7665</v>
      </c>
    </row>
    <row r="8180" spans="1:18" x14ac:dyDescent="0.25">
      <c r="A8180" s="6" t="str">
        <f>HYPERLINK("proteomic_fractions_linear_files/Yang_linear_img/18699726.jpg", "18699726")</f>
        <v>18699726</v>
      </c>
      <c r="B8180" s="7"/>
      <c r="C8180" s="6" t="str">
        <f>HYPERLINK("http://www.ncbi.nlm.nih.gov/protein/18699726","Vps4a")</f>
        <v>Vps4a</v>
      </c>
      <c r="D8180" s="8"/>
      <c r="E8180" s="8">
        <v>48776</v>
      </c>
      <c r="F8180" s="8"/>
      <c r="G8180" s="15" t="s">
        <v>10</v>
      </c>
      <c r="H8180" s="15" t="s">
        <v>10</v>
      </c>
      <c r="I8180" s="15" t="s">
        <v>10</v>
      </c>
      <c r="J8180" s="15" t="s">
        <v>10</v>
      </c>
      <c r="K8180" s="15">
        <v>1.1994532160325275</v>
      </c>
      <c r="L8180" s="15">
        <v>1.1994532160325275</v>
      </c>
      <c r="M8180" s="15" t="s">
        <v>10</v>
      </c>
      <c r="N8180" s="15" t="s">
        <v>10</v>
      </c>
      <c r="O8180" s="15">
        <v>0.9855097058043929</v>
      </c>
      <c r="P8180" s="15">
        <v>0.9855097058043929</v>
      </c>
      <c r="Q8180" s="8"/>
      <c r="R8180" s="9" t="s">
        <v>7666</v>
      </c>
    </row>
    <row r="8181" spans="1:18" x14ac:dyDescent="0.25">
      <c r="A8181" s="6" t="str">
        <f>HYPERLINK("proteomic_fractions_linear_files/Yang_linear_img/164698506.jpg", "164698506")</f>
        <v>164698506</v>
      </c>
      <c r="B8181" s="7"/>
      <c r="C8181" s="6" t="str">
        <f>HYPERLINK("http://www.ncbi.nlm.nih.gov/protein/164698506","Vps4b")</f>
        <v>Vps4b</v>
      </c>
      <c r="D8181" s="8"/>
      <c r="E8181" s="8">
        <v>49288</v>
      </c>
      <c r="F8181" s="8"/>
      <c r="G8181" s="15">
        <v>1.3357808842968231</v>
      </c>
      <c r="H8181" s="15">
        <v>1.3357808842968231</v>
      </c>
      <c r="I8181" s="15">
        <v>1.0840932577551241</v>
      </c>
      <c r="J8181" s="15">
        <v>1.0840932577551241</v>
      </c>
      <c r="K8181" s="15">
        <v>1.1994532160325275</v>
      </c>
      <c r="L8181" s="15">
        <v>1.1994532160325275</v>
      </c>
      <c r="M8181" s="15">
        <v>1.0840932577551241</v>
      </c>
      <c r="N8181" s="15">
        <v>1.0840932577551241</v>
      </c>
      <c r="O8181" s="15">
        <v>0.9855097058043929</v>
      </c>
      <c r="P8181" s="15">
        <v>0.9855097058043929</v>
      </c>
      <c r="Q8181" s="8"/>
      <c r="R8181" s="9" t="s">
        <v>7667</v>
      </c>
    </row>
    <row r="8182" spans="1:18" x14ac:dyDescent="0.25">
      <c r="A8182" s="6" t="str">
        <f>HYPERLINK("proteomic_fractions_linear_files/Yang_linear_img/124486662.jpg", "124486662")</f>
        <v>124486662</v>
      </c>
      <c r="B8182" s="7"/>
      <c r="C8182" s="6" t="str">
        <f>HYPERLINK("http://www.ncbi.nlm.nih.gov/protein/124486662","Vps51")</f>
        <v>Vps51</v>
      </c>
      <c r="D8182" s="8"/>
      <c r="E8182" s="8">
        <v>86057</v>
      </c>
      <c r="F8182" s="8"/>
      <c r="G8182" s="15" t="s">
        <v>10</v>
      </c>
      <c r="H8182" s="15" t="s">
        <v>10</v>
      </c>
      <c r="I8182" s="15">
        <v>1.104278850960285</v>
      </c>
      <c r="J8182" s="15">
        <v>1.104278850960285</v>
      </c>
      <c r="K8182" s="15">
        <v>1.2767623700131565</v>
      </c>
      <c r="L8182" s="15">
        <v>1.2767623700131565</v>
      </c>
      <c r="M8182" s="15">
        <v>1.104278850960285</v>
      </c>
      <c r="N8182" s="15">
        <v>1.104278850960285</v>
      </c>
      <c r="O8182" s="15">
        <v>1.104278850960285</v>
      </c>
      <c r="P8182" s="15">
        <v>1.104278850960285</v>
      </c>
      <c r="Q8182" s="8"/>
      <c r="R8182" s="9" t="s">
        <v>7668</v>
      </c>
    </row>
    <row r="8183" spans="1:18" x14ac:dyDescent="0.25">
      <c r="A8183" s="6" t="str">
        <f>HYPERLINK("proteomic_fractions_linear_files/Yang_linear_img/148747162.jpg", "148747162")</f>
        <v>148747162</v>
      </c>
      <c r="B8183" s="7"/>
      <c r="C8183" s="6" t="str">
        <f>HYPERLINK("http://www.ncbi.nlm.nih.gov/protein/148747162","Vps52")</f>
        <v>Vps52</v>
      </c>
      <c r="D8183" s="8"/>
      <c r="E8183" s="8">
        <v>81913</v>
      </c>
      <c r="F8183" s="8"/>
      <c r="G8183" s="15" t="s">
        <v>10</v>
      </c>
      <c r="H8183" s="15" t="s">
        <v>10</v>
      </c>
      <c r="I8183" s="15">
        <v>1.1581461119827379</v>
      </c>
      <c r="J8183" s="15">
        <v>1.1581461119827379</v>
      </c>
      <c r="K8183" s="15">
        <v>1.3390434612333106</v>
      </c>
      <c r="L8183" s="15">
        <v>1.3390434612333106</v>
      </c>
      <c r="M8183" s="15">
        <v>1.1581461119827379</v>
      </c>
      <c r="N8183" s="15">
        <v>1.1581461119827379</v>
      </c>
      <c r="O8183" s="15">
        <v>1.1581461119827379</v>
      </c>
      <c r="P8183" s="15">
        <v>1.1581461119827379</v>
      </c>
      <c r="Q8183" s="8"/>
      <c r="R8183" s="9" t="s">
        <v>7669</v>
      </c>
    </row>
    <row r="8184" spans="1:18" x14ac:dyDescent="0.25">
      <c r="A8184" s="6" t="str">
        <f>HYPERLINK("proteomic_fractions_linear_files/Yang_linear_img/31980873.jpg", "31980873")</f>
        <v>31980873</v>
      </c>
      <c r="B8184" s="7"/>
      <c r="C8184" s="6" t="str">
        <f>HYPERLINK("http://www.ncbi.nlm.nih.gov/protein/31980873","Vps53")</f>
        <v>Vps53</v>
      </c>
      <c r="D8184" s="8"/>
      <c r="E8184" s="8">
        <v>94293</v>
      </c>
      <c r="F8184" s="8"/>
      <c r="G8184" s="15" t="s">
        <v>10</v>
      </c>
      <c r="H8184" s="15" t="s">
        <v>10</v>
      </c>
      <c r="I8184" s="15">
        <v>1.1681017427779943</v>
      </c>
      <c r="J8184" s="15">
        <v>1.1681017427779943</v>
      </c>
      <c r="K8184" s="15">
        <v>1.1681017427779943</v>
      </c>
      <c r="L8184" s="15">
        <v>1.1681017427779943</v>
      </c>
      <c r="M8184" s="15">
        <v>1.1681017427779943</v>
      </c>
      <c r="N8184" s="15">
        <v>1.1681017427779943</v>
      </c>
      <c r="O8184" s="15">
        <v>1.1681017427779943</v>
      </c>
      <c r="P8184" s="15">
        <v>1.1681017427779943</v>
      </c>
      <c r="Q8184" s="8"/>
      <c r="R8184" s="9" t="s">
        <v>7670</v>
      </c>
    </row>
    <row r="8185" spans="1:18" x14ac:dyDescent="0.25">
      <c r="A8185" s="6" t="str">
        <f>HYPERLINK("proteomic_fractions_linear_files/Yang_linear_img/124486983.jpg", "124486983")</f>
        <v>124486983</v>
      </c>
      <c r="B8185" s="7"/>
      <c r="C8185" s="6" t="str">
        <f>HYPERLINK("http://www.ncbi.nlm.nih.gov/protein/124486983","Vps8")</f>
        <v>Vps8</v>
      </c>
      <c r="D8185" s="8"/>
      <c r="E8185" s="8">
        <v>161201</v>
      </c>
      <c r="F8185" s="8"/>
      <c r="G8185" s="15" t="s">
        <v>10</v>
      </c>
      <c r="H8185" s="15" t="s">
        <v>10</v>
      </c>
      <c r="I8185" s="15" t="s">
        <v>10</v>
      </c>
      <c r="J8185" s="15" t="s">
        <v>10</v>
      </c>
      <c r="K8185" s="15">
        <v>0.79951321829265198</v>
      </c>
      <c r="L8185" s="15">
        <v>0.79951321829265198</v>
      </c>
      <c r="M8185" s="15" t="s">
        <v>10</v>
      </c>
      <c r="N8185" s="15" t="s">
        <v>10</v>
      </c>
      <c r="O8185" s="15">
        <v>0.79951321829265198</v>
      </c>
      <c r="P8185" s="15">
        <v>0.79951321829265198</v>
      </c>
      <c r="Q8185" s="8"/>
      <c r="R8185" s="9" t="s">
        <v>7671</v>
      </c>
    </row>
    <row r="8186" spans="1:18" x14ac:dyDescent="0.25">
      <c r="A8186" s="6" t="str">
        <f>HYPERLINK("proteomic_fractions_linear_files/Yang_linear_img/71067120.jpg", "71067120")</f>
        <v>71067120</v>
      </c>
      <c r="B8186" s="7"/>
      <c r="C8186" s="6" t="str">
        <f>HYPERLINK("http://www.ncbi.nlm.nih.gov/protein/71067120","Vrk1")</f>
        <v>Vrk1</v>
      </c>
      <c r="D8186" s="8"/>
      <c r="E8186" s="8">
        <v>44901</v>
      </c>
      <c r="F8186" s="8"/>
      <c r="G8186" s="15">
        <v>1.3060712796798635</v>
      </c>
      <c r="H8186" s="15">
        <v>1.3060712796798635</v>
      </c>
      <c r="I8186" s="15">
        <v>1.3060712796798635</v>
      </c>
      <c r="J8186" s="15">
        <v>1.3060712796798635</v>
      </c>
      <c r="K8186" s="15">
        <v>1.1804571028889128</v>
      </c>
      <c r="L8186" s="15">
        <v>1.1804571028889128</v>
      </c>
      <c r="M8186" s="15" t="s">
        <v>10</v>
      </c>
      <c r="N8186" s="15" t="s">
        <v>10</v>
      </c>
      <c r="O8186" s="15" t="s">
        <v>10</v>
      </c>
      <c r="P8186" s="15" t="s">
        <v>10</v>
      </c>
      <c r="Q8186" s="8"/>
      <c r="R8186" s="9" t="s">
        <v>7672</v>
      </c>
    </row>
    <row r="8187" spans="1:18" x14ac:dyDescent="0.25">
      <c r="A8187" s="6" t="str">
        <f>HYPERLINK("proteomic_fractions_linear_files/Yang_linear_img/71067122.jpg", "71067122")</f>
        <v>71067122</v>
      </c>
      <c r="B8187" s="7"/>
      <c r="C8187" s="6" t="str">
        <f>HYPERLINK("http://www.ncbi.nlm.nih.gov/protein/71067122","Vrk1")</f>
        <v>Vrk1</v>
      </c>
      <c r="D8187" s="8"/>
      <c r="E8187" s="8">
        <v>47347</v>
      </c>
      <c r="F8187" s="8"/>
      <c r="G8187" s="15">
        <v>1.2504937784168904</v>
      </c>
      <c r="H8187" s="15">
        <v>1.2504937784168904</v>
      </c>
      <c r="I8187" s="15">
        <v>1.2504937784168904</v>
      </c>
      <c r="J8187" s="15">
        <v>1.2504937784168904</v>
      </c>
      <c r="K8187" s="15">
        <v>1.1302248857447037</v>
      </c>
      <c r="L8187" s="15">
        <v>1.1302248857447037</v>
      </c>
      <c r="M8187" s="15" t="s">
        <v>10</v>
      </c>
      <c r="N8187" s="15" t="s">
        <v>10</v>
      </c>
      <c r="O8187" s="15" t="s">
        <v>10</v>
      </c>
      <c r="P8187" s="15" t="s">
        <v>10</v>
      </c>
      <c r="Q8187" s="8"/>
      <c r="R8187" s="9" t="s">
        <v>7673</v>
      </c>
    </row>
    <row r="8188" spans="1:18" x14ac:dyDescent="0.25">
      <c r="A8188" s="6" t="str">
        <f>HYPERLINK("proteomic_fractions_linear_files/Yang_linear_img/6755985.jpg", "6755985")</f>
        <v>6755985</v>
      </c>
      <c r="B8188" s="7"/>
      <c r="C8188" s="6" t="str">
        <f>HYPERLINK("http://www.ncbi.nlm.nih.gov/protein/6755985","Vrk1")</f>
        <v>Vrk1</v>
      </c>
      <c r="D8188" s="8"/>
      <c r="E8188" s="8">
        <v>49610</v>
      </c>
      <c r="F8188" s="8"/>
      <c r="G8188" s="15">
        <v>1.1754641517118771</v>
      </c>
      <c r="H8188" s="15">
        <v>1.1754641517118771</v>
      </c>
      <c r="I8188" s="15">
        <v>1.1754641517118771</v>
      </c>
      <c r="J8188" s="15">
        <v>1.1754641517118771</v>
      </c>
      <c r="K8188" s="15">
        <v>1.0624113926000216</v>
      </c>
      <c r="L8188" s="15">
        <v>1.0624113926000216</v>
      </c>
      <c r="M8188" s="15">
        <v>1.1754641517118771</v>
      </c>
      <c r="N8188" s="15">
        <v>1.1754641517118771</v>
      </c>
      <c r="O8188" s="15" t="s">
        <v>10</v>
      </c>
      <c r="P8188" s="15" t="s">
        <v>10</v>
      </c>
      <c r="Q8188" s="8"/>
      <c r="R8188" s="9" t="s">
        <v>7674</v>
      </c>
    </row>
    <row r="8189" spans="1:18" x14ac:dyDescent="0.25">
      <c r="A8189" s="6" t="str">
        <f>HYPERLINK("proteomic_fractions_linear_files/Yang_linear_img/148664203.jpg", "148664203")</f>
        <v>148664203</v>
      </c>
      <c r="B8189" s="7"/>
      <c r="C8189" s="6" t="str">
        <f>HYPERLINK("http://www.ncbi.nlm.nih.gov/protein/148664203","Vsig10")</f>
        <v>Vsig10</v>
      </c>
      <c r="D8189" s="8"/>
      <c r="E8189" s="8">
        <v>58527</v>
      </c>
      <c r="F8189" s="8"/>
      <c r="G8189" s="15">
        <v>2.6008961209532515</v>
      </c>
      <c r="H8189" s="15">
        <v>2.6008961209532515</v>
      </c>
      <c r="I8189" s="15">
        <v>2.6008961209532515</v>
      </c>
      <c r="J8189" s="15">
        <v>2.6008961209532515</v>
      </c>
      <c r="K8189" s="15">
        <v>3.1655225701684806</v>
      </c>
      <c r="L8189" s="15">
        <v>3.1655225701684806</v>
      </c>
      <c r="M8189" s="15">
        <v>3.1655225701684806</v>
      </c>
      <c r="N8189" s="15">
        <v>3.1655225701684806</v>
      </c>
      <c r="O8189" s="15">
        <v>2.6008961209532515</v>
      </c>
      <c r="P8189" s="15">
        <v>2.6008961209532515</v>
      </c>
      <c r="Q8189" s="8"/>
      <c r="R8189" s="9" t="s">
        <v>7675</v>
      </c>
    </row>
    <row r="8190" spans="1:18" x14ac:dyDescent="0.25">
      <c r="A8190" s="6" t="str">
        <f>HYPERLINK("proteomic_fractions_linear_files/Yang_linear_img/27754140.jpg", "27754140")</f>
        <v>27754140</v>
      </c>
      <c r="B8190" s="7"/>
      <c r="C8190" s="6" t="str">
        <f>HYPERLINK("http://www.ncbi.nlm.nih.gov/protein/27754140","Vta1")</f>
        <v>Vta1</v>
      </c>
      <c r="D8190" s="8"/>
      <c r="E8190" s="8">
        <v>33782</v>
      </c>
      <c r="F8190" s="8"/>
      <c r="G8190" s="15" t="s">
        <v>10</v>
      </c>
      <c r="H8190" s="15" t="s">
        <v>10</v>
      </c>
      <c r="I8190" s="15">
        <v>1.098274306562488</v>
      </c>
      <c r="J8190" s="15">
        <v>1.098274306562488</v>
      </c>
      <c r="K8190" s="15">
        <v>1.098274306562488</v>
      </c>
      <c r="L8190" s="15">
        <v>1.098274306562488</v>
      </c>
      <c r="M8190" s="15">
        <v>1.098274306562488</v>
      </c>
      <c r="N8190" s="15">
        <v>1.098274306562488</v>
      </c>
      <c r="O8190" s="15">
        <v>1.0162757803080937</v>
      </c>
      <c r="P8190" s="15">
        <v>1.0162757803080937</v>
      </c>
      <c r="Q8190" s="8"/>
      <c r="R8190" s="9" t="s">
        <v>7676</v>
      </c>
    </row>
    <row r="8191" spans="1:18" x14ac:dyDescent="0.25">
      <c r="A8191" s="6" t="str">
        <f>HYPERLINK("proteomic_fractions_linear_files/Yang_linear_img/13928668.jpg", "13928668")</f>
        <v>13928668</v>
      </c>
      <c r="B8191" s="7"/>
      <c r="C8191" s="6" t="str">
        <f>HYPERLINK("http://www.ncbi.nlm.nih.gov/protein/13928668","Vti1a")</f>
        <v>Vti1a</v>
      </c>
      <c r="D8191" s="8"/>
      <c r="E8191" s="8">
        <v>24855</v>
      </c>
      <c r="F8191" s="8"/>
      <c r="G8191" s="15" t="s">
        <v>10</v>
      </c>
      <c r="H8191" s="15" t="s">
        <v>10</v>
      </c>
      <c r="I8191" s="15">
        <v>0.9821928245310767</v>
      </c>
      <c r="J8191" s="15">
        <v>0.9821928245310767</v>
      </c>
      <c r="K8191" s="15">
        <v>1.0460103246170001</v>
      </c>
      <c r="L8191" s="15">
        <v>1.0460103246170001</v>
      </c>
      <c r="M8191" s="15">
        <v>0.9821928245310767</v>
      </c>
      <c r="N8191" s="15">
        <v>0.9821928245310767</v>
      </c>
      <c r="O8191" s="15">
        <v>0.6078535317525714</v>
      </c>
      <c r="P8191" s="15">
        <v>0.6078535317525714</v>
      </c>
      <c r="Q8191" s="8"/>
      <c r="R8191" s="9" t="s">
        <v>7677</v>
      </c>
    </row>
    <row r="8192" spans="1:18" x14ac:dyDescent="0.25">
      <c r="A8192" s="6" t="str">
        <f>HYPERLINK("proteomic_fractions_linear_files/Yang_linear_img/31980617.jpg", "31980617")</f>
        <v>31980617</v>
      </c>
      <c r="B8192" s="7"/>
      <c r="C8192" s="6" t="str">
        <f>HYPERLINK("http://www.ncbi.nlm.nih.gov/protein/31980617","Vti1b")</f>
        <v>Vti1b</v>
      </c>
      <c r="D8192" s="8"/>
      <c r="E8192" s="8">
        <v>26596</v>
      </c>
      <c r="F8192" s="8"/>
      <c r="G8192" s="15" t="s">
        <v>10</v>
      </c>
      <c r="H8192" s="15" t="s">
        <v>10</v>
      </c>
      <c r="I8192" s="15">
        <v>0.96852807834907406</v>
      </c>
      <c r="J8192" s="15">
        <v>0.96852807834907406</v>
      </c>
      <c r="K8192" s="15">
        <v>2.1767854661331056</v>
      </c>
      <c r="L8192" s="15">
        <v>2.1767854661331056</v>
      </c>
      <c r="M8192" s="15" t="s">
        <v>10</v>
      </c>
      <c r="N8192" s="15" t="s">
        <v>10</v>
      </c>
      <c r="O8192" s="15" t="s">
        <v>10</v>
      </c>
      <c r="P8192" s="15" t="s">
        <v>10</v>
      </c>
      <c r="Q8192" s="8"/>
      <c r="R8192" s="9" t="s">
        <v>7678</v>
      </c>
    </row>
    <row r="8193" spans="1:18" x14ac:dyDescent="0.25">
      <c r="A8193" s="6" t="str">
        <f>HYPERLINK("proteomic_fractions_linear_files/Yang_linear_img/225543183.jpg", "225543183")</f>
        <v>225543183</v>
      </c>
      <c r="B8193" s="7"/>
      <c r="C8193" s="6" t="str">
        <f>HYPERLINK("http://www.ncbi.nlm.nih.gov/protein/225543183","Vwa5a")</f>
        <v>Vwa5a</v>
      </c>
      <c r="D8193" s="8"/>
      <c r="E8193" s="8">
        <v>87012</v>
      </c>
      <c r="F8193" s="8"/>
      <c r="G8193" s="15">
        <v>1.2620869404727755</v>
      </c>
      <c r="H8193" s="15">
        <v>1.2620869404727755</v>
      </c>
      <c r="I8193" s="15">
        <v>1.0915859906044196</v>
      </c>
      <c r="J8193" s="15">
        <v>1.0915859906044196</v>
      </c>
      <c r="K8193" s="15">
        <v>1.0915859906044196</v>
      </c>
      <c r="L8193" s="15">
        <v>1.0915859906044196</v>
      </c>
      <c r="M8193" s="15">
        <v>1.0915859906044196</v>
      </c>
      <c r="N8193" s="15">
        <v>1.0915859906044196</v>
      </c>
      <c r="O8193" s="15">
        <v>1.0915859906044196</v>
      </c>
      <c r="P8193" s="15">
        <v>1.0915859906044196</v>
      </c>
      <c r="Q8193" s="8"/>
      <c r="R8193" s="9" t="s">
        <v>7679</v>
      </c>
    </row>
    <row r="8194" spans="1:18" x14ac:dyDescent="0.25">
      <c r="A8194" s="6" t="str">
        <f>HYPERLINK("proteomic_fractions_linear_files/Yang_linear_img/226958579.jpg", "226958579")</f>
        <v>226958579</v>
      </c>
      <c r="B8194" s="7"/>
      <c r="C8194" s="6" t="str">
        <f>HYPERLINK("http://www.ncbi.nlm.nih.gov/protein/226958579","Vwa8")</f>
        <v>Vwa8</v>
      </c>
      <c r="D8194" s="8"/>
      <c r="E8194" s="8">
        <v>211585</v>
      </c>
      <c r="F8194" s="8"/>
      <c r="G8194" s="15" t="s">
        <v>10</v>
      </c>
      <c r="H8194" s="15" t="s">
        <v>10</v>
      </c>
      <c r="I8194" s="15">
        <v>1.1007587152257032</v>
      </c>
      <c r="J8194" s="15">
        <v>1.1007587152257032</v>
      </c>
      <c r="K8194" s="15" t="s">
        <v>10</v>
      </c>
      <c r="L8194" s="15" t="s">
        <v>10</v>
      </c>
      <c r="M8194" s="15" t="s">
        <v>10</v>
      </c>
      <c r="N8194" s="15" t="s">
        <v>10</v>
      </c>
      <c r="O8194" s="15" t="s">
        <v>10</v>
      </c>
      <c r="P8194" s="15" t="s">
        <v>10</v>
      </c>
      <c r="Q8194" s="8"/>
      <c r="R8194" s="9" t="s">
        <v>7680</v>
      </c>
    </row>
    <row r="8195" spans="1:18" x14ac:dyDescent="0.25">
      <c r="A8195" s="6" t="str">
        <f>HYPERLINK("proteomic_fractions_linear_files/Yang_linear_img/226958581.jpg", "226958581")</f>
        <v>226958581</v>
      </c>
      <c r="B8195" s="7"/>
      <c r="C8195" s="6" t="str">
        <f>HYPERLINK("http://www.ncbi.nlm.nih.gov/protein/226958581","Vwa8")</f>
        <v>Vwa8</v>
      </c>
      <c r="D8195" s="8"/>
      <c r="E8195" s="8">
        <v>114348</v>
      </c>
      <c r="F8195" s="8"/>
      <c r="G8195" s="15" t="s">
        <v>10</v>
      </c>
      <c r="H8195" s="15" t="s">
        <v>10</v>
      </c>
      <c r="I8195" s="15">
        <v>2.0470249791916584</v>
      </c>
      <c r="J8195" s="15">
        <v>2.0470249791916584</v>
      </c>
      <c r="K8195" s="15" t="s">
        <v>10</v>
      </c>
      <c r="L8195" s="15" t="s">
        <v>10</v>
      </c>
      <c r="M8195" s="15" t="s">
        <v>10</v>
      </c>
      <c r="N8195" s="15" t="s">
        <v>10</v>
      </c>
      <c r="O8195" s="15" t="s">
        <v>10</v>
      </c>
      <c r="P8195" s="15" t="s">
        <v>10</v>
      </c>
      <c r="Q8195" s="8"/>
      <c r="R8195" s="9" t="s">
        <v>7681</v>
      </c>
    </row>
    <row r="8196" spans="1:18" x14ac:dyDescent="0.25">
      <c r="A8196" s="6" t="str">
        <f>HYPERLINK("proteomic_fractions_linear_files/Yang_linear_img/117647251.jpg", "117647251")</f>
        <v>117647251</v>
      </c>
      <c r="B8196" s="7"/>
      <c r="C8196" s="6" t="str">
        <f>HYPERLINK("http://www.ncbi.nlm.nih.gov/protein/117647251","Vwa9")</f>
        <v>Vwa9</v>
      </c>
      <c r="D8196" s="8"/>
      <c r="E8196" s="8">
        <v>57106</v>
      </c>
      <c r="F8196" s="8"/>
      <c r="G8196" s="15" t="s">
        <v>10</v>
      </c>
      <c r="H8196" s="15" t="s">
        <v>10</v>
      </c>
      <c r="I8196" s="15" t="s">
        <v>10</v>
      </c>
      <c r="J8196" s="15" t="s">
        <v>10</v>
      </c>
      <c r="K8196" s="15" t="s">
        <v>10</v>
      </c>
      <c r="L8196" s="15" t="s">
        <v>10</v>
      </c>
      <c r="M8196" s="15">
        <v>1.0311089050104185</v>
      </c>
      <c r="N8196" s="15">
        <v>1.0311089050104185</v>
      </c>
      <c r="O8196" s="15" t="s">
        <v>10</v>
      </c>
      <c r="P8196" s="15" t="s">
        <v>10</v>
      </c>
      <c r="Q8196" s="8"/>
      <c r="R8196" s="9" t="s">
        <v>7682</v>
      </c>
    </row>
    <row r="8197" spans="1:18" x14ac:dyDescent="0.25">
      <c r="A8197" s="6" t="str">
        <f>HYPERLINK("proteomic_fractions_linear_files/Yang_linear_img/226371681.jpg", "226371681")</f>
        <v>226371681</v>
      </c>
      <c r="B8197" s="7"/>
      <c r="C8197" s="6" t="str">
        <f>HYPERLINK("http://www.ncbi.nlm.nih.gov/protein/226371681","Wac")</f>
        <v>Wac</v>
      </c>
      <c r="D8197" s="8"/>
      <c r="E8197" s="8">
        <v>59360</v>
      </c>
      <c r="F8197" s="8"/>
      <c r="G8197" s="15" t="s">
        <v>10</v>
      </c>
      <c r="H8197" s="15" t="s">
        <v>10</v>
      </c>
      <c r="I8197" s="15" t="s">
        <v>10</v>
      </c>
      <c r="J8197" s="15" t="s">
        <v>10</v>
      </c>
      <c r="K8197" s="15" t="s">
        <v>10</v>
      </c>
      <c r="L8197" s="15" t="s">
        <v>10</v>
      </c>
      <c r="M8197" s="15">
        <v>0.44322471382076273</v>
      </c>
      <c r="N8197" s="15">
        <v>0.44322471382076273</v>
      </c>
      <c r="O8197" s="15" t="s">
        <v>10</v>
      </c>
      <c r="P8197" s="15" t="s">
        <v>10</v>
      </c>
      <c r="Q8197" s="8"/>
      <c r="R8197" s="9" t="s">
        <v>7683</v>
      </c>
    </row>
    <row r="8198" spans="1:18" x14ac:dyDescent="0.25">
      <c r="A8198" s="6" t="str">
        <f>HYPERLINK("proteomic_fractions_linear_files/Yang_linear_img/256818746.jpg", "256818746")</f>
        <v>256818746</v>
      </c>
      <c r="B8198" s="7"/>
      <c r="C8198" s="6" t="str">
        <f>HYPERLINK("http://www.ncbi.nlm.nih.gov/protein/256818746","Wars")</f>
        <v>Wars</v>
      </c>
      <c r="D8198" s="8"/>
      <c r="E8198" s="8">
        <v>53510</v>
      </c>
      <c r="F8198" s="8"/>
      <c r="G8198" s="15" t="s">
        <v>10</v>
      </c>
      <c r="H8198" s="15" t="s">
        <v>10</v>
      </c>
      <c r="I8198" s="15">
        <v>0.98371425240742738</v>
      </c>
      <c r="J8198" s="15">
        <v>0.98371425240742738</v>
      </c>
      <c r="K8198" s="15">
        <v>0.98371425240742738</v>
      </c>
      <c r="L8198" s="15">
        <v>0.98371425240742738</v>
      </c>
      <c r="M8198" s="15">
        <v>0.98371425240742738</v>
      </c>
      <c r="N8198" s="15">
        <v>0.98371425240742738</v>
      </c>
      <c r="O8198" s="15">
        <v>0.89425880711880101</v>
      </c>
      <c r="P8198" s="15">
        <v>0.89425880711880101</v>
      </c>
      <c r="Q8198" s="8"/>
      <c r="R8198" s="9" t="s">
        <v>7684</v>
      </c>
    </row>
    <row r="8199" spans="1:18" x14ac:dyDescent="0.25">
      <c r="A8199" s="6" t="str">
        <f>HYPERLINK("proteomic_fractions_linear_files/Yang_linear_img/256818802.jpg", "256818802")</f>
        <v>256818802</v>
      </c>
      <c r="B8199" s="7"/>
      <c r="C8199" s="6" t="str">
        <f>HYPERLINK("http://www.ncbi.nlm.nih.gov/protein/256818802","Wars")</f>
        <v>Wars</v>
      </c>
      <c r="D8199" s="8"/>
      <c r="E8199" s="8">
        <v>54227</v>
      </c>
      <c r="F8199" s="8"/>
      <c r="G8199" s="15" t="s">
        <v>10</v>
      </c>
      <c r="H8199" s="15" t="s">
        <v>10</v>
      </c>
      <c r="I8199" s="15">
        <v>0.98371425240742738</v>
      </c>
      <c r="J8199" s="15">
        <v>0.98371425240742738</v>
      </c>
      <c r="K8199" s="15">
        <v>0.98371425240742738</v>
      </c>
      <c r="L8199" s="15">
        <v>0.98371425240742738</v>
      </c>
      <c r="M8199" s="15">
        <v>0.98371425240742738</v>
      </c>
      <c r="N8199" s="15">
        <v>0.98371425240742738</v>
      </c>
      <c r="O8199" s="15">
        <v>0.89425880711880101</v>
      </c>
      <c r="P8199" s="15">
        <v>0.89425880711880101</v>
      </c>
      <c r="Q8199" s="8"/>
      <c r="R8199" s="9" t="s">
        <v>7685</v>
      </c>
    </row>
    <row r="8200" spans="1:18" x14ac:dyDescent="0.25">
      <c r="A8200" s="6" t="str">
        <f>HYPERLINK("proteomic_fractions_linear_files/Yang_linear_img/13994209.jpg", "13994209")</f>
        <v>13994209</v>
      </c>
      <c r="B8200" s="7"/>
      <c r="C8200" s="6" t="str">
        <f>HYPERLINK("http://www.ncbi.nlm.nih.gov/protein/13994209","Wasf1")</f>
        <v>Wasf1</v>
      </c>
      <c r="D8200" s="8"/>
      <c r="E8200" s="8">
        <v>61378</v>
      </c>
      <c r="F8200" s="8"/>
      <c r="G8200" s="15" t="s">
        <v>10</v>
      </c>
      <c r="H8200" s="15" t="s">
        <v>10</v>
      </c>
      <c r="I8200" s="15" t="s">
        <v>10</v>
      </c>
      <c r="J8200" s="15" t="s">
        <v>10</v>
      </c>
      <c r="K8200" s="15" t="s">
        <v>10</v>
      </c>
      <c r="L8200" s="15" t="s">
        <v>10</v>
      </c>
      <c r="M8200" s="15">
        <v>1.3622730897236699</v>
      </c>
      <c r="N8200" s="15">
        <v>1.3622730897236699</v>
      </c>
      <c r="O8200" s="15" t="s">
        <v>10</v>
      </c>
      <c r="P8200" s="15" t="s">
        <v>10</v>
      </c>
      <c r="Q8200" s="8"/>
      <c r="R8200" s="9" t="s">
        <v>7686</v>
      </c>
    </row>
    <row r="8201" spans="1:18" x14ac:dyDescent="0.25">
      <c r="A8201" s="6" t="str">
        <f>HYPERLINK("proteomic_fractions_linear_files/Yang_linear_img/23510313.jpg", "23510313")</f>
        <v>23510313</v>
      </c>
      <c r="B8201" s="7"/>
      <c r="C8201" s="6" t="str">
        <f>HYPERLINK("http://www.ncbi.nlm.nih.gov/protein/23510313","Wasf2")</f>
        <v>Wasf2</v>
      </c>
      <c r="D8201" s="8"/>
      <c r="E8201" s="8">
        <v>53943</v>
      </c>
      <c r="F8201" s="8"/>
      <c r="G8201" s="15" t="s">
        <v>10</v>
      </c>
      <c r="H8201" s="15" t="s">
        <v>10</v>
      </c>
      <c r="I8201" s="15">
        <v>110.98333333333333</v>
      </c>
      <c r="J8201" s="15">
        <v>110.98333333333333</v>
      </c>
      <c r="K8201" s="15">
        <v>1.5388640457989604</v>
      </c>
      <c r="L8201" s="15">
        <v>1.5388640457989604</v>
      </c>
      <c r="M8201" s="15">
        <v>1.5388640457989604</v>
      </c>
      <c r="N8201" s="15">
        <v>1.5388640457989604</v>
      </c>
      <c r="O8201" s="15">
        <v>1.359928893364486</v>
      </c>
      <c r="P8201" s="15">
        <v>1.359928893364486</v>
      </c>
      <c r="Q8201" s="8"/>
      <c r="R8201" s="9" t="s">
        <v>7687</v>
      </c>
    </row>
    <row r="8202" spans="1:18" x14ac:dyDescent="0.25">
      <c r="A8202" s="6" t="str">
        <f>HYPERLINK("proteomic_fractions_linear_files/Yang_linear_img/83649760.jpg", "83649760")</f>
        <v>83649760</v>
      </c>
      <c r="B8202" s="7"/>
      <c r="C8202" s="6" t="str">
        <f>HYPERLINK("http://www.ncbi.nlm.nih.gov/protein/83649760","Wash")</f>
        <v>Wash</v>
      </c>
      <c r="D8202" s="8"/>
      <c r="E8202" s="8">
        <v>51528</v>
      </c>
      <c r="F8202" s="8"/>
      <c r="G8202" s="15" t="s">
        <v>10</v>
      </c>
      <c r="H8202" s="15" t="s">
        <v>10</v>
      </c>
      <c r="I8202" s="15">
        <v>1.2587166025104679</v>
      </c>
      <c r="J8202" s="15">
        <v>1.2587166025104679</v>
      </c>
      <c r="K8202" s="15">
        <v>1.4122338508015817</v>
      </c>
      <c r="L8202" s="15">
        <v>1.4122338508015817</v>
      </c>
      <c r="M8202" s="15">
        <v>1.4122338508015817</v>
      </c>
      <c r="N8202" s="15">
        <v>1.4122338508015817</v>
      </c>
      <c r="O8202" s="15">
        <v>1.2587166025104679</v>
      </c>
      <c r="P8202" s="15">
        <v>1.2587166025104679</v>
      </c>
      <c r="Q8202" s="8"/>
      <c r="R8202" s="9" t="s">
        <v>7688</v>
      </c>
    </row>
    <row r="8203" spans="1:18" x14ac:dyDescent="0.25">
      <c r="A8203" s="6" t="str">
        <f>HYPERLINK("proteomic_fractions_linear_files/Yang_linear_img/268370040.jpg", "268370040")</f>
        <v>268370040</v>
      </c>
      <c r="B8203" s="7"/>
      <c r="C8203" s="6" t="str">
        <f>HYPERLINK("http://www.ncbi.nlm.nih.gov/protein/268370040","Wasl")</f>
        <v>Wasl</v>
      </c>
      <c r="D8203" s="8"/>
      <c r="E8203" s="8">
        <v>54143</v>
      </c>
      <c r="F8203" s="8"/>
      <c r="G8203" s="15" t="s">
        <v>10</v>
      </c>
      <c r="H8203" s="15" t="s">
        <v>10</v>
      </c>
      <c r="I8203" s="15" t="s">
        <v>10</v>
      </c>
      <c r="J8203" s="15" t="s">
        <v>10</v>
      </c>
      <c r="K8203" s="15">
        <v>1.359928893364486</v>
      </c>
      <c r="L8203" s="15">
        <v>1.359928893364486</v>
      </c>
      <c r="M8203" s="15">
        <v>1.359928893364486</v>
      </c>
      <c r="N8203" s="15">
        <v>1.359928893364486</v>
      </c>
      <c r="O8203" s="15">
        <v>1.2120974690841544</v>
      </c>
      <c r="P8203" s="15">
        <v>1.2120974690841544</v>
      </c>
      <c r="Q8203" s="8"/>
      <c r="R8203" s="9" t="s">
        <v>7689</v>
      </c>
    </row>
    <row r="8204" spans="1:18" x14ac:dyDescent="0.25">
      <c r="A8204" s="6" t="str">
        <f>HYPERLINK("proteomic_fractions_linear_files/Yang_linear_img/268370042.jpg", "268370042")</f>
        <v>268370042</v>
      </c>
      <c r="B8204" s="7"/>
      <c r="C8204" s="6" t="str">
        <f>HYPERLINK("http://www.ncbi.nlm.nih.gov/protein/268370042","Wasl")</f>
        <v>Wasl</v>
      </c>
      <c r="D8204" s="8"/>
      <c r="E8204" s="8">
        <v>21913</v>
      </c>
      <c r="F8204" s="8"/>
      <c r="G8204" s="15" t="s">
        <v>10</v>
      </c>
      <c r="H8204" s="15" t="s">
        <v>10</v>
      </c>
      <c r="I8204" s="15" t="s">
        <v>10</v>
      </c>
      <c r="J8204" s="15" t="s">
        <v>10</v>
      </c>
      <c r="K8204" s="15">
        <v>3.3380072837128294</v>
      </c>
      <c r="L8204" s="15">
        <v>3.3380072837128294</v>
      </c>
      <c r="M8204" s="15">
        <v>3.3380072837128294</v>
      </c>
      <c r="N8204" s="15">
        <v>3.3380072837128294</v>
      </c>
      <c r="O8204" s="15">
        <v>2.9751483332065605</v>
      </c>
      <c r="P8204" s="15">
        <v>2.9751483332065605</v>
      </c>
      <c r="Q8204" s="8"/>
      <c r="R8204" s="9" t="s">
        <v>7690</v>
      </c>
    </row>
    <row r="8205" spans="1:18" x14ac:dyDescent="0.25">
      <c r="A8205" s="6" t="str">
        <f>HYPERLINK("proteomic_fractions_linear_files/Yang_linear_img/267844920.jpg", "267844920")</f>
        <v>267844920</v>
      </c>
      <c r="B8205" s="7"/>
      <c r="C8205" s="6" t="str">
        <f>HYPERLINK("http://www.ncbi.nlm.nih.gov/protein/267844920","Wbp11")</f>
        <v>Wbp11</v>
      </c>
      <c r="D8205" s="8"/>
      <c r="E8205" s="8">
        <v>69744</v>
      </c>
      <c r="F8205" s="8"/>
      <c r="G8205" s="15" t="s">
        <v>10</v>
      </c>
      <c r="H8205" s="15" t="s">
        <v>10</v>
      </c>
      <c r="I8205" s="15">
        <v>85.61571428571429</v>
      </c>
      <c r="J8205" s="15">
        <v>85.61571428571429</v>
      </c>
      <c r="K8205" s="15">
        <v>1.5685937688733067</v>
      </c>
      <c r="L8205" s="15">
        <v>1.5685937688733067</v>
      </c>
      <c r="M8205" s="15" t="s">
        <v>10</v>
      </c>
      <c r="N8205" s="15" t="s">
        <v>10</v>
      </c>
      <c r="O8205" s="15" t="s">
        <v>10</v>
      </c>
      <c r="P8205" s="15" t="s">
        <v>10</v>
      </c>
      <c r="Q8205" s="8"/>
      <c r="R8205" s="9" t="s">
        <v>7691</v>
      </c>
    </row>
    <row r="8206" spans="1:18" x14ac:dyDescent="0.25">
      <c r="A8206" s="6" t="str">
        <f>HYPERLINK("proteomic_fractions_linear_files/Yang_linear_img/295317409.jpg", "295317409")</f>
        <v>295317409</v>
      </c>
      <c r="B8206" s="7"/>
      <c r="C8206" s="6" t="str">
        <f>HYPERLINK("http://www.ncbi.nlm.nih.gov/protein/295317409","Wbp1l")</f>
        <v>Wbp1l</v>
      </c>
      <c r="D8206" s="8"/>
      <c r="E8206" s="8">
        <v>37670</v>
      </c>
      <c r="F8206" s="8"/>
      <c r="G8206" s="15" t="s">
        <v>10</v>
      </c>
      <c r="H8206" s="15" t="s">
        <v>10</v>
      </c>
      <c r="I8206" s="15" t="s">
        <v>10</v>
      </c>
      <c r="J8206" s="15" t="s">
        <v>10</v>
      </c>
      <c r="K8206" s="15">
        <v>3.3874112669767622</v>
      </c>
      <c r="L8206" s="15">
        <v>3.3874112669767622</v>
      </c>
      <c r="M8206" s="15" t="s">
        <v>10</v>
      </c>
      <c r="N8206" s="15" t="s">
        <v>10</v>
      </c>
      <c r="O8206" s="15" t="s">
        <v>10</v>
      </c>
      <c r="P8206" s="15" t="s">
        <v>10</v>
      </c>
      <c r="Q8206" s="8"/>
      <c r="R8206" s="9" t="s">
        <v>7692</v>
      </c>
    </row>
    <row r="8207" spans="1:18" x14ac:dyDescent="0.25">
      <c r="A8207" s="6" t="str">
        <f>HYPERLINK("proteomic_fractions_linear_files/Yang_linear_img/295317411.jpg", "295317411")</f>
        <v>295317411</v>
      </c>
      <c r="B8207" s="7"/>
      <c r="C8207" s="6" t="str">
        <f>HYPERLINK("http://www.ncbi.nlm.nih.gov/protein/295317411","Wbp1l")</f>
        <v>Wbp1l</v>
      </c>
      <c r="D8207" s="8"/>
      <c r="E8207" s="8">
        <v>39526</v>
      </c>
      <c r="F8207" s="8"/>
      <c r="G8207" s="15" t="s">
        <v>10</v>
      </c>
      <c r="H8207" s="15" t="s">
        <v>10</v>
      </c>
      <c r="I8207" s="15" t="s">
        <v>10</v>
      </c>
      <c r="J8207" s="15" t="s">
        <v>10</v>
      </c>
      <c r="K8207" s="15">
        <v>3.2180407036279242</v>
      </c>
      <c r="L8207" s="15">
        <v>3.2180407036279242</v>
      </c>
      <c r="M8207" s="15" t="s">
        <v>10</v>
      </c>
      <c r="N8207" s="15" t="s">
        <v>10</v>
      </c>
      <c r="O8207" s="15" t="s">
        <v>10</v>
      </c>
      <c r="P8207" s="15" t="s">
        <v>10</v>
      </c>
      <c r="Q8207" s="8"/>
      <c r="R8207" s="9" t="s">
        <v>7693</v>
      </c>
    </row>
    <row r="8208" spans="1:18" x14ac:dyDescent="0.25">
      <c r="A8208" s="6" t="str">
        <f>HYPERLINK("proteomic_fractions_linear_files/Yang_linear_img/295317413.jpg", "295317413")</f>
        <v>295317413</v>
      </c>
      <c r="B8208" s="7"/>
      <c r="C8208" s="6" t="str">
        <f>HYPERLINK("http://www.ncbi.nlm.nih.gov/protein/295317413","Wbp1l")</f>
        <v>Wbp1l</v>
      </c>
      <c r="D8208" s="8"/>
      <c r="E8208" s="8">
        <v>38216</v>
      </c>
      <c r="F8208" s="8"/>
      <c r="G8208" s="15" t="s">
        <v>10</v>
      </c>
      <c r="H8208" s="15" t="s">
        <v>10</v>
      </c>
      <c r="I8208" s="15" t="s">
        <v>10</v>
      </c>
      <c r="J8208" s="15" t="s">
        <v>10</v>
      </c>
      <c r="K8208" s="15">
        <v>3.3874112669767622</v>
      </c>
      <c r="L8208" s="15">
        <v>3.3874112669767622</v>
      </c>
      <c r="M8208" s="15" t="s">
        <v>10</v>
      </c>
      <c r="N8208" s="15" t="s">
        <v>10</v>
      </c>
      <c r="O8208" s="15" t="s">
        <v>10</v>
      </c>
      <c r="P8208" s="15" t="s">
        <v>10</v>
      </c>
      <c r="Q8208" s="8"/>
      <c r="R8208" s="9" t="s">
        <v>7694</v>
      </c>
    </row>
    <row r="8209" spans="1:18" x14ac:dyDescent="0.25">
      <c r="A8209" s="6" t="str">
        <f>HYPERLINK("proteomic_fractions_linear_files/Yang_linear_img/8394539.jpg", "8394539")</f>
        <v>8394539</v>
      </c>
      <c r="B8209" s="7"/>
      <c r="C8209" s="6" t="str">
        <f>HYPERLINK("http://www.ncbi.nlm.nih.gov/protein/8394539","Wbp2")</f>
        <v>Wbp2</v>
      </c>
      <c r="D8209" s="8"/>
      <c r="E8209" s="8">
        <v>27901</v>
      </c>
      <c r="F8209" s="8"/>
      <c r="G8209" s="15" t="s">
        <v>10</v>
      </c>
      <c r="H8209" s="15" t="s">
        <v>10</v>
      </c>
      <c r="I8209" s="15" t="s">
        <v>10</v>
      </c>
      <c r="J8209" s="15" t="s">
        <v>10</v>
      </c>
      <c r="K8209" s="15">
        <v>1.1458597448476282</v>
      </c>
      <c r="L8209" s="15">
        <v>1.1458597448476282</v>
      </c>
      <c r="M8209" s="15" t="s">
        <v>10</v>
      </c>
      <c r="N8209" s="15" t="s">
        <v>10</v>
      </c>
      <c r="O8209" s="15">
        <v>0.93393778983660714</v>
      </c>
      <c r="P8209" s="15">
        <v>0.93393778983660714</v>
      </c>
      <c r="Q8209" s="8"/>
      <c r="R8209" s="9" t="s">
        <v>7695</v>
      </c>
    </row>
    <row r="8210" spans="1:18" x14ac:dyDescent="0.25">
      <c r="A8210" s="6" t="str">
        <f>HYPERLINK("proteomic_fractions_linear_files/Yang_linear_img/33468951.jpg", "33468951")</f>
        <v>33468951</v>
      </c>
      <c r="B8210" s="7"/>
      <c r="C8210" s="6" t="str">
        <f>HYPERLINK("http://www.ncbi.nlm.nih.gov/protein/33468951","Wbp5")</f>
        <v>Wbp5</v>
      </c>
      <c r="D8210" s="8"/>
      <c r="E8210" s="8">
        <v>12533</v>
      </c>
      <c r="F8210" s="8"/>
      <c r="G8210" s="15" t="s">
        <v>10</v>
      </c>
      <c r="H8210" s="15" t="s">
        <v>10</v>
      </c>
      <c r="I8210" s="15" t="s">
        <v>10</v>
      </c>
      <c r="J8210" s="15" t="s">
        <v>10</v>
      </c>
      <c r="K8210" s="15" t="s">
        <v>10</v>
      </c>
      <c r="L8210" s="15" t="s">
        <v>10</v>
      </c>
      <c r="M8210" s="15">
        <v>1.3515338281045359</v>
      </c>
      <c r="N8210" s="15">
        <v>1.3515338281045359</v>
      </c>
      <c r="O8210" s="15">
        <v>1.3515338281045359</v>
      </c>
      <c r="P8210" s="15">
        <v>1.3515338281045359</v>
      </c>
      <c r="Q8210" s="8"/>
      <c r="R8210" s="9" t="s">
        <v>7696</v>
      </c>
    </row>
    <row r="8211" spans="1:18" x14ac:dyDescent="0.25">
      <c r="A8211" s="6" t="str">
        <f>HYPERLINK("proteomic_fractions_linear_files/Yang_linear_img/15809010.jpg", "15809010")</f>
        <v>15809010</v>
      </c>
      <c r="B8211" s="7"/>
      <c r="C8211" s="6" t="str">
        <f>HYPERLINK("http://www.ncbi.nlm.nih.gov/protein/15809010","Wbscr16")</f>
        <v>Wbscr16</v>
      </c>
      <c r="D8211" s="8"/>
      <c r="E8211" s="8">
        <v>49864</v>
      </c>
      <c r="F8211" s="8"/>
      <c r="G8211" s="15" t="s">
        <v>10</v>
      </c>
      <c r="H8211" s="15" t="s">
        <v>10</v>
      </c>
      <c r="I8211" s="15">
        <v>0.88251178493930937</v>
      </c>
      <c r="J8211" s="15">
        <v>0.88251178493930937</v>
      </c>
      <c r="K8211" s="15" t="s">
        <v>10</v>
      </c>
      <c r="L8211" s="15" t="s">
        <v>10</v>
      </c>
      <c r="M8211" s="15" t="s">
        <v>10</v>
      </c>
      <c r="N8211" s="15" t="s">
        <v>10</v>
      </c>
      <c r="O8211" s="15" t="s">
        <v>10</v>
      </c>
      <c r="P8211" s="15" t="s">
        <v>10</v>
      </c>
      <c r="Q8211" s="8"/>
      <c r="R8211" s="9" t="s">
        <v>7697</v>
      </c>
    </row>
    <row r="8212" spans="1:18" x14ac:dyDescent="0.25">
      <c r="A8212" s="6" t="str">
        <f>HYPERLINK("proteomic_fractions_linear_files/Yang_linear_img/125988405.jpg", "125988405")</f>
        <v>125988405</v>
      </c>
      <c r="B8212" s="7"/>
      <c r="C8212" s="6" t="str">
        <f>HYPERLINK("http://www.ncbi.nlm.nih.gov/protein/125988405","Wbscr22")</f>
        <v>Wbscr22</v>
      </c>
      <c r="D8212" s="8"/>
      <c r="E8212" s="8">
        <v>31456</v>
      </c>
      <c r="F8212" s="8"/>
      <c r="G8212" s="15" t="s">
        <v>10</v>
      </c>
      <c r="H8212" s="15" t="s">
        <v>10</v>
      </c>
      <c r="I8212" s="15" t="s">
        <v>10</v>
      </c>
      <c r="J8212" s="15" t="s">
        <v>10</v>
      </c>
      <c r="K8212" s="15" t="s">
        <v>10</v>
      </c>
      <c r="L8212" s="15" t="s">
        <v>10</v>
      </c>
      <c r="M8212" s="15">
        <v>0.96404538360364944</v>
      </c>
      <c r="N8212" s="15">
        <v>0.96404538360364944</v>
      </c>
      <c r="O8212" s="15" t="s">
        <v>10</v>
      </c>
      <c r="P8212" s="15" t="s">
        <v>10</v>
      </c>
      <c r="Q8212" s="8"/>
      <c r="R8212" s="9" t="s">
        <v>7698</v>
      </c>
    </row>
    <row r="8213" spans="1:18" x14ac:dyDescent="0.25">
      <c r="A8213" s="6" t="str">
        <f>HYPERLINK("proteomic_fractions_linear_files/Yang_linear_img/50355999.jpg", "50355999")</f>
        <v>50355999</v>
      </c>
      <c r="B8213" s="7"/>
      <c r="C8213" s="6" t="str">
        <f>HYPERLINK("http://www.ncbi.nlm.nih.gov/protein/50355999","Wbscr27")</f>
        <v>Wbscr27</v>
      </c>
      <c r="D8213" s="8"/>
      <c r="E8213" s="8">
        <v>25734</v>
      </c>
      <c r="F8213" s="8"/>
      <c r="G8213" s="15" t="s">
        <v>10</v>
      </c>
      <c r="H8213" s="15" t="s">
        <v>10</v>
      </c>
      <c r="I8213" s="15">
        <v>0.94441617743372752</v>
      </c>
      <c r="J8213" s="15">
        <v>0.94441617743372752</v>
      </c>
      <c r="K8213" s="15">
        <v>0.94441617743372752</v>
      </c>
      <c r="L8213" s="15">
        <v>0.94441617743372752</v>
      </c>
      <c r="M8213" s="15" t="s">
        <v>10</v>
      </c>
      <c r="N8213" s="15" t="s">
        <v>10</v>
      </c>
      <c r="O8213" s="15">
        <v>0.83829777964149044</v>
      </c>
      <c r="P8213" s="15">
        <v>0.83829777964149044</v>
      </c>
      <c r="Q8213" s="8"/>
      <c r="R8213" s="9" t="s">
        <v>7699</v>
      </c>
    </row>
    <row r="8214" spans="1:18" x14ac:dyDescent="0.25">
      <c r="A8214" s="6" t="str">
        <f>HYPERLINK("proteomic_fractions_linear_files/Yang_linear_img/34732713.jpg", "34732713")</f>
        <v>34732713</v>
      </c>
      <c r="B8214" s="7"/>
      <c r="C8214" s="6" t="str">
        <f>HYPERLINK("http://www.ncbi.nlm.nih.gov/protein/34732713","Wbscr28")</f>
        <v>Wbscr28</v>
      </c>
      <c r="D8214" s="8"/>
      <c r="E8214" s="8">
        <v>29416</v>
      </c>
      <c r="F8214" s="8"/>
      <c r="G8214" s="15" t="s">
        <v>10</v>
      </c>
      <c r="H8214" s="15" t="s">
        <v>10</v>
      </c>
      <c r="I8214" s="15" t="s">
        <v>10</v>
      </c>
      <c r="J8214" s="15" t="s">
        <v>10</v>
      </c>
      <c r="K8214" s="15">
        <v>3.7862608214183266</v>
      </c>
      <c r="L8214" s="15">
        <v>3.7862608214183266</v>
      </c>
      <c r="M8214" s="15" t="s">
        <v>10</v>
      </c>
      <c r="N8214" s="15" t="s">
        <v>10</v>
      </c>
      <c r="O8214" s="15" t="s">
        <v>10</v>
      </c>
      <c r="P8214" s="15" t="s">
        <v>10</v>
      </c>
      <c r="Q8214" s="8"/>
      <c r="R8214" s="9" t="s">
        <v>7700</v>
      </c>
    </row>
    <row r="8215" spans="1:18" x14ac:dyDescent="0.25">
      <c r="A8215" s="6" t="str">
        <f>HYPERLINK("proteomic_fractions_linear_files/Yang_linear_img/34732715.jpg", "34732715")</f>
        <v>34732715</v>
      </c>
      <c r="B8215" s="7"/>
      <c r="C8215" s="6" t="str">
        <f>HYPERLINK("http://www.ncbi.nlm.nih.gov/protein/34732715","Wbscr28")</f>
        <v>Wbscr28</v>
      </c>
      <c r="D8215" s="8"/>
      <c r="E8215" s="8">
        <v>23200</v>
      </c>
      <c r="F8215" s="8"/>
      <c r="G8215" s="15" t="s">
        <v>10</v>
      </c>
      <c r="H8215" s="15" t="s">
        <v>10</v>
      </c>
      <c r="I8215" s="15" t="s">
        <v>10</v>
      </c>
      <c r="J8215" s="15" t="s">
        <v>10</v>
      </c>
      <c r="K8215" s="15">
        <v>4.7739810357013681</v>
      </c>
      <c r="L8215" s="15">
        <v>4.7739810357013681</v>
      </c>
      <c r="M8215" s="15" t="s">
        <v>10</v>
      </c>
      <c r="N8215" s="15" t="s">
        <v>10</v>
      </c>
      <c r="O8215" s="15" t="s">
        <v>10</v>
      </c>
      <c r="P8215" s="15" t="s">
        <v>10</v>
      </c>
      <c r="Q8215" s="8"/>
      <c r="R8215" s="9" t="s">
        <v>7701</v>
      </c>
    </row>
    <row r="8216" spans="1:18" x14ac:dyDescent="0.25">
      <c r="A8216" s="6" t="str">
        <f>HYPERLINK("proteomic_fractions_linear_files/Yang_linear_img/162287109.jpg", "162287109")</f>
        <v>162287109</v>
      </c>
      <c r="B8216" s="7"/>
      <c r="C8216" s="6" t="str">
        <f>HYPERLINK("http://www.ncbi.nlm.nih.gov/protein/162287109","Wdfy1")</f>
        <v>Wdfy1</v>
      </c>
      <c r="D8216" s="8"/>
      <c r="E8216" s="8">
        <v>46087</v>
      </c>
      <c r="F8216" s="8"/>
      <c r="G8216" s="15" t="s">
        <v>10</v>
      </c>
      <c r="H8216" s="15" t="s">
        <v>10</v>
      </c>
      <c r="I8216" s="15">
        <v>0.88059387398310318</v>
      </c>
      <c r="J8216" s="15">
        <v>0.88059387398310318</v>
      </c>
      <c r="K8216" s="15">
        <v>0.95925194015142323</v>
      </c>
      <c r="L8216" s="15">
        <v>0.95925194015142323</v>
      </c>
      <c r="M8216" s="15" t="s">
        <v>10</v>
      </c>
      <c r="N8216" s="15" t="s">
        <v>10</v>
      </c>
      <c r="O8216" s="15" t="s">
        <v>10</v>
      </c>
      <c r="P8216" s="15" t="s">
        <v>10</v>
      </c>
      <c r="Q8216" s="8"/>
      <c r="R8216" s="9" t="s">
        <v>7702</v>
      </c>
    </row>
    <row r="8217" spans="1:18" x14ac:dyDescent="0.25">
      <c r="A8217" s="6" t="str">
        <f>HYPERLINK("proteomic_fractions_linear_files/Yang_linear_img/254540214.jpg", "254540214")</f>
        <v>254540214</v>
      </c>
      <c r="B8217" s="7"/>
      <c r="C8217" s="6" t="str">
        <f>HYPERLINK("http://www.ncbi.nlm.nih.gov/protein/254540214","Wdfy2")</f>
        <v>Wdfy2</v>
      </c>
      <c r="D8217" s="8"/>
      <c r="E8217" s="8">
        <v>44963</v>
      </c>
      <c r="F8217" s="8"/>
      <c r="G8217" s="15" t="s">
        <v>10</v>
      </c>
      <c r="H8217" s="15" t="s">
        <v>10</v>
      </c>
      <c r="I8217" s="15">
        <v>0.98056864993256598</v>
      </c>
      <c r="J8217" s="15">
        <v>0.98056864993256598</v>
      </c>
      <c r="K8217" s="15">
        <v>0.98056864993256598</v>
      </c>
      <c r="L8217" s="15">
        <v>0.98056864993256598</v>
      </c>
      <c r="M8217" s="15" t="s">
        <v>10</v>
      </c>
      <c r="N8217" s="15" t="s">
        <v>10</v>
      </c>
      <c r="O8217" s="15" t="s">
        <v>10</v>
      </c>
      <c r="P8217" s="15" t="s">
        <v>10</v>
      </c>
      <c r="Q8217" s="8"/>
      <c r="R8217" s="9" t="s">
        <v>7703</v>
      </c>
    </row>
    <row r="8218" spans="1:18" x14ac:dyDescent="0.25">
      <c r="A8218" s="6" t="str">
        <f>HYPERLINK("proteomic_fractions_linear_files/Yang_linear_img/39930599.jpg", "39930599")</f>
        <v>39930599</v>
      </c>
      <c r="B8218" s="7"/>
      <c r="C8218" s="6" t="str">
        <f>HYPERLINK("http://www.ncbi.nlm.nih.gov/protein/39930599","Wdfy3")</f>
        <v>Wdfy3</v>
      </c>
      <c r="D8218" s="8"/>
      <c r="E8218" s="8">
        <v>392209</v>
      </c>
      <c r="F8218" s="8"/>
      <c r="G8218" s="15" t="s">
        <v>10</v>
      </c>
      <c r="H8218" s="15" t="s">
        <v>10</v>
      </c>
      <c r="I8218" s="15">
        <v>0.39146140595980061</v>
      </c>
      <c r="J8218" s="15">
        <v>0.39146140595980061</v>
      </c>
      <c r="K8218" s="15">
        <v>1.0434784636210199</v>
      </c>
      <c r="L8218" s="15">
        <v>1.0434784636210199</v>
      </c>
      <c r="M8218" s="15">
        <v>1.0434784636210199</v>
      </c>
      <c r="N8218" s="15">
        <v>1.0434784636210199</v>
      </c>
      <c r="O8218" s="15" t="s">
        <v>10</v>
      </c>
      <c r="P8218" s="15" t="s">
        <v>10</v>
      </c>
      <c r="Q8218" s="8"/>
      <c r="R8218" s="9" t="s">
        <v>7704</v>
      </c>
    </row>
    <row r="8219" spans="1:18" x14ac:dyDescent="0.25">
      <c r="A8219" s="6" t="str">
        <f>HYPERLINK("proteomic_fractions_linear_files/Yang_linear_img/40254224.jpg", "40254224")</f>
        <v>40254224</v>
      </c>
      <c r="B8219" s="7"/>
      <c r="C8219" s="6" t="str">
        <f>HYPERLINK("http://www.ncbi.nlm.nih.gov/protein/40254224","Wdhd1")</f>
        <v>Wdhd1</v>
      </c>
      <c r="D8219" s="8"/>
      <c r="E8219" s="8">
        <v>120216</v>
      </c>
      <c r="F8219" s="8"/>
      <c r="G8219" s="15">
        <v>1.2787739261353486</v>
      </c>
      <c r="H8219" s="15">
        <v>1.2787739261353486</v>
      </c>
      <c r="I8219" s="15" t="s">
        <v>10</v>
      </c>
      <c r="J8219" s="15" t="s">
        <v>10</v>
      </c>
      <c r="K8219" s="15">
        <v>1.5563819303328363</v>
      </c>
      <c r="L8219" s="15">
        <v>1.5563819303328363</v>
      </c>
      <c r="M8219" s="15">
        <v>1.0726802345426414</v>
      </c>
      <c r="N8219" s="15">
        <v>1.0726802345426414</v>
      </c>
      <c r="O8219" s="15">
        <v>1.2787739261353486</v>
      </c>
      <c r="P8219" s="15">
        <v>1.2787739261353486</v>
      </c>
      <c r="Q8219" s="8"/>
      <c r="R8219" s="9" t="s">
        <v>7705</v>
      </c>
    </row>
    <row r="8220" spans="1:18" x14ac:dyDescent="0.25">
      <c r="A8220" s="6" t="str">
        <f>HYPERLINK("proteomic_fractions_linear_files/Yang_linear_img/31981772.jpg", "31981772")</f>
        <v>31981772</v>
      </c>
      <c r="B8220" s="7"/>
      <c r="C8220" s="6" t="str">
        <f>HYPERLINK("http://www.ncbi.nlm.nih.gov/protein/31981772","Wdpcp")</f>
        <v>Wdpcp</v>
      </c>
      <c r="D8220" s="8"/>
      <c r="E8220" s="8">
        <v>81600</v>
      </c>
      <c r="F8220" s="8"/>
      <c r="G8220" s="15">
        <v>1.3390434612333106</v>
      </c>
      <c r="H8220" s="15">
        <v>1.3390434612333106</v>
      </c>
      <c r="I8220" s="15">
        <v>1.3390434612333106</v>
      </c>
      <c r="J8220" s="15">
        <v>1.3390434612333106</v>
      </c>
      <c r="K8220" s="15">
        <v>1.3390434612333106</v>
      </c>
      <c r="L8220" s="15">
        <v>1.3390434612333106</v>
      </c>
      <c r="M8220" s="15">
        <v>1.3390434612333106</v>
      </c>
      <c r="N8220" s="15">
        <v>1.3390434612333106</v>
      </c>
      <c r="O8220" s="15">
        <v>1.3390434612333106</v>
      </c>
      <c r="P8220" s="15">
        <v>1.3390434612333106</v>
      </c>
      <c r="Q8220" s="8"/>
      <c r="R8220" s="9" t="s">
        <v>7706</v>
      </c>
    </row>
    <row r="8221" spans="1:18" x14ac:dyDescent="0.25">
      <c r="A8221" s="6" t="str">
        <f>HYPERLINK("proteomic_fractions_linear_files/Yang_linear_img/6755995.jpg", "6755995")</f>
        <v>6755995</v>
      </c>
      <c r="B8221" s="7"/>
      <c r="C8221" s="6" t="str">
        <f>HYPERLINK("http://www.ncbi.nlm.nih.gov/protein/6755995","Wdr1")</f>
        <v>Wdr1</v>
      </c>
      <c r="D8221" s="8"/>
      <c r="E8221" s="8">
        <v>66276</v>
      </c>
      <c r="F8221" s="8"/>
      <c r="G8221" s="15">
        <v>1.2590705829264222</v>
      </c>
      <c r="H8221" s="15">
        <v>1.2590705829264222</v>
      </c>
      <c r="I8221" s="15">
        <v>1.1126690945709432</v>
      </c>
      <c r="J8221" s="15">
        <v>1.1126690945709432</v>
      </c>
      <c r="K8221" s="15">
        <v>1.1126690945709432</v>
      </c>
      <c r="L8221" s="15">
        <v>1.1126690945709432</v>
      </c>
      <c r="M8221" s="15">
        <v>1.1126690945709432</v>
      </c>
      <c r="N8221" s="15">
        <v>1.1126690945709432</v>
      </c>
      <c r="O8221" s="15">
        <v>0.99171611106885349</v>
      </c>
      <c r="P8221" s="15">
        <v>0.99171611106885349</v>
      </c>
      <c r="Q8221" s="8"/>
      <c r="R8221" s="9" t="s">
        <v>7707</v>
      </c>
    </row>
    <row r="8222" spans="1:18" x14ac:dyDescent="0.25">
      <c r="A8222" s="6" t="str">
        <f>HYPERLINK("proteomic_fractions_linear_files/Yang_linear_img/227908800.jpg", "227908800")</f>
        <v>227908800</v>
      </c>
      <c r="B8222" s="7"/>
      <c r="C8222" s="6" t="str">
        <f>HYPERLINK("http://www.ncbi.nlm.nih.gov/protein/227908800","Wdr11")</f>
        <v>Wdr11</v>
      </c>
      <c r="D8222" s="8"/>
      <c r="E8222" s="8">
        <v>135837</v>
      </c>
      <c r="F8222" s="8"/>
      <c r="G8222" s="15">
        <v>4.3639176887448841</v>
      </c>
      <c r="H8222" s="15">
        <v>4.3639176887448841</v>
      </c>
      <c r="I8222" s="15">
        <v>1.1283299348253077</v>
      </c>
      <c r="J8222" s="15">
        <v>1.1283299348253077</v>
      </c>
      <c r="K8222" s="15">
        <v>1.1283299348253077</v>
      </c>
      <c r="L8222" s="15">
        <v>1.1283299348253077</v>
      </c>
      <c r="M8222" s="15">
        <v>1.1283299348253077</v>
      </c>
      <c r="N8222" s="15">
        <v>1.1283299348253077</v>
      </c>
      <c r="O8222" s="15" t="s">
        <v>10</v>
      </c>
      <c r="P8222" s="15" t="s">
        <v>10</v>
      </c>
      <c r="Q8222" s="8"/>
      <c r="R8222" s="9" t="s">
        <v>7708</v>
      </c>
    </row>
    <row r="8223" spans="1:18" x14ac:dyDescent="0.25">
      <c r="A8223" s="6" t="str">
        <f>HYPERLINK("proteomic_fractions_linear_files/Yang_linear_img/10946614;312261271.jpg", "10946614;312261271")</f>
        <v>10946614;312261271</v>
      </c>
      <c r="B8223" s="8"/>
      <c r="C8223" s="6" t="str">
        <f>HYPERLINK("http://www.ncbi.nlm.nih.gov/protein/10946614;312261271","Wdr12")</f>
        <v>Wdr12</v>
      </c>
      <c r="D8223" s="8"/>
      <c r="E8223" s="8">
        <v>47216</v>
      </c>
      <c r="F8223" s="8"/>
      <c r="G8223" s="15" t="s">
        <v>10</v>
      </c>
      <c r="H8223" s="15" t="s">
        <v>10</v>
      </c>
      <c r="I8223" s="15" t="s">
        <v>10</v>
      </c>
      <c r="J8223" s="15" t="s">
        <v>10</v>
      </c>
      <c r="K8223" s="15">
        <v>1.1302248857447037</v>
      </c>
      <c r="L8223" s="15">
        <v>1.1302248857447037</v>
      </c>
      <c r="M8223" s="15" t="s">
        <v>10</v>
      </c>
      <c r="N8223" s="15" t="s">
        <v>10</v>
      </c>
      <c r="O8223" s="15" t="s">
        <v>10</v>
      </c>
      <c r="P8223" s="15" t="s">
        <v>10</v>
      </c>
      <c r="Q8223" s="8"/>
      <c r="R8223" s="9" t="s">
        <v>7709</v>
      </c>
    </row>
    <row r="8224" spans="1:18" x14ac:dyDescent="0.25">
      <c r="A8224" s="6" t="str">
        <f>HYPERLINK("proteomic_fractions_linear_files/Yang_linear_img/312261271.jpg", "312261271")</f>
        <v>312261271</v>
      </c>
      <c r="B8224" s="7"/>
      <c r="C8224" s="6" t="str">
        <f>HYPERLINK("http://www.ncbi.nlm.nih.gov/protein/312261271","Wdr12")</f>
        <v>Wdr12</v>
      </c>
      <c r="D8224" s="8"/>
      <c r="E8224" s="8">
        <v>47216</v>
      </c>
      <c r="F8224" s="8"/>
      <c r="G8224" s="15" t="s">
        <v>10</v>
      </c>
      <c r="H8224" s="15" t="s">
        <v>10</v>
      </c>
      <c r="I8224" s="15" t="s">
        <v>10</v>
      </c>
      <c r="J8224" s="15" t="s">
        <v>10</v>
      </c>
      <c r="K8224" s="15" t="s">
        <v>10</v>
      </c>
      <c r="L8224" s="15" t="s">
        <v>10</v>
      </c>
      <c r="M8224" s="15">
        <v>1.0274462890301117</v>
      </c>
      <c r="N8224" s="15">
        <v>1.0274462890301117</v>
      </c>
      <c r="O8224" s="15">
        <v>1.0274462890301117</v>
      </c>
      <c r="P8224" s="15">
        <v>1.0274462890301117</v>
      </c>
      <c r="Q8224" s="8"/>
      <c r="R8224" s="9" t="s">
        <v>7709</v>
      </c>
    </row>
    <row r="8225" spans="1:18" x14ac:dyDescent="0.25">
      <c r="A8225" s="6" t="str">
        <f>HYPERLINK("proteomic_fractions_linear_files/Yang_linear_img/261878588.jpg", "261878588")</f>
        <v>261878588</v>
      </c>
      <c r="B8225" s="7"/>
      <c r="C8225" s="6" t="str">
        <f>HYPERLINK("http://www.ncbi.nlm.nih.gov/protein/261878588","Wdr13")</f>
        <v>Wdr13</v>
      </c>
      <c r="D8225" s="8"/>
      <c r="E8225" s="8">
        <v>53533</v>
      </c>
      <c r="F8225" s="8"/>
      <c r="G8225" s="15" t="s">
        <v>10</v>
      </c>
      <c r="H8225" s="15" t="s">
        <v>10</v>
      </c>
      <c r="I8225" s="15" t="s">
        <v>10</v>
      </c>
      <c r="J8225" s="15" t="s">
        <v>10</v>
      </c>
      <c r="K8225" s="15" t="s">
        <v>10</v>
      </c>
      <c r="L8225" s="15" t="s">
        <v>10</v>
      </c>
      <c r="M8225" s="15">
        <v>0.98371425240742738</v>
      </c>
      <c r="N8225" s="15">
        <v>0.98371425240742738</v>
      </c>
      <c r="O8225" s="15" t="s">
        <v>10</v>
      </c>
      <c r="P8225" s="15" t="s">
        <v>10</v>
      </c>
      <c r="Q8225" s="8"/>
      <c r="R8225" s="9" t="s">
        <v>7710</v>
      </c>
    </row>
    <row r="8226" spans="1:18" x14ac:dyDescent="0.25">
      <c r="A8226" s="6" t="str">
        <f>HYPERLINK("proteomic_fractions_linear_files/Yang_linear_img/83649741.jpg", "83649741")</f>
        <v>83649741</v>
      </c>
      <c r="B8226" s="7"/>
      <c r="C8226" s="6" t="str">
        <f>HYPERLINK("http://www.ncbi.nlm.nih.gov/protein/83649741","Wdr18")</f>
        <v>Wdr18</v>
      </c>
      <c r="D8226" s="8"/>
      <c r="E8226" s="8">
        <v>47080</v>
      </c>
      <c r="F8226" s="8"/>
      <c r="G8226" s="15" t="s">
        <v>10</v>
      </c>
      <c r="H8226" s="15" t="s">
        <v>10</v>
      </c>
      <c r="I8226" s="15" t="s">
        <v>10</v>
      </c>
      <c r="J8226" s="15" t="s">
        <v>10</v>
      </c>
      <c r="K8226" s="15">
        <v>0.93884232440352056</v>
      </c>
      <c r="L8226" s="15">
        <v>0.93884232440352056</v>
      </c>
      <c r="M8226" s="15">
        <v>0.86185783411112227</v>
      </c>
      <c r="N8226" s="15">
        <v>0.86185783411112227</v>
      </c>
      <c r="O8226" s="15" t="s">
        <v>10</v>
      </c>
      <c r="P8226" s="15" t="s">
        <v>10</v>
      </c>
      <c r="Q8226" s="8"/>
      <c r="R8226" s="9" t="s">
        <v>7711</v>
      </c>
    </row>
    <row r="8227" spans="1:18" x14ac:dyDescent="0.25">
      <c r="A8227" s="6" t="str">
        <f>HYPERLINK("proteomic_fractions_linear_files/Yang_linear_img/154240688.jpg", "154240688")</f>
        <v>154240688</v>
      </c>
      <c r="B8227" s="7"/>
      <c r="C8227" s="6" t="str">
        <f>HYPERLINK("http://www.ncbi.nlm.nih.gov/protein/154240688","Wdr19")</f>
        <v>Wdr19</v>
      </c>
      <c r="D8227" s="8"/>
      <c r="E8227" s="8">
        <v>151326</v>
      </c>
      <c r="F8227" s="8"/>
      <c r="G8227" s="15" t="s">
        <v>10</v>
      </c>
      <c r="H8227" s="15" t="s">
        <v>10</v>
      </c>
      <c r="I8227" s="15" t="s">
        <v>10</v>
      </c>
      <c r="J8227" s="15" t="s">
        <v>10</v>
      </c>
      <c r="K8227" s="15">
        <v>1.2368598121850354</v>
      </c>
      <c r="L8227" s="15">
        <v>1.2368598121850354</v>
      </c>
      <c r="M8227" s="15">
        <v>1.2368598121850354</v>
      </c>
      <c r="N8227" s="15">
        <v>1.2368598121850354</v>
      </c>
      <c r="O8227" s="15" t="s">
        <v>10</v>
      </c>
      <c r="P8227" s="15" t="s">
        <v>10</v>
      </c>
      <c r="Q8227" s="8"/>
      <c r="R8227" s="9" t="s">
        <v>7712</v>
      </c>
    </row>
    <row r="8228" spans="1:18" x14ac:dyDescent="0.25">
      <c r="A8228" s="6" t="str">
        <f>HYPERLINK("proteomic_fractions_linear_files/Yang_linear_img/61742804.jpg", "61742804")</f>
        <v>61742804</v>
      </c>
      <c r="B8228" s="7"/>
      <c r="C8228" s="6" t="str">
        <f>HYPERLINK("http://www.ncbi.nlm.nih.gov/protein/61742804","Wdr20")</f>
        <v>Wdr20</v>
      </c>
      <c r="D8228" s="8"/>
      <c r="E8228" s="8">
        <v>62757</v>
      </c>
      <c r="F8228" s="8"/>
      <c r="G8228" s="15" t="s">
        <v>10</v>
      </c>
      <c r="H8228" s="15" t="s">
        <v>10</v>
      </c>
      <c r="I8228" s="15" t="s">
        <v>10</v>
      </c>
      <c r="J8228" s="15" t="s">
        <v>10</v>
      </c>
      <c r="K8228" s="15">
        <v>1.038940687786418</v>
      </c>
      <c r="L8228" s="15">
        <v>1.038940687786418</v>
      </c>
      <c r="M8228" s="15">
        <v>0.24121171894943311</v>
      </c>
      <c r="N8228" s="15">
        <v>0.24121171894943311</v>
      </c>
      <c r="O8228" s="15" t="s">
        <v>10</v>
      </c>
      <c r="P8228" s="15" t="s">
        <v>10</v>
      </c>
      <c r="Q8228" s="8"/>
      <c r="R8228" s="9" t="s">
        <v>7713</v>
      </c>
    </row>
    <row r="8229" spans="1:18" x14ac:dyDescent="0.25">
      <c r="A8229" s="6" t="str">
        <f>HYPERLINK("proteomic_fractions_linear_files/Yang_linear_img/21735451.jpg", "21735451")</f>
        <v>21735451</v>
      </c>
      <c r="B8229" s="7"/>
      <c r="C8229" s="6" t="str">
        <f>HYPERLINK("http://www.ncbi.nlm.nih.gov/protein/21735451","Wdr20rt")</f>
        <v>Wdr20rt</v>
      </c>
      <c r="D8229" s="8"/>
      <c r="E8229" s="8">
        <v>62651</v>
      </c>
      <c r="F8229" s="8"/>
      <c r="G8229" s="15" t="s">
        <v>10</v>
      </c>
      <c r="H8229" s="15" t="s">
        <v>10</v>
      </c>
      <c r="I8229" s="15" t="s">
        <v>10</v>
      </c>
      <c r="J8229" s="15" t="s">
        <v>10</v>
      </c>
      <c r="K8229" s="15">
        <v>1.038940687786418</v>
      </c>
      <c r="L8229" s="15">
        <v>1.038940687786418</v>
      </c>
      <c r="M8229" s="15">
        <v>0.24121171894943311</v>
      </c>
      <c r="N8229" s="15">
        <v>0.24121171894943311</v>
      </c>
      <c r="O8229" s="15" t="s">
        <v>10</v>
      </c>
      <c r="P8229" s="15" t="s">
        <v>10</v>
      </c>
      <c r="Q8229" s="8"/>
      <c r="R8229" s="9" t="s">
        <v>7714</v>
      </c>
    </row>
    <row r="8230" spans="1:18" x14ac:dyDescent="0.25">
      <c r="A8230" s="6" t="str">
        <f>HYPERLINK("proteomic_fractions_linear_files/Yang_linear_img/264681550.jpg", "264681550")</f>
        <v>264681550</v>
      </c>
      <c r="B8230" s="7"/>
      <c r="C8230" s="6" t="str">
        <f>HYPERLINK("http://www.ncbi.nlm.nih.gov/protein/264681550","Wdr26")</f>
        <v>Wdr26</v>
      </c>
      <c r="D8230" s="8"/>
      <c r="E8230" s="8">
        <v>70413</v>
      </c>
      <c r="F8230" s="8"/>
      <c r="G8230" s="15" t="s">
        <v>10</v>
      </c>
      <c r="H8230" s="15" t="s">
        <v>10</v>
      </c>
      <c r="I8230" s="15" t="s">
        <v>10</v>
      </c>
      <c r="J8230" s="15" t="s">
        <v>10</v>
      </c>
      <c r="K8230" s="15">
        <v>1.1871236924734836</v>
      </c>
      <c r="L8230" s="15">
        <v>1.1871236924734836</v>
      </c>
      <c r="M8230" s="15">
        <v>1.0490880034526036</v>
      </c>
      <c r="N8230" s="15">
        <v>1.0490880034526036</v>
      </c>
      <c r="O8230" s="15" t="s">
        <v>10</v>
      </c>
      <c r="P8230" s="15" t="s">
        <v>10</v>
      </c>
      <c r="Q8230" s="8"/>
      <c r="R8230" s="9" t="s">
        <v>7715</v>
      </c>
    </row>
    <row r="8231" spans="1:18" x14ac:dyDescent="0.25">
      <c r="A8231" s="6" t="str">
        <f>HYPERLINK("proteomic_fractions_linear_files/Yang_linear_img/30425338.jpg", "30425338")</f>
        <v>30425338</v>
      </c>
      <c r="B8231" s="7"/>
      <c r="C8231" s="6" t="str">
        <f>HYPERLINK("http://www.ncbi.nlm.nih.gov/protein/30425338","Wdr3")</f>
        <v>Wdr3</v>
      </c>
      <c r="D8231" s="8"/>
      <c r="E8231" s="8">
        <v>105645</v>
      </c>
      <c r="F8231" s="8"/>
      <c r="G8231" s="15" t="s">
        <v>10</v>
      </c>
      <c r="H8231" s="15" t="s">
        <v>10</v>
      </c>
      <c r="I8231" s="15" t="s">
        <v>10</v>
      </c>
      <c r="J8231" s="15" t="s">
        <v>10</v>
      </c>
      <c r="K8231" s="15">
        <v>1.2143549825011035</v>
      </c>
      <c r="L8231" s="15">
        <v>1.2143549825011035</v>
      </c>
      <c r="M8231" s="15" t="s">
        <v>10</v>
      </c>
      <c r="N8231" s="15" t="s">
        <v>10</v>
      </c>
      <c r="O8231" s="15" t="s">
        <v>10</v>
      </c>
      <c r="P8231" s="15" t="s">
        <v>10</v>
      </c>
      <c r="Q8231" s="8"/>
      <c r="R8231" s="9" t="s">
        <v>7716</v>
      </c>
    </row>
    <row r="8232" spans="1:18" x14ac:dyDescent="0.25">
      <c r="A8232" s="6" t="str">
        <f>HYPERLINK("proteomic_fractions_linear_files/Yang_linear_img/21362285.jpg", "21362285")</f>
        <v>21362285</v>
      </c>
      <c r="B8232" s="7"/>
      <c r="C8232" s="6" t="str">
        <f>HYPERLINK("http://www.ncbi.nlm.nih.gov/protein/21362285","Wdr33")</f>
        <v>Wdr33</v>
      </c>
      <c r="D8232" s="8"/>
      <c r="E8232" s="8">
        <v>145137</v>
      </c>
      <c r="F8232" s="8"/>
      <c r="G8232" s="15">
        <v>0.22126946797057648</v>
      </c>
      <c r="H8232" s="15">
        <v>0.22126946797057648</v>
      </c>
      <c r="I8232" s="15" t="s">
        <v>10</v>
      </c>
      <c r="J8232" s="15" t="s">
        <v>10</v>
      </c>
      <c r="K8232" s="15" t="s">
        <v>10</v>
      </c>
      <c r="L8232" s="15" t="s">
        <v>10</v>
      </c>
      <c r="M8232" s="15" t="s">
        <v>10</v>
      </c>
      <c r="N8232" s="15" t="s">
        <v>10</v>
      </c>
      <c r="O8232" s="15" t="s">
        <v>10</v>
      </c>
      <c r="P8232" s="15" t="s">
        <v>10</v>
      </c>
      <c r="Q8232" s="8"/>
      <c r="R8232" s="9" t="s">
        <v>7717</v>
      </c>
    </row>
    <row r="8233" spans="1:18" x14ac:dyDescent="0.25">
      <c r="A8233" s="6" t="str">
        <f>HYPERLINK("proteomic_fractions_linear_files/Yang_linear_img/139948827.jpg", "139948827")</f>
        <v>139948827</v>
      </c>
      <c r="B8233" s="7"/>
      <c r="C8233" s="6" t="str">
        <f>HYPERLINK("http://www.ncbi.nlm.nih.gov/protein/139948827","Wdr34")</f>
        <v>Wdr34</v>
      </c>
      <c r="D8233" s="8"/>
      <c r="E8233" s="8">
        <v>58043</v>
      </c>
      <c r="F8233" s="8"/>
      <c r="G8233" s="15" t="s">
        <v>10</v>
      </c>
      <c r="H8233" s="15" t="s">
        <v>10</v>
      </c>
      <c r="I8233" s="15">
        <v>1.1285045401817988</v>
      </c>
      <c r="J8233" s="15">
        <v>1.1285045401817988</v>
      </c>
      <c r="K8233" s="15" t="s">
        <v>10</v>
      </c>
      <c r="L8233" s="15" t="s">
        <v>10</v>
      </c>
      <c r="M8233" s="15" t="s">
        <v>10</v>
      </c>
      <c r="N8233" s="15" t="s">
        <v>10</v>
      </c>
      <c r="O8233" s="15" t="s">
        <v>10</v>
      </c>
      <c r="P8233" s="15" t="s">
        <v>10</v>
      </c>
      <c r="Q8233" s="8"/>
      <c r="R8233" s="9" t="s">
        <v>7718</v>
      </c>
    </row>
    <row r="8234" spans="1:18" x14ac:dyDescent="0.25">
      <c r="A8234" s="6" t="str">
        <f>HYPERLINK("proteomic_fractions_linear_files/Yang_linear_img/226958501.jpg", "226958501")</f>
        <v>226958501</v>
      </c>
      <c r="B8234" s="7"/>
      <c r="C8234" s="6" t="str">
        <f>HYPERLINK("http://www.ncbi.nlm.nih.gov/protein/226958501","Wdr35")</f>
        <v>Wdr35</v>
      </c>
      <c r="D8234" s="8"/>
      <c r="E8234" s="8">
        <v>133861</v>
      </c>
      <c r="F8234" s="8"/>
      <c r="G8234" s="15" t="s">
        <v>10</v>
      </c>
      <c r="H8234" s="15" t="s">
        <v>10</v>
      </c>
      <c r="I8234" s="15" t="s">
        <v>10</v>
      </c>
      <c r="J8234" s="15" t="s">
        <v>10</v>
      </c>
      <c r="K8234" s="15">
        <v>1.1451706801212078</v>
      </c>
      <c r="L8234" s="15">
        <v>1.1451706801212078</v>
      </c>
      <c r="M8234" s="15">
        <v>0.96060916526206697</v>
      </c>
      <c r="N8234" s="15">
        <v>0.96060916526206697</v>
      </c>
      <c r="O8234" s="15" t="s">
        <v>10</v>
      </c>
      <c r="P8234" s="15" t="s">
        <v>10</v>
      </c>
      <c r="Q8234" s="8"/>
      <c r="R8234" s="9" t="s">
        <v>7719</v>
      </c>
    </row>
    <row r="8235" spans="1:18" x14ac:dyDescent="0.25">
      <c r="A8235" s="6" t="str">
        <f>HYPERLINK("proteomic_fractions_linear_files/Yang_linear_img/226958503.jpg", "226958503")</f>
        <v>226958503</v>
      </c>
      <c r="B8235" s="7"/>
      <c r="C8235" s="6" t="str">
        <f>HYPERLINK("http://www.ncbi.nlm.nih.gov/protein/226958503","Wdr35")</f>
        <v>Wdr35</v>
      </c>
      <c r="D8235" s="8"/>
      <c r="E8235" s="8">
        <v>132622</v>
      </c>
      <c r="F8235" s="8"/>
      <c r="G8235" s="15" t="s">
        <v>10</v>
      </c>
      <c r="H8235" s="15" t="s">
        <v>10</v>
      </c>
      <c r="I8235" s="15" t="s">
        <v>10</v>
      </c>
      <c r="J8235" s="15" t="s">
        <v>10</v>
      </c>
      <c r="K8235" s="15">
        <v>1.1537809859867807</v>
      </c>
      <c r="L8235" s="15">
        <v>1.1537809859867807</v>
      </c>
      <c r="M8235" s="15">
        <v>0.96783179056478919</v>
      </c>
      <c r="N8235" s="15">
        <v>0.96783179056478919</v>
      </c>
      <c r="O8235" s="15" t="s">
        <v>10</v>
      </c>
      <c r="P8235" s="15" t="s">
        <v>10</v>
      </c>
      <c r="Q8235" s="8"/>
      <c r="R8235" s="9" t="s">
        <v>7720</v>
      </c>
    </row>
    <row r="8236" spans="1:18" x14ac:dyDescent="0.25">
      <c r="A8236" s="6" t="str">
        <f>HYPERLINK("proteomic_fractions_linear_files/Yang_linear_img/31542010.jpg", "31542010")</f>
        <v>31542010</v>
      </c>
      <c r="B8236" s="7"/>
      <c r="C8236" s="6" t="str">
        <f>HYPERLINK("http://www.ncbi.nlm.nih.gov/protein/31542010","Wdr36")</f>
        <v>Wdr36</v>
      </c>
      <c r="D8236" s="8"/>
      <c r="E8236" s="8">
        <v>65844</v>
      </c>
      <c r="F8236" s="8"/>
      <c r="G8236" s="15" t="s">
        <v>10</v>
      </c>
      <c r="H8236" s="15" t="s">
        <v>10</v>
      </c>
      <c r="I8236" s="15" t="s">
        <v>10</v>
      </c>
      <c r="J8236" s="15" t="s">
        <v>10</v>
      </c>
      <c r="K8236" s="15">
        <v>1.6636600578959313</v>
      </c>
      <c r="L8236" s="15">
        <v>1.6636600578959313</v>
      </c>
      <c r="M8236" s="15" t="s">
        <v>10</v>
      </c>
      <c r="N8236" s="15" t="s">
        <v>10</v>
      </c>
      <c r="O8236" s="15" t="s">
        <v>10</v>
      </c>
      <c r="P8236" s="15" t="s">
        <v>10</v>
      </c>
      <c r="Q8236" s="8"/>
      <c r="R8236" s="9" t="s">
        <v>7721</v>
      </c>
    </row>
    <row r="8237" spans="1:18" x14ac:dyDescent="0.25">
      <c r="A8237" s="6" t="str">
        <f>HYPERLINK("proteomic_fractions_linear_files/Yang_linear_img/158517940.jpg", "158517940")</f>
        <v>158517940</v>
      </c>
      <c r="B8237" s="7"/>
      <c r="C8237" s="6" t="str">
        <f>HYPERLINK("http://www.ncbi.nlm.nih.gov/protein/158517940","Wdr36")</f>
        <v>Wdr36</v>
      </c>
      <c r="D8237" s="8"/>
      <c r="E8237" s="8">
        <v>99590</v>
      </c>
      <c r="F8237" s="8"/>
      <c r="G8237" s="15" t="s">
        <v>10</v>
      </c>
      <c r="H8237" s="15" t="s">
        <v>10</v>
      </c>
      <c r="I8237" s="15" t="s">
        <v>10</v>
      </c>
      <c r="J8237" s="15" t="s">
        <v>10</v>
      </c>
      <c r="K8237" s="15">
        <v>1.5345287113624184</v>
      </c>
      <c r="L8237" s="15">
        <v>1.5345287113624184</v>
      </c>
      <c r="M8237" s="15" t="s">
        <v>10</v>
      </c>
      <c r="N8237" s="15" t="s">
        <v>10</v>
      </c>
      <c r="O8237" s="15">
        <v>1.2872162814511696</v>
      </c>
      <c r="P8237" s="15">
        <v>1.2872162814511696</v>
      </c>
      <c r="Q8237" s="8"/>
      <c r="R8237" s="9" t="s">
        <v>7722</v>
      </c>
    </row>
    <row r="8238" spans="1:18" x14ac:dyDescent="0.25">
      <c r="A8238" s="6" t="str">
        <f>HYPERLINK("proteomic_fractions_linear_files/Yang_linear_img/158517942.jpg", "158517942")</f>
        <v>158517942</v>
      </c>
      <c r="B8238" s="7"/>
      <c r="C8238" s="6" t="str">
        <f>HYPERLINK("http://www.ncbi.nlm.nih.gov/protein/158517942","Wdr36")</f>
        <v>Wdr36</v>
      </c>
      <c r="D8238" s="8"/>
      <c r="E8238" s="8">
        <v>97654</v>
      </c>
      <c r="F8238" s="8"/>
      <c r="G8238" s="15" t="s">
        <v>10</v>
      </c>
      <c r="H8238" s="15" t="s">
        <v>10</v>
      </c>
      <c r="I8238" s="15" t="s">
        <v>10</v>
      </c>
      <c r="J8238" s="15" t="s">
        <v>10</v>
      </c>
      <c r="K8238" s="15">
        <v>1.5658456238392024</v>
      </c>
      <c r="L8238" s="15">
        <v>1.5658456238392024</v>
      </c>
      <c r="M8238" s="15" t="s">
        <v>10</v>
      </c>
      <c r="N8238" s="15" t="s">
        <v>10</v>
      </c>
      <c r="O8238" s="15">
        <v>1.3134860014807854</v>
      </c>
      <c r="P8238" s="15">
        <v>1.3134860014807854</v>
      </c>
      <c r="Q8238" s="8"/>
      <c r="R8238" s="9" t="s">
        <v>7723</v>
      </c>
    </row>
    <row r="8239" spans="1:18" x14ac:dyDescent="0.25">
      <c r="A8239" s="6" t="str">
        <f>HYPERLINK("proteomic_fractions_linear_files/Yang_linear_img/27369593.jpg", "27369593")</f>
        <v>27369593</v>
      </c>
      <c r="B8239" s="7"/>
      <c r="C8239" s="6" t="str">
        <f>HYPERLINK("http://www.ncbi.nlm.nih.gov/protein/27369593","Wdr37")</f>
        <v>Wdr37</v>
      </c>
      <c r="D8239" s="8"/>
      <c r="E8239" s="8">
        <v>54915</v>
      </c>
      <c r="F8239" s="8"/>
      <c r="G8239" s="15" t="s">
        <v>10</v>
      </c>
      <c r="H8239" s="15" t="s">
        <v>10</v>
      </c>
      <c r="I8239" s="15" t="s">
        <v>10</v>
      </c>
      <c r="J8239" s="15" t="s">
        <v>10</v>
      </c>
      <c r="K8239" s="15">
        <v>1.1900593332826241</v>
      </c>
      <c r="L8239" s="15">
        <v>1.1900593332826241</v>
      </c>
      <c r="M8239" s="15">
        <v>1.0686037742835246</v>
      </c>
      <c r="N8239" s="15">
        <v>1.0686037742835246</v>
      </c>
      <c r="O8239" s="15" t="s">
        <v>10</v>
      </c>
      <c r="P8239" s="15" t="s">
        <v>10</v>
      </c>
      <c r="Q8239" s="8"/>
      <c r="R8239" s="9" t="s">
        <v>7724</v>
      </c>
    </row>
    <row r="8240" spans="1:18" x14ac:dyDescent="0.25">
      <c r="A8240" s="6" t="str">
        <f>HYPERLINK("proteomic_fractions_linear_files/Yang_linear_img/86476061.jpg", "86476061")</f>
        <v>86476061</v>
      </c>
      <c r="B8240" s="7"/>
      <c r="C8240" s="6" t="str">
        <f>HYPERLINK("http://www.ncbi.nlm.nih.gov/protein/86476061","Wdr37")</f>
        <v>Wdr37</v>
      </c>
      <c r="D8240" s="8"/>
      <c r="E8240" s="8">
        <v>19118</v>
      </c>
      <c r="F8240" s="8"/>
      <c r="G8240" s="15" t="s">
        <v>10</v>
      </c>
      <c r="H8240" s="15" t="s">
        <v>10</v>
      </c>
      <c r="I8240" s="15" t="s">
        <v>10</v>
      </c>
      <c r="J8240" s="15" t="s">
        <v>10</v>
      </c>
      <c r="K8240" s="15">
        <v>3.4449085963444386</v>
      </c>
      <c r="L8240" s="15">
        <v>3.4449085963444386</v>
      </c>
      <c r="M8240" s="15">
        <v>3.0933267150312553</v>
      </c>
      <c r="N8240" s="15">
        <v>3.0933267150312553</v>
      </c>
      <c r="O8240" s="15" t="s">
        <v>10</v>
      </c>
      <c r="P8240" s="15" t="s">
        <v>10</v>
      </c>
      <c r="Q8240" s="8"/>
      <c r="R8240" s="9" t="s">
        <v>7725</v>
      </c>
    </row>
    <row r="8241" spans="1:18" x14ac:dyDescent="0.25">
      <c r="A8241" s="6" t="str">
        <f>HYPERLINK("proteomic_fractions_linear_files/Yang_linear_img/255308863.jpg", "255308863")</f>
        <v>255308863</v>
      </c>
      <c r="B8241" s="7"/>
      <c r="C8241" s="6" t="str">
        <f>HYPERLINK("http://www.ncbi.nlm.nih.gov/protein/255308863","Wdr4")</f>
        <v>Wdr4</v>
      </c>
      <c r="D8241" s="8"/>
      <c r="E8241" s="8">
        <v>50274</v>
      </c>
      <c r="F8241" s="8"/>
      <c r="G8241" s="15" t="s">
        <v>10</v>
      </c>
      <c r="H8241" s="15" t="s">
        <v>10</v>
      </c>
      <c r="I8241" s="15" t="s">
        <v>10</v>
      </c>
      <c r="J8241" s="15" t="s">
        <v>10</v>
      </c>
      <c r="K8241" s="15">
        <v>0.96579951168830502</v>
      </c>
      <c r="L8241" s="15">
        <v>0.96579951168830502</v>
      </c>
      <c r="M8241" s="15" t="s">
        <v>10</v>
      </c>
      <c r="N8241" s="15" t="s">
        <v>10</v>
      </c>
      <c r="O8241" s="15">
        <v>0.88251178493930937</v>
      </c>
      <c r="P8241" s="15">
        <v>0.88251178493930937</v>
      </c>
      <c r="Q8241" s="8"/>
      <c r="R8241" s="9" t="s">
        <v>7726</v>
      </c>
    </row>
    <row r="8242" spans="1:18" x14ac:dyDescent="0.25">
      <c r="A8242" s="6" t="str">
        <f>HYPERLINK("proteomic_fractions_linear_files/Yang_linear_img/123702001.jpg", "123702001")</f>
        <v>123702001</v>
      </c>
      <c r="B8242" s="7"/>
      <c r="C8242" s="6" t="str">
        <f>HYPERLINK("http://www.ncbi.nlm.nih.gov/protein/123702001","Wdr41")</f>
        <v>Wdr41</v>
      </c>
      <c r="D8242" s="8"/>
      <c r="E8242" s="8">
        <v>51380</v>
      </c>
      <c r="F8242" s="8"/>
      <c r="G8242" s="15" t="s">
        <v>10</v>
      </c>
      <c r="H8242" s="15" t="s">
        <v>10</v>
      </c>
      <c r="I8242" s="15" t="s">
        <v>10</v>
      </c>
      <c r="J8242" s="15" t="s">
        <v>10</v>
      </c>
      <c r="K8242" s="15" t="s">
        <v>10</v>
      </c>
      <c r="L8242" s="15" t="s">
        <v>10</v>
      </c>
      <c r="M8242" s="15">
        <v>0.94686226636108339</v>
      </c>
      <c r="N8242" s="15">
        <v>0.94686226636108339</v>
      </c>
      <c r="O8242" s="15" t="s">
        <v>10</v>
      </c>
      <c r="P8242" s="15" t="s">
        <v>10</v>
      </c>
      <c r="Q8242" s="8"/>
      <c r="R8242" s="9" t="s">
        <v>7727</v>
      </c>
    </row>
    <row r="8243" spans="1:18" x14ac:dyDescent="0.25">
      <c r="A8243" s="6" t="str">
        <f>HYPERLINK("proteomic_fractions_linear_files/Yang_linear_img/124249073.jpg", "124249073")</f>
        <v>124249073</v>
      </c>
      <c r="B8243" s="7"/>
      <c r="C8243" s="6" t="str">
        <f>HYPERLINK("http://www.ncbi.nlm.nih.gov/protein/124249073","Wdr44")</f>
        <v>Wdr44</v>
      </c>
      <c r="D8243" s="8"/>
      <c r="E8243" s="8">
        <v>101425</v>
      </c>
      <c r="F8243" s="8"/>
      <c r="G8243" s="15" t="s">
        <v>10</v>
      </c>
      <c r="H8243" s="15" t="s">
        <v>10</v>
      </c>
      <c r="I8243" s="15" t="s">
        <v>10</v>
      </c>
      <c r="J8243" s="15" t="s">
        <v>10</v>
      </c>
      <c r="K8243" s="15" t="s">
        <v>10</v>
      </c>
      <c r="L8243" s="15" t="s">
        <v>10</v>
      </c>
      <c r="M8243" s="15">
        <v>0.94027704141172785</v>
      </c>
      <c r="N8243" s="15">
        <v>0.94027704141172785</v>
      </c>
      <c r="O8243" s="15">
        <v>0.43688702224718284</v>
      </c>
      <c r="P8243" s="15">
        <v>0.43688702224718284</v>
      </c>
      <c r="Q8243" s="8"/>
      <c r="R8243" s="9" t="s">
        <v>7728</v>
      </c>
    </row>
    <row r="8244" spans="1:18" x14ac:dyDescent="0.25">
      <c r="A8244" s="6" t="str">
        <f>HYPERLINK("proteomic_fractions_linear_files/Yang_linear_img/27363472.jpg", "27363472")</f>
        <v>27363472</v>
      </c>
      <c r="B8244" s="7"/>
      <c r="C8244" s="6" t="str">
        <f>HYPERLINK("http://www.ncbi.nlm.nih.gov/protein/27363472","Wdr45")</f>
        <v>Wdr45</v>
      </c>
      <c r="D8244" s="8"/>
      <c r="E8244" s="8">
        <v>39656</v>
      </c>
      <c r="F8244" s="8"/>
      <c r="G8244" s="15" t="s">
        <v>10</v>
      </c>
      <c r="H8244" s="15" t="s">
        <v>10</v>
      </c>
      <c r="I8244" s="15">
        <v>0.8638344132618796</v>
      </c>
      <c r="J8244" s="15">
        <v>0.8638344132618796</v>
      </c>
      <c r="K8244" s="15">
        <v>0.93353316057811475</v>
      </c>
      <c r="L8244" s="15">
        <v>0.93353316057811475</v>
      </c>
      <c r="M8244" s="15">
        <v>0.8638344132618796</v>
      </c>
      <c r="N8244" s="15">
        <v>0.8638344132618796</v>
      </c>
      <c r="O8244" s="15">
        <v>0.80210182139333974</v>
      </c>
      <c r="P8244" s="15">
        <v>0.80210182139333974</v>
      </c>
      <c r="Q8244" s="8"/>
      <c r="R8244" s="9" t="s">
        <v>7729</v>
      </c>
    </row>
    <row r="8245" spans="1:18" x14ac:dyDescent="0.25">
      <c r="A8245" s="6" t="str">
        <f>HYPERLINK("proteomic_fractions_linear_files/Yang_linear_img/27229002.jpg", "27229002")</f>
        <v>27229002</v>
      </c>
      <c r="B8245" s="7"/>
      <c r="C8245" s="6" t="str">
        <f>HYPERLINK("http://www.ncbi.nlm.nih.gov/protein/27229002","Wdr45b")</f>
        <v>Wdr45b</v>
      </c>
      <c r="D8245" s="8"/>
      <c r="E8245" s="8">
        <v>37890</v>
      </c>
      <c r="F8245" s="8"/>
      <c r="G8245" s="15" t="s">
        <v>10</v>
      </c>
      <c r="H8245" s="15" t="s">
        <v>10</v>
      </c>
      <c r="I8245" s="15">
        <v>0.90929938238092589</v>
      </c>
      <c r="J8245" s="15">
        <v>0.90929938238092589</v>
      </c>
      <c r="K8245" s="15">
        <v>0.90929938238092589</v>
      </c>
      <c r="L8245" s="15">
        <v>0.90929938238092589</v>
      </c>
      <c r="M8245" s="15" t="s">
        <v>10</v>
      </c>
      <c r="N8245" s="15" t="s">
        <v>10</v>
      </c>
      <c r="O8245" s="15" t="s">
        <v>10</v>
      </c>
      <c r="P8245" s="15" t="s">
        <v>10</v>
      </c>
      <c r="Q8245" s="8"/>
      <c r="R8245" s="9" t="s">
        <v>7730</v>
      </c>
    </row>
    <row r="8246" spans="1:18" x14ac:dyDescent="0.25">
      <c r="A8246" s="6" t="str">
        <f>HYPERLINK("proteomic_fractions_linear_files/Yang_linear_img/10181122.jpg", "10181122")</f>
        <v>10181122</v>
      </c>
      <c r="B8246" s="7"/>
      <c r="C8246" s="6" t="str">
        <f>HYPERLINK("http://www.ncbi.nlm.nih.gov/protein/10181122","Wdr46")</f>
        <v>Wdr46</v>
      </c>
      <c r="D8246" s="8"/>
      <c r="E8246" s="8">
        <v>68917</v>
      </c>
      <c r="F8246" s="8"/>
      <c r="G8246" s="15">
        <v>0.46498656312657372</v>
      </c>
      <c r="H8246" s="15">
        <v>0.46498656312657372</v>
      </c>
      <c r="I8246" s="15" t="s">
        <v>10</v>
      </c>
      <c r="J8246" s="15" t="s">
        <v>10</v>
      </c>
      <c r="K8246" s="15">
        <v>1.2043283836687515</v>
      </c>
      <c r="L8246" s="15">
        <v>1.2043283836687515</v>
      </c>
      <c r="M8246" s="15" t="s">
        <v>10</v>
      </c>
      <c r="N8246" s="15" t="s">
        <v>10</v>
      </c>
      <c r="O8246" s="15" t="s">
        <v>10</v>
      </c>
      <c r="P8246" s="15" t="s">
        <v>10</v>
      </c>
      <c r="Q8246" s="8"/>
      <c r="R8246" s="9" t="s">
        <v>7731</v>
      </c>
    </row>
    <row r="8247" spans="1:18" x14ac:dyDescent="0.25">
      <c r="A8247" s="6" t="str">
        <f>HYPERLINK("proteomic_fractions_linear_files/Yang_linear_img/170172546.jpg", "170172546")</f>
        <v>170172546</v>
      </c>
      <c r="B8247" s="7"/>
      <c r="C8247" s="6" t="str">
        <f>HYPERLINK("http://www.ncbi.nlm.nih.gov/protein/170172546","Wdr47")</f>
        <v>Wdr47</v>
      </c>
      <c r="D8247" s="8"/>
      <c r="E8247" s="8">
        <v>102182</v>
      </c>
      <c r="F8247" s="8"/>
      <c r="G8247" s="15" t="s">
        <v>10</v>
      </c>
      <c r="H8247" s="15" t="s">
        <v>10</v>
      </c>
      <c r="I8247" s="15" t="s">
        <v>10</v>
      </c>
      <c r="J8247" s="15" t="s">
        <v>10</v>
      </c>
      <c r="K8247" s="15">
        <v>1.2619767465207545</v>
      </c>
      <c r="L8247" s="15">
        <v>1.2619767465207545</v>
      </c>
      <c r="M8247" s="15">
        <v>0.64169866010337584</v>
      </c>
      <c r="N8247" s="15">
        <v>0.64169866010337584</v>
      </c>
      <c r="O8247" s="15">
        <v>1.2619767465207545</v>
      </c>
      <c r="P8247" s="15">
        <v>1.2619767465207545</v>
      </c>
      <c r="Q8247" s="8"/>
      <c r="R8247" s="9" t="s">
        <v>7732</v>
      </c>
    </row>
    <row r="8248" spans="1:18" x14ac:dyDescent="0.25">
      <c r="A8248" s="6" t="str">
        <f>HYPERLINK("proteomic_fractions_linear_files/Yang_linear_img/33468987.jpg", "33468987")</f>
        <v>33468987</v>
      </c>
      <c r="B8248" s="7"/>
      <c r="C8248" s="6" t="str">
        <f>HYPERLINK("http://www.ncbi.nlm.nih.gov/protein/33468987","Wdr48")</f>
        <v>Wdr48</v>
      </c>
      <c r="D8248" s="8"/>
      <c r="E8248" s="8">
        <v>75877</v>
      </c>
      <c r="F8248" s="8"/>
      <c r="G8248" s="15" t="s">
        <v>10</v>
      </c>
      <c r="H8248" s="15" t="s">
        <v>10</v>
      </c>
      <c r="I8248" s="15">
        <v>1.0934034009624192</v>
      </c>
      <c r="J8248" s="15">
        <v>1.0934034009624192</v>
      </c>
      <c r="K8248" s="15">
        <v>1.2495786997708489</v>
      </c>
      <c r="L8248" s="15">
        <v>1.2495786997708489</v>
      </c>
      <c r="M8248" s="15">
        <v>1.2495786997708489</v>
      </c>
      <c r="N8248" s="15">
        <v>1.2495786997708489</v>
      </c>
      <c r="O8248" s="15">
        <v>1.0934034009624192</v>
      </c>
      <c r="P8248" s="15">
        <v>1.0934034009624192</v>
      </c>
      <c r="Q8248" s="8"/>
      <c r="R8248" s="9" t="s">
        <v>7733</v>
      </c>
    </row>
    <row r="8249" spans="1:18" x14ac:dyDescent="0.25">
      <c r="A8249" s="6" t="str">
        <f>HYPERLINK("proteomic_fractions_linear_files/Yang_linear_img/309264766.jpg", "309264766")</f>
        <v>309264766</v>
      </c>
      <c r="B8249" s="7"/>
      <c r="C8249" s="6" t="str">
        <f>HYPERLINK("http://www.ncbi.nlm.nih.gov/protein/309264766","Wdr49")</f>
        <v>Wdr49</v>
      </c>
      <c r="D8249" s="8"/>
      <c r="E8249" s="8">
        <v>121114</v>
      </c>
      <c r="F8249" s="8"/>
      <c r="G8249" s="15" t="s">
        <v>10</v>
      </c>
      <c r="H8249" s="15" t="s">
        <v>10</v>
      </c>
      <c r="I8249" s="15" t="s">
        <v>10</v>
      </c>
      <c r="J8249" s="15" t="s">
        <v>10</v>
      </c>
      <c r="K8249" s="15" t="s">
        <v>10</v>
      </c>
      <c r="L8249" s="15" t="s">
        <v>10</v>
      </c>
      <c r="M8249" s="15">
        <v>0.28556509529318336</v>
      </c>
      <c r="N8249" s="15">
        <v>0.28556509529318336</v>
      </c>
      <c r="O8249" s="15" t="s">
        <v>10</v>
      </c>
      <c r="P8249" s="15" t="s">
        <v>10</v>
      </c>
      <c r="Q8249" s="8"/>
      <c r="R8249" s="9" t="s">
        <v>8329</v>
      </c>
    </row>
    <row r="8250" spans="1:18" x14ac:dyDescent="0.25">
      <c r="A8250" s="6" t="str">
        <f>HYPERLINK("proteomic_fractions_linear_files/Yang_linear_img/407263036.jpg", "407263036")</f>
        <v>407263036</v>
      </c>
      <c r="B8250" s="7"/>
      <c r="C8250" s="6" t="str">
        <f>HYPERLINK("http://www.ncbi.nlm.nih.gov/protein/407263036","Wdr49")</f>
        <v>Wdr49</v>
      </c>
      <c r="D8250" s="8"/>
      <c r="E8250" s="8">
        <v>111939</v>
      </c>
      <c r="F8250" s="8"/>
      <c r="G8250" s="15" t="s">
        <v>10</v>
      </c>
      <c r="H8250" s="15" t="s">
        <v>10</v>
      </c>
      <c r="I8250" s="15" t="s">
        <v>10</v>
      </c>
      <c r="J8250" s="15" t="s">
        <v>10</v>
      </c>
      <c r="K8250" s="15" t="s">
        <v>10</v>
      </c>
      <c r="L8250" s="15" t="s">
        <v>10</v>
      </c>
      <c r="M8250" s="15">
        <v>0.3085122904506713</v>
      </c>
      <c r="N8250" s="15">
        <v>0.3085122904506713</v>
      </c>
      <c r="O8250" s="15" t="s">
        <v>10</v>
      </c>
      <c r="P8250" s="15" t="s">
        <v>10</v>
      </c>
      <c r="Q8250" s="8"/>
      <c r="R8250" s="9" t="s">
        <v>8329</v>
      </c>
    </row>
    <row r="8251" spans="1:18" x14ac:dyDescent="0.25">
      <c r="A8251" s="6" t="str">
        <f>HYPERLINK("proteomic_fractions_linear_files/Yang_linear_img/18252790.jpg", "18252790")</f>
        <v>18252790</v>
      </c>
      <c r="B8251" s="7"/>
      <c r="C8251" s="6" t="str">
        <f>HYPERLINK("http://www.ncbi.nlm.nih.gov/protein/18252790","Wdr5")</f>
        <v>Wdr5</v>
      </c>
      <c r="D8251" s="8"/>
      <c r="E8251" s="8">
        <v>36457</v>
      </c>
      <c r="F8251" s="8"/>
      <c r="G8251" s="15">
        <v>1.3413882106782014</v>
      </c>
      <c r="H8251" s="15">
        <v>1.3413882106782014</v>
      </c>
      <c r="I8251" s="15">
        <v>0.95981601473542177</v>
      </c>
      <c r="J8251" s="15">
        <v>0.95981601473542177</v>
      </c>
      <c r="K8251" s="15">
        <v>1.0372590673090165</v>
      </c>
      <c r="L8251" s="15">
        <v>1.0372590673090165</v>
      </c>
      <c r="M8251" s="15">
        <v>1.0372590673090165</v>
      </c>
      <c r="N8251" s="15">
        <v>1.0372590673090165</v>
      </c>
      <c r="O8251" s="15">
        <v>0.89122424599259964</v>
      </c>
      <c r="P8251" s="15">
        <v>0.89122424599259964</v>
      </c>
      <c r="Q8251" s="8"/>
      <c r="R8251" s="9" t="s">
        <v>7734</v>
      </c>
    </row>
    <row r="8252" spans="1:18" x14ac:dyDescent="0.25">
      <c r="A8252" s="6" t="str">
        <f>HYPERLINK("proteomic_fractions_linear_files/Yang_linear_img/256818776.jpg", "256818776")</f>
        <v>256818776</v>
      </c>
      <c r="B8252" s="7"/>
      <c r="C8252" s="6" t="str">
        <f>HYPERLINK("http://www.ncbi.nlm.nih.gov/protein/256818776","Wdr52")</f>
        <v>Wdr52</v>
      </c>
      <c r="D8252" s="8"/>
      <c r="E8252" s="8">
        <v>211415</v>
      </c>
      <c r="F8252" s="8"/>
      <c r="G8252" s="15" t="s">
        <v>10</v>
      </c>
      <c r="H8252" s="15" t="s">
        <v>10</v>
      </c>
      <c r="I8252" s="15">
        <v>28.403317535545025</v>
      </c>
      <c r="J8252" s="15">
        <v>28.403317535545025</v>
      </c>
      <c r="K8252" s="15">
        <v>0.34803867413119549</v>
      </c>
      <c r="L8252" s="15">
        <v>0.34803867413119549</v>
      </c>
      <c r="M8252" s="15" t="s">
        <v>10</v>
      </c>
      <c r="N8252" s="15" t="s">
        <v>10</v>
      </c>
      <c r="O8252" s="15" t="s">
        <v>10</v>
      </c>
      <c r="P8252" s="15" t="s">
        <v>10</v>
      </c>
      <c r="Q8252" s="8"/>
      <c r="R8252" s="9" t="s">
        <v>7735</v>
      </c>
    </row>
    <row r="8253" spans="1:18" x14ac:dyDescent="0.25">
      <c r="A8253" s="6" t="str">
        <f>HYPERLINK("proteomic_fractions_linear_files/Yang_linear_img/12963827.jpg", "12963827")</f>
        <v>12963827</v>
      </c>
      <c r="B8253" s="7"/>
      <c r="C8253" s="6" t="str">
        <f>HYPERLINK("http://www.ncbi.nlm.nih.gov/protein/12963827","Wdr54")</f>
        <v>Wdr54</v>
      </c>
      <c r="D8253" s="8"/>
      <c r="E8253" s="8">
        <v>35482</v>
      </c>
      <c r="F8253" s="8"/>
      <c r="G8253" s="15" t="s">
        <v>10</v>
      </c>
      <c r="H8253" s="15" t="s">
        <v>10</v>
      </c>
      <c r="I8253" s="15" t="s">
        <v>10</v>
      </c>
      <c r="J8253" s="15" t="s">
        <v>10</v>
      </c>
      <c r="K8253" s="15" t="s">
        <v>10</v>
      </c>
      <c r="L8253" s="15" t="s">
        <v>10</v>
      </c>
      <c r="M8253" s="15" t="s">
        <v>10</v>
      </c>
      <c r="N8253" s="15" t="s">
        <v>10</v>
      </c>
      <c r="O8253" s="15">
        <v>0.85386876833466085</v>
      </c>
      <c r="P8253" s="15">
        <v>0.85386876833466085</v>
      </c>
      <c r="Q8253" s="8"/>
      <c r="R8253" s="9" t="s">
        <v>7736</v>
      </c>
    </row>
    <row r="8254" spans="1:18" x14ac:dyDescent="0.25">
      <c r="A8254" s="6" t="str">
        <f>HYPERLINK("proteomic_fractions_linear_files/Yang_linear_img/13878227.jpg", "13878227")</f>
        <v>13878227</v>
      </c>
      <c r="B8254" s="7"/>
      <c r="C8254" s="6" t="str">
        <f>HYPERLINK("http://www.ncbi.nlm.nih.gov/protein/13878227","Wdr6")</f>
        <v>Wdr6</v>
      </c>
      <c r="D8254" s="8"/>
      <c r="E8254" s="8">
        <v>121767</v>
      </c>
      <c r="F8254" s="8"/>
      <c r="G8254" s="15" t="s">
        <v>10</v>
      </c>
      <c r="H8254" s="15" t="s">
        <v>10</v>
      </c>
      <c r="I8254" s="15" t="s">
        <v>10</v>
      </c>
      <c r="J8254" s="15" t="s">
        <v>10</v>
      </c>
      <c r="K8254" s="15">
        <v>1.2578104191495232</v>
      </c>
      <c r="L8254" s="15">
        <v>1.2578104191495232</v>
      </c>
      <c r="M8254" s="15" t="s">
        <v>10</v>
      </c>
      <c r="N8254" s="15" t="s">
        <v>10</v>
      </c>
      <c r="O8254" s="15">
        <v>1.0550953126648932</v>
      </c>
      <c r="P8254" s="15">
        <v>1.0550953126648932</v>
      </c>
      <c r="Q8254" s="8"/>
      <c r="R8254" s="9" t="s">
        <v>7737</v>
      </c>
    </row>
    <row r="8255" spans="1:18" x14ac:dyDescent="0.25">
      <c r="A8255" s="6" t="str">
        <f>HYPERLINK("proteomic_fractions_linear_files/Yang_linear_img/70778824.jpg", "70778824")</f>
        <v>70778824</v>
      </c>
      <c r="B8255" s="7"/>
      <c r="C8255" s="6" t="str">
        <f>HYPERLINK("http://www.ncbi.nlm.nih.gov/protein/70778824","Wdr61")</f>
        <v>Wdr61</v>
      </c>
      <c r="D8255" s="8"/>
      <c r="E8255" s="8">
        <v>22360</v>
      </c>
      <c r="F8255" s="8"/>
      <c r="G8255" s="15" t="s">
        <v>10</v>
      </c>
      <c r="H8255" s="15" t="s">
        <v>10</v>
      </c>
      <c r="I8255" s="15" t="s">
        <v>10</v>
      </c>
      <c r="J8255" s="15" t="s">
        <v>10</v>
      </c>
      <c r="K8255" s="15" t="s">
        <v>10</v>
      </c>
      <c r="L8255" s="15" t="s">
        <v>10</v>
      </c>
      <c r="M8255" s="15">
        <v>1.3584275859869606</v>
      </c>
      <c r="N8255" s="15">
        <v>1.3584275859869606</v>
      </c>
      <c r="O8255" s="15" t="s">
        <v>10</v>
      </c>
      <c r="P8255" s="15" t="s">
        <v>10</v>
      </c>
      <c r="Q8255" s="8"/>
      <c r="R8255" s="9" t="s">
        <v>7738</v>
      </c>
    </row>
    <row r="8256" spans="1:18" x14ac:dyDescent="0.25">
      <c r="A8256" s="6" t="str">
        <f>HYPERLINK("proteomic_fractions_linear_files/Yang_linear_img/13277350;70778817.jpg", "13277350;70778817")</f>
        <v>13277350;70778817</v>
      </c>
      <c r="B8256" s="8"/>
      <c r="C8256" s="6" t="str">
        <f>HYPERLINK("http://www.ncbi.nlm.nih.gov/protein/13277350;70778817","Wdr61")</f>
        <v>Wdr61</v>
      </c>
      <c r="D8256" s="8"/>
      <c r="E8256" s="8">
        <v>33642</v>
      </c>
      <c r="F8256" s="8"/>
      <c r="G8256" s="15">
        <v>1.1913917118594926</v>
      </c>
      <c r="H8256" s="15">
        <v>1.1913917118594926</v>
      </c>
      <c r="I8256" s="15">
        <v>0.87898255563862149</v>
      </c>
      <c r="J8256" s="15">
        <v>0.87898255563862149</v>
      </c>
      <c r="K8256" s="15" t="s">
        <v>10</v>
      </c>
      <c r="L8256" s="15" t="s">
        <v>10</v>
      </c>
      <c r="M8256" s="15">
        <v>0.87898255563862149</v>
      </c>
      <c r="N8256" s="15">
        <v>0.87898255563862149</v>
      </c>
      <c r="O8256" s="15">
        <v>0.76912523868897065</v>
      </c>
      <c r="P8256" s="15">
        <v>0.76912523868897065</v>
      </c>
      <c r="Q8256" s="8"/>
      <c r="R8256" s="9" t="s">
        <v>7739</v>
      </c>
    </row>
    <row r="8257" spans="1:18" x14ac:dyDescent="0.25">
      <c r="A8257" s="6" t="str">
        <f>HYPERLINK("proteomic_fractions_linear_files/Yang_linear_img/124487149.jpg", "124487149")</f>
        <v>124487149</v>
      </c>
      <c r="B8257" s="7"/>
      <c r="C8257" s="6" t="str">
        <f>HYPERLINK("http://www.ncbi.nlm.nih.gov/protein/124487149","Wdr70")</f>
        <v>Wdr70</v>
      </c>
      <c r="D8257" s="8"/>
      <c r="E8257" s="8">
        <v>72930</v>
      </c>
      <c r="F8257" s="8"/>
      <c r="G8257" s="15" t="s">
        <v>10</v>
      </c>
      <c r="H8257" s="15" t="s">
        <v>10</v>
      </c>
      <c r="I8257" s="15">
        <v>82.097260273972609</v>
      </c>
      <c r="J8257" s="15">
        <v>82.097260273972609</v>
      </c>
      <c r="K8257" s="15" t="s">
        <v>10</v>
      </c>
      <c r="L8257" s="15" t="s">
        <v>10</v>
      </c>
      <c r="M8257" s="15" t="s">
        <v>10</v>
      </c>
      <c r="N8257" s="15" t="s">
        <v>10</v>
      </c>
      <c r="O8257" s="15">
        <v>1.3009312490765002</v>
      </c>
      <c r="P8257" s="15">
        <v>1.3009312490765002</v>
      </c>
      <c r="Q8257" s="8"/>
      <c r="R8257" s="9" t="s">
        <v>7740</v>
      </c>
    </row>
    <row r="8258" spans="1:18" x14ac:dyDescent="0.25">
      <c r="A8258" s="6" t="str">
        <f>HYPERLINK("proteomic_fractions_linear_files/Yang_linear_img/148226059.jpg", "148226059")</f>
        <v>148226059</v>
      </c>
      <c r="B8258" s="7"/>
      <c r="C8258" s="6" t="str">
        <f>HYPERLINK("http://www.ncbi.nlm.nih.gov/protein/148226059","Wdr72")</f>
        <v>Wdr72</v>
      </c>
      <c r="D8258" s="8"/>
      <c r="E8258" s="8">
        <v>124279</v>
      </c>
      <c r="F8258" s="8"/>
      <c r="G8258" s="15">
        <v>0.38943528697109075</v>
      </c>
      <c r="H8258" s="15">
        <v>0.38943528697109075</v>
      </c>
      <c r="I8258" s="15">
        <v>0.27865626234254182</v>
      </c>
      <c r="J8258" s="15">
        <v>0.27865626234254182</v>
      </c>
      <c r="K8258" s="15">
        <v>0.24101134590091236</v>
      </c>
      <c r="L8258" s="15">
        <v>0.24101134590091236</v>
      </c>
      <c r="M8258" s="15">
        <v>0.30113972921874671</v>
      </c>
      <c r="N8258" s="15">
        <v>0.30113972921874671</v>
      </c>
      <c r="O8258" s="15" t="s">
        <v>10</v>
      </c>
      <c r="P8258" s="15" t="s">
        <v>10</v>
      </c>
      <c r="Q8258" s="8"/>
      <c r="R8258" s="9" t="s">
        <v>7741</v>
      </c>
    </row>
    <row r="8259" spans="1:18" x14ac:dyDescent="0.25">
      <c r="A8259" s="6" t="str">
        <f>HYPERLINK("proteomic_fractions_linear_files/Yang_linear_img/254910981.jpg", "254910981")</f>
        <v>254910981</v>
      </c>
      <c r="B8259" s="7"/>
      <c r="C8259" s="6" t="str">
        <f>HYPERLINK("http://www.ncbi.nlm.nih.gov/protein/254910981","Wdr73")</f>
        <v>Wdr73</v>
      </c>
      <c r="D8259" s="8"/>
      <c r="E8259" s="8">
        <v>40725</v>
      </c>
      <c r="F8259" s="8"/>
      <c r="G8259" s="15" t="s">
        <v>10</v>
      </c>
      <c r="H8259" s="15" t="s">
        <v>10</v>
      </c>
      <c r="I8259" s="15" t="s">
        <v>10</v>
      </c>
      <c r="J8259" s="15" t="s">
        <v>10</v>
      </c>
      <c r="K8259" s="15" t="s">
        <v>10</v>
      </c>
      <c r="L8259" s="15" t="s">
        <v>10</v>
      </c>
      <c r="M8259" s="15" t="s">
        <v>10</v>
      </c>
      <c r="N8259" s="15" t="s">
        <v>10</v>
      </c>
      <c r="O8259" s="15">
        <v>0.84276528123110206</v>
      </c>
      <c r="P8259" s="15">
        <v>0.84276528123110206</v>
      </c>
      <c r="Q8259" s="8"/>
      <c r="R8259" s="9" t="s">
        <v>7742</v>
      </c>
    </row>
    <row r="8260" spans="1:18" x14ac:dyDescent="0.25">
      <c r="A8260" s="6" t="str">
        <f>HYPERLINK("proteomic_fractions_linear_files/Yang_linear_img/19527374.jpg", "19527374")</f>
        <v>19527374</v>
      </c>
      <c r="B8260" s="7"/>
      <c r="C8260" s="6" t="str">
        <f>HYPERLINK("http://www.ncbi.nlm.nih.gov/protein/19527374","Wdr74")</f>
        <v>Wdr74</v>
      </c>
      <c r="D8260" s="8"/>
      <c r="E8260" s="8">
        <v>42505</v>
      </c>
      <c r="F8260" s="8"/>
      <c r="G8260" s="15" t="s">
        <v>10</v>
      </c>
      <c r="H8260" s="15" t="s">
        <v>10</v>
      </c>
      <c r="I8260" s="15" t="s">
        <v>10</v>
      </c>
      <c r="J8260" s="15" t="s">
        <v>10</v>
      </c>
      <c r="K8260" s="15">
        <v>1.123022688009657</v>
      </c>
      <c r="L8260" s="15">
        <v>1.123022688009657</v>
      </c>
      <c r="M8260" s="15" t="s">
        <v>10</v>
      </c>
      <c r="N8260" s="15" t="s">
        <v>10</v>
      </c>
      <c r="O8260" s="15" t="s">
        <v>10</v>
      </c>
      <c r="P8260" s="15" t="s">
        <v>10</v>
      </c>
      <c r="Q8260" s="8"/>
      <c r="R8260" s="9" t="s">
        <v>7743</v>
      </c>
    </row>
    <row r="8261" spans="1:18" x14ac:dyDescent="0.25">
      <c r="A8261" s="6" t="str">
        <f>HYPERLINK("proteomic_fractions_linear_files/Yang_linear_img/124487321.jpg", "124487321")</f>
        <v>124487321</v>
      </c>
      <c r="B8261" s="7"/>
      <c r="C8261" s="6" t="str">
        <f>HYPERLINK("http://www.ncbi.nlm.nih.gov/protein/124487321","Wdr76")</f>
        <v>Wdr76</v>
      </c>
      <c r="D8261" s="8"/>
      <c r="E8261" s="8">
        <v>57830</v>
      </c>
      <c r="F8261" s="8"/>
      <c r="G8261" s="15" t="s">
        <v>10</v>
      </c>
      <c r="H8261" s="15" t="s">
        <v>10</v>
      </c>
      <c r="I8261" s="15" t="s">
        <v>10</v>
      </c>
      <c r="J8261" s="15" t="s">
        <v>10</v>
      </c>
      <c r="K8261" s="15" t="s">
        <v>10</v>
      </c>
      <c r="L8261" s="15" t="s">
        <v>10</v>
      </c>
      <c r="M8261" s="15">
        <v>1.1285045401817988</v>
      </c>
      <c r="N8261" s="15">
        <v>1.1285045401817988</v>
      </c>
      <c r="O8261" s="15" t="s">
        <v>10</v>
      </c>
      <c r="P8261" s="15" t="s">
        <v>10</v>
      </c>
      <c r="Q8261" s="8"/>
      <c r="R8261" s="9" t="s">
        <v>7744</v>
      </c>
    </row>
    <row r="8262" spans="1:18" x14ac:dyDescent="0.25">
      <c r="A8262" s="6" t="str">
        <f>HYPERLINK("proteomic_fractions_linear_files/Yang_linear_img/19263322.jpg", "19263322")</f>
        <v>19263322</v>
      </c>
      <c r="B8262" s="7"/>
      <c r="C8262" s="6" t="str">
        <f>HYPERLINK("http://www.ncbi.nlm.nih.gov/protein/19263322","Wdr77")</f>
        <v>Wdr77</v>
      </c>
      <c r="D8262" s="8"/>
      <c r="E8262" s="8">
        <v>36812</v>
      </c>
      <c r="F8262" s="8"/>
      <c r="G8262" s="15" t="s">
        <v>10</v>
      </c>
      <c r="H8262" s="15" t="s">
        <v>10</v>
      </c>
      <c r="I8262" s="15">
        <v>1.0947923838708851</v>
      </c>
      <c r="J8262" s="15">
        <v>1.0947923838708851</v>
      </c>
      <c r="K8262" s="15">
        <v>1.1925834931612289</v>
      </c>
      <c r="L8262" s="15">
        <v>1.1925834931612289</v>
      </c>
      <c r="M8262" s="15">
        <v>1.0947923838708851</v>
      </c>
      <c r="N8262" s="15">
        <v>1.0947923838708851</v>
      </c>
      <c r="O8262" s="15">
        <v>1.0092250384628267</v>
      </c>
      <c r="P8262" s="15">
        <v>1.0092250384628267</v>
      </c>
      <c r="Q8262" s="8"/>
      <c r="R8262" s="9" t="s">
        <v>7745</v>
      </c>
    </row>
    <row r="8263" spans="1:18" x14ac:dyDescent="0.25">
      <c r="A8263" s="6" t="str">
        <f>HYPERLINK("proteomic_fractions_linear_files/Yang_linear_img/242118003.jpg", "242118003")</f>
        <v>242118003</v>
      </c>
      <c r="B8263" s="7"/>
      <c r="C8263" s="6" t="str">
        <f>HYPERLINK("http://www.ncbi.nlm.nih.gov/protein/242118003","Wdr81")</f>
        <v>Wdr81</v>
      </c>
      <c r="D8263" s="8"/>
      <c r="E8263" s="8">
        <v>211815</v>
      </c>
      <c r="F8263" s="8"/>
      <c r="G8263" s="15" t="s">
        <v>10</v>
      </c>
      <c r="H8263" s="15" t="s">
        <v>10</v>
      </c>
      <c r="I8263" s="15">
        <v>1.1007587152257032</v>
      </c>
      <c r="J8263" s="15">
        <v>1.1007587152257032</v>
      </c>
      <c r="K8263" s="15">
        <v>1.4235062482853715</v>
      </c>
      <c r="L8263" s="15">
        <v>1.4235062482853715</v>
      </c>
      <c r="M8263" s="15">
        <v>1.4235062482853715</v>
      </c>
      <c r="N8263" s="15">
        <v>1.4235062482853715</v>
      </c>
      <c r="O8263" s="15" t="s">
        <v>10</v>
      </c>
      <c r="P8263" s="15" t="s">
        <v>10</v>
      </c>
      <c r="Q8263" s="8"/>
      <c r="R8263" s="9" t="s">
        <v>7746</v>
      </c>
    </row>
    <row r="8264" spans="1:18" x14ac:dyDescent="0.25">
      <c r="A8264" s="6" t="str">
        <f>HYPERLINK("proteomic_fractions_linear_files/Yang_linear_img/148223079.jpg", "148223079")</f>
        <v>148223079</v>
      </c>
      <c r="B8264" s="7"/>
      <c r="C8264" s="6" t="str">
        <f>HYPERLINK("http://www.ncbi.nlm.nih.gov/protein/148223079","Wdr82")</f>
        <v>Wdr82</v>
      </c>
      <c r="D8264" s="8"/>
      <c r="E8264" s="8">
        <v>34948</v>
      </c>
      <c r="F8264" s="8"/>
      <c r="G8264" s="15">
        <v>0.85386876833466085</v>
      </c>
      <c r="H8264" s="15">
        <v>0.85386876833466085</v>
      </c>
      <c r="I8264" s="15">
        <v>0.85386876833466085</v>
      </c>
      <c r="J8264" s="15">
        <v>0.85386876833466085</v>
      </c>
      <c r="K8264" s="15">
        <v>0.91668779587810256</v>
      </c>
      <c r="L8264" s="15">
        <v>0.91668779587810256</v>
      </c>
      <c r="M8264" s="15">
        <v>0.91668779587810256</v>
      </c>
      <c r="N8264" s="15">
        <v>0.91668779587810256</v>
      </c>
      <c r="O8264" s="15">
        <v>0.79766317993377311</v>
      </c>
      <c r="P8264" s="15">
        <v>0.79766317993377311</v>
      </c>
      <c r="Q8264" s="8"/>
      <c r="R8264" s="9" t="s">
        <v>7747</v>
      </c>
    </row>
    <row r="8265" spans="1:18" x14ac:dyDescent="0.25">
      <c r="A8265" s="6" t="str">
        <f>HYPERLINK("proteomic_fractions_linear_files/Yang_linear_img/71067130.jpg", "71067130")</f>
        <v>71067130</v>
      </c>
      <c r="B8265" s="7"/>
      <c r="C8265" s="6" t="str">
        <f>HYPERLINK("http://www.ncbi.nlm.nih.gov/protein/71067130","Wdr83")</f>
        <v>Wdr83</v>
      </c>
      <c r="D8265" s="8"/>
      <c r="E8265" s="8">
        <v>34313</v>
      </c>
      <c r="F8265" s="8"/>
      <c r="G8265" s="15" t="s">
        <v>10</v>
      </c>
      <c r="H8265" s="15" t="s">
        <v>10</v>
      </c>
      <c r="I8265" s="15">
        <v>0.87898255563862149</v>
      </c>
      <c r="J8265" s="15">
        <v>0.87898255563862149</v>
      </c>
      <c r="K8265" s="15">
        <v>0.94364920163922317</v>
      </c>
      <c r="L8265" s="15">
        <v>0.94364920163922317</v>
      </c>
      <c r="M8265" s="15" t="s">
        <v>10</v>
      </c>
      <c r="N8265" s="15" t="s">
        <v>10</v>
      </c>
      <c r="O8265" s="15" t="s">
        <v>10</v>
      </c>
      <c r="P8265" s="15" t="s">
        <v>10</v>
      </c>
      <c r="Q8265" s="8"/>
      <c r="R8265" s="9" t="s">
        <v>7748</v>
      </c>
    </row>
    <row r="8266" spans="1:18" x14ac:dyDescent="0.25">
      <c r="A8266" s="6" t="str">
        <f>HYPERLINK("proteomic_fractions_linear_files/Yang_linear_img/61656182.jpg", "61656182")</f>
        <v>61656182</v>
      </c>
      <c r="B8266" s="7"/>
      <c r="C8266" s="6" t="str">
        <f>HYPERLINK("http://www.ncbi.nlm.nih.gov/protein/61656182","Wdr91")</f>
        <v>Wdr91</v>
      </c>
      <c r="D8266" s="8"/>
      <c r="E8266" s="8">
        <v>83290</v>
      </c>
      <c r="F8266" s="8"/>
      <c r="G8266" s="15" t="s">
        <v>10</v>
      </c>
      <c r="H8266" s="15" t="s">
        <v>10</v>
      </c>
      <c r="I8266" s="15">
        <v>1.1441925443684882</v>
      </c>
      <c r="J8266" s="15">
        <v>1.1441925443684882</v>
      </c>
      <c r="K8266" s="15">
        <v>1.1441925443684882</v>
      </c>
      <c r="L8266" s="15">
        <v>1.1441925443684882</v>
      </c>
      <c r="M8266" s="15">
        <v>1.1441925443684882</v>
      </c>
      <c r="N8266" s="15">
        <v>1.1441925443684882</v>
      </c>
      <c r="O8266" s="15" t="s">
        <v>10</v>
      </c>
      <c r="P8266" s="15" t="s">
        <v>10</v>
      </c>
      <c r="Q8266" s="8"/>
      <c r="R8266" s="9" t="s">
        <v>7749</v>
      </c>
    </row>
    <row r="8267" spans="1:18" x14ac:dyDescent="0.25">
      <c r="A8267" s="6" t="str">
        <f>HYPERLINK("proteomic_fractions_linear_files/Yang_linear_img/30725770.jpg", "30725770")</f>
        <v>30725770</v>
      </c>
      <c r="B8267" s="7"/>
      <c r="C8267" s="6" t="str">
        <f>HYPERLINK("http://www.ncbi.nlm.nih.gov/protein/30725770","Wdr92")</f>
        <v>Wdr92</v>
      </c>
      <c r="D8267" s="8"/>
      <c r="E8267" s="8">
        <v>39659</v>
      </c>
      <c r="F8267" s="8"/>
      <c r="G8267" s="15">
        <v>0.80210182139333974</v>
      </c>
      <c r="H8267" s="15">
        <v>0.80210182139333974</v>
      </c>
      <c r="I8267" s="15" t="s">
        <v>10</v>
      </c>
      <c r="J8267" s="15" t="s">
        <v>10</v>
      </c>
      <c r="K8267" s="15">
        <v>1.0126829550805687</v>
      </c>
      <c r="L8267" s="15">
        <v>1.0126829550805687</v>
      </c>
      <c r="M8267" s="15">
        <v>0.93353316057811475</v>
      </c>
      <c r="N8267" s="15">
        <v>0.93353316057811475</v>
      </c>
      <c r="O8267" s="15" t="s">
        <v>10</v>
      </c>
      <c r="P8267" s="15" t="s">
        <v>10</v>
      </c>
      <c r="Q8267" s="8"/>
      <c r="R8267" s="9" t="s">
        <v>7750</v>
      </c>
    </row>
    <row r="8268" spans="1:18" x14ac:dyDescent="0.25">
      <c r="A8268" s="6" t="str">
        <f>HYPERLINK("proteomic_fractions_linear_files/Yang_linear_img/227452250.jpg", "227452250")</f>
        <v>227452250</v>
      </c>
      <c r="B8268" s="7"/>
      <c r="C8268" s="6" t="str">
        <f>HYPERLINK("http://www.ncbi.nlm.nih.gov/protein/227452250","Wdsub1")</f>
        <v>Wdsub1</v>
      </c>
      <c r="D8268" s="8"/>
      <c r="E8268" s="8">
        <v>45462</v>
      </c>
      <c r="F8268" s="8"/>
      <c r="G8268" s="15" t="s">
        <v>10</v>
      </c>
      <c r="H8268" s="15" t="s">
        <v>10</v>
      </c>
      <c r="I8268" s="15" t="s">
        <v>10</v>
      </c>
      <c r="J8268" s="15" t="s">
        <v>10</v>
      </c>
      <c r="K8268" s="15" t="s">
        <v>10</v>
      </c>
      <c r="L8268" s="15" t="s">
        <v>10</v>
      </c>
      <c r="M8268" s="15" t="s">
        <v>10</v>
      </c>
      <c r="N8268" s="15" t="s">
        <v>10</v>
      </c>
      <c r="O8268" s="15">
        <v>0.98056864993256598</v>
      </c>
      <c r="P8268" s="15">
        <v>0.98056864993256598</v>
      </c>
      <c r="Q8268" s="8"/>
      <c r="R8268" s="9" t="s">
        <v>7751</v>
      </c>
    </row>
    <row r="8269" spans="1:18" x14ac:dyDescent="0.25">
      <c r="A8269" s="6" t="str">
        <f>HYPERLINK("proteomic_fractions_linear_files/Yang_linear_img/58037281.jpg", "58037281")</f>
        <v>58037281</v>
      </c>
      <c r="B8269" s="7"/>
      <c r="C8269" s="6" t="str">
        <f>HYPERLINK("http://www.ncbi.nlm.nih.gov/protein/58037281","Wdsub1")</f>
        <v>Wdsub1</v>
      </c>
      <c r="D8269" s="8"/>
      <c r="E8269" s="8">
        <v>51560</v>
      </c>
      <c r="F8269" s="8"/>
      <c r="G8269" s="15" t="s">
        <v>10</v>
      </c>
      <c r="H8269" s="15" t="s">
        <v>10</v>
      </c>
      <c r="I8269" s="15" t="s">
        <v>10</v>
      </c>
      <c r="J8269" s="15" t="s">
        <v>10</v>
      </c>
      <c r="K8269" s="15" t="s">
        <v>10</v>
      </c>
      <c r="L8269" s="15" t="s">
        <v>10</v>
      </c>
      <c r="M8269" s="15" t="s">
        <v>10</v>
      </c>
      <c r="N8269" s="15" t="s">
        <v>10</v>
      </c>
      <c r="O8269" s="15">
        <v>0.84856902398010514</v>
      </c>
      <c r="P8269" s="15">
        <v>0.84856902398010514</v>
      </c>
      <c r="Q8269" s="8"/>
      <c r="R8269" s="9" t="s">
        <v>7752</v>
      </c>
    </row>
    <row r="8270" spans="1:18" x14ac:dyDescent="0.25">
      <c r="A8270" s="6" t="str">
        <f>HYPERLINK("proteomic_fractions_linear_files/Yang_linear_img/40556280.jpg", "40556280")</f>
        <v>40556280</v>
      </c>
      <c r="B8270" s="7"/>
      <c r="C8270" s="6" t="str">
        <f>HYPERLINK("http://www.ncbi.nlm.nih.gov/protein/40556280","Wdtc1")</f>
        <v>Wdtc1</v>
      </c>
      <c r="D8270" s="8"/>
      <c r="E8270" s="8">
        <v>75602</v>
      </c>
      <c r="F8270" s="8"/>
      <c r="G8270" s="15" t="s">
        <v>10</v>
      </c>
      <c r="H8270" s="15" t="s">
        <v>10</v>
      </c>
      <c r="I8270" s="15" t="s">
        <v>10</v>
      </c>
      <c r="J8270" s="15" t="s">
        <v>10</v>
      </c>
      <c r="K8270" s="15" t="s">
        <v>10</v>
      </c>
      <c r="L8270" s="15" t="s">
        <v>10</v>
      </c>
      <c r="M8270" s="15" t="s">
        <v>10</v>
      </c>
      <c r="N8270" s="15" t="s">
        <v>10</v>
      </c>
      <c r="O8270" s="15">
        <v>0.96626526633792431</v>
      </c>
      <c r="P8270" s="15">
        <v>0.96626526633792431</v>
      </c>
      <c r="Q8270" s="8"/>
      <c r="R8270" s="9" t="s">
        <v>7753</v>
      </c>
    </row>
    <row r="8271" spans="1:18" x14ac:dyDescent="0.25">
      <c r="A8271" s="6" t="str">
        <f>HYPERLINK("proteomic_fractions_linear_files/Yang_linear_img/58037459.jpg", "58037459")</f>
        <v>58037459</v>
      </c>
      <c r="B8271" s="7"/>
      <c r="C8271" s="6" t="str">
        <f>HYPERLINK("http://www.ncbi.nlm.nih.gov/protein/58037459","Wdyhv1")</f>
        <v>Wdyhv1</v>
      </c>
      <c r="D8271" s="8"/>
      <c r="E8271" s="8">
        <v>24205</v>
      </c>
      <c r="F8271" s="8"/>
      <c r="G8271" s="15" t="s">
        <v>10</v>
      </c>
      <c r="H8271" s="15" t="s">
        <v>10</v>
      </c>
      <c r="I8271" s="15" t="s">
        <v>10</v>
      </c>
      <c r="J8271" s="15" t="s">
        <v>10</v>
      </c>
      <c r="K8271" s="15" t="s">
        <v>10</v>
      </c>
      <c r="L8271" s="15" t="s">
        <v>10</v>
      </c>
      <c r="M8271" s="15" t="s">
        <v>10</v>
      </c>
      <c r="N8271" s="15" t="s">
        <v>10</v>
      </c>
      <c r="O8271" s="15">
        <v>0.90815592794494793</v>
      </c>
      <c r="P8271" s="15">
        <v>0.90815592794494793</v>
      </c>
      <c r="Q8271" s="8"/>
      <c r="R8271" s="9" t="s">
        <v>7754</v>
      </c>
    </row>
    <row r="8272" spans="1:18" x14ac:dyDescent="0.25">
      <c r="A8272" s="6" t="str">
        <f>HYPERLINK("proteomic_fractions_linear_files/Yang_linear_img/6755997.jpg", "6755997")</f>
        <v>6755997</v>
      </c>
      <c r="B8272" s="7"/>
      <c r="C8272" s="6" t="str">
        <f>HYPERLINK("http://www.ncbi.nlm.nih.gov/protein/6755997","Wfs1")</f>
        <v>Wfs1</v>
      </c>
      <c r="D8272" s="8"/>
      <c r="E8272" s="8">
        <v>100448</v>
      </c>
      <c r="F8272" s="8"/>
      <c r="G8272" s="15" t="s">
        <v>10</v>
      </c>
      <c r="H8272" s="15" t="s">
        <v>10</v>
      </c>
      <c r="I8272" s="15">
        <v>4.0904355773943983</v>
      </c>
      <c r="J8272" s="15">
        <v>3.017833246364988</v>
      </c>
      <c r="K8272" s="15">
        <v>1.2872162814511696</v>
      </c>
      <c r="L8272" s="15">
        <v>1.2872162814511696</v>
      </c>
      <c r="M8272" s="15" t="s">
        <v>10</v>
      </c>
      <c r="N8272" s="15" t="s">
        <v>10</v>
      </c>
      <c r="O8272" s="15" t="s">
        <v>10</v>
      </c>
      <c r="P8272" s="15" t="s">
        <v>10</v>
      </c>
      <c r="Q8272" s="8"/>
      <c r="R8272" s="9" t="s">
        <v>7755</v>
      </c>
    </row>
    <row r="8273" spans="1:18" x14ac:dyDescent="0.25">
      <c r="A8273" s="6" t="str">
        <f>HYPERLINK("proteomic_fractions_linear_files/Yang_linear_img/358679337.jpg", "358679337")</f>
        <v>358679337</v>
      </c>
      <c r="B8273" s="7"/>
      <c r="C8273" s="6" t="str">
        <f>HYPERLINK("http://www.ncbi.nlm.nih.gov/protein/358679337","Wibg")</f>
        <v>Wibg</v>
      </c>
      <c r="D8273" s="8"/>
      <c r="E8273" s="8">
        <v>10187</v>
      </c>
      <c r="F8273" s="8"/>
      <c r="G8273" s="15" t="s">
        <v>10</v>
      </c>
      <c r="H8273" s="15" t="s">
        <v>10</v>
      </c>
      <c r="I8273" s="15" t="s">
        <v>10</v>
      </c>
      <c r="J8273" s="15" t="s">
        <v>10</v>
      </c>
      <c r="K8273" s="15">
        <v>2.6150258115425</v>
      </c>
      <c r="L8273" s="15">
        <v>2.6150258115425</v>
      </c>
      <c r="M8273" s="15" t="s">
        <v>10</v>
      </c>
      <c r="N8273" s="15" t="s">
        <v>10</v>
      </c>
      <c r="O8273" s="15" t="s">
        <v>10</v>
      </c>
      <c r="P8273" s="15" t="s">
        <v>10</v>
      </c>
      <c r="Q8273" s="8"/>
      <c r="R8273" s="9" t="s">
        <v>7756</v>
      </c>
    </row>
    <row r="8274" spans="1:18" x14ac:dyDescent="0.25">
      <c r="A8274" s="6" t="str">
        <f>HYPERLINK("proteomic_fractions_linear_files/Yang_linear_img/283945598.jpg", "283945598")</f>
        <v>283945598</v>
      </c>
      <c r="B8274" s="7"/>
      <c r="C8274" s="6" t="str">
        <f>HYPERLINK("http://www.ncbi.nlm.nih.gov/protein/283945598","Wibg")</f>
        <v>Wibg</v>
      </c>
      <c r="D8274" s="8"/>
      <c r="E8274" s="8">
        <v>22558</v>
      </c>
      <c r="F8274" s="8"/>
      <c r="G8274" s="15" t="s">
        <v>10</v>
      </c>
      <c r="H8274" s="15" t="s">
        <v>10</v>
      </c>
      <c r="I8274" s="15">
        <v>1.136967744148913</v>
      </c>
      <c r="J8274" s="15">
        <v>1.136967744148913</v>
      </c>
      <c r="K8274" s="15">
        <v>1.136967744148913</v>
      </c>
      <c r="L8274" s="15">
        <v>1.136967744148913</v>
      </c>
      <c r="M8274" s="15">
        <v>1.0047640597703238</v>
      </c>
      <c r="N8274" s="15">
        <v>1.136967744148913</v>
      </c>
      <c r="O8274" s="15">
        <v>0.578133218391371</v>
      </c>
      <c r="P8274" s="15">
        <v>0.578133218391371</v>
      </c>
      <c r="Q8274" s="8"/>
      <c r="R8274" s="9" t="s">
        <v>7757</v>
      </c>
    </row>
    <row r="8275" spans="1:18" x14ac:dyDescent="0.25">
      <c r="A8275" s="6" t="str">
        <f>HYPERLINK("proteomic_fractions_linear_files/Yang_linear_img/283945600.jpg", "283945600")</f>
        <v>283945600</v>
      </c>
      <c r="B8275" s="7"/>
      <c r="C8275" s="6" t="str">
        <f>HYPERLINK("http://www.ncbi.nlm.nih.gov/protein/283945600","Wibg")</f>
        <v>Wibg</v>
      </c>
      <c r="D8275" s="8"/>
      <c r="E8275" s="8">
        <v>22548</v>
      </c>
      <c r="F8275" s="8"/>
      <c r="G8275" s="15" t="s">
        <v>10</v>
      </c>
      <c r="H8275" s="15" t="s">
        <v>10</v>
      </c>
      <c r="I8275" s="15">
        <v>1.136967744148913</v>
      </c>
      <c r="J8275" s="15">
        <v>1.136967744148913</v>
      </c>
      <c r="K8275" s="15">
        <v>1.136967744148913</v>
      </c>
      <c r="L8275" s="15">
        <v>1.136967744148913</v>
      </c>
      <c r="M8275" s="15">
        <v>1.0047640597703238</v>
      </c>
      <c r="N8275" s="15">
        <v>1.136967744148913</v>
      </c>
      <c r="O8275" s="15">
        <v>0.578133218391371</v>
      </c>
      <c r="P8275" s="15">
        <v>0.578133218391371</v>
      </c>
      <c r="Q8275" s="8"/>
      <c r="R8275" s="9" t="s">
        <v>7758</v>
      </c>
    </row>
    <row r="8276" spans="1:18" x14ac:dyDescent="0.25">
      <c r="A8276" s="6" t="str">
        <f>HYPERLINK("proteomic_fractions_linear_files/Yang_linear_img/98986316.jpg", "98986316")</f>
        <v>98986316</v>
      </c>
      <c r="B8276" s="7"/>
      <c r="C8276" s="6" t="str">
        <f>HYPERLINK("http://www.ncbi.nlm.nih.gov/protein/98986316","Wls")</f>
        <v>Wls</v>
      </c>
      <c r="D8276" s="8"/>
      <c r="E8276" s="8">
        <v>57963</v>
      </c>
      <c r="F8276" s="8"/>
      <c r="G8276" s="15">
        <v>10.232634580505245</v>
      </c>
      <c r="H8276" s="15">
        <v>10.232634580505245</v>
      </c>
      <c r="I8276" s="15">
        <v>0.76078602149940466</v>
      </c>
      <c r="J8276" s="15">
        <v>0.76078602149940466</v>
      </c>
      <c r="K8276" s="15">
        <v>0.83258578593819399</v>
      </c>
      <c r="L8276" s="15">
        <v>0.83258578593819399</v>
      </c>
      <c r="M8276" s="15" t="s">
        <v>10</v>
      </c>
      <c r="N8276" s="15" t="s">
        <v>10</v>
      </c>
      <c r="O8276" s="15" t="s">
        <v>10</v>
      </c>
      <c r="P8276" s="15" t="s">
        <v>10</v>
      </c>
      <c r="Q8276" s="8"/>
      <c r="R8276" s="9" t="s">
        <v>7759</v>
      </c>
    </row>
    <row r="8277" spans="1:18" x14ac:dyDescent="0.25">
      <c r="A8277" s="6" t="str">
        <f>HYPERLINK("proteomic_fractions_linear_files/Yang_linear_img/257900530.jpg", "257900530")</f>
        <v>257900530</v>
      </c>
      <c r="B8277" s="7"/>
      <c r="C8277" s="6" t="str">
        <f>HYPERLINK("http://www.ncbi.nlm.nih.gov/protein/257900530","Wnk1")</f>
        <v>Wnk1</v>
      </c>
      <c r="D8277" s="8"/>
      <c r="E8277" s="8">
        <v>250804</v>
      </c>
      <c r="F8277" s="8"/>
      <c r="G8277" s="15" t="s">
        <v>10</v>
      </c>
      <c r="H8277" s="15" t="s">
        <v>10</v>
      </c>
      <c r="I8277" s="15" t="s">
        <v>10</v>
      </c>
      <c r="J8277" s="15" t="s">
        <v>10</v>
      </c>
      <c r="K8277" s="15">
        <v>1.2023240025358517</v>
      </c>
      <c r="L8277" s="15">
        <v>1.2023240025358517</v>
      </c>
      <c r="M8277" s="15" t="s">
        <v>10</v>
      </c>
      <c r="N8277" s="15" t="s">
        <v>10</v>
      </c>
      <c r="O8277" s="15">
        <v>1.2023240025358517</v>
      </c>
      <c r="P8277" s="15">
        <v>1.2023240025358517</v>
      </c>
      <c r="Q8277" s="8"/>
      <c r="R8277" s="9" t="s">
        <v>7760</v>
      </c>
    </row>
    <row r="8278" spans="1:18" x14ac:dyDescent="0.25">
      <c r="A8278" s="6" t="str">
        <f>HYPERLINK("proteomic_fractions_linear_files/Yang_linear_img/297206804.jpg", "297206804")</f>
        <v>297206804</v>
      </c>
      <c r="B8278" s="7"/>
      <c r="C8278" s="6" t="str">
        <f>HYPERLINK("http://www.ncbi.nlm.nih.gov/protein/297206804","Wnk1")</f>
        <v>Wnk1</v>
      </c>
      <c r="D8278" s="8"/>
      <c r="E8278" s="8">
        <v>225274</v>
      </c>
      <c r="F8278" s="8"/>
      <c r="G8278" s="15" t="s">
        <v>10</v>
      </c>
      <c r="H8278" s="15" t="s">
        <v>10</v>
      </c>
      <c r="I8278" s="15" t="s">
        <v>10</v>
      </c>
      <c r="J8278" s="15" t="s">
        <v>10</v>
      </c>
      <c r="K8278" s="15">
        <v>1.3412592206066611</v>
      </c>
      <c r="L8278" s="15">
        <v>1.3412592206066611</v>
      </c>
      <c r="M8278" s="15" t="s">
        <v>10</v>
      </c>
      <c r="N8278" s="15" t="s">
        <v>10</v>
      </c>
      <c r="O8278" s="15">
        <v>1.3412592206066611</v>
      </c>
      <c r="P8278" s="15">
        <v>1.3412592206066611</v>
      </c>
      <c r="Q8278" s="8"/>
      <c r="R8278" s="9" t="s">
        <v>7761</v>
      </c>
    </row>
    <row r="8279" spans="1:18" x14ac:dyDescent="0.25">
      <c r="A8279" s="6" t="str">
        <f>HYPERLINK("proteomic_fractions_linear_files/Yang_linear_img/297206806.jpg", "297206806")</f>
        <v>297206806</v>
      </c>
      <c r="B8279" s="7"/>
      <c r="C8279" s="6" t="str">
        <f>HYPERLINK("http://www.ncbi.nlm.nih.gov/protein/297206806","Wnk1")</f>
        <v>Wnk1</v>
      </c>
      <c r="D8279" s="8"/>
      <c r="E8279" s="8">
        <v>232073</v>
      </c>
      <c r="F8279" s="8"/>
      <c r="G8279" s="15" t="s">
        <v>10</v>
      </c>
      <c r="H8279" s="15" t="s">
        <v>10</v>
      </c>
      <c r="I8279" s="15" t="s">
        <v>10</v>
      </c>
      <c r="J8279" s="15" t="s">
        <v>10</v>
      </c>
      <c r="K8279" s="15">
        <v>1.3007901923987015</v>
      </c>
      <c r="L8279" s="15">
        <v>1.3007901923987015</v>
      </c>
      <c r="M8279" s="15" t="s">
        <v>10</v>
      </c>
      <c r="N8279" s="15" t="s">
        <v>10</v>
      </c>
      <c r="O8279" s="15">
        <v>1.3007901923987015</v>
      </c>
      <c r="P8279" s="15">
        <v>1.3007901923987015</v>
      </c>
      <c r="Q8279" s="8"/>
      <c r="R8279" s="9" t="s">
        <v>7762</v>
      </c>
    </row>
    <row r="8280" spans="1:18" x14ac:dyDescent="0.25">
      <c r="A8280" s="6" t="str">
        <f>HYPERLINK("proteomic_fractions_linear_files/Yang_linear_img/312283629.jpg", "312283629")</f>
        <v>312283629</v>
      </c>
      <c r="B8280" s="7"/>
      <c r="C8280" s="6" t="str">
        <f>HYPERLINK("http://www.ncbi.nlm.nih.gov/protein/312283629","Wnk1")</f>
        <v>Wnk1</v>
      </c>
      <c r="D8280" s="8"/>
      <c r="E8280" s="8">
        <v>279055</v>
      </c>
      <c r="F8280" s="8"/>
      <c r="G8280" s="15" t="s">
        <v>10</v>
      </c>
      <c r="H8280" s="15" t="s">
        <v>10</v>
      </c>
      <c r="I8280" s="15" t="s">
        <v>10</v>
      </c>
      <c r="J8280" s="15" t="s">
        <v>10</v>
      </c>
      <c r="K8280" s="15">
        <v>1.0816606617795654</v>
      </c>
      <c r="L8280" s="15">
        <v>1.0816606617795654</v>
      </c>
      <c r="M8280" s="15" t="s">
        <v>10</v>
      </c>
      <c r="N8280" s="15" t="s">
        <v>10</v>
      </c>
      <c r="O8280" s="15">
        <v>1.0816606617795654</v>
      </c>
      <c r="P8280" s="15">
        <v>1.0816606617795654</v>
      </c>
      <c r="Q8280" s="8"/>
      <c r="R8280" s="9" t="s">
        <v>7763</v>
      </c>
    </row>
    <row r="8281" spans="1:18" x14ac:dyDescent="0.25">
      <c r="A8281" s="6" t="str">
        <f>HYPERLINK("proteomic_fractions_linear_files/Yang_linear_img/312283631.jpg", "312283631")</f>
        <v>312283631</v>
      </c>
      <c r="B8281" s="7"/>
      <c r="C8281" s="6" t="str">
        <f>HYPERLINK("http://www.ncbi.nlm.nih.gov/protein/312283631","Wnk1")</f>
        <v>Wnk1</v>
      </c>
      <c r="D8281" s="8"/>
      <c r="E8281" s="8">
        <v>279633</v>
      </c>
      <c r="F8281" s="8"/>
      <c r="G8281" s="15" t="s">
        <v>10</v>
      </c>
      <c r="H8281" s="15" t="s">
        <v>10</v>
      </c>
      <c r="I8281" s="15" t="s">
        <v>10</v>
      </c>
      <c r="J8281" s="15" t="s">
        <v>10</v>
      </c>
      <c r="K8281" s="15">
        <v>1.0777975879874957</v>
      </c>
      <c r="L8281" s="15">
        <v>1.0777975879874957</v>
      </c>
      <c r="M8281" s="15" t="s">
        <v>10</v>
      </c>
      <c r="N8281" s="15" t="s">
        <v>10</v>
      </c>
      <c r="O8281" s="15">
        <v>1.0777975879874957</v>
      </c>
      <c r="P8281" s="15">
        <v>1.0777975879874957</v>
      </c>
      <c r="Q8281" s="8"/>
      <c r="R8281" s="9" t="s">
        <v>7764</v>
      </c>
    </row>
    <row r="8282" spans="1:18" x14ac:dyDescent="0.25">
      <c r="A8282" s="6" t="str">
        <f>HYPERLINK("proteomic_fractions_linear_files/Yang_linear_img/157057176.jpg", "157057176")</f>
        <v>157057176</v>
      </c>
      <c r="B8282" s="7"/>
      <c r="C8282" s="6" t="str">
        <f>HYPERLINK("http://www.ncbi.nlm.nih.gov/protein/157057176","Wnk2")</f>
        <v>Wnk2</v>
      </c>
      <c r="D8282" s="8"/>
      <c r="E8282" s="8">
        <v>218005</v>
      </c>
      <c r="F8282" s="8"/>
      <c r="G8282" s="15" t="s">
        <v>10</v>
      </c>
      <c r="H8282" s="15" t="s">
        <v>10</v>
      </c>
      <c r="I8282" s="15" t="s">
        <v>10</v>
      </c>
      <c r="J8282" s="15" t="s">
        <v>10</v>
      </c>
      <c r="K8282" s="15" t="s">
        <v>10</v>
      </c>
      <c r="L8282" s="15" t="s">
        <v>10</v>
      </c>
      <c r="M8282" s="15" t="s">
        <v>10</v>
      </c>
      <c r="N8282" s="15" t="s">
        <v>10</v>
      </c>
      <c r="O8282" s="15">
        <v>0.85672399834835022</v>
      </c>
      <c r="P8282" s="15">
        <v>0.85672399834835022</v>
      </c>
      <c r="Q8282" s="8"/>
      <c r="R8282" s="9" t="s">
        <v>7765</v>
      </c>
    </row>
    <row r="8283" spans="1:18" x14ac:dyDescent="0.25">
      <c r="A8283" s="6" t="str">
        <f>HYPERLINK("proteomic_fractions_linear_files/Yang_linear_img/28316732.jpg", "28316732")</f>
        <v>28316732</v>
      </c>
      <c r="B8283" s="7"/>
      <c r="C8283" s="6" t="str">
        <f>HYPERLINK("http://www.ncbi.nlm.nih.gov/protein/28316732","Wnk4")</f>
        <v>Wnk4</v>
      </c>
      <c r="D8283" s="8"/>
      <c r="E8283" s="8">
        <v>132279</v>
      </c>
      <c r="F8283" s="8"/>
      <c r="G8283" s="15" t="s">
        <v>10</v>
      </c>
      <c r="H8283" s="15" t="s">
        <v>10</v>
      </c>
      <c r="I8283" s="15" t="s">
        <v>10</v>
      </c>
      <c r="J8283" s="15" t="s">
        <v>10</v>
      </c>
      <c r="K8283" s="15" t="s">
        <v>10</v>
      </c>
      <c r="L8283" s="15" t="s">
        <v>10</v>
      </c>
      <c r="M8283" s="15">
        <v>0.97516384958421942</v>
      </c>
      <c r="N8283" s="15">
        <v>0.97516384958421942</v>
      </c>
      <c r="O8283" s="15">
        <v>1.4148926639389421</v>
      </c>
      <c r="P8283" s="15">
        <v>1.4148926639389421</v>
      </c>
      <c r="Q8283" s="8"/>
      <c r="R8283" s="9" t="s">
        <v>7766</v>
      </c>
    </row>
    <row r="8284" spans="1:18" x14ac:dyDescent="0.25">
      <c r="A8284" s="6" t="str">
        <f>HYPERLINK("proteomic_fractions_linear_files/Yang_linear_img/170763502.jpg", "170763502")</f>
        <v>170763502</v>
      </c>
      <c r="B8284" s="7"/>
      <c r="C8284" s="6" t="str">
        <f>HYPERLINK("http://www.ncbi.nlm.nih.gov/protein/170763502","Wrn")</f>
        <v>Wrn</v>
      </c>
      <c r="D8284" s="8"/>
      <c r="E8284" s="8">
        <v>157073</v>
      </c>
      <c r="F8284" s="8"/>
      <c r="G8284" s="15" t="s">
        <v>10</v>
      </c>
      <c r="H8284" s="15" t="s">
        <v>10</v>
      </c>
      <c r="I8284" s="15" t="s">
        <v>10</v>
      </c>
      <c r="J8284" s="15" t="s">
        <v>10</v>
      </c>
      <c r="K8284" s="15">
        <v>1.1895912843308303</v>
      </c>
      <c r="L8284" s="15">
        <v>1.1895912843308303</v>
      </c>
      <c r="M8284" s="15" t="s">
        <v>10</v>
      </c>
      <c r="N8284" s="15" t="s">
        <v>10</v>
      </c>
      <c r="O8284" s="15" t="s">
        <v>10</v>
      </c>
      <c r="P8284" s="15" t="s">
        <v>10</v>
      </c>
      <c r="Q8284" s="8"/>
      <c r="R8284" s="9" t="s">
        <v>7767</v>
      </c>
    </row>
    <row r="8285" spans="1:18" x14ac:dyDescent="0.25">
      <c r="A8285" s="6" t="str">
        <f>HYPERLINK("proteomic_fractions_linear_files/Yang_linear_img/407261615.jpg", "407261615")</f>
        <v>407261615</v>
      </c>
      <c r="B8285" s="7"/>
      <c r="C8285" s="6" t="str">
        <f>HYPERLINK("http://www.ncbi.nlm.nih.gov/protein/407261615","Wrn")</f>
        <v>Wrn</v>
      </c>
      <c r="D8285" s="8"/>
      <c r="E8285" s="8">
        <v>160438</v>
      </c>
      <c r="F8285" s="8"/>
      <c r="G8285" s="15" t="s">
        <v>10</v>
      </c>
      <c r="H8285" s="15" t="s">
        <v>10</v>
      </c>
      <c r="I8285" s="15" t="s">
        <v>10</v>
      </c>
      <c r="J8285" s="15" t="s">
        <v>10</v>
      </c>
      <c r="K8285" s="15">
        <v>1.1672864477496272</v>
      </c>
      <c r="L8285" s="15">
        <v>1.1672864477496272</v>
      </c>
      <c r="M8285" s="15" t="s">
        <v>10</v>
      </c>
      <c r="N8285" s="15" t="s">
        <v>10</v>
      </c>
      <c r="O8285" s="15" t="s">
        <v>10</v>
      </c>
      <c r="P8285" s="15" t="s">
        <v>10</v>
      </c>
      <c r="Q8285" s="8"/>
      <c r="R8285" s="9" t="s">
        <v>8330</v>
      </c>
    </row>
    <row r="8286" spans="1:18" x14ac:dyDescent="0.25">
      <c r="A8286" s="6" t="str">
        <f>HYPERLINK("proteomic_fractions_linear_files/Yang_linear_img/254540120.jpg", "254540120")</f>
        <v>254540120</v>
      </c>
      <c r="B8286" s="7"/>
      <c r="C8286" s="6" t="str">
        <f>HYPERLINK("http://www.ncbi.nlm.nih.gov/protein/254540120","Wrnip1")</f>
        <v>Wrnip1</v>
      </c>
      <c r="D8286" s="8"/>
      <c r="E8286" s="8">
        <v>71663</v>
      </c>
      <c r="F8286" s="8"/>
      <c r="G8286" s="15" t="s">
        <v>10</v>
      </c>
      <c r="H8286" s="15" t="s">
        <v>10</v>
      </c>
      <c r="I8286" s="15" t="s">
        <v>10</v>
      </c>
      <c r="J8286" s="15" t="s">
        <v>10</v>
      </c>
      <c r="K8286" s="15" t="s">
        <v>10</v>
      </c>
      <c r="L8286" s="15" t="s">
        <v>10</v>
      </c>
      <c r="M8286" s="15">
        <v>1.3189997386470071</v>
      </c>
      <c r="N8286" s="15">
        <v>1.3189997386470071</v>
      </c>
      <c r="O8286" s="15" t="s">
        <v>10</v>
      </c>
      <c r="P8286" s="15" t="s">
        <v>10</v>
      </c>
      <c r="Q8286" s="8"/>
      <c r="R8286" s="9" t="s">
        <v>7768</v>
      </c>
    </row>
    <row r="8287" spans="1:18" x14ac:dyDescent="0.25">
      <c r="A8287" s="6" t="str">
        <f>HYPERLINK("proteomic_fractions_linear_files/Yang_linear_img/165377291.jpg", "165377291")</f>
        <v>165377291</v>
      </c>
      <c r="B8287" s="7"/>
      <c r="C8287" s="6" t="str">
        <f>HYPERLINK("http://www.ncbi.nlm.nih.gov/protein/165377291","Wtap")</f>
        <v>Wtap</v>
      </c>
      <c r="D8287" s="8"/>
      <c r="E8287" s="8">
        <v>44073</v>
      </c>
      <c r="F8287" s="8"/>
      <c r="G8287" s="15" t="s">
        <v>10</v>
      </c>
      <c r="H8287" s="15" t="s">
        <v>10</v>
      </c>
      <c r="I8287" s="15" t="s">
        <v>10</v>
      </c>
      <c r="J8287" s="15" t="s">
        <v>10</v>
      </c>
      <c r="K8287" s="15" t="s">
        <v>10</v>
      </c>
      <c r="L8287" s="15" t="s">
        <v>10</v>
      </c>
      <c r="M8287" s="15">
        <v>0.78530401205625422</v>
      </c>
      <c r="N8287" s="15">
        <v>0.78530401205625422</v>
      </c>
      <c r="O8287" s="15">
        <v>0.67921379299348028</v>
      </c>
      <c r="P8287" s="15">
        <v>0.67921379299348028</v>
      </c>
      <c r="Q8287" s="8"/>
      <c r="R8287" s="9" t="s">
        <v>7769</v>
      </c>
    </row>
    <row r="8288" spans="1:18" x14ac:dyDescent="0.25">
      <c r="A8288" s="6" t="str">
        <f>HYPERLINK("proteomic_fractions_linear_files/Yang_linear_img/82524278.jpg", "82524278")</f>
        <v>82524278</v>
      </c>
      <c r="B8288" s="7"/>
      <c r="C8288" s="6" t="str">
        <f>HYPERLINK("http://www.ncbi.nlm.nih.gov/protein/82524278","Wwc1")</f>
        <v>Wwc1</v>
      </c>
      <c r="D8288" s="8"/>
      <c r="E8288" s="8">
        <v>123980</v>
      </c>
      <c r="F8288" s="8"/>
      <c r="G8288" s="15" t="s">
        <v>10</v>
      </c>
      <c r="H8288" s="15" t="s">
        <v>10</v>
      </c>
      <c r="I8288" s="15" t="s">
        <v>10</v>
      </c>
      <c r="J8288" s="15" t="s">
        <v>10</v>
      </c>
      <c r="K8288" s="15" t="s">
        <v>10</v>
      </c>
      <c r="L8288" s="15" t="s">
        <v>10</v>
      </c>
      <c r="M8288" s="15">
        <v>1.5061760616124222</v>
      </c>
      <c r="N8288" s="15">
        <v>1.5061760616124222</v>
      </c>
      <c r="O8288" s="15">
        <v>1.5061760616124222</v>
      </c>
      <c r="P8288" s="15">
        <v>1.5061760616124222</v>
      </c>
      <c r="Q8288" s="8"/>
      <c r="R8288" s="9" t="s">
        <v>7770</v>
      </c>
    </row>
    <row r="8289" spans="1:18" x14ac:dyDescent="0.25">
      <c r="A8289" s="6" t="str">
        <f>HYPERLINK("proteomic_fractions_linear_files/Yang_linear_img/46575912.jpg", "46575912")</f>
        <v>46575912</v>
      </c>
      <c r="B8289" s="7"/>
      <c r="C8289" s="6" t="str">
        <f>HYPERLINK("http://www.ncbi.nlm.nih.gov/protein/46575912","Wwc2")</f>
        <v>Wwc2</v>
      </c>
      <c r="D8289" s="8"/>
      <c r="E8289" s="8">
        <v>132489</v>
      </c>
      <c r="F8289" s="8"/>
      <c r="G8289" s="15" t="s">
        <v>10</v>
      </c>
      <c r="H8289" s="15" t="s">
        <v>10</v>
      </c>
      <c r="I8289" s="15" t="s">
        <v>10</v>
      </c>
      <c r="J8289" s="15" t="s">
        <v>10</v>
      </c>
      <c r="K8289" s="15" t="s">
        <v>10</v>
      </c>
      <c r="L8289" s="15" t="s">
        <v>10</v>
      </c>
      <c r="M8289" s="15" t="s">
        <v>10</v>
      </c>
      <c r="N8289" s="15" t="s">
        <v>10</v>
      </c>
      <c r="O8289" s="15">
        <v>1.4148926639389421</v>
      </c>
      <c r="P8289" s="15">
        <v>1.4148926639389421</v>
      </c>
      <c r="Q8289" s="8"/>
      <c r="R8289" s="9" t="s">
        <v>7771</v>
      </c>
    </row>
    <row r="8290" spans="1:18" x14ac:dyDescent="0.25">
      <c r="A8290" s="6" t="str">
        <f>HYPERLINK("proteomic_fractions_linear_files/Yang_linear_img/31980962.jpg", "31980962")</f>
        <v>31980962</v>
      </c>
      <c r="B8290" s="7"/>
      <c r="C8290" s="6" t="str">
        <f>HYPERLINK("http://www.ncbi.nlm.nih.gov/protein/31980962","Wwox")</f>
        <v>Wwox</v>
      </c>
      <c r="D8290" s="8"/>
      <c r="E8290" s="8">
        <v>46382</v>
      </c>
      <c r="F8290" s="8"/>
      <c r="G8290" s="15" t="s">
        <v>10</v>
      </c>
      <c r="H8290" s="15" t="s">
        <v>10</v>
      </c>
      <c r="I8290" s="15" t="s">
        <v>10</v>
      </c>
      <c r="J8290" s="15" t="s">
        <v>10</v>
      </c>
      <c r="K8290" s="15">
        <v>0.95925194015142323</v>
      </c>
      <c r="L8290" s="15">
        <v>0.95925194015142323</v>
      </c>
      <c r="M8290" s="15" t="s">
        <v>10</v>
      </c>
      <c r="N8290" s="15" t="s">
        <v>10</v>
      </c>
      <c r="O8290" s="15" t="s">
        <v>10</v>
      </c>
      <c r="P8290" s="15" t="s">
        <v>10</v>
      </c>
      <c r="Q8290" s="8"/>
      <c r="R8290" s="9" t="s">
        <v>7772</v>
      </c>
    </row>
    <row r="8291" spans="1:18" x14ac:dyDescent="0.25">
      <c r="A8291" s="6" t="str">
        <f>HYPERLINK("proteomic_fractions_linear_files/Yang_linear_img/112734836.jpg", "112734836")</f>
        <v>112734836</v>
      </c>
      <c r="B8291" s="7"/>
      <c r="C8291" s="6" t="str">
        <f>HYPERLINK("http://www.ncbi.nlm.nih.gov/protein/112734836","Wwp1")</f>
        <v>Wwp1</v>
      </c>
      <c r="D8291" s="8"/>
      <c r="E8291" s="8">
        <v>104563</v>
      </c>
      <c r="F8291" s="8"/>
      <c r="G8291" s="15" t="s">
        <v>10</v>
      </c>
      <c r="H8291" s="15" t="s">
        <v>10</v>
      </c>
      <c r="I8291" s="15">
        <v>0.7914157949823224</v>
      </c>
      <c r="J8291" s="15">
        <v>0.7914157949823224</v>
      </c>
      <c r="K8291" s="15">
        <v>1.2259202680487331</v>
      </c>
      <c r="L8291" s="15">
        <v>1.2259202680487331</v>
      </c>
      <c r="M8291" s="15" t="s">
        <v>10</v>
      </c>
      <c r="N8291" s="15" t="s">
        <v>10</v>
      </c>
      <c r="O8291" s="15" t="s">
        <v>10</v>
      </c>
      <c r="P8291" s="15" t="s">
        <v>10</v>
      </c>
      <c r="Q8291" s="8"/>
      <c r="R8291" s="9" t="s">
        <v>7773</v>
      </c>
    </row>
    <row r="8292" spans="1:18" x14ac:dyDescent="0.25">
      <c r="A8292" s="6" t="str">
        <f>HYPERLINK("proteomic_fractions_linear_files/Yang_linear_img/443906717.jpg", "443906717")</f>
        <v>443906717</v>
      </c>
      <c r="B8292" s="7"/>
      <c r="C8292" s="6" t="str">
        <f>HYPERLINK("http://www.ncbi.nlm.nih.gov/protein/443906717","Wwp1")</f>
        <v>Wwp1</v>
      </c>
      <c r="D8292" s="8"/>
      <c r="E8292" s="8">
        <v>89952</v>
      </c>
      <c r="F8292" s="8"/>
      <c r="G8292" s="15" t="s">
        <v>10</v>
      </c>
      <c r="H8292" s="15" t="s">
        <v>10</v>
      </c>
      <c r="I8292" s="15">
        <v>0.9233184274793762</v>
      </c>
      <c r="J8292" s="15">
        <v>0.9233184274793762</v>
      </c>
      <c r="K8292" s="15">
        <v>1.4302403127235219</v>
      </c>
      <c r="L8292" s="15">
        <v>1.4302403127235219</v>
      </c>
      <c r="M8292" s="15" t="s">
        <v>10</v>
      </c>
      <c r="N8292" s="15" t="s">
        <v>10</v>
      </c>
      <c r="O8292" s="15" t="s">
        <v>10</v>
      </c>
      <c r="P8292" s="15" t="s">
        <v>10</v>
      </c>
      <c r="Q8292" s="8"/>
      <c r="R8292" s="9" t="s">
        <v>7774</v>
      </c>
    </row>
    <row r="8293" spans="1:18" x14ac:dyDescent="0.25">
      <c r="A8293" s="6" t="str">
        <f>HYPERLINK("proteomic_fractions_linear_files/Yang_linear_img/13385304.jpg", "13385304")</f>
        <v>13385304</v>
      </c>
      <c r="B8293" s="7"/>
      <c r="C8293" s="6" t="str">
        <f>HYPERLINK("http://www.ncbi.nlm.nih.gov/protein/13385304","Wwp2")</f>
        <v>Wwp2</v>
      </c>
      <c r="D8293" s="8"/>
      <c r="E8293" s="8">
        <v>98630</v>
      </c>
      <c r="F8293" s="8"/>
      <c r="G8293" s="15" t="s">
        <v>10</v>
      </c>
      <c r="H8293" s="15" t="s">
        <v>10</v>
      </c>
      <c r="I8293" s="15" t="s">
        <v>10</v>
      </c>
      <c r="J8293" s="15" t="s">
        <v>10</v>
      </c>
      <c r="K8293" s="15">
        <v>1.3002184661122926</v>
      </c>
      <c r="L8293" s="15">
        <v>1.3002184661122926</v>
      </c>
      <c r="M8293" s="15" t="s">
        <v>10</v>
      </c>
      <c r="N8293" s="15" t="s">
        <v>10</v>
      </c>
      <c r="O8293" s="15" t="s">
        <v>10</v>
      </c>
      <c r="P8293" s="15" t="s">
        <v>10</v>
      </c>
      <c r="Q8293" s="8"/>
      <c r="R8293" s="9" t="s">
        <v>7775</v>
      </c>
    </row>
    <row r="8294" spans="1:18" x14ac:dyDescent="0.25">
      <c r="A8294" s="6" t="str">
        <f>HYPERLINK("proteomic_fractions_linear_files/Yang_linear_img/13385660.jpg", "13385660")</f>
        <v>13385660</v>
      </c>
      <c r="B8294" s="7"/>
      <c r="C8294" s="6" t="str">
        <f>HYPERLINK("http://www.ncbi.nlm.nih.gov/protein/13385660","Xab2")</f>
        <v>Xab2</v>
      </c>
      <c r="D8294" s="8"/>
      <c r="E8294" s="8">
        <v>99857</v>
      </c>
      <c r="F8294" s="8"/>
      <c r="G8294" s="15">
        <v>1.0980156382113146</v>
      </c>
      <c r="H8294" s="15">
        <v>1.0980156382113146</v>
      </c>
      <c r="I8294" s="15" t="s">
        <v>10</v>
      </c>
      <c r="J8294" s="15" t="s">
        <v>10</v>
      </c>
      <c r="K8294" s="15" t="s">
        <v>10</v>
      </c>
      <c r="L8294" s="15" t="s">
        <v>10</v>
      </c>
      <c r="M8294" s="15" t="s">
        <v>10</v>
      </c>
      <c r="N8294" s="15" t="s">
        <v>10</v>
      </c>
      <c r="O8294" s="15" t="s">
        <v>10</v>
      </c>
      <c r="P8294" s="15" t="s">
        <v>10</v>
      </c>
      <c r="Q8294" s="8"/>
      <c r="R8294" s="9" t="s">
        <v>7776</v>
      </c>
    </row>
    <row r="8295" spans="1:18" x14ac:dyDescent="0.25">
      <c r="A8295" s="6" t="str">
        <f>HYPERLINK("proteomic_fractions_linear_files/Yang_linear_img/157951674.jpg", "157951674")</f>
        <v>157951674</v>
      </c>
      <c r="B8295" s="7"/>
      <c r="C8295" s="6" t="str">
        <f>HYPERLINK("http://www.ncbi.nlm.nih.gov/protein/157951674","Xiap")</f>
        <v>Xiap</v>
      </c>
      <c r="D8295" s="8"/>
      <c r="E8295" s="8">
        <v>55948</v>
      </c>
      <c r="F8295" s="8"/>
      <c r="G8295" s="15" t="s">
        <v>10</v>
      </c>
      <c r="H8295" s="15" t="s">
        <v>10</v>
      </c>
      <c r="I8295" s="15" t="s">
        <v>10</v>
      </c>
      <c r="J8295" s="15" t="s">
        <v>10</v>
      </c>
      <c r="K8295" s="15" t="s">
        <v>10</v>
      </c>
      <c r="L8295" s="15" t="s">
        <v>10</v>
      </c>
      <c r="M8295" s="15" t="s">
        <v>10</v>
      </c>
      <c r="N8295" s="15" t="s">
        <v>10</v>
      </c>
      <c r="O8295" s="15">
        <v>0.94858160053573359</v>
      </c>
      <c r="P8295" s="15">
        <v>0.94858160053573359</v>
      </c>
      <c r="Q8295" s="8"/>
      <c r="R8295" s="9" t="s">
        <v>7777</v>
      </c>
    </row>
    <row r="8296" spans="1:18" x14ac:dyDescent="0.25">
      <c r="A8296" s="6" t="str">
        <f>HYPERLINK("proteomic_fractions_linear_files/Yang_linear_img/406855427.jpg", "406855427")</f>
        <v>406855427</v>
      </c>
      <c r="B8296" s="7"/>
      <c r="C8296" s="6" t="str">
        <f>HYPERLINK("http://www.ncbi.nlm.nih.gov/protein/406855427","Xpnpep1")</f>
        <v>Xpnpep1</v>
      </c>
      <c r="D8296" s="8"/>
      <c r="E8296" s="8">
        <v>74429</v>
      </c>
      <c r="F8296" s="8"/>
      <c r="G8296" s="15">
        <v>1.2833510970619528</v>
      </c>
      <c r="H8296" s="15">
        <v>1.2833510970619528</v>
      </c>
      <c r="I8296" s="15">
        <v>0.99238054380651686</v>
      </c>
      <c r="J8296" s="15">
        <v>0.99238054380651686</v>
      </c>
      <c r="K8296" s="15">
        <v>1.1229548442316737</v>
      </c>
      <c r="L8296" s="15">
        <v>1.1229548442316737</v>
      </c>
      <c r="M8296" s="15">
        <v>1.1229548442316737</v>
      </c>
      <c r="N8296" s="15">
        <v>1.1229548442316737</v>
      </c>
      <c r="O8296" s="15">
        <v>0.99238054380651686</v>
      </c>
      <c r="P8296" s="15">
        <v>0.99238054380651686</v>
      </c>
      <c r="Q8296" s="8"/>
      <c r="R8296" s="9" t="s">
        <v>7778</v>
      </c>
    </row>
    <row r="8297" spans="1:18" x14ac:dyDescent="0.25">
      <c r="A8297" s="6" t="str">
        <f>HYPERLINK("proteomic_fractions_linear_files/Yang_linear_img/28893421.jpg", "28893421")</f>
        <v>28893421</v>
      </c>
      <c r="B8297" s="7"/>
      <c r="C8297" s="6" t="str">
        <f>HYPERLINK("http://www.ncbi.nlm.nih.gov/protein/28893421","Xpnpep3")</f>
        <v>Xpnpep3</v>
      </c>
      <c r="D8297" s="8"/>
      <c r="E8297" s="8">
        <v>43236</v>
      </c>
      <c r="F8297" s="8"/>
      <c r="G8297" s="15">
        <v>1.5221689146638218</v>
      </c>
      <c r="H8297" s="15">
        <v>1.5221689146638218</v>
      </c>
      <c r="I8297" s="15">
        <v>1.2353620844186297</v>
      </c>
      <c r="J8297" s="15">
        <v>1.2353620844186297</v>
      </c>
      <c r="K8297" s="15" t="s">
        <v>10</v>
      </c>
      <c r="L8297" s="15" t="s">
        <v>10</v>
      </c>
      <c r="M8297" s="15" t="s">
        <v>10</v>
      </c>
      <c r="N8297" s="15" t="s">
        <v>10</v>
      </c>
      <c r="O8297" s="15" t="s">
        <v>10</v>
      </c>
      <c r="P8297" s="15" t="s">
        <v>10</v>
      </c>
      <c r="Q8297" s="8"/>
      <c r="R8297" s="9" t="s">
        <v>7779</v>
      </c>
    </row>
    <row r="8298" spans="1:18" x14ac:dyDescent="0.25">
      <c r="A8298" s="6" t="str">
        <f>HYPERLINK("proteomic_fractions_linear_files/Yang_linear_img/38604071.jpg", "38604071")</f>
        <v>38604071</v>
      </c>
      <c r="B8298" s="7"/>
      <c r="C8298" s="6" t="str">
        <f>HYPERLINK("http://www.ncbi.nlm.nih.gov/protein/38604071","Xpo1")</f>
        <v>Xpo1</v>
      </c>
      <c r="D8298" s="8"/>
      <c r="E8298" s="8">
        <v>122962</v>
      </c>
      <c r="F8298" s="8"/>
      <c r="G8298" s="15">
        <v>1.0465173019928209</v>
      </c>
      <c r="H8298" s="15">
        <v>1.0465173019928209</v>
      </c>
      <c r="I8298" s="15">
        <v>0.89269564082220709</v>
      </c>
      <c r="J8298" s="15">
        <v>0.89269564082220709</v>
      </c>
      <c r="K8298" s="15">
        <v>1.0465173019928209</v>
      </c>
      <c r="L8298" s="15">
        <v>1.0465173019928209</v>
      </c>
      <c r="M8298" s="15">
        <v>1.0465173019928209</v>
      </c>
      <c r="N8298" s="15">
        <v>1.0465173019928209</v>
      </c>
      <c r="O8298" s="15">
        <v>1.0465173019928209</v>
      </c>
      <c r="P8298" s="15">
        <v>1.0465173019928209</v>
      </c>
      <c r="Q8298" s="8"/>
      <c r="R8298" s="9" t="s">
        <v>7780</v>
      </c>
    </row>
    <row r="8299" spans="1:18" x14ac:dyDescent="0.25">
      <c r="A8299" s="6" t="str">
        <f>HYPERLINK("proteomic_fractions_linear_files/Yang_linear_img/10048438.jpg", "10048438")</f>
        <v>10048438</v>
      </c>
      <c r="B8299" s="7"/>
      <c r="C8299" s="6" t="str">
        <f>HYPERLINK("http://www.ncbi.nlm.nih.gov/protein/10048438","Xpo4")</f>
        <v>Xpo4</v>
      </c>
      <c r="D8299" s="8"/>
      <c r="E8299" s="8">
        <v>129835</v>
      </c>
      <c r="F8299" s="8"/>
      <c r="G8299" s="15" t="s">
        <v>10</v>
      </c>
      <c r="H8299" s="15" t="s">
        <v>10</v>
      </c>
      <c r="I8299" s="15" t="s">
        <v>10</v>
      </c>
      <c r="J8299" s="15" t="s">
        <v>10</v>
      </c>
      <c r="K8299" s="15">
        <v>1.1804067010480142</v>
      </c>
      <c r="L8299" s="15">
        <v>1.1804067010480142</v>
      </c>
      <c r="M8299" s="15" t="s">
        <v>10</v>
      </c>
      <c r="N8299" s="15" t="s">
        <v>10</v>
      </c>
      <c r="O8299" s="15">
        <v>0.99016637034705357</v>
      </c>
      <c r="P8299" s="15">
        <v>0.99016637034705357</v>
      </c>
      <c r="Q8299" s="8"/>
      <c r="R8299" s="9" t="s">
        <v>7781</v>
      </c>
    </row>
    <row r="8300" spans="1:18" x14ac:dyDescent="0.25">
      <c r="A8300" s="6" t="str">
        <f>HYPERLINK("proteomic_fractions_linear_files/Yang_linear_img/24429570.jpg", "24429570")</f>
        <v>24429570</v>
      </c>
      <c r="B8300" s="7"/>
      <c r="C8300" s="6" t="str">
        <f>HYPERLINK("http://www.ncbi.nlm.nih.gov/protein/24429570","Xpo5")</f>
        <v>Xpo5</v>
      </c>
      <c r="D8300" s="8"/>
      <c r="E8300" s="8">
        <v>136843</v>
      </c>
      <c r="F8300" s="8"/>
      <c r="G8300" s="15">
        <v>2.9857193995579547</v>
      </c>
      <c r="H8300" s="15">
        <v>2.9857193995579547</v>
      </c>
      <c r="I8300" s="15">
        <v>1.1200939498995754</v>
      </c>
      <c r="J8300" s="15">
        <v>1.1200939498995754</v>
      </c>
      <c r="K8300" s="15">
        <v>1.1200939498995754</v>
      </c>
      <c r="L8300" s="15">
        <v>1.1200939498995754</v>
      </c>
      <c r="M8300" s="15">
        <v>1.1200939498995754</v>
      </c>
      <c r="N8300" s="15">
        <v>1.1200939498995754</v>
      </c>
      <c r="O8300" s="15">
        <v>1.1200939498995754</v>
      </c>
      <c r="P8300" s="15">
        <v>1.1200939498995754</v>
      </c>
      <c r="Q8300" s="8"/>
      <c r="R8300" s="9" t="s">
        <v>7782</v>
      </c>
    </row>
    <row r="8301" spans="1:18" x14ac:dyDescent="0.25">
      <c r="A8301" s="6" t="str">
        <f>HYPERLINK("proteomic_fractions_linear_files/Yang_linear_img/12746422.jpg", "12746422")</f>
        <v>12746422</v>
      </c>
      <c r="B8301" s="7"/>
      <c r="C8301" s="6" t="str">
        <f>HYPERLINK("http://www.ncbi.nlm.nih.gov/protein/12746422","Xpo7")</f>
        <v>Xpo7</v>
      </c>
      <c r="D8301" s="8"/>
      <c r="E8301" s="8">
        <v>123680</v>
      </c>
      <c r="F8301" s="8"/>
      <c r="G8301" s="15" t="s">
        <v>10</v>
      </c>
      <c r="H8301" s="15" t="s">
        <v>10</v>
      </c>
      <c r="I8301" s="15">
        <v>0.88549648242847956</v>
      </c>
      <c r="J8301" s="15">
        <v>0.88549648242847956</v>
      </c>
      <c r="K8301" s="15">
        <v>1.0380776463315884</v>
      </c>
      <c r="L8301" s="15">
        <v>1.0380776463315884</v>
      </c>
      <c r="M8301" s="15">
        <v>1.0380776463315884</v>
      </c>
      <c r="N8301" s="15">
        <v>1.0380776463315884</v>
      </c>
      <c r="O8301" s="15">
        <v>1.0380776463315884</v>
      </c>
      <c r="P8301" s="15">
        <v>1.0380776463315884</v>
      </c>
      <c r="Q8301" s="8"/>
      <c r="R8301" s="9" t="s">
        <v>7783</v>
      </c>
    </row>
    <row r="8302" spans="1:18" x14ac:dyDescent="0.25">
      <c r="A8302" s="6" t="str">
        <f>HYPERLINK("proteomic_fractions_linear_files/Yang_linear_img/124486686.jpg", "124486686")</f>
        <v>124486686</v>
      </c>
      <c r="B8302" s="7"/>
      <c r="C8302" s="6" t="str">
        <f>HYPERLINK("http://www.ncbi.nlm.nih.gov/protein/124486686","Xpot")</f>
        <v>Xpot</v>
      </c>
      <c r="D8302" s="8"/>
      <c r="E8302" s="8">
        <v>109658</v>
      </c>
      <c r="F8302" s="8"/>
      <c r="G8302" s="15" t="s">
        <v>10</v>
      </c>
      <c r="H8302" s="15" t="s">
        <v>10</v>
      </c>
      <c r="I8302" s="15">
        <v>0.9981960347375588</v>
      </c>
      <c r="J8302" s="15">
        <v>0.9981960347375588</v>
      </c>
      <c r="K8302" s="15">
        <v>0.9981960347375588</v>
      </c>
      <c r="L8302" s="15">
        <v>0.9981960347375588</v>
      </c>
      <c r="M8302" s="15">
        <v>0.9981960347375588</v>
      </c>
      <c r="N8302" s="15">
        <v>0.9981960347375588</v>
      </c>
      <c r="O8302" s="15">
        <v>0.9981960347375588</v>
      </c>
      <c r="P8302" s="15">
        <v>0.9981960347375588</v>
      </c>
      <c r="Q8302" s="8"/>
      <c r="R8302" s="9" t="s">
        <v>7784</v>
      </c>
    </row>
    <row r="8303" spans="1:18" x14ac:dyDescent="0.25">
      <c r="A8303" s="6" t="str">
        <f>HYPERLINK("proteomic_fractions_linear_files/Yang_linear_img/170295844.jpg", "170295844")</f>
        <v>170295844</v>
      </c>
      <c r="B8303" s="7"/>
      <c r="C8303" s="6" t="str">
        <f>HYPERLINK("http://www.ncbi.nlm.nih.gov/protein/170295844","Xrcc1")</f>
        <v>Xrcc1</v>
      </c>
      <c r="D8303" s="8"/>
      <c r="E8303" s="8">
        <v>68840</v>
      </c>
      <c r="F8303" s="8"/>
      <c r="G8303" s="15">
        <v>1.5913270119004561</v>
      </c>
      <c r="H8303" s="15">
        <v>1.5913270119004561</v>
      </c>
      <c r="I8303" s="15" t="s">
        <v>10</v>
      </c>
      <c r="J8303" s="15" t="s">
        <v>10</v>
      </c>
      <c r="K8303" s="15">
        <v>1.3763475533707901</v>
      </c>
      <c r="L8303" s="15">
        <v>1.3763475533707901</v>
      </c>
      <c r="M8303" s="15">
        <v>1.3763475533707901</v>
      </c>
      <c r="N8303" s="15">
        <v>1.3763475533707901</v>
      </c>
      <c r="O8303" s="15" t="s">
        <v>10</v>
      </c>
      <c r="P8303" s="15" t="s">
        <v>10</v>
      </c>
      <c r="Q8303" s="8"/>
      <c r="R8303" s="9" t="s">
        <v>7785</v>
      </c>
    </row>
    <row r="8304" spans="1:18" x14ac:dyDescent="0.25">
      <c r="A8304" s="6" t="str">
        <f>HYPERLINK("proteomic_fractions_linear_files/Yang_linear_img/160333605.jpg", "160333605")</f>
        <v>160333605</v>
      </c>
      <c r="B8304" s="7"/>
      <c r="C8304" s="6" t="str">
        <f>HYPERLINK("http://www.ncbi.nlm.nih.gov/protein/160333605","Xrcc5")</f>
        <v>Xrcc5</v>
      </c>
      <c r="D8304" s="8"/>
      <c r="E8304" s="8">
        <v>82926</v>
      </c>
      <c r="F8304" s="8"/>
      <c r="G8304" s="15" t="s">
        <v>10</v>
      </c>
      <c r="H8304" s="15" t="s">
        <v>10</v>
      </c>
      <c r="I8304" s="15">
        <v>1.1441925443684882</v>
      </c>
      <c r="J8304" s="15">
        <v>1.1441925443684882</v>
      </c>
      <c r="K8304" s="15">
        <v>1.1441925443684882</v>
      </c>
      <c r="L8304" s="15">
        <v>1.1441925443684882</v>
      </c>
      <c r="M8304" s="15">
        <v>1.1441925443684882</v>
      </c>
      <c r="N8304" s="15">
        <v>1.1441925443684882</v>
      </c>
      <c r="O8304" s="15">
        <v>1.1441925443684882</v>
      </c>
      <c r="P8304" s="15">
        <v>1.1441925443684882</v>
      </c>
      <c r="Q8304" s="8"/>
      <c r="R8304" s="9" t="s">
        <v>7786</v>
      </c>
    </row>
    <row r="8305" spans="1:18" x14ac:dyDescent="0.25">
      <c r="A8305" s="6" t="str">
        <f>HYPERLINK("proteomic_fractions_linear_files/Yang_linear_img/145587104.jpg", "145587104")</f>
        <v>145587104</v>
      </c>
      <c r="B8305" s="7"/>
      <c r="C8305" s="6" t="str">
        <f>HYPERLINK("http://www.ncbi.nlm.nih.gov/protein/145587104","Xrcc6")</f>
        <v>Xrcc6</v>
      </c>
      <c r="D8305" s="8"/>
      <c r="E8305" s="8">
        <v>69354</v>
      </c>
      <c r="F8305" s="8"/>
      <c r="G8305" s="15">
        <v>1.3763475533707901</v>
      </c>
      <c r="H8305" s="15">
        <v>1.3763475533707901</v>
      </c>
      <c r="I8305" s="15">
        <v>1.2043283836687515</v>
      </c>
      <c r="J8305" s="15">
        <v>1.2043283836687515</v>
      </c>
      <c r="K8305" s="15">
        <v>1.2043283836687515</v>
      </c>
      <c r="L8305" s="15">
        <v>1.2043283836687515</v>
      </c>
      <c r="M8305" s="15">
        <v>1.2043283836687515</v>
      </c>
      <c r="N8305" s="15">
        <v>1.2043283836687515</v>
      </c>
      <c r="O8305" s="15">
        <v>1.0642921774156846</v>
      </c>
      <c r="P8305" s="15">
        <v>1.0642921774156846</v>
      </c>
      <c r="Q8305" s="8"/>
      <c r="R8305" s="9" t="s">
        <v>7787</v>
      </c>
    </row>
    <row r="8306" spans="1:18" x14ac:dyDescent="0.25">
      <c r="A8306" s="6" t="str">
        <f>HYPERLINK("proteomic_fractions_linear_files/Yang_linear_img/227116360.jpg", "227116360")</f>
        <v>227116360</v>
      </c>
      <c r="B8306" s="7"/>
      <c r="C8306" s="6" t="str">
        <f>HYPERLINK("http://www.ncbi.nlm.nih.gov/protein/227116360","Xrcc6bp1")</f>
        <v>Xrcc6bp1</v>
      </c>
      <c r="D8306" s="8"/>
      <c r="E8306" s="8">
        <v>27333</v>
      </c>
      <c r="F8306" s="8"/>
      <c r="G8306" s="15" t="s">
        <v>10</v>
      </c>
      <c r="H8306" s="15" t="s">
        <v>10</v>
      </c>
      <c r="I8306" s="15">
        <v>1.0340078258400762</v>
      </c>
      <c r="J8306" s="15">
        <v>1.0340078258400762</v>
      </c>
      <c r="K8306" s="15" t="s">
        <v>10</v>
      </c>
      <c r="L8306" s="15" t="s">
        <v>10</v>
      </c>
      <c r="M8306" s="15" t="s">
        <v>10</v>
      </c>
      <c r="N8306" s="15" t="s">
        <v>10</v>
      </c>
      <c r="O8306" s="15" t="s">
        <v>10</v>
      </c>
      <c r="P8306" s="15" t="s">
        <v>10</v>
      </c>
      <c r="Q8306" s="8"/>
      <c r="R8306" s="9" t="s">
        <v>7788</v>
      </c>
    </row>
    <row r="8307" spans="1:18" x14ac:dyDescent="0.25">
      <c r="A8307" s="6" t="str">
        <f>HYPERLINK("proteomic_fractions_linear_files/Yang_linear_img/115495455.jpg", "115495455")</f>
        <v>115495455</v>
      </c>
      <c r="B8307" s="7"/>
      <c r="C8307" s="6" t="str">
        <f>HYPERLINK("http://www.ncbi.nlm.nih.gov/protein/115495455","Xrn1")</f>
        <v>Xrn1</v>
      </c>
      <c r="D8307" s="8"/>
      <c r="E8307" s="8">
        <v>194628</v>
      </c>
      <c r="F8307" s="8"/>
      <c r="G8307" s="15" t="s">
        <v>10</v>
      </c>
      <c r="H8307" s="15" t="s">
        <v>10</v>
      </c>
      <c r="I8307" s="15" t="s">
        <v>10</v>
      </c>
      <c r="J8307" s="15" t="s">
        <v>10</v>
      </c>
      <c r="K8307" s="15">
        <v>1.196722295527431</v>
      </c>
      <c r="L8307" s="15">
        <v>1.196722295527431</v>
      </c>
      <c r="M8307" s="15" t="s">
        <v>10</v>
      </c>
      <c r="N8307" s="15" t="s">
        <v>10</v>
      </c>
      <c r="O8307" s="15" t="s">
        <v>10</v>
      </c>
      <c r="P8307" s="15" t="s">
        <v>10</v>
      </c>
      <c r="Q8307" s="8"/>
      <c r="R8307" s="9" t="s">
        <v>7789</v>
      </c>
    </row>
    <row r="8308" spans="1:18" x14ac:dyDescent="0.25">
      <c r="A8308" s="6" t="str">
        <f>HYPERLINK("proteomic_fractions_linear_files/Yang_linear_img/117606214.jpg", "117606214")</f>
        <v>117606214</v>
      </c>
      <c r="B8308" s="7"/>
      <c r="C8308" s="6" t="str">
        <f>HYPERLINK("http://www.ncbi.nlm.nih.gov/protein/117606214","Xrn2")</f>
        <v>Xrn2</v>
      </c>
      <c r="D8308" s="8"/>
      <c r="E8308" s="8">
        <v>108557</v>
      </c>
      <c r="F8308" s="8"/>
      <c r="G8308" s="15">
        <v>1.1809323683038253</v>
      </c>
      <c r="H8308" s="15">
        <v>1.1809323683038253</v>
      </c>
      <c r="I8308" s="15">
        <v>1.0073537965241419</v>
      </c>
      <c r="J8308" s="15">
        <v>1.0073537965241419</v>
      </c>
      <c r="K8308" s="15">
        <v>1.1809323683038253</v>
      </c>
      <c r="L8308" s="15">
        <v>1.1809323683038253</v>
      </c>
      <c r="M8308" s="15">
        <v>1.1809323683038253</v>
      </c>
      <c r="N8308" s="15">
        <v>1.1809323683038253</v>
      </c>
      <c r="O8308" s="15">
        <v>1.1809323683038253</v>
      </c>
      <c r="P8308" s="15">
        <v>1.1809323683038253</v>
      </c>
      <c r="Q8308" s="8"/>
      <c r="R8308" s="9" t="s">
        <v>7790</v>
      </c>
    </row>
    <row r="8309" spans="1:18" x14ac:dyDescent="0.25">
      <c r="A8309" s="6" t="str">
        <f>HYPERLINK("proteomic_fractions_linear_files/Yang_linear_img/256000811.jpg", "256000811")</f>
        <v>256000811</v>
      </c>
      <c r="B8309" s="7"/>
      <c r="C8309" s="6" t="str">
        <f>HYPERLINK("http://www.ncbi.nlm.nih.gov/protein/256000811","Xrra1")</f>
        <v>Xrra1</v>
      </c>
      <c r="D8309" s="8"/>
      <c r="E8309" s="8">
        <v>88753</v>
      </c>
      <c r="F8309" s="8"/>
      <c r="G8309" s="15">
        <v>0.5425839953305085</v>
      </c>
      <c r="H8309" s="15">
        <v>0.5425839953305085</v>
      </c>
      <c r="I8309" s="15" t="s">
        <v>10</v>
      </c>
      <c r="J8309" s="15" t="s">
        <v>10</v>
      </c>
      <c r="K8309" s="15" t="s">
        <v>10</v>
      </c>
      <c r="L8309" s="15" t="s">
        <v>10</v>
      </c>
      <c r="M8309" s="15" t="s">
        <v>10</v>
      </c>
      <c r="N8309" s="15" t="s">
        <v>10</v>
      </c>
      <c r="O8309" s="15" t="s">
        <v>10</v>
      </c>
      <c r="P8309" s="15" t="s">
        <v>10</v>
      </c>
      <c r="Q8309" s="8"/>
      <c r="R8309" s="9" t="s">
        <v>7791</v>
      </c>
    </row>
    <row r="8310" spans="1:18" x14ac:dyDescent="0.25">
      <c r="A8310" s="6" t="str">
        <f>HYPERLINK("proteomic_fractions_linear_files/Yang_linear_img/313760620.jpg", "313760620")</f>
        <v>313760620</v>
      </c>
      <c r="B8310" s="7"/>
      <c r="C8310" s="6" t="str">
        <f>HYPERLINK("http://www.ncbi.nlm.nih.gov/protein/313760620","Xylb")</f>
        <v>Xylb</v>
      </c>
      <c r="D8310" s="8"/>
      <c r="E8310" s="8">
        <v>34208</v>
      </c>
      <c r="F8310" s="8"/>
      <c r="G8310" s="15" t="s">
        <v>10</v>
      </c>
      <c r="H8310" s="15" t="s">
        <v>10</v>
      </c>
      <c r="I8310" s="15">
        <v>1.5623696950000316</v>
      </c>
      <c r="J8310" s="15">
        <v>1.5623696950000316</v>
      </c>
      <c r="K8310" s="15">
        <v>1.7286237525174661</v>
      </c>
      <c r="L8310" s="15">
        <v>1.7286237525174661</v>
      </c>
      <c r="M8310" s="15" t="s">
        <v>10</v>
      </c>
      <c r="N8310" s="15" t="s">
        <v>10</v>
      </c>
      <c r="O8310" s="15">
        <v>1.5623696950000316</v>
      </c>
      <c r="P8310" s="15">
        <v>1.5623696950000316</v>
      </c>
      <c r="Q8310" s="8"/>
      <c r="R8310" s="9" t="s">
        <v>7792</v>
      </c>
    </row>
    <row r="8311" spans="1:18" x14ac:dyDescent="0.25">
      <c r="A8311" s="6" t="str">
        <f>HYPERLINK("proteomic_fractions_linear_files/Yang_linear_img/84794607.jpg", "84794607")</f>
        <v>84794607</v>
      </c>
      <c r="B8311" s="7"/>
      <c r="C8311" s="6" t="str">
        <f>HYPERLINK("http://www.ncbi.nlm.nih.gov/protein/84794607","Xylb")</f>
        <v>Xylb</v>
      </c>
      <c r="D8311" s="8"/>
      <c r="E8311" s="8">
        <v>59413</v>
      </c>
      <c r="F8311" s="8"/>
      <c r="G8311" s="15" t="s">
        <v>10</v>
      </c>
      <c r="H8311" s="15" t="s">
        <v>10</v>
      </c>
      <c r="I8311" s="15">
        <v>0.90034863779662844</v>
      </c>
      <c r="J8311" s="15">
        <v>0.90034863779662844</v>
      </c>
      <c r="K8311" s="15">
        <v>0.99615606077277719</v>
      </c>
      <c r="L8311" s="15">
        <v>0.99615606077277719</v>
      </c>
      <c r="M8311" s="15" t="s">
        <v>10</v>
      </c>
      <c r="N8311" s="15" t="s">
        <v>10</v>
      </c>
      <c r="O8311" s="15">
        <v>0.90034863779662844</v>
      </c>
      <c r="P8311" s="15">
        <v>0.90034863779662844</v>
      </c>
      <c r="Q8311" s="8"/>
      <c r="R8311" s="9" t="s">
        <v>7793</v>
      </c>
    </row>
    <row r="8312" spans="1:18" x14ac:dyDescent="0.25">
      <c r="A8312" s="6" t="str">
        <f>HYPERLINK("proteomic_fractions_linear_files/Yang_linear_img/40254385.jpg", "40254385")</f>
        <v>40254385</v>
      </c>
      <c r="B8312" s="7"/>
      <c r="C8312" s="6" t="str">
        <f>HYPERLINK("http://www.ncbi.nlm.nih.gov/protein/40254385","Yaf2")</f>
        <v>Yaf2</v>
      </c>
      <c r="D8312" s="8"/>
      <c r="E8312" s="8">
        <v>19524</v>
      </c>
      <c r="F8312" s="8"/>
      <c r="G8312" s="15">
        <v>1.0897871135339376</v>
      </c>
      <c r="H8312" s="15">
        <v>1.0897871135339376</v>
      </c>
      <c r="I8312" s="15">
        <v>1.1554786687358722</v>
      </c>
      <c r="J8312" s="15">
        <v>1.1554786687358722</v>
      </c>
      <c r="K8312" s="15" t="s">
        <v>10</v>
      </c>
      <c r="L8312" s="15" t="s">
        <v>10</v>
      </c>
      <c r="M8312" s="15">
        <v>1.2277410306638459</v>
      </c>
      <c r="N8312" s="15">
        <v>1.2277410306638459</v>
      </c>
      <c r="O8312" s="15" t="s">
        <v>10</v>
      </c>
      <c r="P8312" s="15" t="s">
        <v>10</v>
      </c>
      <c r="Q8312" s="8"/>
      <c r="R8312" s="9" t="s">
        <v>7794</v>
      </c>
    </row>
    <row r="8313" spans="1:18" x14ac:dyDescent="0.25">
      <c r="A8313" s="6" t="str">
        <f>HYPERLINK("proteomic_fractions_linear_files/Yang_linear_img/283945493.jpg", "283945493")</f>
        <v>283945493</v>
      </c>
      <c r="B8313" s="7"/>
      <c r="C8313" s="6" t="str">
        <f>HYPERLINK("http://www.ncbi.nlm.nih.gov/protein/283945493","Yap1")</f>
        <v>Yap1</v>
      </c>
      <c r="D8313" s="8"/>
      <c r="E8313" s="8">
        <v>52252</v>
      </c>
      <c r="F8313" s="8"/>
      <c r="G8313" s="15" t="s">
        <v>10</v>
      </c>
      <c r="H8313" s="15" t="s">
        <v>10</v>
      </c>
      <c r="I8313" s="15" t="s">
        <v>10</v>
      </c>
      <c r="J8313" s="15" t="s">
        <v>10</v>
      </c>
      <c r="K8313" s="15" t="s">
        <v>10</v>
      </c>
      <c r="L8313" s="15" t="s">
        <v>10</v>
      </c>
      <c r="M8313" s="15" t="s">
        <v>10</v>
      </c>
      <c r="N8313" s="15" t="s">
        <v>10</v>
      </c>
      <c r="O8313" s="15">
        <v>1.2587166025104679</v>
      </c>
      <c r="P8313" s="15">
        <v>1.2587166025104679</v>
      </c>
      <c r="Q8313" s="8"/>
      <c r="R8313" s="9" t="s">
        <v>7795</v>
      </c>
    </row>
    <row r="8314" spans="1:18" x14ac:dyDescent="0.25">
      <c r="A8314" s="6" t="str">
        <f>HYPERLINK("proteomic_fractions_linear_files/Yang_linear_img/6678615.jpg", "6678615")</f>
        <v>6678615</v>
      </c>
      <c r="B8314" s="7"/>
      <c r="C8314" s="6" t="str">
        <f>HYPERLINK("http://www.ncbi.nlm.nih.gov/protein/6678615","Yap1")</f>
        <v>Yap1</v>
      </c>
      <c r="D8314" s="8"/>
      <c r="E8314" s="8">
        <v>50572</v>
      </c>
      <c r="F8314" s="8"/>
      <c r="G8314" s="15" t="s">
        <v>10</v>
      </c>
      <c r="H8314" s="15" t="s">
        <v>10</v>
      </c>
      <c r="I8314" s="15" t="s">
        <v>10</v>
      </c>
      <c r="J8314" s="15" t="s">
        <v>10</v>
      </c>
      <c r="K8314" s="15" t="s">
        <v>10</v>
      </c>
      <c r="L8314" s="15" t="s">
        <v>10</v>
      </c>
      <c r="M8314" s="15" t="s">
        <v>10</v>
      </c>
      <c r="N8314" s="15" t="s">
        <v>10</v>
      </c>
      <c r="O8314" s="15">
        <v>1.2833973202067517</v>
      </c>
      <c r="P8314" s="15">
        <v>1.2833973202067517</v>
      </c>
      <c r="Q8314" s="8"/>
      <c r="R8314" s="9" t="s">
        <v>7796</v>
      </c>
    </row>
    <row r="8315" spans="1:18" x14ac:dyDescent="0.25">
      <c r="A8315" s="6" t="str">
        <f>HYPERLINK("proteomic_fractions_linear_files/Yang_linear_img/411147387.jpg", "411147387")</f>
        <v>411147387</v>
      </c>
      <c r="B8315" s="7"/>
      <c r="C8315" s="6" t="str">
        <f>HYPERLINK("http://www.ncbi.nlm.nih.gov/protein/411147387","Yars")</f>
        <v>Yars</v>
      </c>
      <c r="D8315" s="8"/>
      <c r="E8315" s="8">
        <v>62871</v>
      </c>
      <c r="F8315" s="8"/>
      <c r="G8315" s="15" t="s">
        <v>10</v>
      </c>
      <c r="H8315" s="15" t="s">
        <v>10</v>
      </c>
      <c r="I8315" s="15">
        <v>0.9329080569141881</v>
      </c>
      <c r="J8315" s="15">
        <v>0.9329080569141881</v>
      </c>
      <c r="K8315" s="15">
        <v>1.038940687786418</v>
      </c>
      <c r="L8315" s="15">
        <v>1.038940687786418</v>
      </c>
      <c r="M8315" s="15">
        <v>0.9329080569141881</v>
      </c>
      <c r="N8315" s="15">
        <v>0.9329080569141881</v>
      </c>
      <c r="O8315" s="15">
        <v>0.9329080569141881</v>
      </c>
      <c r="P8315" s="15">
        <v>0.9329080569141881</v>
      </c>
      <c r="Q8315" s="8"/>
      <c r="R8315" s="9" t="s">
        <v>7797</v>
      </c>
    </row>
    <row r="8316" spans="1:18" x14ac:dyDescent="0.25">
      <c r="A8316" s="6" t="str">
        <f>HYPERLINK("proteomic_fractions_linear_files/Yang_linear_img/39930579.jpg", "39930579")</f>
        <v>39930579</v>
      </c>
      <c r="B8316" s="7"/>
      <c r="C8316" s="6" t="str">
        <f>HYPERLINK("http://www.ncbi.nlm.nih.gov/protein/39930579","Yars2")</f>
        <v>Yars2</v>
      </c>
      <c r="D8316" s="8"/>
      <c r="E8316" s="8">
        <v>52467</v>
      </c>
      <c r="F8316" s="8"/>
      <c r="G8316" s="15" t="s">
        <v>10</v>
      </c>
      <c r="H8316" s="15" t="s">
        <v>10</v>
      </c>
      <c r="I8316" s="15">
        <v>0.84856902398010514</v>
      </c>
      <c r="J8316" s="15">
        <v>0.84856902398010514</v>
      </c>
      <c r="K8316" s="15" t="s">
        <v>10</v>
      </c>
      <c r="L8316" s="15" t="s">
        <v>10</v>
      </c>
      <c r="M8316" s="15" t="s">
        <v>10</v>
      </c>
      <c r="N8316" s="15" t="s">
        <v>10</v>
      </c>
      <c r="O8316" s="15" t="s">
        <v>10</v>
      </c>
      <c r="P8316" s="15" t="s">
        <v>10</v>
      </c>
      <c r="Q8316" s="8"/>
      <c r="R8316" s="9" t="s">
        <v>7798</v>
      </c>
    </row>
    <row r="8317" spans="1:18" x14ac:dyDescent="0.25">
      <c r="A8317" s="6" t="str">
        <f>HYPERLINK("proteomic_fractions_linear_files/Yang_linear_img/54607131.jpg", "54607131")</f>
        <v>54607131</v>
      </c>
      <c r="B8317" s="7"/>
      <c r="C8317" s="6" t="str">
        <f>HYPERLINK("http://www.ncbi.nlm.nih.gov/protein/54607131","Ybey")</f>
        <v>Ybey</v>
      </c>
      <c r="D8317" s="8"/>
      <c r="E8317" s="8">
        <v>18858</v>
      </c>
      <c r="F8317" s="8"/>
      <c r="G8317" s="15" t="s">
        <v>10</v>
      </c>
      <c r="H8317" s="15" t="s">
        <v>10</v>
      </c>
      <c r="I8317" s="15">
        <v>0.92473367186099831</v>
      </c>
      <c r="J8317" s="15">
        <v>0.92473367186099831</v>
      </c>
      <c r="K8317" s="15" t="s">
        <v>10</v>
      </c>
      <c r="L8317" s="15" t="s">
        <v>10</v>
      </c>
      <c r="M8317" s="15" t="s">
        <v>10</v>
      </c>
      <c r="N8317" s="15" t="s">
        <v>10</v>
      </c>
      <c r="O8317" s="15" t="s">
        <v>10</v>
      </c>
      <c r="P8317" s="15" t="s">
        <v>10</v>
      </c>
      <c r="Q8317" s="8"/>
      <c r="R8317" s="9" t="s">
        <v>7799</v>
      </c>
    </row>
    <row r="8318" spans="1:18" x14ac:dyDescent="0.25">
      <c r="A8318" s="6" t="str">
        <f>HYPERLINK("proteomic_fractions_linear_files/Yang_linear_img/113205059.jpg", "113205059")</f>
        <v>113205059</v>
      </c>
      <c r="B8318" s="7"/>
      <c r="C8318" s="6" t="str">
        <f>HYPERLINK("http://www.ncbi.nlm.nih.gov/protein/113205059","Ybx1")</f>
        <v>Ybx1</v>
      </c>
      <c r="D8318" s="8"/>
      <c r="E8318" s="8">
        <v>35599</v>
      </c>
      <c r="F8318" s="8"/>
      <c r="G8318" s="15">
        <v>1.6325890995998291</v>
      </c>
      <c r="H8318" s="15">
        <v>1.6325890995998291</v>
      </c>
      <c r="I8318" s="15">
        <v>1.2257108124157075</v>
      </c>
      <c r="J8318" s="15">
        <v>1.2257108124157075</v>
      </c>
      <c r="K8318" s="15">
        <v>1.3413882106782014</v>
      </c>
      <c r="L8318" s="15">
        <v>1.3413882106782014</v>
      </c>
      <c r="M8318" s="15">
        <v>1.3413882106782014</v>
      </c>
      <c r="N8318" s="15">
        <v>1.3413882106782014</v>
      </c>
      <c r="O8318" s="15">
        <v>1.125203283422854</v>
      </c>
      <c r="P8318" s="15">
        <v>1.125203283422854</v>
      </c>
      <c r="Q8318" s="8"/>
      <c r="R8318" s="9" t="s">
        <v>7800</v>
      </c>
    </row>
    <row r="8319" spans="1:18" x14ac:dyDescent="0.25">
      <c r="A8319" s="6" t="str">
        <f>HYPERLINK("proteomic_fractions_linear_files/Yang_linear_img/117956377.jpg", "117956377")</f>
        <v>117956377</v>
      </c>
      <c r="B8319" s="7"/>
      <c r="C8319" s="6" t="str">
        <f>HYPERLINK("http://www.ncbi.nlm.nih.gov/protein/117956377","Ybx2")</f>
        <v>Ybx2</v>
      </c>
      <c r="D8319" s="8"/>
      <c r="E8319" s="8">
        <v>37949</v>
      </c>
      <c r="F8319" s="8"/>
      <c r="G8319" s="15">
        <v>1.5466633575156277</v>
      </c>
      <c r="H8319" s="15">
        <v>1.5466633575156277</v>
      </c>
      <c r="I8319" s="15">
        <v>1.1611997170254071</v>
      </c>
      <c r="J8319" s="15">
        <v>1.1611997170254071</v>
      </c>
      <c r="K8319" s="15">
        <v>1.2707888311688225</v>
      </c>
      <c r="L8319" s="15">
        <v>1.2707888311688225</v>
      </c>
      <c r="M8319" s="15">
        <v>1.2707888311688225</v>
      </c>
      <c r="N8319" s="15">
        <v>1.2707888311688225</v>
      </c>
      <c r="O8319" s="15" t="s">
        <v>10</v>
      </c>
      <c r="P8319" s="15" t="s">
        <v>10</v>
      </c>
      <c r="Q8319" s="8"/>
      <c r="R8319" s="9" t="s">
        <v>7801</v>
      </c>
    </row>
    <row r="8320" spans="1:18" x14ac:dyDescent="0.25">
      <c r="A8320" s="6" t="str">
        <f>HYPERLINK("proteomic_fractions_linear_files/Yang_linear_img/20806532.jpg", "20806532")</f>
        <v>20806532</v>
      </c>
      <c r="B8320" s="7"/>
      <c r="C8320" s="6" t="str">
        <f>HYPERLINK("http://www.ncbi.nlm.nih.gov/protein/20806532","Ybx3")</f>
        <v>Ybx3</v>
      </c>
      <c r="D8320" s="8"/>
      <c r="E8320" s="8">
        <v>30634</v>
      </c>
      <c r="F8320" s="8"/>
      <c r="G8320" s="15">
        <v>1.8959099221159308</v>
      </c>
      <c r="H8320" s="15">
        <v>1.8959099221159308</v>
      </c>
      <c r="I8320" s="15">
        <v>1.4234061047408215</v>
      </c>
      <c r="J8320" s="15">
        <v>1.4234061047408215</v>
      </c>
      <c r="K8320" s="15">
        <v>1.557741147884363</v>
      </c>
      <c r="L8320" s="15">
        <v>1.557741147884363</v>
      </c>
      <c r="M8320" s="15">
        <v>1.557741147884363</v>
      </c>
      <c r="N8320" s="15">
        <v>1.557741147884363</v>
      </c>
      <c r="O8320" s="15">
        <v>1.3066876839749273</v>
      </c>
      <c r="P8320" s="15">
        <v>1.3066876839749273</v>
      </c>
      <c r="Q8320" s="8"/>
      <c r="R8320" s="9" t="s">
        <v>7802</v>
      </c>
    </row>
    <row r="8321" spans="1:18" x14ac:dyDescent="0.25">
      <c r="A8321" s="6" t="str">
        <f>HYPERLINK("proteomic_fractions_linear_files/Yang_linear_img/47059495.jpg", "47059495")</f>
        <v>47059495</v>
      </c>
      <c r="B8321" s="7"/>
      <c r="C8321" s="6" t="str">
        <f>HYPERLINK("http://www.ncbi.nlm.nih.gov/protein/47059495","Ybx3")</f>
        <v>Ybx3</v>
      </c>
      <c r="D8321" s="8"/>
      <c r="E8321" s="8">
        <v>38683</v>
      </c>
      <c r="F8321" s="8"/>
      <c r="G8321" s="15">
        <v>1.5070053227075346</v>
      </c>
      <c r="H8321" s="15">
        <v>1.5070053227075346</v>
      </c>
      <c r="I8321" s="15">
        <v>1.1314253653068069</v>
      </c>
      <c r="J8321" s="15">
        <v>1.1314253653068069</v>
      </c>
      <c r="K8321" s="15">
        <v>1.2382045021644936</v>
      </c>
      <c r="L8321" s="15">
        <v>1.2382045021644936</v>
      </c>
      <c r="M8321" s="15">
        <v>1.2382045021644936</v>
      </c>
      <c r="N8321" s="15">
        <v>1.2382045021644936</v>
      </c>
      <c r="O8321" s="15">
        <v>1.038649184698019</v>
      </c>
      <c r="P8321" s="15">
        <v>1.038649184698019</v>
      </c>
      <c r="Q8321" s="8"/>
      <c r="R8321" s="9" t="s">
        <v>7803</v>
      </c>
    </row>
    <row r="8322" spans="1:18" x14ac:dyDescent="0.25">
      <c r="A8322" s="6" t="str">
        <f>HYPERLINK("proteomic_fractions_linear_files/Yang_linear_img/326806988.jpg", "326806988")</f>
        <v>326806988</v>
      </c>
      <c r="B8322" s="7"/>
      <c r="C8322" s="6" t="str">
        <f>HYPERLINK("http://www.ncbi.nlm.nih.gov/protein/326806988","Yes1")</f>
        <v>Yes1</v>
      </c>
      <c r="D8322" s="8"/>
      <c r="E8322" s="8">
        <v>60499</v>
      </c>
      <c r="F8322" s="8"/>
      <c r="G8322" s="15">
        <v>1.2239360040280374</v>
      </c>
      <c r="H8322" s="15">
        <v>1.2239360040280374</v>
      </c>
      <c r="I8322" s="15">
        <v>0.97955345975989749</v>
      </c>
      <c r="J8322" s="15">
        <v>0.97955345975989749</v>
      </c>
      <c r="K8322" s="15">
        <v>0.97955345975989749</v>
      </c>
      <c r="L8322" s="15">
        <v>0.97955345975989749</v>
      </c>
      <c r="M8322" s="15">
        <v>0.97955345975989749</v>
      </c>
      <c r="N8322" s="15">
        <v>0.97955345975989749</v>
      </c>
      <c r="O8322" s="15">
        <v>0.43583763525708336</v>
      </c>
      <c r="P8322" s="15">
        <v>0.43583763525708336</v>
      </c>
      <c r="Q8322" s="8"/>
      <c r="R8322" s="9" t="s">
        <v>7804</v>
      </c>
    </row>
    <row r="8323" spans="1:18" x14ac:dyDescent="0.25">
      <c r="A8323" s="6" t="str">
        <f>HYPERLINK("proteomic_fractions_linear_files/Yang_linear_img/25282409.jpg", "25282409")</f>
        <v>25282409</v>
      </c>
      <c r="B8323" s="7"/>
      <c r="C8323" s="6" t="str">
        <f>HYPERLINK("http://www.ncbi.nlm.nih.gov/protein/25282409","Yif1a")</f>
        <v>Yif1a</v>
      </c>
      <c r="D8323" s="8"/>
      <c r="E8323" s="8">
        <v>32003</v>
      </c>
      <c r="F8323" s="8"/>
      <c r="G8323" s="15" t="s">
        <v>10</v>
      </c>
      <c r="H8323" s="15" t="s">
        <v>10</v>
      </c>
      <c r="I8323" s="15">
        <v>0.72217416795992018</v>
      </c>
      <c r="J8323" s="15">
        <v>0.72217416795992018</v>
      </c>
      <c r="K8323" s="15">
        <v>0.72217416795992018</v>
      </c>
      <c r="L8323" s="15">
        <v>0.72217416795992018</v>
      </c>
      <c r="M8323" s="15">
        <v>0.72217416795992018</v>
      </c>
      <c r="N8323" s="15">
        <v>0.72217416795992018</v>
      </c>
      <c r="O8323" s="15" t="s">
        <v>10</v>
      </c>
      <c r="P8323" s="15" t="s">
        <v>10</v>
      </c>
      <c r="Q8323" s="8"/>
      <c r="R8323" s="9" t="s">
        <v>7805</v>
      </c>
    </row>
    <row r="8324" spans="1:18" x14ac:dyDescent="0.25">
      <c r="A8324" s="6" t="str">
        <f>HYPERLINK("proteomic_fractions_linear_files/Yang_linear_img/158937258.jpg", "158937258")</f>
        <v>158937258</v>
      </c>
      <c r="B8324" s="7"/>
      <c r="C8324" s="6" t="str">
        <f>HYPERLINK("http://www.ncbi.nlm.nih.gov/protein/158937258","Yif1b")</f>
        <v>Yif1b</v>
      </c>
      <c r="D8324" s="8"/>
      <c r="E8324" s="8">
        <v>33852</v>
      </c>
      <c r="F8324" s="8"/>
      <c r="G8324" s="15" t="s">
        <v>10</v>
      </c>
      <c r="H8324" s="15" t="s">
        <v>10</v>
      </c>
      <c r="I8324" s="15">
        <v>0.82112386169653118</v>
      </c>
      <c r="J8324" s="15">
        <v>0.82112386169653118</v>
      </c>
      <c r="K8324" s="15">
        <v>0.82112386169653118</v>
      </c>
      <c r="L8324" s="15">
        <v>0.82112386169653118</v>
      </c>
      <c r="M8324" s="15" t="s">
        <v>10</v>
      </c>
      <c r="N8324" s="15" t="s">
        <v>10</v>
      </c>
      <c r="O8324" s="15" t="s">
        <v>10</v>
      </c>
      <c r="P8324" s="15" t="s">
        <v>10</v>
      </c>
      <c r="Q8324" s="8"/>
      <c r="R8324" s="9" t="s">
        <v>7806</v>
      </c>
    </row>
    <row r="8325" spans="1:18" x14ac:dyDescent="0.25">
      <c r="A8325" s="6" t="str">
        <f>HYPERLINK("proteomic_fractions_linear_files/Yang_linear_img/158937260.jpg", "158937260")</f>
        <v>158937260</v>
      </c>
      <c r="B8325" s="7"/>
      <c r="C8325" s="6" t="str">
        <f>HYPERLINK("http://www.ncbi.nlm.nih.gov/protein/158937260","Yif1b")</f>
        <v>Yif1b</v>
      </c>
      <c r="D8325" s="8"/>
      <c r="E8325" s="8">
        <v>33381</v>
      </c>
      <c r="F8325" s="8"/>
      <c r="G8325" s="15" t="s">
        <v>10</v>
      </c>
      <c r="H8325" s="15" t="s">
        <v>10</v>
      </c>
      <c r="I8325" s="15">
        <v>0.84600640296006246</v>
      </c>
      <c r="J8325" s="15">
        <v>0.84600640296006246</v>
      </c>
      <c r="K8325" s="15">
        <v>0.84600640296006246</v>
      </c>
      <c r="L8325" s="15">
        <v>0.84600640296006246</v>
      </c>
      <c r="M8325" s="15" t="s">
        <v>10</v>
      </c>
      <c r="N8325" s="15" t="s">
        <v>10</v>
      </c>
      <c r="O8325" s="15" t="s">
        <v>10</v>
      </c>
      <c r="P8325" s="15" t="s">
        <v>10</v>
      </c>
      <c r="Q8325" s="8"/>
      <c r="R8325" s="9" t="s">
        <v>7807</v>
      </c>
    </row>
    <row r="8326" spans="1:18" x14ac:dyDescent="0.25">
      <c r="A8326" s="6" t="str">
        <f>HYPERLINK("proteomic_fractions_linear_files/Yang_linear_img/247269773.jpg", "247269773")</f>
        <v>247269773</v>
      </c>
      <c r="B8326" s="7"/>
      <c r="C8326" s="6" t="str">
        <f>HYPERLINK("http://www.ncbi.nlm.nih.gov/protein/247269773","Yipf3")</f>
        <v>Yipf3</v>
      </c>
      <c r="D8326" s="8"/>
      <c r="E8326" s="8">
        <v>37867</v>
      </c>
      <c r="F8326" s="8"/>
      <c r="G8326" s="15" t="s">
        <v>10</v>
      </c>
      <c r="H8326" s="15" t="s">
        <v>10</v>
      </c>
      <c r="I8326" s="15">
        <v>1.2707888311688225</v>
      </c>
      <c r="J8326" s="15">
        <v>1.2707888311688225</v>
      </c>
      <c r="K8326" s="15" t="s">
        <v>10</v>
      </c>
      <c r="L8326" s="15" t="s">
        <v>10</v>
      </c>
      <c r="M8326" s="15" t="s">
        <v>10</v>
      </c>
      <c r="N8326" s="15" t="s">
        <v>10</v>
      </c>
      <c r="O8326" s="15" t="s">
        <v>10</v>
      </c>
      <c r="P8326" s="15" t="s">
        <v>10</v>
      </c>
      <c r="Q8326" s="8"/>
      <c r="R8326" s="9" t="s">
        <v>7808</v>
      </c>
    </row>
    <row r="8327" spans="1:18" x14ac:dyDescent="0.25">
      <c r="A8327" s="6" t="str">
        <f>HYPERLINK("proteomic_fractions_linear_files/Yang_linear_img/28076889.jpg", "28076889")</f>
        <v>28076889</v>
      </c>
      <c r="B8327" s="7"/>
      <c r="C8327" s="6" t="str">
        <f>HYPERLINK("http://www.ncbi.nlm.nih.gov/protein/28076889","Yipf4")</f>
        <v>Yipf4</v>
      </c>
      <c r="D8327" s="8"/>
      <c r="E8327" s="8">
        <v>27152</v>
      </c>
      <c r="F8327" s="8"/>
      <c r="G8327" s="15" t="s">
        <v>10</v>
      </c>
      <c r="H8327" s="15" t="s">
        <v>10</v>
      </c>
      <c r="I8327" s="15">
        <v>0.80724971372884269</v>
      </c>
      <c r="J8327" s="15">
        <v>0.80724971372884269</v>
      </c>
      <c r="K8327" s="15">
        <v>0.855910124989535</v>
      </c>
      <c r="L8327" s="15">
        <v>0.855910124989535</v>
      </c>
      <c r="M8327" s="15" t="s">
        <v>10</v>
      </c>
      <c r="N8327" s="15" t="s">
        <v>10</v>
      </c>
      <c r="O8327" s="15" t="s">
        <v>10</v>
      </c>
      <c r="P8327" s="15" t="s">
        <v>10</v>
      </c>
      <c r="Q8327" s="8"/>
      <c r="R8327" s="9" t="s">
        <v>7809</v>
      </c>
    </row>
    <row r="8328" spans="1:18" x14ac:dyDescent="0.25">
      <c r="A8328" s="6" t="str">
        <f>HYPERLINK("proteomic_fractions_linear_files/Yang_linear_img/12963631.jpg", "12963631")</f>
        <v>12963631</v>
      </c>
      <c r="B8328" s="7"/>
      <c r="C8328" s="6" t="str">
        <f>HYPERLINK("http://www.ncbi.nlm.nih.gov/protein/12963631","Yipf5")</f>
        <v>Yipf5</v>
      </c>
      <c r="D8328" s="8"/>
      <c r="E8328" s="8">
        <v>27742</v>
      </c>
      <c r="F8328" s="8"/>
      <c r="G8328" s="15" t="s">
        <v>10</v>
      </c>
      <c r="H8328" s="15" t="s">
        <v>10</v>
      </c>
      <c r="I8328" s="15">
        <v>0.82534190623990877</v>
      </c>
      <c r="J8328" s="15">
        <v>0.82534190623990877</v>
      </c>
      <c r="K8328" s="15">
        <v>0.82534190623990877</v>
      </c>
      <c r="L8328" s="15">
        <v>0.82534190623990877</v>
      </c>
      <c r="M8328" s="15" t="s">
        <v>10</v>
      </c>
      <c r="N8328" s="15" t="s">
        <v>10</v>
      </c>
      <c r="O8328" s="15">
        <v>0.47489514367862623</v>
      </c>
      <c r="P8328" s="15">
        <v>0.47489514367862623</v>
      </c>
      <c r="Q8328" s="8"/>
      <c r="R8328" s="9" t="s">
        <v>7810</v>
      </c>
    </row>
    <row r="8329" spans="1:18" x14ac:dyDescent="0.25">
      <c r="A8329" s="6" t="str">
        <f>HYPERLINK("proteomic_fractions_linear_files/Yang_linear_img/46519049.jpg", "46519049")</f>
        <v>46519049</v>
      </c>
      <c r="B8329" s="7"/>
      <c r="C8329" s="6" t="str">
        <f>HYPERLINK("http://www.ncbi.nlm.nih.gov/protein/46519049","Yipf6")</f>
        <v>Yipf6</v>
      </c>
      <c r="D8329" s="8"/>
      <c r="E8329" s="8">
        <v>25957</v>
      </c>
      <c r="F8329" s="8"/>
      <c r="G8329" s="15" t="s">
        <v>10</v>
      </c>
      <c r="H8329" s="15" t="s">
        <v>10</v>
      </c>
      <c r="I8329" s="15" t="s">
        <v>10</v>
      </c>
      <c r="J8329" s="15" t="s">
        <v>10</v>
      </c>
      <c r="K8329" s="15">
        <v>0.79220927640985661</v>
      </c>
      <c r="L8329" s="15">
        <v>0.79220927640985661</v>
      </c>
      <c r="M8329" s="15">
        <v>0.79220927640985661</v>
      </c>
      <c r="N8329" s="15">
        <v>0.79220927640985661</v>
      </c>
      <c r="O8329" s="15" t="s">
        <v>10</v>
      </c>
      <c r="P8329" s="15" t="s">
        <v>10</v>
      </c>
      <c r="Q8329" s="8"/>
      <c r="R8329" s="9" t="s">
        <v>7811</v>
      </c>
    </row>
    <row r="8330" spans="1:18" x14ac:dyDescent="0.25">
      <c r="A8330" s="6" t="str">
        <f>HYPERLINK("proteomic_fractions_linear_files/Yang_linear_img/31543971.jpg", "31543971")</f>
        <v>31543971</v>
      </c>
      <c r="B8330" s="7"/>
      <c r="C8330" s="6" t="str">
        <f>HYPERLINK("http://www.ncbi.nlm.nih.gov/protein/31543971","Ykt6")</f>
        <v>Ykt6</v>
      </c>
      <c r="D8330" s="8"/>
      <c r="E8330" s="8">
        <v>22183</v>
      </c>
      <c r="F8330" s="8"/>
      <c r="G8330" s="15" t="s">
        <v>10</v>
      </c>
      <c r="H8330" s="15" t="s">
        <v>10</v>
      </c>
      <c r="I8330" s="15">
        <v>0.99071555775812503</v>
      </c>
      <c r="J8330" s="15">
        <v>0.99071555775812503</v>
      </c>
      <c r="K8330" s="15">
        <v>0.99071555775812503</v>
      </c>
      <c r="L8330" s="15">
        <v>0.99071555775812503</v>
      </c>
      <c r="M8330" s="15">
        <v>0.99071555775812503</v>
      </c>
      <c r="N8330" s="15">
        <v>0.99071555775812503</v>
      </c>
      <c r="O8330" s="15">
        <v>0.99071555775812503</v>
      </c>
      <c r="P8330" s="15">
        <v>0.99071555775812503</v>
      </c>
      <c r="Q8330" s="8"/>
      <c r="R8330" s="9" t="s">
        <v>7812</v>
      </c>
    </row>
    <row r="8331" spans="1:18" x14ac:dyDescent="0.25">
      <c r="A8331" s="6" t="str">
        <f>HYPERLINK("proteomic_fractions_linear_files/Yang_linear_img/7305635.jpg", "7305635")</f>
        <v>7305635</v>
      </c>
      <c r="B8331" s="7"/>
      <c r="C8331" s="6" t="str">
        <f>HYPERLINK("http://www.ncbi.nlm.nih.gov/protein/7305635","Yme1l1")</f>
        <v>Yme1l1</v>
      </c>
      <c r="D8331" s="8"/>
      <c r="E8331" s="8">
        <v>79897</v>
      </c>
      <c r="F8331" s="8"/>
      <c r="G8331" s="15">
        <v>1.0387332309142983</v>
      </c>
      <c r="H8331" s="15">
        <v>1.0387332309142983</v>
      </c>
      <c r="I8331" s="15">
        <v>0.81816579163180414</v>
      </c>
      <c r="J8331" s="15">
        <v>0.81816579163180414</v>
      </c>
      <c r="K8331" s="15">
        <v>0.81816579163180414</v>
      </c>
      <c r="L8331" s="15">
        <v>0.81816579163180414</v>
      </c>
      <c r="M8331" s="15" t="s">
        <v>10</v>
      </c>
      <c r="N8331" s="15" t="s">
        <v>10</v>
      </c>
      <c r="O8331" s="15" t="s">
        <v>10</v>
      </c>
      <c r="P8331" s="15" t="s">
        <v>10</v>
      </c>
      <c r="Q8331" s="8"/>
      <c r="R8331" s="9" t="s">
        <v>7813</v>
      </c>
    </row>
    <row r="8332" spans="1:18" x14ac:dyDescent="0.25">
      <c r="A8332" s="6" t="str">
        <f>HYPERLINK("proteomic_fractions_linear_files/Yang_linear_img/47059139.jpg", "47059139")</f>
        <v>47059139</v>
      </c>
      <c r="B8332" s="7"/>
      <c r="C8332" s="6" t="str">
        <f>HYPERLINK("http://www.ncbi.nlm.nih.gov/protein/47059139","Ypel5")</f>
        <v>Ypel5</v>
      </c>
      <c r="D8332" s="8"/>
      <c r="E8332" s="8">
        <v>13711</v>
      </c>
      <c r="F8332" s="8"/>
      <c r="G8332" s="15" t="s">
        <v>10</v>
      </c>
      <c r="H8332" s="15" t="s">
        <v>10</v>
      </c>
      <c r="I8332" s="15">
        <v>1.0369624087050249</v>
      </c>
      <c r="J8332" s="15">
        <v>1.0369624087050249</v>
      </c>
      <c r="K8332" s="15">
        <v>1.085452735272449</v>
      </c>
      <c r="L8332" s="15">
        <v>1.085452735272449</v>
      </c>
      <c r="M8332" s="15">
        <v>1.085452735272449</v>
      </c>
      <c r="N8332" s="15">
        <v>1.085452735272449</v>
      </c>
      <c r="O8332" s="15">
        <v>0.99184646428118928</v>
      </c>
      <c r="P8332" s="15">
        <v>0.99184646428118928</v>
      </c>
      <c r="Q8332" s="8"/>
      <c r="R8332" s="9" t="s">
        <v>7814</v>
      </c>
    </row>
    <row r="8333" spans="1:18" x14ac:dyDescent="0.25">
      <c r="A8333" s="6" t="str">
        <f>HYPERLINK("proteomic_fractions_linear_files/Yang_linear_img/247494089.jpg", "247494089")</f>
        <v>247494089</v>
      </c>
      <c r="B8333" s="7"/>
      <c r="C8333" s="6" t="str">
        <f>HYPERLINK("http://www.ncbi.nlm.nih.gov/protein/247494089","Yrdc")</f>
        <v>Yrdc</v>
      </c>
      <c r="D8333" s="8"/>
      <c r="E8333" s="8">
        <v>23864</v>
      </c>
      <c r="F8333" s="8"/>
      <c r="G8333" s="15" t="s">
        <v>10</v>
      </c>
      <c r="H8333" s="15" t="s">
        <v>10</v>
      </c>
      <c r="I8333" s="15" t="s">
        <v>10</v>
      </c>
      <c r="J8333" s="15" t="s">
        <v>10</v>
      </c>
      <c r="K8333" s="15" t="s">
        <v>10</v>
      </c>
      <c r="L8333" s="15" t="s">
        <v>10</v>
      </c>
      <c r="M8333" s="15" t="s">
        <v>10</v>
      </c>
      <c r="N8333" s="15" t="s">
        <v>10</v>
      </c>
      <c r="O8333" s="15">
        <v>0.96289889061322687</v>
      </c>
      <c r="P8333" s="15">
        <v>0.96289889061322687</v>
      </c>
      <c r="Q8333" s="8"/>
      <c r="R8333" s="9" t="s">
        <v>7815</v>
      </c>
    </row>
    <row r="8334" spans="1:18" x14ac:dyDescent="0.25">
      <c r="A8334" s="6" t="str">
        <f>HYPERLINK("proteomic_fractions_linear_files/Yang_linear_img/30424609.jpg", "30424609")</f>
        <v>30424609</v>
      </c>
      <c r="B8334" s="7"/>
      <c r="C8334" s="6" t="str">
        <f>HYPERLINK("http://www.ncbi.nlm.nih.gov/protein/30424609","Ythdf1")</f>
        <v>Ythdf1</v>
      </c>
      <c r="D8334" s="8"/>
      <c r="E8334" s="8">
        <v>60748</v>
      </c>
      <c r="F8334" s="8"/>
      <c r="G8334" s="15" t="s">
        <v>10</v>
      </c>
      <c r="H8334" s="15" t="s">
        <v>10</v>
      </c>
      <c r="I8334" s="15">
        <v>1.0730043168941694</v>
      </c>
      <c r="J8334" s="15">
        <v>1.0730043168941694</v>
      </c>
      <c r="K8334" s="15">
        <v>1.2038714793718401</v>
      </c>
      <c r="L8334" s="15">
        <v>1.2038714793718401</v>
      </c>
      <c r="M8334" s="15">
        <v>0.40253804284060518</v>
      </c>
      <c r="N8334" s="15">
        <v>0.40253804284060518</v>
      </c>
      <c r="O8334" s="15" t="s">
        <v>10</v>
      </c>
      <c r="P8334" s="15" t="s">
        <v>10</v>
      </c>
      <c r="Q8334" s="8"/>
      <c r="R8334" s="9" t="s">
        <v>7816</v>
      </c>
    </row>
    <row r="8335" spans="1:18" x14ac:dyDescent="0.25">
      <c r="A8335" s="6" t="str">
        <f>HYPERLINK("proteomic_fractions_linear_files/Yang_linear_img/225543110.jpg", "225543110")</f>
        <v>225543110</v>
      </c>
      <c r="B8335" s="7"/>
      <c r="C8335" s="6" t="str">
        <f>HYPERLINK("http://www.ncbi.nlm.nih.gov/protein/225543110","Ythdf2")</f>
        <v>Ythdf2</v>
      </c>
      <c r="D8335" s="8"/>
      <c r="E8335" s="8">
        <v>62149</v>
      </c>
      <c r="F8335" s="8"/>
      <c r="G8335" s="15" t="s">
        <v>10</v>
      </c>
      <c r="H8335" s="15" t="s">
        <v>10</v>
      </c>
      <c r="I8335" s="15">
        <v>1.0556977956539408</v>
      </c>
      <c r="J8335" s="15">
        <v>1.0556977956539408</v>
      </c>
      <c r="K8335" s="15">
        <v>1.1844541974464877</v>
      </c>
      <c r="L8335" s="15">
        <v>1.1844541974464877</v>
      </c>
      <c r="M8335" s="15">
        <v>0.3960454937625309</v>
      </c>
      <c r="N8335" s="15">
        <v>0.3960454937625309</v>
      </c>
      <c r="O8335" s="15" t="s">
        <v>10</v>
      </c>
      <c r="P8335" s="15" t="s">
        <v>10</v>
      </c>
      <c r="Q8335" s="8"/>
      <c r="R8335" s="9" t="s">
        <v>7817</v>
      </c>
    </row>
    <row r="8336" spans="1:18" x14ac:dyDescent="0.25">
      <c r="A8336" s="6" t="str">
        <f>HYPERLINK("proteomic_fractions_linear_files/Yang_linear_img/225543495.jpg", "225543495")</f>
        <v>225543495</v>
      </c>
      <c r="B8336" s="7"/>
      <c r="C8336" s="6" t="str">
        <f>HYPERLINK("http://www.ncbi.nlm.nih.gov/protein/225543495","Ythdf3")</f>
        <v>Ythdf3</v>
      </c>
      <c r="D8336" s="8"/>
      <c r="E8336" s="8">
        <v>65262</v>
      </c>
      <c r="F8336" s="8"/>
      <c r="G8336" s="15" t="s">
        <v>10</v>
      </c>
      <c r="H8336" s="15" t="s">
        <v>10</v>
      </c>
      <c r="I8336" s="15">
        <v>1.1297870806412653</v>
      </c>
      <c r="J8336" s="15">
        <v>1.1297870806412653</v>
      </c>
      <c r="K8336" s="15">
        <v>1.1297870806412653</v>
      </c>
      <c r="L8336" s="15">
        <v>1.1297870806412653</v>
      </c>
      <c r="M8336" s="15">
        <v>1.1297870806412653</v>
      </c>
      <c r="N8336" s="15">
        <v>1.1297870806412653</v>
      </c>
      <c r="O8336" s="15" t="s">
        <v>10</v>
      </c>
      <c r="P8336" s="15" t="s">
        <v>10</v>
      </c>
      <c r="Q8336" s="8"/>
      <c r="R8336" s="9" t="s">
        <v>7818</v>
      </c>
    </row>
    <row r="8337" spans="1:18" x14ac:dyDescent="0.25">
      <c r="A8337" s="6" t="str">
        <f>HYPERLINK("proteomic_fractions_linear_files/Yang_linear_img/225543497.jpg", "225543497")</f>
        <v>225543497</v>
      </c>
      <c r="B8337" s="7"/>
      <c r="C8337" s="6" t="str">
        <f>HYPERLINK("http://www.ncbi.nlm.nih.gov/protein/225543497","Ythdf3")</f>
        <v>Ythdf3</v>
      </c>
      <c r="D8337" s="8"/>
      <c r="E8337" s="8">
        <v>63830</v>
      </c>
      <c r="F8337" s="8"/>
      <c r="G8337" s="15" t="s">
        <v>10</v>
      </c>
      <c r="H8337" s="15" t="s">
        <v>10</v>
      </c>
      <c r="I8337" s="15">
        <v>1.1474400037762851</v>
      </c>
      <c r="J8337" s="15">
        <v>1.1474400037762851</v>
      </c>
      <c r="K8337" s="15">
        <v>1.1474400037762851</v>
      </c>
      <c r="L8337" s="15">
        <v>1.1474400037762851</v>
      </c>
      <c r="M8337" s="15">
        <v>1.1474400037762851</v>
      </c>
      <c r="N8337" s="15">
        <v>1.1474400037762851</v>
      </c>
      <c r="O8337" s="15" t="s">
        <v>10</v>
      </c>
      <c r="P8337" s="15" t="s">
        <v>10</v>
      </c>
      <c r="Q8337" s="8"/>
      <c r="R8337" s="9" t="s">
        <v>7819</v>
      </c>
    </row>
    <row r="8338" spans="1:18" x14ac:dyDescent="0.25">
      <c r="A8338" s="6" t="str">
        <f>HYPERLINK("proteomic_fractions_linear_files/Yang_linear_img/31543974.jpg", "31543974")</f>
        <v>31543974</v>
      </c>
      <c r="B8338" s="7"/>
      <c r="C8338" s="6" t="str">
        <f>HYPERLINK("http://www.ncbi.nlm.nih.gov/protein/31543974","Ywhab")</f>
        <v>Ywhab</v>
      </c>
      <c r="D8338" s="8"/>
      <c r="E8338" s="8">
        <v>27955</v>
      </c>
      <c r="F8338" s="8"/>
      <c r="G8338" s="15">
        <v>1.3336188008258782</v>
      </c>
      <c r="H8338" s="15">
        <v>1.3336188008258782</v>
      </c>
      <c r="I8338" s="15">
        <v>0.93393778983660714</v>
      </c>
      <c r="J8338" s="15">
        <v>0.93393778983660714</v>
      </c>
      <c r="K8338" s="15">
        <v>0.93393778983660714</v>
      </c>
      <c r="L8338" s="15">
        <v>0.93393778983660714</v>
      </c>
      <c r="M8338" s="15">
        <v>0.93393778983660714</v>
      </c>
      <c r="N8338" s="15">
        <v>0.93393778983660714</v>
      </c>
      <c r="O8338" s="15">
        <v>0.77841936680995538</v>
      </c>
      <c r="P8338" s="15">
        <v>0.77841936680995538</v>
      </c>
      <c r="Q8338" s="8"/>
      <c r="R8338" s="9" t="s">
        <v>7820</v>
      </c>
    </row>
    <row r="8339" spans="1:18" x14ac:dyDescent="0.25">
      <c r="A8339" s="6" t="str">
        <f>HYPERLINK("proteomic_fractions_linear_files/Yang_linear_img/226874906.jpg", "226874906")</f>
        <v>226874906</v>
      </c>
      <c r="B8339" s="7"/>
      <c r="C8339" s="6" t="str">
        <f>HYPERLINK("http://www.ncbi.nlm.nih.gov/protein/226874906","Ywhae")</f>
        <v>Ywhae</v>
      </c>
      <c r="D8339" s="8"/>
      <c r="E8339" s="8">
        <v>29043</v>
      </c>
      <c r="F8339" s="8"/>
      <c r="G8339" s="15">
        <v>1.2876319456249858</v>
      </c>
      <c r="H8339" s="15">
        <v>1.2876319456249858</v>
      </c>
      <c r="I8339" s="15">
        <v>0.90173303846293107</v>
      </c>
      <c r="J8339" s="15">
        <v>0.90173303846293107</v>
      </c>
      <c r="K8339" s="15">
        <v>0.96269694129938133</v>
      </c>
      <c r="L8339" s="15">
        <v>0.96269694129938133</v>
      </c>
      <c r="M8339" s="15">
        <v>0.90173303846293107</v>
      </c>
      <c r="N8339" s="15">
        <v>0.90173303846293107</v>
      </c>
      <c r="O8339" s="15">
        <v>0.84671795218196266</v>
      </c>
      <c r="P8339" s="15">
        <v>0.84671795218196266</v>
      </c>
      <c r="Q8339" s="8"/>
      <c r="R8339" s="9" t="s">
        <v>7821</v>
      </c>
    </row>
    <row r="8340" spans="1:18" x14ac:dyDescent="0.25">
      <c r="A8340" s="6" t="str">
        <f>HYPERLINK("proteomic_fractions_linear_files/Yang_linear_img/31543976.jpg", "31543976")</f>
        <v>31543976</v>
      </c>
      <c r="B8340" s="7"/>
      <c r="C8340" s="6" t="str">
        <f>HYPERLINK("http://www.ncbi.nlm.nih.gov/protein/31543976","Ywhag")</f>
        <v>Ywhag</v>
      </c>
      <c r="D8340" s="8"/>
      <c r="E8340" s="8">
        <v>28172</v>
      </c>
      <c r="F8340" s="8"/>
      <c r="G8340" s="15">
        <v>1.3336188008258782</v>
      </c>
      <c r="H8340" s="15">
        <v>1.3336188008258782</v>
      </c>
      <c r="I8340" s="15">
        <v>0.93393778983660714</v>
      </c>
      <c r="J8340" s="15">
        <v>0.93393778983660714</v>
      </c>
      <c r="K8340" s="15">
        <v>0.93393778983660714</v>
      </c>
      <c r="L8340" s="15">
        <v>0.93393778983660714</v>
      </c>
      <c r="M8340" s="15">
        <v>0.93393778983660714</v>
      </c>
      <c r="N8340" s="15">
        <v>0.93393778983660714</v>
      </c>
      <c r="O8340" s="15">
        <v>0.87695787904560418</v>
      </c>
      <c r="P8340" s="15">
        <v>0.87695787904560418</v>
      </c>
      <c r="Q8340" s="8"/>
      <c r="R8340" s="9" t="s">
        <v>7822</v>
      </c>
    </row>
    <row r="8341" spans="1:18" x14ac:dyDescent="0.25">
      <c r="A8341" s="6" t="str">
        <f>HYPERLINK("proteomic_fractions_linear_files/Yang_linear_img/6756037.jpg", "6756037")</f>
        <v>6756037</v>
      </c>
      <c r="B8341" s="7"/>
      <c r="C8341" s="6" t="str">
        <f>HYPERLINK("http://www.ncbi.nlm.nih.gov/protein/6756037","Ywhah")</f>
        <v>Ywhah</v>
      </c>
      <c r="D8341" s="8"/>
      <c r="E8341" s="8">
        <v>28081</v>
      </c>
      <c r="F8341" s="8"/>
      <c r="G8341" s="15">
        <v>1.3336188008258782</v>
      </c>
      <c r="H8341" s="15">
        <v>1.3336188008258782</v>
      </c>
      <c r="I8341" s="15">
        <v>0.93393778983660714</v>
      </c>
      <c r="J8341" s="15">
        <v>0.93393778983660714</v>
      </c>
      <c r="K8341" s="15">
        <v>0.93393778983660714</v>
      </c>
      <c r="L8341" s="15">
        <v>0.93393778983660714</v>
      </c>
      <c r="M8341" s="15">
        <v>0.93393778983660714</v>
      </c>
      <c r="N8341" s="15">
        <v>0.93393778983660714</v>
      </c>
      <c r="O8341" s="15">
        <v>0.82534190623990877</v>
      </c>
      <c r="P8341" s="15">
        <v>0.82534190623990877</v>
      </c>
      <c r="Q8341" s="8"/>
      <c r="R8341" s="9" t="s">
        <v>7823</v>
      </c>
    </row>
    <row r="8342" spans="1:18" x14ac:dyDescent="0.25">
      <c r="A8342" s="6" t="str">
        <f>HYPERLINK("proteomic_fractions_linear_files/Yang_linear_img/6756039.jpg", "6756039")</f>
        <v>6756039</v>
      </c>
      <c r="B8342" s="7"/>
      <c r="C8342" s="6" t="str">
        <f>HYPERLINK("http://www.ncbi.nlm.nih.gov/protein/6756039","Ywhaq")</f>
        <v>Ywhaq</v>
      </c>
      <c r="D8342" s="8"/>
      <c r="E8342" s="8">
        <v>27647</v>
      </c>
      <c r="F8342" s="8"/>
      <c r="G8342" s="15">
        <v>1.3336188008258782</v>
      </c>
      <c r="H8342" s="15">
        <v>1.3336188008258782</v>
      </c>
      <c r="I8342" s="15">
        <v>0.93393778983660714</v>
      </c>
      <c r="J8342" s="15">
        <v>0.93393778983660714</v>
      </c>
      <c r="K8342" s="15">
        <v>0.93393778983660714</v>
      </c>
      <c r="L8342" s="15">
        <v>0.93393778983660714</v>
      </c>
      <c r="M8342" s="15">
        <v>0.93393778983660714</v>
      </c>
      <c r="N8342" s="15">
        <v>0.93393778983660714</v>
      </c>
      <c r="O8342" s="15">
        <v>0.87695787904560418</v>
      </c>
      <c r="P8342" s="15">
        <v>0.87695787904560418</v>
      </c>
      <c r="Q8342" s="8"/>
      <c r="R8342" s="9" t="s">
        <v>7824</v>
      </c>
    </row>
    <row r="8343" spans="1:18" x14ac:dyDescent="0.25">
      <c r="A8343" s="6" t="str">
        <f>HYPERLINK("proteomic_fractions_linear_files/Yang_linear_img/6756041;359385698.jpg", "6756041;359385698")</f>
        <v>6756041;359385698</v>
      </c>
      <c r="B8343" s="8"/>
      <c r="C8343" s="6" t="str">
        <f>HYPERLINK("http://www.ncbi.nlm.nih.gov/protein/6756041;359385698","Ywhaz")</f>
        <v>Ywhaz</v>
      </c>
      <c r="D8343" s="8"/>
      <c r="E8343" s="8">
        <v>27640</v>
      </c>
      <c r="F8343" s="8"/>
      <c r="G8343" s="15">
        <v>1.3336188008258782</v>
      </c>
      <c r="H8343" s="15">
        <v>1.3336188008258782</v>
      </c>
      <c r="I8343" s="15" t="s">
        <v>10</v>
      </c>
      <c r="J8343" s="15" t="s">
        <v>10</v>
      </c>
      <c r="K8343" s="15" t="s">
        <v>10</v>
      </c>
      <c r="L8343" s="15" t="s">
        <v>10</v>
      </c>
      <c r="M8343" s="15" t="s">
        <v>10</v>
      </c>
      <c r="N8343" s="15" t="s">
        <v>10</v>
      </c>
      <c r="O8343" s="15" t="s">
        <v>10</v>
      </c>
      <c r="P8343" s="15" t="s">
        <v>10</v>
      </c>
      <c r="Q8343" s="8"/>
      <c r="R8343" s="9" t="s">
        <v>7825</v>
      </c>
    </row>
    <row r="8344" spans="1:18" x14ac:dyDescent="0.25">
      <c r="A8344" s="6" t="str">
        <f>HYPERLINK("proteomic_fractions_linear_files/Yang_linear_img/359385696;359385698.jpg", "359385696;359385698")</f>
        <v>359385696;359385698</v>
      </c>
      <c r="B8344" s="8"/>
      <c r="C8344" s="6" t="str">
        <f>HYPERLINK("http://www.ncbi.nlm.nih.gov/protein/359385696;359385698","Ywhaz")</f>
        <v>Ywhaz</v>
      </c>
      <c r="D8344" s="8"/>
      <c r="E8344" s="8">
        <v>27640</v>
      </c>
      <c r="F8344" s="8"/>
      <c r="G8344" s="15" t="s">
        <v>10</v>
      </c>
      <c r="H8344" s="15" t="s">
        <v>10</v>
      </c>
      <c r="I8344" s="15">
        <v>0.93393778983660714</v>
      </c>
      <c r="J8344" s="15">
        <v>0.93393778983660714</v>
      </c>
      <c r="K8344" s="15">
        <v>0.93393778983660714</v>
      </c>
      <c r="L8344" s="15">
        <v>0.93393778983660714</v>
      </c>
      <c r="M8344" s="15">
        <v>0.93393778983660714</v>
      </c>
      <c r="N8344" s="15">
        <v>0.93393778983660714</v>
      </c>
      <c r="O8344" s="15">
        <v>0.77841936680995538</v>
      </c>
      <c r="P8344" s="15">
        <v>0.77841936680995538</v>
      </c>
      <c r="Q8344" s="8"/>
      <c r="R8344" s="9" t="s">
        <v>7825</v>
      </c>
    </row>
    <row r="8345" spans="1:18" x14ac:dyDescent="0.25">
      <c r="A8345" s="6" t="str">
        <f>HYPERLINK("proteomic_fractions_linear_files/Yang_linear_img/359385700.jpg", "359385700")</f>
        <v>359385700</v>
      </c>
      <c r="B8345" s="7"/>
      <c r="C8345" s="6" t="str">
        <f>HYPERLINK("http://www.ncbi.nlm.nih.gov/protein/359385700","Ywhaz")</f>
        <v>Ywhaz</v>
      </c>
      <c r="D8345" s="8"/>
      <c r="E8345" s="8">
        <v>25163</v>
      </c>
      <c r="F8345" s="8"/>
      <c r="G8345" s="15">
        <v>1.4936530569249837</v>
      </c>
      <c r="H8345" s="15">
        <v>1.4936530569249837</v>
      </c>
      <c r="I8345" s="15">
        <v>1.0460103246170001</v>
      </c>
      <c r="J8345" s="15">
        <v>1.0460103246170001</v>
      </c>
      <c r="K8345" s="15">
        <v>1.0460103246170001</v>
      </c>
      <c r="L8345" s="15">
        <v>1.0460103246170001</v>
      </c>
      <c r="M8345" s="15">
        <v>1.0460103246170001</v>
      </c>
      <c r="N8345" s="15">
        <v>1.0460103246170001</v>
      </c>
      <c r="O8345" s="15">
        <v>0.87182969082715001</v>
      </c>
      <c r="P8345" s="15">
        <v>0.87182969082715001</v>
      </c>
      <c r="Q8345" s="8"/>
      <c r="R8345" s="9" t="s">
        <v>7826</v>
      </c>
    </row>
    <row r="8346" spans="1:18" x14ac:dyDescent="0.25">
      <c r="A8346" s="6" t="str">
        <f>HYPERLINK("proteomic_fractions_linear_files/Yang_linear_img/31982421.jpg", "31982421")</f>
        <v>31982421</v>
      </c>
      <c r="B8346" s="7"/>
      <c r="C8346" s="6" t="str">
        <f>HYPERLINK("http://www.ncbi.nlm.nih.gov/protein/31982421","Yy1")</f>
        <v>Yy1</v>
      </c>
      <c r="D8346" s="8"/>
      <c r="E8346" s="8">
        <v>44586</v>
      </c>
      <c r="F8346" s="8"/>
      <c r="G8346" s="15" t="s">
        <v>10</v>
      </c>
      <c r="H8346" s="15" t="s">
        <v>10</v>
      </c>
      <c r="I8346" s="15" t="s">
        <v>10</v>
      </c>
      <c r="J8346" s="15" t="s">
        <v>10</v>
      </c>
      <c r="K8346" s="15" t="s">
        <v>10</v>
      </c>
      <c r="L8346" s="15" t="s">
        <v>10</v>
      </c>
      <c r="M8346" s="15">
        <v>1.4545169629009851</v>
      </c>
      <c r="N8346" s="15">
        <v>1.4545169629009851</v>
      </c>
      <c r="O8346" s="15" t="s">
        <v>10</v>
      </c>
      <c r="P8346" s="15" t="s">
        <v>10</v>
      </c>
      <c r="Q8346" s="8"/>
      <c r="R8346" s="9" t="s">
        <v>7827</v>
      </c>
    </row>
    <row r="8347" spans="1:18" x14ac:dyDescent="0.25">
      <c r="A8347" s="6" t="str">
        <f>HYPERLINK("proteomic_fractions_linear_files/Yang_linear_img/31559926.jpg", "31559926")</f>
        <v>31559926</v>
      </c>
      <c r="B8347" s="7"/>
      <c r="C8347" s="6" t="str">
        <f>HYPERLINK("http://www.ncbi.nlm.nih.gov/protein/31559926","Zadh2")</f>
        <v>Zadh2</v>
      </c>
      <c r="D8347" s="8"/>
      <c r="E8347" s="8">
        <v>40398</v>
      </c>
      <c r="F8347" s="8"/>
      <c r="G8347" s="15" t="s">
        <v>10</v>
      </c>
      <c r="H8347" s="15" t="s">
        <v>10</v>
      </c>
      <c r="I8347" s="15">
        <v>0.93353316057811475</v>
      </c>
      <c r="J8347" s="15">
        <v>0.93353316057811475</v>
      </c>
      <c r="K8347" s="15">
        <v>0.93353316057811475</v>
      </c>
      <c r="L8347" s="15">
        <v>0.93353316057811475</v>
      </c>
      <c r="M8347" s="15" t="s">
        <v>10</v>
      </c>
      <c r="N8347" s="15" t="s">
        <v>10</v>
      </c>
      <c r="O8347" s="15" t="s">
        <v>10</v>
      </c>
      <c r="P8347" s="15" t="s">
        <v>10</v>
      </c>
      <c r="Q8347" s="8"/>
      <c r="R8347" s="9" t="s">
        <v>7828</v>
      </c>
    </row>
    <row r="8348" spans="1:18" x14ac:dyDescent="0.25">
      <c r="A8348" s="6" t="str">
        <f>HYPERLINK("proteomic_fractions_linear_files/Yang_linear_img/12746436.jpg", "12746436")</f>
        <v>12746436</v>
      </c>
      <c r="B8348" s="7"/>
      <c r="C8348" s="6" t="str">
        <f>HYPERLINK("http://www.ncbi.nlm.nih.gov/protein/12746436","Zak")</f>
        <v>Zak</v>
      </c>
      <c r="D8348" s="8"/>
      <c r="E8348" s="8">
        <v>91589</v>
      </c>
      <c r="F8348" s="8"/>
      <c r="G8348" s="15" t="s">
        <v>10</v>
      </c>
      <c r="H8348" s="15" t="s">
        <v>10</v>
      </c>
      <c r="I8348" s="15" t="s">
        <v>10</v>
      </c>
      <c r="J8348" s="15" t="s">
        <v>10</v>
      </c>
      <c r="K8348" s="15">
        <v>1.0322606650280925</v>
      </c>
      <c r="L8348" s="15">
        <v>1.0322606650280925</v>
      </c>
      <c r="M8348" s="15" t="s">
        <v>10</v>
      </c>
      <c r="N8348" s="15" t="s">
        <v>10</v>
      </c>
      <c r="O8348" s="15" t="s">
        <v>10</v>
      </c>
      <c r="P8348" s="15" t="s">
        <v>10</v>
      </c>
      <c r="Q8348" s="8"/>
      <c r="R8348" s="9" t="s">
        <v>7829</v>
      </c>
    </row>
    <row r="8349" spans="1:18" x14ac:dyDescent="0.25">
      <c r="A8349" s="6" t="str">
        <f>HYPERLINK("proteomic_fractions_linear_files/Yang_linear_img/256665241.jpg", "256665241")</f>
        <v>256665241</v>
      </c>
      <c r="B8349" s="7"/>
      <c r="C8349" s="6" t="str">
        <f>HYPERLINK("http://www.ncbi.nlm.nih.gov/protein/256665241","Zan")</f>
        <v>Zan</v>
      </c>
      <c r="D8349" s="8"/>
      <c r="E8349" s="8">
        <v>582848</v>
      </c>
      <c r="F8349" s="8"/>
      <c r="G8349" s="15">
        <v>9.1115899879933238E-2</v>
      </c>
      <c r="H8349" s="15">
        <v>9.1115899879933238E-2</v>
      </c>
      <c r="I8349" s="15" t="s">
        <v>10</v>
      </c>
      <c r="J8349" s="15" t="s">
        <v>10</v>
      </c>
      <c r="K8349" s="15">
        <v>6.9480820245665084E-2</v>
      </c>
      <c r="L8349" s="15">
        <v>6.9480820245665084E-2</v>
      </c>
      <c r="M8349" s="15">
        <v>6.4050302612563628E-2</v>
      </c>
      <c r="N8349" s="15">
        <v>6.4050302612563628E-2</v>
      </c>
      <c r="O8349" s="15" t="s">
        <v>10</v>
      </c>
      <c r="P8349" s="15" t="s">
        <v>10</v>
      </c>
      <c r="Q8349" s="8"/>
      <c r="R8349" s="9" t="s">
        <v>7830</v>
      </c>
    </row>
    <row r="8350" spans="1:18" x14ac:dyDescent="0.25">
      <c r="A8350" s="6" t="str">
        <f>HYPERLINK("proteomic_fractions_linear_files/Yang_linear_img/31088890.jpg", "31088890")</f>
        <v>31088890</v>
      </c>
      <c r="B8350" s="7"/>
      <c r="C8350" s="6" t="str">
        <f>HYPERLINK("http://www.ncbi.nlm.nih.gov/protein/31088890","Zbed4")</f>
        <v>Zbed4</v>
      </c>
      <c r="D8350" s="8"/>
      <c r="E8350" s="8">
        <v>130271</v>
      </c>
      <c r="F8350" s="8"/>
      <c r="G8350" s="15" t="s">
        <v>10</v>
      </c>
      <c r="H8350" s="15" t="s">
        <v>10</v>
      </c>
      <c r="I8350" s="15" t="s">
        <v>10</v>
      </c>
      <c r="J8350" s="15" t="s">
        <v>10</v>
      </c>
      <c r="K8350" s="15">
        <v>2.3214101895115289</v>
      </c>
      <c r="L8350" s="15">
        <v>2.3214101895115289</v>
      </c>
      <c r="M8350" s="15">
        <v>0.50348664100418716</v>
      </c>
      <c r="N8350" s="15">
        <v>0.50348664100418716</v>
      </c>
      <c r="O8350" s="15" t="s">
        <v>10</v>
      </c>
      <c r="P8350" s="15" t="s">
        <v>10</v>
      </c>
      <c r="Q8350" s="8"/>
      <c r="R8350" s="9" t="s">
        <v>7831</v>
      </c>
    </row>
    <row r="8351" spans="1:18" x14ac:dyDescent="0.25">
      <c r="A8351" s="6" t="str">
        <f>HYPERLINK("proteomic_fractions_linear_files/Yang_linear_img/258645088.jpg", "258645088")</f>
        <v>258645088</v>
      </c>
      <c r="B8351" s="7"/>
      <c r="C8351" s="6" t="str">
        <f>HYPERLINK("http://www.ncbi.nlm.nih.gov/protein/258645088","Zbtb11")</f>
        <v>Zbtb11</v>
      </c>
      <c r="D8351" s="8"/>
      <c r="E8351" s="8">
        <v>118436</v>
      </c>
      <c r="F8351" s="8"/>
      <c r="G8351" s="15" t="s">
        <v>10</v>
      </c>
      <c r="H8351" s="15" t="s">
        <v>10</v>
      </c>
      <c r="I8351" s="15" t="s">
        <v>10</v>
      </c>
      <c r="J8351" s="15" t="s">
        <v>10</v>
      </c>
      <c r="K8351" s="15" t="s">
        <v>10</v>
      </c>
      <c r="L8351" s="15" t="s">
        <v>10</v>
      </c>
      <c r="M8351" s="15">
        <v>1.5827612850842403</v>
      </c>
      <c r="N8351" s="15">
        <v>1.5827612850842403</v>
      </c>
      <c r="O8351" s="15" t="s">
        <v>10</v>
      </c>
      <c r="P8351" s="15" t="s">
        <v>10</v>
      </c>
      <c r="Q8351" s="8"/>
      <c r="R8351" s="9" t="s">
        <v>7832</v>
      </c>
    </row>
    <row r="8352" spans="1:18" x14ac:dyDescent="0.25">
      <c r="A8352" s="6" t="str">
        <f>HYPERLINK("proteomic_fractions_linear_files/Yang_linear_img/21746142.jpg", "21746142")</f>
        <v>21746142</v>
      </c>
      <c r="B8352" s="7"/>
      <c r="C8352" s="6" t="str">
        <f>HYPERLINK("http://www.ncbi.nlm.nih.gov/protein/21746142","Zbtb8os")</f>
        <v>Zbtb8os</v>
      </c>
      <c r="D8352" s="8"/>
      <c r="E8352" s="8">
        <v>19449</v>
      </c>
      <c r="F8352" s="8"/>
      <c r="G8352" s="15" t="s">
        <v>10</v>
      </c>
      <c r="H8352" s="15" t="s">
        <v>10</v>
      </c>
      <c r="I8352" s="15">
        <v>1.0263763067386986</v>
      </c>
      <c r="J8352" s="15">
        <v>1.0263763067386986</v>
      </c>
      <c r="K8352" s="15">
        <v>1.0263763067386986</v>
      </c>
      <c r="L8352" s="15">
        <v>1.0263763067386986</v>
      </c>
      <c r="M8352" s="15" t="s">
        <v>10</v>
      </c>
      <c r="N8352" s="15" t="s">
        <v>10</v>
      </c>
      <c r="O8352" s="15">
        <v>1.0840758519292775</v>
      </c>
      <c r="P8352" s="15">
        <v>1.0263763067386986</v>
      </c>
      <c r="Q8352" s="8"/>
      <c r="R8352" s="9" t="s">
        <v>7833</v>
      </c>
    </row>
    <row r="8353" spans="1:18" x14ac:dyDescent="0.25">
      <c r="A8353" s="6" t="str">
        <f>HYPERLINK("proteomic_fractions_linear_files/Yang_linear_img/27502351.jpg", "27502351")</f>
        <v>27502351</v>
      </c>
      <c r="B8353" s="7"/>
      <c r="C8353" s="6" t="str">
        <f>HYPERLINK("http://www.ncbi.nlm.nih.gov/protein/27502351","Zc2hc1a")</f>
        <v>Zc2hc1a</v>
      </c>
      <c r="D8353" s="8"/>
      <c r="E8353" s="8">
        <v>35021</v>
      </c>
      <c r="F8353" s="8"/>
      <c r="G8353" s="15" t="s">
        <v>10</v>
      </c>
      <c r="H8353" s="15" t="s">
        <v>10</v>
      </c>
      <c r="I8353" s="15" t="s">
        <v>10</v>
      </c>
      <c r="J8353" s="15" t="s">
        <v>10</v>
      </c>
      <c r="K8353" s="15" t="s">
        <v>10</v>
      </c>
      <c r="L8353" s="15" t="s">
        <v>10</v>
      </c>
      <c r="M8353" s="15" t="s">
        <v>10</v>
      </c>
      <c r="N8353" s="15" t="s">
        <v>10</v>
      </c>
      <c r="O8353" s="15">
        <v>0.34951032263803877</v>
      </c>
      <c r="P8353" s="15">
        <v>0.34951032263803877</v>
      </c>
      <c r="Q8353" s="8"/>
      <c r="R8353" s="9" t="s">
        <v>7834</v>
      </c>
    </row>
    <row r="8354" spans="1:18" x14ac:dyDescent="0.25">
      <c r="A8354" s="6" t="str">
        <f>HYPERLINK("proteomic_fractions_linear_files/Yang_linear_img/115270986.jpg", "115270986")</f>
        <v>115270986</v>
      </c>
      <c r="B8354" s="7"/>
      <c r="C8354" s="6" t="str">
        <f>HYPERLINK("http://www.ncbi.nlm.nih.gov/protein/115270986","Zc3h11a")</f>
        <v>Zc3h11a</v>
      </c>
      <c r="D8354" s="8"/>
      <c r="E8354" s="8">
        <v>86361</v>
      </c>
      <c r="F8354" s="8"/>
      <c r="G8354" s="15">
        <v>1.784335710886533</v>
      </c>
      <c r="H8354" s="15">
        <v>1.784335710886533</v>
      </c>
      <c r="I8354" s="15" t="s">
        <v>10</v>
      </c>
      <c r="J8354" s="15" t="s">
        <v>10</v>
      </c>
      <c r="K8354" s="15">
        <v>1.4967631179664764</v>
      </c>
      <c r="L8354" s="15">
        <v>1.4967631179664764</v>
      </c>
      <c r="M8354" s="15" t="s">
        <v>10</v>
      </c>
      <c r="N8354" s="15" t="s">
        <v>10</v>
      </c>
      <c r="O8354" s="15" t="s">
        <v>10</v>
      </c>
      <c r="P8354" s="15" t="s">
        <v>10</v>
      </c>
      <c r="Q8354" s="8"/>
      <c r="R8354" s="9" t="s">
        <v>7835</v>
      </c>
    </row>
    <row r="8355" spans="1:18" x14ac:dyDescent="0.25">
      <c r="A8355" s="6" t="str">
        <f>HYPERLINK("proteomic_fractions_linear_files/Yang_linear_img/231570586.jpg", "231570586")</f>
        <v>231570586</v>
      </c>
      <c r="B8355" s="7"/>
      <c r="C8355" s="6" t="str">
        <f>HYPERLINK("http://www.ncbi.nlm.nih.gov/protein/231570586","Zc3h14")</f>
        <v>Zc3h14</v>
      </c>
      <c r="D8355" s="8"/>
      <c r="E8355" s="8">
        <v>82278</v>
      </c>
      <c r="F8355" s="8"/>
      <c r="G8355" s="15">
        <v>0.58890214127335672</v>
      </c>
      <c r="H8355" s="15">
        <v>0.58890214127335672</v>
      </c>
      <c r="I8355" s="15" t="s">
        <v>10</v>
      </c>
      <c r="J8355" s="15" t="s">
        <v>10</v>
      </c>
      <c r="K8355" s="15" t="s">
        <v>10</v>
      </c>
      <c r="L8355" s="15" t="s">
        <v>10</v>
      </c>
      <c r="M8355" s="15" t="s">
        <v>10</v>
      </c>
      <c r="N8355" s="15" t="s">
        <v>10</v>
      </c>
      <c r="O8355" s="15" t="s">
        <v>10</v>
      </c>
      <c r="P8355" s="15" t="s">
        <v>10</v>
      </c>
      <c r="Q8355" s="8"/>
      <c r="R8355" s="9" t="s">
        <v>7836</v>
      </c>
    </row>
    <row r="8356" spans="1:18" x14ac:dyDescent="0.25">
      <c r="A8356" s="6" t="str">
        <f>HYPERLINK("proteomic_fractions_linear_files/Yang_linear_img/34368584.jpg", "34368584")</f>
        <v>34368584</v>
      </c>
      <c r="B8356" s="7"/>
      <c r="C8356" s="6" t="str">
        <f>HYPERLINK("http://www.ncbi.nlm.nih.gov/protein/34368584","Zc3h15")</f>
        <v>Zc3h15</v>
      </c>
      <c r="D8356" s="8"/>
      <c r="E8356" s="8">
        <v>48196</v>
      </c>
      <c r="F8356" s="8"/>
      <c r="G8356" s="15" t="s">
        <v>10</v>
      </c>
      <c r="H8356" s="15" t="s">
        <v>10</v>
      </c>
      <c r="I8356" s="15">
        <v>1.2244418246998718</v>
      </c>
      <c r="J8356" s="15">
        <v>1.2244418246998718</v>
      </c>
      <c r="K8356" s="15">
        <v>1.3636096527196735</v>
      </c>
      <c r="L8356" s="15">
        <v>1.3636096527196735</v>
      </c>
      <c r="M8356" s="15">
        <v>1.3636096527196735</v>
      </c>
      <c r="N8356" s="15">
        <v>1.3636096527196735</v>
      </c>
      <c r="O8356" s="15">
        <v>1.2244418246998718</v>
      </c>
      <c r="P8356" s="15">
        <v>1.2244418246998718</v>
      </c>
      <c r="Q8356" s="8"/>
      <c r="R8356" s="9" t="s">
        <v>7837</v>
      </c>
    </row>
    <row r="8357" spans="1:18" x14ac:dyDescent="0.25">
      <c r="A8357" s="6" t="str">
        <f>HYPERLINK("proteomic_fractions_linear_files/Yang_linear_img/71725355.jpg", "71725355")</f>
        <v>71725355</v>
      </c>
      <c r="B8357" s="7"/>
      <c r="C8357" s="6" t="str">
        <f>HYPERLINK("http://www.ncbi.nlm.nih.gov/protein/71725355","Zc3h18")</f>
        <v>Zc3h18</v>
      </c>
      <c r="D8357" s="8"/>
      <c r="E8357" s="8">
        <v>105563</v>
      </c>
      <c r="F8357" s="8"/>
      <c r="G8357" s="15">
        <v>1.7619418079239657</v>
      </c>
      <c r="H8357" s="15">
        <v>1.7619418079239657</v>
      </c>
      <c r="I8357" s="15">
        <v>56.538679245283021</v>
      </c>
      <c r="J8357" s="15">
        <v>56.538679245283021</v>
      </c>
      <c r="K8357" s="15" t="s">
        <v>10</v>
      </c>
      <c r="L8357" s="15" t="s">
        <v>10</v>
      </c>
      <c r="M8357" s="15">
        <v>56.538679245283021</v>
      </c>
      <c r="N8357" s="15">
        <v>56.538679245283021</v>
      </c>
      <c r="O8357" s="15" t="s">
        <v>10</v>
      </c>
      <c r="P8357" s="15" t="s">
        <v>10</v>
      </c>
      <c r="Q8357" s="8"/>
      <c r="R8357" s="9" t="s">
        <v>7838</v>
      </c>
    </row>
    <row r="8358" spans="1:18" x14ac:dyDescent="0.25">
      <c r="A8358" s="6" t="str">
        <f>HYPERLINK("proteomic_fractions_linear_files/Yang_linear_img/71979671.jpg", "71979671")</f>
        <v>71979671</v>
      </c>
      <c r="B8358" s="7"/>
      <c r="C8358" s="6" t="str">
        <f>HYPERLINK("http://www.ncbi.nlm.nih.gov/protein/71979671","Zc3h18")</f>
        <v>Zc3h18</v>
      </c>
      <c r="D8358" s="8"/>
      <c r="E8358" s="8">
        <v>108100</v>
      </c>
      <c r="F8358" s="8"/>
      <c r="G8358" s="15">
        <v>1.7293132559253737</v>
      </c>
      <c r="H8358" s="15">
        <v>1.7293132559253737</v>
      </c>
      <c r="I8358" s="15">
        <v>55.491666666666667</v>
      </c>
      <c r="J8358" s="15">
        <v>55.491666666666667</v>
      </c>
      <c r="K8358" s="15" t="s">
        <v>10</v>
      </c>
      <c r="L8358" s="15" t="s">
        <v>10</v>
      </c>
      <c r="M8358" s="15">
        <v>55.491666666666667</v>
      </c>
      <c r="N8358" s="15">
        <v>55.491666666666667</v>
      </c>
      <c r="O8358" s="15" t="s">
        <v>10</v>
      </c>
      <c r="P8358" s="15" t="s">
        <v>10</v>
      </c>
      <c r="Q8358" s="8"/>
      <c r="R8358" s="9" t="s">
        <v>7839</v>
      </c>
    </row>
    <row r="8359" spans="1:18" x14ac:dyDescent="0.25">
      <c r="A8359" s="6" t="str">
        <f>HYPERLINK("proteomic_fractions_linear_files/Yang_linear_img/156717216.jpg", "156717216")</f>
        <v>156717216</v>
      </c>
      <c r="B8359" s="7"/>
      <c r="C8359" s="6" t="str">
        <f>HYPERLINK("http://www.ncbi.nlm.nih.gov/protein/156717216","Zc3h6")</f>
        <v>Zc3h6</v>
      </c>
      <c r="D8359" s="8"/>
      <c r="E8359" s="8">
        <v>131132</v>
      </c>
      <c r="F8359" s="8"/>
      <c r="G8359" s="15" t="s">
        <v>10</v>
      </c>
      <c r="H8359" s="15" t="s">
        <v>10</v>
      </c>
      <c r="I8359" s="15" t="s">
        <v>10</v>
      </c>
      <c r="J8359" s="15" t="s">
        <v>10</v>
      </c>
      <c r="K8359" s="15" t="s">
        <v>10</v>
      </c>
      <c r="L8359" s="15" t="s">
        <v>10</v>
      </c>
      <c r="M8359" s="15">
        <v>0.11082041009061334</v>
      </c>
      <c r="N8359" s="15">
        <v>0.11082041009061334</v>
      </c>
      <c r="O8359" s="15" t="s">
        <v>10</v>
      </c>
      <c r="P8359" s="15" t="s">
        <v>10</v>
      </c>
      <c r="Q8359" s="8"/>
      <c r="R8359" s="9" t="s">
        <v>7840</v>
      </c>
    </row>
    <row r="8360" spans="1:18" x14ac:dyDescent="0.25">
      <c r="A8360" s="6" t="str">
        <f>HYPERLINK("proteomic_fractions_linear_files/Yang_linear_img/226958485.jpg", "226958485")</f>
        <v>226958485</v>
      </c>
      <c r="B8360" s="7"/>
      <c r="C8360" s="6" t="str">
        <f>HYPERLINK("http://www.ncbi.nlm.nih.gov/protein/226958485","Zc3h7a")</f>
        <v>Zc3h7a</v>
      </c>
      <c r="D8360" s="8"/>
      <c r="E8360" s="8">
        <v>110662</v>
      </c>
      <c r="F8360" s="8"/>
      <c r="G8360" s="15" t="s">
        <v>10</v>
      </c>
      <c r="H8360" s="15" t="s">
        <v>10</v>
      </c>
      <c r="I8360" s="15" t="s">
        <v>10</v>
      </c>
      <c r="J8360" s="15" t="s">
        <v>10</v>
      </c>
      <c r="K8360" s="15">
        <v>1.1596543076136663</v>
      </c>
      <c r="L8360" s="15">
        <v>1.1596543076136663</v>
      </c>
      <c r="M8360" s="15" t="s">
        <v>10</v>
      </c>
      <c r="N8360" s="15" t="s">
        <v>10</v>
      </c>
      <c r="O8360" s="15" t="s">
        <v>10</v>
      </c>
      <c r="P8360" s="15" t="s">
        <v>10</v>
      </c>
      <c r="Q8360" s="8"/>
      <c r="R8360" s="9" t="s">
        <v>7841</v>
      </c>
    </row>
    <row r="8361" spans="1:18" x14ac:dyDescent="0.25">
      <c r="A8361" s="6" t="str">
        <f>HYPERLINK("proteomic_fractions_linear_files/Yang_linear_img/124486616.jpg", "124486616")</f>
        <v>124486616</v>
      </c>
      <c r="B8361" s="7"/>
      <c r="C8361" s="6" t="str">
        <f>HYPERLINK("http://www.ncbi.nlm.nih.gov/protein/124486616","Zc3h7b")</f>
        <v>Zc3h7b</v>
      </c>
      <c r="D8361" s="8"/>
      <c r="E8361" s="8">
        <v>110162</v>
      </c>
      <c r="F8361" s="8"/>
      <c r="G8361" s="15" t="s">
        <v>10</v>
      </c>
      <c r="H8361" s="15" t="s">
        <v>10</v>
      </c>
      <c r="I8361" s="15" t="s">
        <v>10</v>
      </c>
      <c r="J8361" s="15" t="s">
        <v>10</v>
      </c>
      <c r="K8361" s="15">
        <v>1.3950261012385621</v>
      </c>
      <c r="L8361" s="15">
        <v>1.3950261012385621</v>
      </c>
      <c r="M8361" s="15">
        <v>1.3950261012385621</v>
      </c>
      <c r="N8361" s="15">
        <v>1.3950261012385621</v>
      </c>
      <c r="O8361" s="15" t="s">
        <v>10</v>
      </c>
      <c r="P8361" s="15" t="s">
        <v>10</v>
      </c>
      <c r="Q8361" s="8"/>
      <c r="R8361" s="9" t="s">
        <v>7842</v>
      </c>
    </row>
    <row r="8362" spans="1:18" x14ac:dyDescent="0.25">
      <c r="A8362" s="6" t="str">
        <f>HYPERLINK("proteomic_fractions_linear_files/Yang_linear_img/85719326.jpg", "85719326")</f>
        <v>85719326</v>
      </c>
      <c r="B8362" s="7"/>
      <c r="C8362" s="6" t="str">
        <f>HYPERLINK("http://www.ncbi.nlm.nih.gov/protein/85719326","Zc3h8")</f>
        <v>Zc3h8</v>
      </c>
      <c r="D8362" s="8"/>
      <c r="E8362" s="8">
        <v>34782</v>
      </c>
      <c r="F8362" s="8"/>
      <c r="G8362" s="15" t="s">
        <v>10</v>
      </c>
      <c r="H8362" s="15" t="s">
        <v>10</v>
      </c>
      <c r="I8362" s="15" t="s">
        <v>10</v>
      </c>
      <c r="J8362" s="15" t="s">
        <v>10</v>
      </c>
      <c r="K8362" s="15">
        <v>1.1573519486635071</v>
      </c>
      <c r="L8362" s="15">
        <v>1.1573519486635071</v>
      </c>
      <c r="M8362" s="15" t="s">
        <v>10</v>
      </c>
      <c r="N8362" s="15" t="s">
        <v>10</v>
      </c>
      <c r="O8362" s="15" t="s">
        <v>10</v>
      </c>
      <c r="P8362" s="15" t="s">
        <v>10</v>
      </c>
      <c r="Q8362" s="8"/>
      <c r="R8362" s="9" t="s">
        <v>7843</v>
      </c>
    </row>
    <row r="8363" spans="1:18" x14ac:dyDescent="0.25">
      <c r="A8363" s="6" t="str">
        <f>HYPERLINK("proteomic_fractions_linear_files/Yang_linear_img/21746169.jpg", "21746169")</f>
        <v>21746169</v>
      </c>
      <c r="B8363" s="7"/>
      <c r="C8363" s="6" t="str">
        <f>HYPERLINK("http://www.ncbi.nlm.nih.gov/protein/21746169","Zc3hav1")</f>
        <v>Zc3hav1</v>
      </c>
      <c r="D8363" s="8"/>
      <c r="E8363" s="8">
        <v>88100</v>
      </c>
      <c r="F8363" s="8"/>
      <c r="G8363" s="15" t="s">
        <v>10</v>
      </c>
      <c r="H8363" s="15" t="s">
        <v>10</v>
      </c>
      <c r="I8363" s="15" t="s">
        <v>10</v>
      </c>
      <c r="J8363" s="15" t="s">
        <v>10</v>
      </c>
      <c r="K8363" s="15">
        <v>1.4627457743763292</v>
      </c>
      <c r="L8363" s="15">
        <v>1.4627457743763292</v>
      </c>
      <c r="M8363" s="15" t="s">
        <v>10</v>
      </c>
      <c r="N8363" s="15" t="s">
        <v>10</v>
      </c>
      <c r="O8363" s="15" t="s">
        <v>10</v>
      </c>
      <c r="P8363" s="15" t="s">
        <v>10</v>
      </c>
      <c r="Q8363" s="8"/>
      <c r="R8363" s="9" t="s">
        <v>7844</v>
      </c>
    </row>
    <row r="8364" spans="1:18" x14ac:dyDescent="0.25">
      <c r="A8364" s="6" t="str">
        <f>HYPERLINK("proteomic_fractions_linear_files/Yang_linear_img/227116322.jpg", "227116322")</f>
        <v>227116322</v>
      </c>
      <c r="B8364" s="7"/>
      <c r="C8364" s="6" t="str">
        <f>HYPERLINK("http://www.ncbi.nlm.nih.gov/protein/227116322","Zc3hav1")</f>
        <v>Zc3hav1</v>
      </c>
      <c r="D8364" s="8"/>
      <c r="E8364" s="8">
        <v>106557</v>
      </c>
      <c r="F8364" s="8"/>
      <c r="G8364" s="15" t="s">
        <v>10</v>
      </c>
      <c r="H8364" s="15" t="s">
        <v>10</v>
      </c>
      <c r="I8364" s="15" t="s">
        <v>10</v>
      </c>
      <c r="J8364" s="15" t="s">
        <v>10</v>
      </c>
      <c r="K8364" s="15">
        <v>1.2030058705151119</v>
      </c>
      <c r="L8364" s="15">
        <v>1.2030058705151119</v>
      </c>
      <c r="M8364" s="15" t="s">
        <v>10</v>
      </c>
      <c r="N8364" s="15" t="s">
        <v>10</v>
      </c>
      <c r="O8364" s="15" t="s">
        <v>10</v>
      </c>
      <c r="P8364" s="15" t="s">
        <v>10</v>
      </c>
      <c r="Q8364" s="8"/>
      <c r="R8364" s="9" t="s">
        <v>7845</v>
      </c>
    </row>
    <row r="8365" spans="1:18" x14ac:dyDescent="0.25">
      <c r="A8365" s="6" t="str">
        <f>HYPERLINK("proteomic_fractions_linear_files/Yang_linear_img/27754058.jpg", "27754058")</f>
        <v>27754058</v>
      </c>
      <c r="B8365" s="7"/>
      <c r="C8365" s="6" t="str">
        <f>HYPERLINK("http://www.ncbi.nlm.nih.gov/protein/27754058","Zcchc10")</f>
        <v>Zcchc10</v>
      </c>
      <c r="D8365" s="8"/>
      <c r="E8365" s="8">
        <v>19017</v>
      </c>
      <c r="F8365" s="8"/>
      <c r="G8365" s="15" t="s">
        <v>10</v>
      </c>
      <c r="H8365" s="15" t="s">
        <v>10</v>
      </c>
      <c r="I8365" s="15">
        <v>315.42631578947368</v>
      </c>
      <c r="J8365" s="15">
        <v>315.42631578947368</v>
      </c>
      <c r="K8365" s="15" t="s">
        <v>10</v>
      </c>
      <c r="L8365" s="15" t="s">
        <v>10</v>
      </c>
      <c r="M8365" s="15" t="s">
        <v>10</v>
      </c>
      <c r="N8365" s="15" t="s">
        <v>10</v>
      </c>
      <c r="O8365" s="15" t="s">
        <v>10</v>
      </c>
      <c r="P8365" s="15" t="s">
        <v>10</v>
      </c>
      <c r="Q8365" s="8"/>
      <c r="R8365" s="9" t="s">
        <v>7846</v>
      </c>
    </row>
    <row r="8366" spans="1:18" x14ac:dyDescent="0.25">
      <c r="A8366" s="6" t="str">
        <f>HYPERLINK("proteomic_fractions_linear_files/Yang_linear_img/55925630.jpg", "55925630")</f>
        <v>55925630</v>
      </c>
      <c r="B8366" s="7"/>
      <c r="C8366" s="6" t="str">
        <f>HYPERLINK("http://www.ncbi.nlm.nih.gov/protein/55925630","Zcchc13")</f>
        <v>Zcchc13</v>
      </c>
      <c r="D8366" s="8"/>
      <c r="E8366" s="8">
        <v>18812</v>
      </c>
      <c r="F8366" s="8"/>
      <c r="G8366" s="15" t="s">
        <v>10</v>
      </c>
      <c r="H8366" s="15" t="s">
        <v>10</v>
      </c>
      <c r="I8366" s="15" t="s">
        <v>10</v>
      </c>
      <c r="J8366" s="15" t="s">
        <v>10</v>
      </c>
      <c r="K8366" s="15">
        <v>1.0840758519292775</v>
      </c>
      <c r="L8366" s="15">
        <v>1.0840758519292775</v>
      </c>
      <c r="M8366" s="15" t="s">
        <v>10</v>
      </c>
      <c r="N8366" s="15" t="s">
        <v>10</v>
      </c>
      <c r="O8366" s="15" t="s">
        <v>10</v>
      </c>
      <c r="P8366" s="15" t="s">
        <v>10</v>
      </c>
      <c r="Q8366" s="8"/>
      <c r="R8366" s="9" t="s">
        <v>7847</v>
      </c>
    </row>
    <row r="8367" spans="1:18" x14ac:dyDescent="0.25">
      <c r="A8367" s="6" t="str">
        <f>HYPERLINK("proteomic_fractions_linear_files/Yang_linear_img/23346607.jpg", "23346607")</f>
        <v>23346607</v>
      </c>
      <c r="B8367" s="7"/>
      <c r="C8367" s="6" t="str">
        <f>HYPERLINK("http://www.ncbi.nlm.nih.gov/protein/23346607","Zcchc17")</f>
        <v>Zcchc17</v>
      </c>
      <c r="D8367" s="8"/>
      <c r="E8367" s="8">
        <v>27340</v>
      </c>
      <c r="F8367" s="8"/>
      <c r="G8367" s="15" t="s">
        <v>10</v>
      </c>
      <c r="H8367" s="15" t="s">
        <v>10</v>
      </c>
      <c r="I8367" s="15">
        <v>221.96666666666667</v>
      </c>
      <c r="J8367" s="15">
        <v>221.96666666666667</v>
      </c>
      <c r="K8367" s="15" t="s">
        <v>10</v>
      </c>
      <c r="L8367" s="15" t="s">
        <v>10</v>
      </c>
      <c r="M8367" s="15" t="s">
        <v>10</v>
      </c>
      <c r="N8367" s="15" t="s">
        <v>10</v>
      </c>
      <c r="O8367" s="15" t="s">
        <v>10</v>
      </c>
      <c r="P8367" s="15" t="s">
        <v>10</v>
      </c>
      <c r="Q8367" s="8"/>
      <c r="R8367" s="9" t="s">
        <v>7848</v>
      </c>
    </row>
    <row r="8368" spans="1:18" x14ac:dyDescent="0.25">
      <c r="A8368" s="6" t="str">
        <f>HYPERLINK("proteomic_fractions_linear_files/Yang_linear_img/124249222.jpg", "124249222")</f>
        <v>124249222</v>
      </c>
      <c r="B8368" s="7"/>
      <c r="C8368" s="6" t="str">
        <f>HYPERLINK("http://www.ncbi.nlm.nih.gov/protein/124249222","Zcchc4")</f>
        <v>Zcchc4</v>
      </c>
      <c r="D8368" s="8"/>
      <c r="E8368" s="8">
        <v>58436</v>
      </c>
      <c r="F8368" s="8"/>
      <c r="G8368" s="15" t="s">
        <v>10</v>
      </c>
      <c r="H8368" s="15" t="s">
        <v>10</v>
      </c>
      <c r="I8368" s="15" t="s">
        <v>10</v>
      </c>
      <c r="J8368" s="15" t="s">
        <v>10</v>
      </c>
      <c r="K8368" s="15">
        <v>1.0133311652688595</v>
      </c>
      <c r="L8368" s="15">
        <v>1.0133311652688595</v>
      </c>
      <c r="M8368" s="15" t="s">
        <v>10</v>
      </c>
      <c r="N8368" s="15" t="s">
        <v>10</v>
      </c>
      <c r="O8368" s="15" t="s">
        <v>10</v>
      </c>
      <c r="P8368" s="15" t="s">
        <v>10</v>
      </c>
      <c r="Q8368" s="8"/>
      <c r="R8368" s="9" t="s">
        <v>7849</v>
      </c>
    </row>
    <row r="8369" spans="1:18" x14ac:dyDescent="0.25">
      <c r="A8369" s="6" t="str">
        <f>HYPERLINK("proteomic_fractions_linear_files/Yang_linear_img/254588108.jpg", "254588108")</f>
        <v>254588108</v>
      </c>
      <c r="B8369" s="7"/>
      <c r="C8369" s="6" t="str">
        <f>HYPERLINK("http://www.ncbi.nlm.nih.gov/protein/254588108","Zcchc6")</f>
        <v>Zcchc6</v>
      </c>
      <c r="D8369" s="8"/>
      <c r="E8369" s="8">
        <v>167024</v>
      </c>
      <c r="F8369" s="8"/>
      <c r="G8369" s="15" t="s">
        <v>10</v>
      </c>
      <c r="H8369" s="15" t="s">
        <v>10</v>
      </c>
      <c r="I8369" s="15">
        <v>1.3973703450769406</v>
      </c>
      <c r="J8369" s="15">
        <v>1.3973703450769406</v>
      </c>
      <c r="K8369" s="15" t="s">
        <v>10</v>
      </c>
      <c r="L8369" s="15" t="s">
        <v>10</v>
      </c>
      <c r="M8369" s="15">
        <v>1.3973703450769406</v>
      </c>
      <c r="N8369" s="15">
        <v>1.3973703450769406</v>
      </c>
      <c r="O8369" s="15" t="s">
        <v>10</v>
      </c>
      <c r="P8369" s="15" t="s">
        <v>10</v>
      </c>
      <c r="Q8369" s="8"/>
      <c r="R8369" s="9" t="s">
        <v>7850</v>
      </c>
    </row>
    <row r="8370" spans="1:18" x14ac:dyDescent="0.25">
      <c r="A8370" s="6" t="str">
        <f>HYPERLINK("proteomic_fractions_linear_files/Yang_linear_img/169808385.jpg", "169808385")</f>
        <v>169808385</v>
      </c>
      <c r="B8370" s="7"/>
      <c r="C8370" s="6" t="str">
        <f>HYPERLINK("http://www.ncbi.nlm.nih.gov/protein/169808385","Zcchc8")</f>
        <v>Zcchc8</v>
      </c>
      <c r="D8370" s="8"/>
      <c r="E8370" s="8">
        <v>77895</v>
      </c>
      <c r="F8370" s="8"/>
      <c r="G8370" s="15" t="s">
        <v>10</v>
      </c>
      <c r="H8370" s="15" t="s">
        <v>10</v>
      </c>
      <c r="I8370" s="15" t="s">
        <v>10</v>
      </c>
      <c r="J8370" s="15" t="s">
        <v>10</v>
      </c>
      <c r="K8370" s="15" t="s">
        <v>10</v>
      </c>
      <c r="L8370" s="15" t="s">
        <v>10</v>
      </c>
      <c r="M8370" s="15">
        <v>1.6502772839117559</v>
      </c>
      <c r="N8370" s="15">
        <v>1.6502772839117559</v>
      </c>
      <c r="O8370" s="15" t="s">
        <v>10</v>
      </c>
      <c r="P8370" s="15" t="s">
        <v>10</v>
      </c>
      <c r="Q8370" s="8"/>
      <c r="R8370" s="9" t="s">
        <v>7851</v>
      </c>
    </row>
    <row r="8371" spans="1:18" x14ac:dyDescent="0.25">
      <c r="A8371" s="6" t="str">
        <f>HYPERLINK("proteomic_fractions_linear_files/Yang_linear_img/21450253.jpg", "21450253")</f>
        <v>21450253</v>
      </c>
      <c r="B8371" s="7"/>
      <c r="C8371" s="6" t="str">
        <f>HYPERLINK("http://www.ncbi.nlm.nih.gov/protein/21450253","Zdhhc5")</f>
        <v>Zdhhc5</v>
      </c>
      <c r="D8371" s="8"/>
      <c r="E8371" s="8">
        <v>77370</v>
      </c>
      <c r="F8371" s="8"/>
      <c r="G8371" s="15" t="s">
        <v>10</v>
      </c>
      <c r="H8371" s="15" t="s">
        <v>10</v>
      </c>
      <c r="I8371" s="15" t="s">
        <v>10</v>
      </c>
      <c r="J8371" s="15" t="s">
        <v>10</v>
      </c>
      <c r="K8371" s="15">
        <v>77.832467532467533</v>
      </c>
      <c r="L8371" s="15">
        <v>77.832467532467533</v>
      </c>
      <c r="M8371" s="15" t="s">
        <v>10</v>
      </c>
      <c r="N8371" s="15" t="s">
        <v>10</v>
      </c>
      <c r="O8371" s="15" t="s">
        <v>10</v>
      </c>
      <c r="P8371" s="15" t="s">
        <v>10</v>
      </c>
      <c r="Q8371" s="8"/>
      <c r="R8371" s="9" t="s">
        <v>7852</v>
      </c>
    </row>
    <row r="8372" spans="1:18" x14ac:dyDescent="0.25">
      <c r="A8372" s="6" t="str">
        <f>HYPERLINK("proteomic_fractions_linear_files/Yang_linear_img/31542271.jpg", "31542271")</f>
        <v>31542271</v>
      </c>
      <c r="B8372" s="7"/>
      <c r="C8372" s="6" t="str">
        <f>HYPERLINK("http://www.ncbi.nlm.nih.gov/protein/31542271","Zer1")</f>
        <v>Zer1</v>
      </c>
      <c r="D8372" s="8"/>
      <c r="E8372" s="8">
        <v>88945</v>
      </c>
      <c r="F8372" s="8"/>
      <c r="G8372" s="15" t="s">
        <v>10</v>
      </c>
      <c r="H8372" s="15" t="s">
        <v>10</v>
      </c>
      <c r="I8372" s="15" t="s">
        <v>10</v>
      </c>
      <c r="J8372" s="15" t="s">
        <v>10</v>
      </c>
      <c r="K8372" s="15" t="s">
        <v>10</v>
      </c>
      <c r="L8372" s="15" t="s">
        <v>10</v>
      </c>
      <c r="M8372" s="15">
        <v>0.4195654654283662</v>
      </c>
      <c r="N8372" s="15">
        <v>0.4195654654283662</v>
      </c>
      <c r="O8372" s="15" t="s">
        <v>10</v>
      </c>
      <c r="P8372" s="15" t="s">
        <v>10</v>
      </c>
      <c r="Q8372" s="8"/>
      <c r="R8372" s="9" t="s">
        <v>7853</v>
      </c>
    </row>
    <row r="8373" spans="1:18" x14ac:dyDescent="0.25">
      <c r="A8373" s="6" t="str">
        <f>HYPERLINK("proteomic_fractions_linear_files/Yang_linear_img/31982674.jpg", "31982674")</f>
        <v>31982674</v>
      </c>
      <c r="B8373" s="7"/>
      <c r="C8373" s="6" t="str">
        <f>HYPERLINK("http://www.ncbi.nlm.nih.gov/protein/31982674","Zfand1")</f>
        <v>Zfand1</v>
      </c>
      <c r="D8373" s="8"/>
      <c r="E8373" s="8">
        <v>30072</v>
      </c>
      <c r="F8373" s="8"/>
      <c r="G8373" s="15" t="s">
        <v>10</v>
      </c>
      <c r="H8373" s="15" t="s">
        <v>10</v>
      </c>
      <c r="I8373" s="15">
        <v>0.99618022972377107</v>
      </c>
      <c r="J8373" s="15">
        <v>0.99618022972377107</v>
      </c>
      <c r="K8373" s="15">
        <v>0.99618022972377107</v>
      </c>
      <c r="L8373" s="15">
        <v>0.99618022972377107</v>
      </c>
      <c r="M8373" s="15">
        <v>0.99618022972377107</v>
      </c>
      <c r="N8373" s="15">
        <v>0.99618022972377107</v>
      </c>
      <c r="O8373" s="15">
        <v>0.87167527051416671</v>
      </c>
      <c r="P8373" s="15">
        <v>0.87167527051416671</v>
      </c>
      <c r="Q8373" s="8"/>
      <c r="R8373" s="9" t="s">
        <v>7854</v>
      </c>
    </row>
    <row r="8374" spans="1:18" x14ac:dyDescent="0.25">
      <c r="A8374" s="6" t="str">
        <f>HYPERLINK("proteomic_fractions_linear_files/Yang_linear_img/229577434;229577442.jpg", "229577434;229577442")</f>
        <v>229577434;229577442</v>
      </c>
      <c r="B8374" s="8"/>
      <c r="C8374" s="6" t="str">
        <f>HYPERLINK("http://www.ncbi.nlm.nih.gov/protein/229577434;229577442","Zfand2b")</f>
        <v>Zfand2b</v>
      </c>
      <c r="D8374" s="8"/>
      <c r="E8374" s="8">
        <v>27764</v>
      </c>
      <c r="F8374" s="8"/>
      <c r="G8374" s="15" t="s">
        <v>10</v>
      </c>
      <c r="H8374" s="15" t="s">
        <v>10</v>
      </c>
      <c r="I8374" s="15" t="s">
        <v>10</v>
      </c>
      <c r="J8374" s="15" t="s">
        <v>10</v>
      </c>
      <c r="K8374" s="15" t="s">
        <v>10</v>
      </c>
      <c r="L8374" s="15" t="s">
        <v>10</v>
      </c>
      <c r="M8374" s="15" t="s">
        <v>10</v>
      </c>
      <c r="N8374" s="15" t="s">
        <v>10</v>
      </c>
      <c r="O8374" s="15">
        <v>0.99707897491721642</v>
      </c>
      <c r="P8374" s="15">
        <v>0.99707897491721642</v>
      </c>
      <c r="Q8374" s="8"/>
      <c r="R8374" s="9" t="s">
        <v>7855</v>
      </c>
    </row>
    <row r="8375" spans="1:18" x14ac:dyDescent="0.25">
      <c r="A8375" s="6" t="str">
        <f>HYPERLINK("proteomic_fractions_linear_files/Yang_linear_img/22507321.jpg", "22507321")</f>
        <v>22507321</v>
      </c>
      <c r="B8375" s="7"/>
      <c r="C8375" s="6" t="str">
        <f>HYPERLINK("http://www.ncbi.nlm.nih.gov/protein/22507321","Zfand3")</f>
        <v>Zfand3</v>
      </c>
      <c r="D8375" s="8"/>
      <c r="E8375" s="8">
        <v>22797</v>
      </c>
      <c r="F8375" s="8"/>
      <c r="G8375" s="15" t="s">
        <v>10</v>
      </c>
      <c r="H8375" s="15" t="s">
        <v>10</v>
      </c>
      <c r="I8375" s="15" t="s">
        <v>10</v>
      </c>
      <c r="J8375" s="15" t="s">
        <v>10</v>
      </c>
      <c r="K8375" s="15" t="s">
        <v>10</v>
      </c>
      <c r="L8375" s="15" t="s">
        <v>10</v>
      </c>
      <c r="M8375" s="15" t="s">
        <v>10</v>
      </c>
      <c r="N8375" s="15" t="s">
        <v>10</v>
      </c>
      <c r="O8375" s="15">
        <v>1.3949596893797211</v>
      </c>
      <c r="P8375" s="15">
        <v>1.3949596893797211</v>
      </c>
      <c r="Q8375" s="8"/>
      <c r="R8375" s="9" t="s">
        <v>7856</v>
      </c>
    </row>
    <row r="8376" spans="1:18" x14ac:dyDescent="0.25">
      <c r="A8376" s="6" t="str">
        <f>HYPERLINK("proteomic_fractions_linear_files/Yang_linear_img/6677605.jpg", "6677605")</f>
        <v>6677605</v>
      </c>
      <c r="B8376" s="7"/>
      <c r="C8376" s="6" t="str">
        <f>HYPERLINK("http://www.ncbi.nlm.nih.gov/protein/6677605","Zfand5")</f>
        <v>Zfand5</v>
      </c>
      <c r="D8376" s="8"/>
      <c r="E8376" s="8">
        <v>22927</v>
      </c>
      <c r="F8376" s="8"/>
      <c r="G8376" s="15" t="s">
        <v>10</v>
      </c>
      <c r="H8376" s="15" t="s">
        <v>10</v>
      </c>
      <c r="I8376" s="15" t="s">
        <v>10</v>
      </c>
      <c r="J8376" s="15" t="s">
        <v>10</v>
      </c>
      <c r="K8376" s="15">
        <v>1.3949596893797211</v>
      </c>
      <c r="L8376" s="15">
        <v>1.3949596893797211</v>
      </c>
      <c r="M8376" s="15">
        <v>1.2993655170310057</v>
      </c>
      <c r="N8376" s="15">
        <v>1.2993655170310057</v>
      </c>
      <c r="O8376" s="15">
        <v>1.2138352738122635</v>
      </c>
      <c r="P8376" s="15">
        <v>1.2138352738122635</v>
      </c>
      <c r="Q8376" s="8"/>
      <c r="R8376" s="9" t="s">
        <v>7857</v>
      </c>
    </row>
    <row r="8377" spans="1:18" x14ac:dyDescent="0.25">
      <c r="A8377" s="6" t="str">
        <f>HYPERLINK("proteomic_fractions_linear_files/Yang_linear_img/15805026.jpg", "15805026")</f>
        <v>15805026</v>
      </c>
      <c r="B8377" s="7"/>
      <c r="C8377" s="6" t="str">
        <f>HYPERLINK("http://www.ncbi.nlm.nih.gov/protein/15805026","Zfand6")</f>
        <v>Zfand6</v>
      </c>
      <c r="D8377" s="8"/>
      <c r="E8377" s="8">
        <v>23870</v>
      </c>
      <c r="F8377" s="8"/>
      <c r="G8377" s="15" t="s">
        <v>10</v>
      </c>
      <c r="H8377" s="15" t="s">
        <v>10</v>
      </c>
      <c r="I8377" s="15" t="s">
        <v>10</v>
      </c>
      <c r="J8377" s="15" t="s">
        <v>10</v>
      </c>
      <c r="K8377" s="15" t="s">
        <v>10</v>
      </c>
      <c r="L8377" s="15" t="s">
        <v>10</v>
      </c>
      <c r="M8377" s="15">
        <v>1.687804925134281</v>
      </c>
      <c r="N8377" s="15">
        <v>1.687804925134281</v>
      </c>
      <c r="O8377" s="15">
        <v>1.5558886009635247</v>
      </c>
      <c r="P8377" s="15">
        <v>1.4397240221031327</v>
      </c>
      <c r="Q8377" s="8"/>
      <c r="R8377" s="9" t="s">
        <v>7858</v>
      </c>
    </row>
    <row r="8378" spans="1:18" x14ac:dyDescent="0.25">
      <c r="A8378" s="6" t="str">
        <f>HYPERLINK("proteomic_fractions_linear_files/Yang_linear_img/90991706.jpg", "90991706")</f>
        <v>90991706</v>
      </c>
      <c r="B8378" s="7"/>
      <c r="C8378" s="6" t="str">
        <f>HYPERLINK("http://www.ncbi.nlm.nih.gov/protein/90991706","Zfc3h1")</f>
        <v>Zfc3h1</v>
      </c>
      <c r="D8378" s="8"/>
      <c r="E8378" s="8">
        <v>224924</v>
      </c>
      <c r="F8378" s="8"/>
      <c r="G8378" s="15" t="s">
        <v>10</v>
      </c>
      <c r="H8378" s="15" t="s">
        <v>10</v>
      </c>
      <c r="I8378" s="15" t="s">
        <v>10</v>
      </c>
      <c r="J8378" s="15" t="s">
        <v>10</v>
      </c>
      <c r="K8378" s="15">
        <v>0.83007036284417934</v>
      </c>
      <c r="L8378" s="15">
        <v>0.83007036284417934</v>
      </c>
      <c r="M8378" s="15" t="s">
        <v>10</v>
      </c>
      <c r="N8378" s="15" t="s">
        <v>10</v>
      </c>
      <c r="O8378" s="15" t="s">
        <v>10</v>
      </c>
      <c r="P8378" s="15" t="s">
        <v>10</v>
      </c>
      <c r="Q8378" s="8"/>
      <c r="R8378" s="9" t="s">
        <v>7859</v>
      </c>
    </row>
    <row r="8379" spans="1:18" x14ac:dyDescent="0.25">
      <c r="A8379" s="6" t="str">
        <f>HYPERLINK("proteomic_fractions_linear_files/Yang_linear_img/110225364.jpg", "110225364")</f>
        <v>110225364</v>
      </c>
      <c r="B8379" s="7"/>
      <c r="C8379" s="6" t="str">
        <f>HYPERLINK("http://www.ncbi.nlm.nih.gov/protein/110225364","Zfhx3")</f>
        <v>Zfhx3</v>
      </c>
      <c r="D8379" s="8"/>
      <c r="E8379" s="8">
        <v>405977</v>
      </c>
      <c r="F8379" s="8"/>
      <c r="G8379" s="15" t="s">
        <v>10</v>
      </c>
      <c r="H8379" s="15" t="s">
        <v>10</v>
      </c>
      <c r="I8379" s="15" t="s">
        <v>10</v>
      </c>
      <c r="J8379" s="15" t="s">
        <v>10</v>
      </c>
      <c r="K8379" s="15" t="s">
        <v>10</v>
      </c>
      <c r="L8379" s="15" t="s">
        <v>10</v>
      </c>
      <c r="M8379" s="15" t="s">
        <v>10</v>
      </c>
      <c r="N8379" s="15" t="s">
        <v>10</v>
      </c>
      <c r="O8379" s="15">
        <v>0.20467649870232477</v>
      </c>
      <c r="P8379" s="15">
        <v>0.20467649870232477</v>
      </c>
      <c r="Q8379" s="8"/>
      <c r="R8379" s="9" t="s">
        <v>7860</v>
      </c>
    </row>
    <row r="8380" spans="1:18" x14ac:dyDescent="0.25">
      <c r="A8380" s="6" t="str">
        <f>HYPERLINK("proteomic_fractions_linear_files/Yang_linear_img/261823966.jpg", "261823966")</f>
        <v>261823966</v>
      </c>
      <c r="B8380" s="7"/>
      <c r="C8380" s="6" t="str">
        <f>HYPERLINK("http://www.ncbi.nlm.nih.gov/protein/261823966","Zfml")</f>
        <v>Zfml</v>
      </c>
      <c r="D8380" s="8"/>
      <c r="E8380" s="8">
        <v>214330</v>
      </c>
      <c r="F8380" s="8"/>
      <c r="G8380" s="15" t="s">
        <v>10</v>
      </c>
      <c r="H8380" s="15" t="s">
        <v>10</v>
      </c>
      <c r="I8380" s="15">
        <v>0.22565409151595911</v>
      </c>
      <c r="J8380" s="15">
        <v>0.22565409151595911</v>
      </c>
      <c r="K8380" s="15" t="s">
        <v>10</v>
      </c>
      <c r="L8380" s="15" t="s">
        <v>10</v>
      </c>
      <c r="M8380" s="15" t="s">
        <v>10</v>
      </c>
      <c r="N8380" s="15" t="s">
        <v>10</v>
      </c>
      <c r="O8380" s="15" t="s">
        <v>10</v>
      </c>
      <c r="P8380" s="15" t="s">
        <v>10</v>
      </c>
      <c r="Q8380" s="8"/>
      <c r="R8380" s="9" t="s">
        <v>7861</v>
      </c>
    </row>
    <row r="8381" spans="1:18" x14ac:dyDescent="0.25">
      <c r="A8381" s="6" t="str">
        <f>HYPERLINK("proteomic_fractions_linear_files/Yang_linear_img/110626083.jpg", "110626083")</f>
        <v>110626083</v>
      </c>
      <c r="B8381" s="7"/>
      <c r="C8381" s="6" t="str">
        <f>HYPERLINK("http://www.ncbi.nlm.nih.gov/protein/110626083","Zfp142")</f>
        <v>Zfp142</v>
      </c>
      <c r="D8381" s="8"/>
      <c r="E8381" s="8">
        <v>194693</v>
      </c>
      <c r="F8381" s="8"/>
      <c r="G8381" s="15" t="s">
        <v>10</v>
      </c>
      <c r="H8381" s="15" t="s">
        <v>10</v>
      </c>
      <c r="I8381" s="15">
        <v>7.1209489743264867E-2</v>
      </c>
      <c r="J8381" s="15">
        <v>7.1209489743264867E-2</v>
      </c>
      <c r="K8381" s="15" t="s">
        <v>10</v>
      </c>
      <c r="L8381" s="15" t="s">
        <v>10</v>
      </c>
      <c r="M8381" s="15" t="s">
        <v>10</v>
      </c>
      <c r="N8381" s="15" t="s">
        <v>10</v>
      </c>
      <c r="O8381" s="15" t="s">
        <v>10</v>
      </c>
      <c r="P8381" s="15" t="s">
        <v>10</v>
      </c>
      <c r="Q8381" s="8"/>
      <c r="R8381" s="9" t="s">
        <v>7862</v>
      </c>
    </row>
    <row r="8382" spans="1:18" x14ac:dyDescent="0.25">
      <c r="A8382" s="6" t="str">
        <f>HYPERLINK("proteomic_fractions_linear_files/Yang_linear_img/157823829.jpg", "157823829")</f>
        <v>157823829</v>
      </c>
      <c r="B8382" s="7"/>
      <c r="C8382" s="6" t="str">
        <f>HYPERLINK("http://www.ncbi.nlm.nih.gov/protein/157823829","Zfp185")</f>
        <v>Zfp185</v>
      </c>
      <c r="D8382" s="8"/>
      <c r="E8382" s="8">
        <v>52741</v>
      </c>
      <c r="F8382" s="8"/>
      <c r="G8382" s="15" t="s">
        <v>10</v>
      </c>
      <c r="H8382" s="15" t="s">
        <v>10</v>
      </c>
      <c r="I8382" s="15" t="s">
        <v>10</v>
      </c>
      <c r="J8382" s="15" t="s">
        <v>10</v>
      </c>
      <c r="K8382" s="15">
        <v>1.3855879290883442</v>
      </c>
      <c r="L8382" s="15">
        <v>1.3855879290883442</v>
      </c>
      <c r="M8382" s="15" t="s">
        <v>10</v>
      </c>
      <c r="N8382" s="15" t="s">
        <v>10</v>
      </c>
      <c r="O8382" s="15" t="s">
        <v>10</v>
      </c>
      <c r="P8382" s="15" t="s">
        <v>10</v>
      </c>
      <c r="Q8382" s="8"/>
      <c r="R8382" s="9" t="s">
        <v>7863</v>
      </c>
    </row>
    <row r="8383" spans="1:18" x14ac:dyDescent="0.25">
      <c r="A8383" s="6" t="str">
        <f>HYPERLINK("proteomic_fractions_linear_files/Yang_linear_img/157823865.jpg", "157823865")</f>
        <v>157823865</v>
      </c>
      <c r="B8383" s="7"/>
      <c r="C8383" s="6" t="str">
        <f>HYPERLINK("http://www.ncbi.nlm.nih.gov/protein/157823865","Zfp185")</f>
        <v>Zfp185</v>
      </c>
      <c r="D8383" s="8"/>
      <c r="E8383" s="8">
        <v>52654</v>
      </c>
      <c r="F8383" s="8"/>
      <c r="G8383" s="15" t="s">
        <v>10</v>
      </c>
      <c r="H8383" s="15" t="s">
        <v>10</v>
      </c>
      <c r="I8383" s="15" t="s">
        <v>10</v>
      </c>
      <c r="J8383" s="15" t="s">
        <v>10</v>
      </c>
      <c r="K8383" s="15">
        <v>1.3855879290883442</v>
      </c>
      <c r="L8383" s="15">
        <v>1.3855879290883442</v>
      </c>
      <c r="M8383" s="15" t="s">
        <v>10</v>
      </c>
      <c r="N8383" s="15" t="s">
        <v>10</v>
      </c>
      <c r="O8383" s="15" t="s">
        <v>10</v>
      </c>
      <c r="P8383" s="15" t="s">
        <v>10</v>
      </c>
      <c r="Q8383" s="8"/>
      <c r="R8383" s="9" t="s">
        <v>7864</v>
      </c>
    </row>
    <row r="8384" spans="1:18" x14ac:dyDescent="0.25">
      <c r="A8384" s="6" t="str">
        <f>HYPERLINK("proteomic_fractions_linear_files/Yang_linear_img/161760658.jpg", "161760658")</f>
        <v>161760658</v>
      </c>
      <c r="B8384" s="7"/>
      <c r="C8384" s="6" t="str">
        <f>HYPERLINK("http://www.ncbi.nlm.nih.gov/protein/161760658","Zfp189")</f>
        <v>Zfp189</v>
      </c>
      <c r="D8384" s="8"/>
      <c r="E8384" s="8">
        <v>70391</v>
      </c>
      <c r="F8384" s="8"/>
      <c r="G8384" s="15" t="s">
        <v>10</v>
      </c>
      <c r="H8384" s="15" t="s">
        <v>10</v>
      </c>
      <c r="I8384" s="15">
        <v>0.31136774672398215</v>
      </c>
      <c r="J8384" s="15">
        <v>0.31136774672398215</v>
      </c>
      <c r="K8384" s="15" t="s">
        <v>10</v>
      </c>
      <c r="L8384" s="15" t="s">
        <v>10</v>
      </c>
      <c r="M8384" s="15" t="s">
        <v>10</v>
      </c>
      <c r="N8384" s="15" t="s">
        <v>10</v>
      </c>
      <c r="O8384" s="15" t="s">
        <v>10</v>
      </c>
      <c r="P8384" s="15" t="s">
        <v>10</v>
      </c>
      <c r="Q8384" s="8"/>
      <c r="R8384" s="9" t="s">
        <v>7865</v>
      </c>
    </row>
    <row r="8385" spans="1:18" x14ac:dyDescent="0.25">
      <c r="A8385" s="6" t="str">
        <f>HYPERLINK("proteomic_fractions_linear_files/Yang_linear_img/194328715.jpg", "194328715")</f>
        <v>194328715</v>
      </c>
      <c r="B8385" s="7"/>
      <c r="C8385" s="6" t="str">
        <f>HYPERLINK("http://www.ncbi.nlm.nih.gov/protein/194328715","Zfp207")</f>
        <v>Zfp207</v>
      </c>
      <c r="D8385" s="8"/>
      <c r="E8385" s="8">
        <v>52662</v>
      </c>
      <c r="F8385" s="8"/>
      <c r="G8385" s="15" t="s">
        <v>10</v>
      </c>
      <c r="H8385" s="15" t="s">
        <v>10</v>
      </c>
      <c r="I8385" s="15" t="s">
        <v>10</v>
      </c>
      <c r="J8385" s="15" t="s">
        <v>10</v>
      </c>
      <c r="K8385" s="15">
        <v>1.1089284450112047</v>
      </c>
      <c r="L8385" s="15">
        <v>1.1089284450112047</v>
      </c>
      <c r="M8385" s="15" t="s">
        <v>10</v>
      </c>
      <c r="N8385" s="15" t="s">
        <v>10</v>
      </c>
      <c r="O8385" s="15" t="s">
        <v>10</v>
      </c>
      <c r="P8385" s="15" t="s">
        <v>10</v>
      </c>
      <c r="Q8385" s="8"/>
      <c r="R8385" s="9" t="s">
        <v>7866</v>
      </c>
    </row>
    <row r="8386" spans="1:18" x14ac:dyDescent="0.25">
      <c r="A8386" s="6" t="str">
        <f>HYPERLINK("proteomic_fractions_linear_files/Yang_linear_img/194328717.jpg", "194328717")</f>
        <v>194328717</v>
      </c>
      <c r="B8386" s="7"/>
      <c r="C8386" s="6" t="str">
        <f>HYPERLINK("http://www.ncbi.nlm.nih.gov/protein/194328717","Zfp207")</f>
        <v>Zfp207</v>
      </c>
      <c r="D8386" s="8"/>
      <c r="E8386" s="8">
        <v>50719</v>
      </c>
      <c r="F8386" s="8"/>
      <c r="G8386" s="15" t="s">
        <v>10</v>
      </c>
      <c r="H8386" s="15" t="s">
        <v>10</v>
      </c>
      <c r="I8386" s="15" t="s">
        <v>10</v>
      </c>
      <c r="J8386" s="15" t="s">
        <v>10</v>
      </c>
      <c r="K8386" s="15">
        <v>1.1524158350116442</v>
      </c>
      <c r="L8386" s="15">
        <v>1.1524158350116442</v>
      </c>
      <c r="M8386" s="15" t="s">
        <v>10</v>
      </c>
      <c r="N8386" s="15" t="s">
        <v>10</v>
      </c>
      <c r="O8386" s="15" t="s">
        <v>10</v>
      </c>
      <c r="P8386" s="15" t="s">
        <v>10</v>
      </c>
      <c r="Q8386" s="8"/>
      <c r="R8386" s="9" t="s">
        <v>7867</v>
      </c>
    </row>
    <row r="8387" spans="1:18" x14ac:dyDescent="0.25">
      <c r="A8387" s="6" t="str">
        <f>HYPERLINK("proteomic_fractions_linear_files/Yang_linear_img/194328719.jpg", "194328719")</f>
        <v>194328719</v>
      </c>
      <c r="B8387" s="7"/>
      <c r="C8387" s="6" t="str">
        <f>HYPERLINK("http://www.ncbi.nlm.nih.gov/protein/194328719","Zfp207")</f>
        <v>Zfp207</v>
      </c>
      <c r="D8387" s="8"/>
      <c r="E8387" s="8">
        <v>49661</v>
      </c>
      <c r="F8387" s="8"/>
      <c r="G8387" s="15" t="s">
        <v>10</v>
      </c>
      <c r="H8387" s="15" t="s">
        <v>10</v>
      </c>
      <c r="I8387" s="15" t="s">
        <v>10</v>
      </c>
      <c r="J8387" s="15" t="s">
        <v>10</v>
      </c>
      <c r="K8387" s="15">
        <v>1.1754641517118771</v>
      </c>
      <c r="L8387" s="15">
        <v>1.1754641517118771</v>
      </c>
      <c r="M8387" s="15" t="s">
        <v>10</v>
      </c>
      <c r="N8387" s="15" t="s">
        <v>10</v>
      </c>
      <c r="O8387" s="15" t="s">
        <v>10</v>
      </c>
      <c r="P8387" s="15" t="s">
        <v>10</v>
      </c>
      <c r="Q8387" s="8"/>
      <c r="R8387" s="9" t="s">
        <v>7868</v>
      </c>
    </row>
    <row r="8388" spans="1:18" x14ac:dyDescent="0.25">
      <c r="A8388" s="6" t="str">
        <f>HYPERLINK("proteomic_fractions_linear_files/Yang_linear_img/6756051.jpg", "6756051")</f>
        <v>6756051</v>
      </c>
      <c r="B8388" s="7"/>
      <c r="C8388" s="6" t="str">
        <f>HYPERLINK("http://www.ncbi.nlm.nih.gov/protein/6756051","Zfp207")</f>
        <v>Zfp207</v>
      </c>
      <c r="D8388" s="8"/>
      <c r="E8388" s="8">
        <v>49278</v>
      </c>
      <c r="F8388" s="8"/>
      <c r="G8388" s="15" t="s">
        <v>10</v>
      </c>
      <c r="H8388" s="15" t="s">
        <v>10</v>
      </c>
      <c r="I8388" s="15" t="s">
        <v>10</v>
      </c>
      <c r="J8388" s="15" t="s">
        <v>10</v>
      </c>
      <c r="K8388" s="15">
        <v>1.1994532160325275</v>
      </c>
      <c r="L8388" s="15">
        <v>1.1994532160325275</v>
      </c>
      <c r="M8388" s="15" t="s">
        <v>10</v>
      </c>
      <c r="N8388" s="15" t="s">
        <v>10</v>
      </c>
      <c r="O8388" s="15" t="s">
        <v>10</v>
      </c>
      <c r="P8388" s="15" t="s">
        <v>10</v>
      </c>
      <c r="Q8388" s="8"/>
      <c r="R8388" s="9" t="s">
        <v>7869</v>
      </c>
    </row>
    <row r="8389" spans="1:18" x14ac:dyDescent="0.25">
      <c r="A8389" s="6" t="str">
        <f>HYPERLINK("proteomic_fractions_linear_files/Yang_linear_img/254939702.jpg", "254939702")</f>
        <v>254939702</v>
      </c>
      <c r="B8389" s="7"/>
      <c r="C8389" s="6" t="str">
        <f>HYPERLINK("http://www.ncbi.nlm.nih.gov/protein/254939702","Zfp236")</f>
        <v>Zfp236</v>
      </c>
      <c r="D8389" s="8"/>
      <c r="E8389" s="8">
        <v>197703</v>
      </c>
      <c r="F8389" s="8"/>
      <c r="G8389" s="15" t="s">
        <v>10</v>
      </c>
      <c r="H8389" s="15" t="s">
        <v>10</v>
      </c>
      <c r="I8389" s="15" t="s">
        <v>10</v>
      </c>
      <c r="J8389" s="15" t="s">
        <v>10</v>
      </c>
      <c r="K8389" s="15">
        <v>0.12401424552160059</v>
      </c>
      <c r="L8389" s="15">
        <v>0.12401424552160059</v>
      </c>
      <c r="M8389" s="15" t="s">
        <v>10</v>
      </c>
      <c r="N8389" s="15" t="s">
        <v>10</v>
      </c>
      <c r="O8389" s="15" t="s">
        <v>10</v>
      </c>
      <c r="P8389" s="15" t="s">
        <v>10</v>
      </c>
      <c r="Q8389" s="8"/>
      <c r="R8389" s="9" t="s">
        <v>7870</v>
      </c>
    </row>
    <row r="8390" spans="1:18" x14ac:dyDescent="0.25">
      <c r="A8390" s="6" t="str">
        <f>HYPERLINK("proteomic_fractions_linear_files/Yang_linear_img/58037307.jpg", "58037307")</f>
        <v>58037307</v>
      </c>
      <c r="B8390" s="7"/>
      <c r="C8390" s="6" t="str">
        <f>HYPERLINK("http://www.ncbi.nlm.nih.gov/protein/58037307","Zfp248")</f>
        <v>Zfp248</v>
      </c>
      <c r="D8390" s="8"/>
      <c r="E8390" s="8">
        <v>66426</v>
      </c>
      <c r="F8390" s="8"/>
      <c r="G8390" s="15">
        <v>0.73166629673356443</v>
      </c>
      <c r="H8390" s="15">
        <v>0.73166629673356443</v>
      </c>
      <c r="I8390" s="15" t="s">
        <v>10</v>
      </c>
      <c r="J8390" s="15" t="s">
        <v>10</v>
      </c>
      <c r="K8390" s="15" t="s">
        <v>10</v>
      </c>
      <c r="L8390" s="15" t="s">
        <v>10</v>
      </c>
      <c r="M8390" s="15" t="s">
        <v>10</v>
      </c>
      <c r="N8390" s="15" t="s">
        <v>10</v>
      </c>
      <c r="O8390" s="15" t="s">
        <v>10</v>
      </c>
      <c r="P8390" s="15" t="s">
        <v>10</v>
      </c>
      <c r="Q8390" s="8"/>
      <c r="R8390" s="9" t="s">
        <v>7871</v>
      </c>
    </row>
    <row r="8391" spans="1:18" x14ac:dyDescent="0.25">
      <c r="A8391" s="6" t="str">
        <f>HYPERLINK("proteomic_fractions_linear_files/Yang_linear_img/6756053.jpg", "6756053")</f>
        <v>6756053</v>
      </c>
      <c r="B8391" s="7"/>
      <c r="C8391" s="6" t="str">
        <f>HYPERLINK("http://www.ncbi.nlm.nih.gov/protein/6756053","Zfp259")</f>
        <v>Zfp259</v>
      </c>
      <c r="D8391" s="8"/>
      <c r="E8391" s="8">
        <v>50584</v>
      </c>
      <c r="F8391" s="8"/>
      <c r="G8391" s="15" t="s">
        <v>10</v>
      </c>
      <c r="H8391" s="15" t="s">
        <v>10</v>
      </c>
      <c r="I8391" s="15">
        <v>1.1524158350116442</v>
      </c>
      <c r="J8391" s="15">
        <v>1.1524158350116442</v>
      </c>
      <c r="K8391" s="15">
        <v>1.1524158350116442</v>
      </c>
      <c r="L8391" s="15">
        <v>1.1524158350116442</v>
      </c>
      <c r="M8391" s="15" t="s">
        <v>10</v>
      </c>
      <c r="N8391" s="15" t="s">
        <v>10</v>
      </c>
      <c r="O8391" s="15">
        <v>1.0415797966666878</v>
      </c>
      <c r="P8391" s="15">
        <v>1.0415797966666878</v>
      </c>
      <c r="Q8391" s="8"/>
      <c r="R8391" s="9" t="s">
        <v>7872</v>
      </c>
    </row>
    <row r="8392" spans="1:18" x14ac:dyDescent="0.25">
      <c r="A8392" s="6" t="str">
        <f>HYPERLINK("proteomic_fractions_linear_files/Yang_linear_img/169234810.jpg", "169234810")</f>
        <v>169234810</v>
      </c>
      <c r="B8392" s="7"/>
      <c r="C8392" s="6" t="str">
        <f>HYPERLINK("http://www.ncbi.nlm.nih.gov/protein/169234810","Zfp292")</f>
        <v>Zfp292</v>
      </c>
      <c r="D8392" s="8"/>
      <c r="E8392" s="8">
        <v>300919</v>
      </c>
      <c r="F8392" s="8"/>
      <c r="G8392" s="15" t="s">
        <v>10</v>
      </c>
      <c r="H8392" s="15" t="s">
        <v>10</v>
      </c>
      <c r="I8392" s="15" t="s">
        <v>10</v>
      </c>
      <c r="J8392" s="15" t="s">
        <v>10</v>
      </c>
      <c r="K8392" s="15" t="s">
        <v>10</v>
      </c>
      <c r="L8392" s="15" t="s">
        <v>10</v>
      </c>
      <c r="M8392" s="15" t="s">
        <v>10</v>
      </c>
      <c r="N8392" s="15" t="s">
        <v>10</v>
      </c>
      <c r="O8392" s="15">
        <v>6.8430037164971008E-2</v>
      </c>
      <c r="P8392" s="15">
        <v>6.8430037164971008E-2</v>
      </c>
      <c r="Q8392" s="8"/>
      <c r="R8392" s="9" t="s">
        <v>7873</v>
      </c>
    </row>
    <row r="8393" spans="1:18" x14ac:dyDescent="0.25">
      <c r="A8393" s="6" t="str">
        <f>HYPERLINK("proteomic_fractions_linear_files/Yang_linear_img/56118256.jpg", "56118256")</f>
        <v>56118256</v>
      </c>
      <c r="B8393" s="7"/>
      <c r="C8393" s="6" t="str">
        <f>HYPERLINK("http://www.ncbi.nlm.nih.gov/protein/56118256","Zfp324")</f>
        <v>Zfp324</v>
      </c>
      <c r="D8393" s="8"/>
      <c r="E8393" s="8">
        <v>64232</v>
      </c>
      <c r="F8393" s="8"/>
      <c r="G8393" s="15" t="s">
        <v>10</v>
      </c>
      <c r="H8393" s="15" t="s">
        <v>10</v>
      </c>
      <c r="I8393" s="15" t="s">
        <v>10</v>
      </c>
      <c r="J8393" s="15" t="s">
        <v>10</v>
      </c>
      <c r="K8393" s="15" t="s">
        <v>10</v>
      </c>
      <c r="L8393" s="15" t="s">
        <v>10</v>
      </c>
      <c r="M8393" s="15" t="s">
        <v>10</v>
      </c>
      <c r="N8393" s="15" t="s">
        <v>10</v>
      </c>
      <c r="O8393" s="15">
        <v>0.24886627786221524</v>
      </c>
      <c r="P8393" s="15">
        <v>0.24886627786221524</v>
      </c>
      <c r="Q8393" s="8"/>
      <c r="R8393" s="9" t="s">
        <v>7874</v>
      </c>
    </row>
    <row r="8394" spans="1:18" x14ac:dyDescent="0.25">
      <c r="A8394" s="6" t="str">
        <f>HYPERLINK("proteomic_fractions_linear_files/Yang_linear_img/269784644.jpg", "269784644")</f>
        <v>269784644</v>
      </c>
      <c r="B8394" s="7"/>
      <c r="C8394" s="6" t="str">
        <f>HYPERLINK("http://www.ncbi.nlm.nih.gov/protein/269784644","Zfp326")</f>
        <v>Zfp326</v>
      </c>
      <c r="D8394" s="8"/>
      <c r="E8394" s="8">
        <v>65036</v>
      </c>
      <c r="F8394" s="8"/>
      <c r="G8394" s="15">
        <v>1.461045864347454</v>
      </c>
      <c r="H8394" s="15">
        <v>1.461045864347454</v>
      </c>
      <c r="I8394" s="15" t="s">
        <v>10</v>
      </c>
      <c r="J8394" s="15" t="s">
        <v>10</v>
      </c>
      <c r="K8394" s="15">
        <v>1.2784408995868286</v>
      </c>
      <c r="L8394" s="15">
        <v>1.2784408995868286</v>
      </c>
      <c r="M8394" s="15" t="s">
        <v>10</v>
      </c>
      <c r="N8394" s="15" t="s">
        <v>10</v>
      </c>
      <c r="O8394" s="15" t="s">
        <v>10</v>
      </c>
      <c r="P8394" s="15" t="s">
        <v>10</v>
      </c>
      <c r="Q8394" s="8"/>
      <c r="R8394" s="9" t="s">
        <v>7875</v>
      </c>
    </row>
    <row r="8395" spans="1:18" x14ac:dyDescent="0.25">
      <c r="A8395" s="6" t="str">
        <f>HYPERLINK("proteomic_fractions_linear_files/Yang_linear_img/6754396.jpg", "6754396")</f>
        <v>6754396</v>
      </c>
      <c r="B8395" s="7"/>
      <c r="C8395" s="6" t="str">
        <f>HYPERLINK("http://www.ncbi.nlm.nih.gov/protein/6754396","Zfp346")</f>
        <v>Zfp346</v>
      </c>
      <c r="D8395" s="8"/>
      <c r="E8395" s="8">
        <v>32567</v>
      </c>
      <c r="F8395" s="8"/>
      <c r="G8395" s="15" t="s">
        <v>10</v>
      </c>
      <c r="H8395" s="15" t="s">
        <v>10</v>
      </c>
      <c r="I8395" s="15" t="s">
        <v>10</v>
      </c>
      <c r="J8395" s="15" t="s">
        <v>10</v>
      </c>
      <c r="K8395" s="15">
        <v>1.1315553461552907</v>
      </c>
      <c r="L8395" s="15">
        <v>1.1315553461552907</v>
      </c>
      <c r="M8395" s="15" t="s">
        <v>10</v>
      </c>
      <c r="N8395" s="15" t="s">
        <v>10</v>
      </c>
      <c r="O8395" s="15" t="s">
        <v>10</v>
      </c>
      <c r="P8395" s="15" t="s">
        <v>10</v>
      </c>
      <c r="Q8395" s="8"/>
      <c r="R8395" s="9" t="s">
        <v>7876</v>
      </c>
    </row>
    <row r="8396" spans="1:18" x14ac:dyDescent="0.25">
      <c r="A8396" s="6" t="str">
        <f>HYPERLINK("proteomic_fractions_linear_files/Yang_linear_img/238018076.jpg", "238018076")</f>
        <v>238018076</v>
      </c>
      <c r="B8396" s="7"/>
      <c r="C8396" s="6" t="str">
        <f>HYPERLINK("http://www.ncbi.nlm.nih.gov/protein/238018076","Zfp428")</f>
        <v>Zfp428</v>
      </c>
      <c r="D8396" s="8"/>
      <c r="E8396" s="8">
        <v>18872</v>
      </c>
      <c r="F8396" s="8"/>
      <c r="G8396" s="15" t="s">
        <v>10</v>
      </c>
      <c r="H8396" s="15" t="s">
        <v>10</v>
      </c>
      <c r="I8396" s="15" t="s">
        <v>10</v>
      </c>
      <c r="J8396" s="15" t="s">
        <v>10</v>
      </c>
      <c r="K8396" s="15" t="s">
        <v>10</v>
      </c>
      <c r="L8396" s="15" t="s">
        <v>10</v>
      </c>
      <c r="M8396" s="15" t="s">
        <v>10</v>
      </c>
      <c r="N8396" s="15" t="s">
        <v>10</v>
      </c>
      <c r="O8396" s="15">
        <v>1.3763293744960527</v>
      </c>
      <c r="P8396" s="15">
        <v>1.3763293744960527</v>
      </c>
      <c r="Q8396" s="8"/>
      <c r="R8396" s="9" t="s">
        <v>7877</v>
      </c>
    </row>
    <row r="8397" spans="1:18" x14ac:dyDescent="0.25">
      <c r="A8397" s="6" t="str">
        <f>HYPERLINK("proteomic_fractions_linear_files/Yang_linear_img/226437661.jpg", "226437661")</f>
        <v>226437661</v>
      </c>
      <c r="B8397" s="7"/>
      <c r="C8397" s="6" t="str">
        <f>HYPERLINK("http://www.ncbi.nlm.nih.gov/protein/226437661","Zfp511")</f>
        <v>Zfp511</v>
      </c>
      <c r="D8397" s="8"/>
      <c r="E8397" s="8">
        <v>28154</v>
      </c>
      <c r="F8397" s="8"/>
      <c r="G8397" s="15" t="s">
        <v>10</v>
      </c>
      <c r="H8397" s="15" t="s">
        <v>10</v>
      </c>
      <c r="I8397" s="15" t="s">
        <v>10</v>
      </c>
      <c r="J8397" s="15" t="s">
        <v>10</v>
      </c>
      <c r="K8397" s="15" t="s">
        <v>10</v>
      </c>
      <c r="L8397" s="15" t="s">
        <v>10</v>
      </c>
      <c r="M8397" s="15" t="s">
        <v>10</v>
      </c>
      <c r="N8397" s="15" t="s">
        <v>10</v>
      </c>
      <c r="O8397" s="15">
        <v>0.99707897491721642</v>
      </c>
      <c r="P8397" s="15">
        <v>0.99707897491721642</v>
      </c>
      <c r="Q8397" s="8"/>
      <c r="R8397" s="9" t="s">
        <v>7878</v>
      </c>
    </row>
    <row r="8398" spans="1:18" x14ac:dyDescent="0.25">
      <c r="A8398" s="6" t="str">
        <f>HYPERLINK("proteomic_fractions_linear_files/Yang_linear_img/254553392.jpg", "254553392")</f>
        <v>254553392</v>
      </c>
      <c r="B8398" s="7"/>
      <c r="C8398" s="6" t="str">
        <f>HYPERLINK("http://www.ncbi.nlm.nih.gov/protein/254553392","Zfp512")</f>
        <v>Zfp512</v>
      </c>
      <c r="D8398" s="8"/>
      <c r="E8398" s="8">
        <v>63777</v>
      </c>
      <c r="F8398" s="8"/>
      <c r="G8398" s="15">
        <v>1.2984165386428728</v>
      </c>
      <c r="H8398" s="15">
        <v>1.2984165386428728</v>
      </c>
      <c r="I8398" s="15" t="s">
        <v>10</v>
      </c>
      <c r="J8398" s="15" t="s">
        <v>10</v>
      </c>
      <c r="K8398" s="15" t="s">
        <v>10</v>
      </c>
      <c r="L8398" s="15" t="s">
        <v>10</v>
      </c>
      <c r="M8398" s="15" t="s">
        <v>10</v>
      </c>
      <c r="N8398" s="15" t="s">
        <v>10</v>
      </c>
      <c r="O8398" s="15" t="s">
        <v>10</v>
      </c>
      <c r="P8398" s="15" t="s">
        <v>10</v>
      </c>
      <c r="Q8398" s="8"/>
      <c r="R8398" s="9" t="s">
        <v>7879</v>
      </c>
    </row>
    <row r="8399" spans="1:18" x14ac:dyDescent="0.25">
      <c r="A8399" s="6" t="str">
        <f>HYPERLINK("proteomic_fractions_linear_files/Yang_linear_img/154759288.jpg", "154759288")</f>
        <v>154759288</v>
      </c>
      <c r="B8399" s="7"/>
      <c r="C8399" s="6" t="str">
        <f>HYPERLINK("http://www.ncbi.nlm.nih.gov/protein/154759288","Zfp593")</f>
        <v>Zfp593</v>
      </c>
      <c r="D8399" s="8"/>
      <c r="E8399" s="8">
        <v>15016</v>
      </c>
      <c r="F8399" s="8"/>
      <c r="G8399" s="15" t="s">
        <v>10</v>
      </c>
      <c r="H8399" s="15" t="s">
        <v>10</v>
      </c>
      <c r="I8399" s="15">
        <v>1.1713293176905979</v>
      </c>
      <c r="J8399" s="15">
        <v>1.1713293176905979</v>
      </c>
      <c r="K8399" s="15" t="s">
        <v>10</v>
      </c>
      <c r="L8399" s="15" t="s">
        <v>10</v>
      </c>
      <c r="M8399" s="15">
        <v>1.1713293176905979</v>
      </c>
      <c r="N8399" s="15">
        <v>1.1713293176905979</v>
      </c>
      <c r="O8399" s="15" t="s">
        <v>10</v>
      </c>
      <c r="P8399" s="15" t="s">
        <v>10</v>
      </c>
      <c r="Q8399" s="8"/>
      <c r="R8399" s="9" t="s">
        <v>7880</v>
      </c>
    </row>
    <row r="8400" spans="1:18" x14ac:dyDescent="0.25">
      <c r="A8400" s="6" t="str">
        <f>HYPERLINK("proteomic_fractions_linear_files/Yang_linear_img/34147169.jpg", "34147169")</f>
        <v>34147169</v>
      </c>
      <c r="B8400" s="7"/>
      <c r="C8400" s="6" t="str">
        <f>HYPERLINK("http://www.ncbi.nlm.nih.gov/protein/34147169","Zfp598")</f>
        <v>Zfp598</v>
      </c>
      <c r="D8400" s="8"/>
      <c r="E8400" s="8">
        <v>99061</v>
      </c>
      <c r="F8400" s="8"/>
      <c r="G8400" s="15" t="s">
        <v>10</v>
      </c>
      <c r="H8400" s="15" t="s">
        <v>10</v>
      </c>
      <c r="I8400" s="15" t="s">
        <v>10</v>
      </c>
      <c r="J8400" s="15" t="s">
        <v>10</v>
      </c>
      <c r="K8400" s="15">
        <v>1.3002184661122926</v>
      </c>
      <c r="L8400" s="15">
        <v>1.3002184661122926</v>
      </c>
      <c r="M8400" s="15">
        <v>0.4877775311557096</v>
      </c>
      <c r="N8400" s="15">
        <v>0.4877775311557096</v>
      </c>
      <c r="O8400" s="15" t="s">
        <v>10</v>
      </c>
      <c r="P8400" s="15" t="s">
        <v>10</v>
      </c>
      <c r="Q8400" s="8"/>
      <c r="R8400" s="9" t="s">
        <v>7881</v>
      </c>
    </row>
    <row r="8401" spans="1:18" x14ac:dyDescent="0.25">
      <c r="A8401" s="6" t="str">
        <f>HYPERLINK("proteomic_fractions_linear_files/Yang_linear_img/255683357.jpg", "255683357")</f>
        <v>255683357</v>
      </c>
      <c r="B8401" s="7"/>
      <c r="C8401" s="6" t="str">
        <f>HYPERLINK("http://www.ncbi.nlm.nih.gov/protein/255683357","Zfp605")</f>
        <v>Zfp605</v>
      </c>
      <c r="D8401" s="8"/>
      <c r="E8401" s="8">
        <v>80603</v>
      </c>
      <c r="F8401" s="8"/>
      <c r="G8401" s="15" t="s">
        <v>10</v>
      </c>
      <c r="H8401" s="15" t="s">
        <v>10</v>
      </c>
      <c r="I8401" s="15">
        <v>0.20637622864946942</v>
      </c>
      <c r="J8401" s="15">
        <v>0.20637622864946942</v>
      </c>
      <c r="K8401" s="15">
        <v>0.21691283660936997</v>
      </c>
      <c r="L8401" s="15">
        <v>0.21691283660936997</v>
      </c>
      <c r="M8401" s="15" t="s">
        <v>10</v>
      </c>
      <c r="N8401" s="15" t="s">
        <v>10</v>
      </c>
      <c r="O8401" s="15" t="s">
        <v>10</v>
      </c>
      <c r="P8401" s="15" t="s">
        <v>10</v>
      </c>
      <c r="Q8401" s="8"/>
      <c r="R8401" s="9" t="s">
        <v>7882</v>
      </c>
    </row>
    <row r="8402" spans="1:18" x14ac:dyDescent="0.25">
      <c r="A8402" s="6" t="str">
        <f>HYPERLINK("proteomic_fractions_linear_files/Yang_linear_img/121247404.jpg", "121247404")</f>
        <v>121247404</v>
      </c>
      <c r="B8402" s="7"/>
      <c r="C8402" s="6" t="str">
        <f>HYPERLINK("http://www.ncbi.nlm.nih.gov/protein/121247404","Zfp61")</f>
        <v>Zfp61</v>
      </c>
      <c r="D8402" s="8"/>
      <c r="E8402" s="8">
        <v>62345</v>
      </c>
      <c r="F8402" s="8"/>
      <c r="G8402" s="15" t="s">
        <v>10</v>
      </c>
      <c r="H8402" s="15" t="s">
        <v>10</v>
      </c>
      <c r="I8402" s="15" t="s">
        <v>10</v>
      </c>
      <c r="J8402" s="15" t="s">
        <v>10</v>
      </c>
      <c r="K8402" s="15">
        <v>0.19730421439244125</v>
      </c>
      <c r="L8402" s="15">
        <v>0.19730421439244125</v>
      </c>
      <c r="M8402" s="15" t="s">
        <v>10</v>
      </c>
      <c r="N8402" s="15" t="s">
        <v>10</v>
      </c>
      <c r="O8402" s="15" t="s">
        <v>10</v>
      </c>
      <c r="P8402" s="15" t="s">
        <v>10</v>
      </c>
      <c r="Q8402" s="8"/>
      <c r="R8402" s="9" t="s">
        <v>7883</v>
      </c>
    </row>
    <row r="8403" spans="1:18" x14ac:dyDescent="0.25">
      <c r="A8403" s="6" t="str">
        <f>HYPERLINK("proteomic_fractions_linear_files/Yang_linear_img/283837868.jpg", "283837868")</f>
        <v>283837868</v>
      </c>
      <c r="B8403" s="7"/>
      <c r="C8403" s="6" t="str">
        <f>HYPERLINK("http://www.ncbi.nlm.nih.gov/protein/283837868","Zfp612")</f>
        <v>Zfp612</v>
      </c>
      <c r="D8403" s="8"/>
      <c r="E8403" s="8">
        <v>76002</v>
      </c>
      <c r="F8403" s="8"/>
      <c r="G8403" s="15" t="s">
        <v>10</v>
      </c>
      <c r="H8403" s="15" t="s">
        <v>10</v>
      </c>
      <c r="I8403" s="15" t="s">
        <v>10</v>
      </c>
      <c r="J8403" s="15" t="s">
        <v>10</v>
      </c>
      <c r="K8403" s="15" t="s">
        <v>10</v>
      </c>
      <c r="L8403" s="15" t="s">
        <v>10</v>
      </c>
      <c r="M8403" s="15">
        <v>0.53299102898977291</v>
      </c>
      <c r="N8403" s="15">
        <v>0.53299102898977291</v>
      </c>
      <c r="O8403" s="15" t="s">
        <v>10</v>
      </c>
      <c r="P8403" s="15" t="s">
        <v>10</v>
      </c>
      <c r="Q8403" s="8"/>
      <c r="R8403" s="9" t="s">
        <v>7884</v>
      </c>
    </row>
    <row r="8404" spans="1:18" x14ac:dyDescent="0.25">
      <c r="A8404" s="6" t="str">
        <f>HYPERLINK("proteomic_fractions_linear_files/Yang_linear_img/21362307.jpg", "21362307")</f>
        <v>21362307</v>
      </c>
      <c r="B8404" s="7"/>
      <c r="C8404" s="6" t="str">
        <f>HYPERLINK("http://www.ncbi.nlm.nih.gov/protein/21362307","Zfp622")</f>
        <v>Zfp622</v>
      </c>
      <c r="D8404" s="8"/>
      <c r="E8404" s="8">
        <v>53320</v>
      </c>
      <c r="F8404" s="8"/>
      <c r="G8404" s="15" t="s">
        <v>10</v>
      </c>
      <c r="H8404" s="15" t="s">
        <v>10</v>
      </c>
      <c r="I8404" s="15" t="s">
        <v>10</v>
      </c>
      <c r="J8404" s="15" t="s">
        <v>10</v>
      </c>
      <c r="K8404" s="15">
        <v>1.2349672326517798</v>
      </c>
      <c r="L8404" s="15">
        <v>1.2349672326517798</v>
      </c>
      <c r="M8404" s="15">
        <v>1.2349672326517798</v>
      </c>
      <c r="N8404" s="15">
        <v>1.2349672326517798</v>
      </c>
      <c r="O8404" s="15" t="s">
        <v>10</v>
      </c>
      <c r="P8404" s="15" t="s">
        <v>10</v>
      </c>
      <c r="Q8404" s="8"/>
      <c r="R8404" s="9" t="s">
        <v>7885</v>
      </c>
    </row>
    <row r="8405" spans="1:18" x14ac:dyDescent="0.25">
      <c r="A8405" s="6" t="str">
        <f>HYPERLINK("proteomic_fractions_linear_files/Yang_linear_img/148276994.jpg", "148276994")</f>
        <v>148276994</v>
      </c>
      <c r="B8405" s="7"/>
      <c r="C8405" s="6" t="str">
        <f>HYPERLINK("http://www.ncbi.nlm.nih.gov/protein/148276994","Zfp628")</f>
        <v>Zfp628</v>
      </c>
      <c r="D8405" s="8"/>
      <c r="E8405" s="8">
        <v>108917</v>
      </c>
      <c r="F8405" s="8"/>
      <c r="G8405" s="15">
        <v>0.48734467550459704</v>
      </c>
      <c r="H8405" s="15">
        <v>0.48734467550459704</v>
      </c>
      <c r="I8405" s="15" t="s">
        <v>10</v>
      </c>
      <c r="J8405" s="15" t="s">
        <v>10</v>
      </c>
      <c r="K8405" s="15">
        <v>0.37162677250663068</v>
      </c>
      <c r="L8405" s="15">
        <v>0.37162677250663068</v>
      </c>
      <c r="M8405" s="15">
        <v>0.34258097635894119</v>
      </c>
      <c r="N8405" s="15">
        <v>0.34258097635894119</v>
      </c>
      <c r="O8405" s="15" t="s">
        <v>10</v>
      </c>
      <c r="P8405" s="15" t="s">
        <v>10</v>
      </c>
      <c r="Q8405" s="8"/>
      <c r="R8405" s="9" t="s">
        <v>7886</v>
      </c>
    </row>
    <row r="8406" spans="1:18" x14ac:dyDescent="0.25">
      <c r="A8406" s="6" t="str">
        <f>HYPERLINK("proteomic_fractions_linear_files/Yang_linear_img/18875370.jpg", "18875370")</f>
        <v>18875370</v>
      </c>
      <c r="B8406" s="7"/>
      <c r="C8406" s="6" t="str">
        <f>HYPERLINK("http://www.ncbi.nlm.nih.gov/protein/18875370","Zfp704")</f>
        <v>Zfp704</v>
      </c>
      <c r="D8406" s="8"/>
      <c r="E8406" s="8">
        <v>61020</v>
      </c>
      <c r="F8406" s="8"/>
      <c r="G8406" s="15" t="s">
        <v>10</v>
      </c>
      <c r="H8406" s="15" t="s">
        <v>10</v>
      </c>
      <c r="I8406" s="15" t="s">
        <v>10</v>
      </c>
      <c r="J8406" s="15" t="s">
        <v>10</v>
      </c>
      <c r="K8406" s="15" t="s">
        <v>10</v>
      </c>
      <c r="L8406" s="15" t="s">
        <v>10</v>
      </c>
      <c r="M8406" s="15" t="s">
        <v>10</v>
      </c>
      <c r="N8406" s="15" t="s">
        <v>10</v>
      </c>
      <c r="O8406" s="15">
        <v>0.24912029989859485</v>
      </c>
      <c r="P8406" s="15">
        <v>0.24912029989859485</v>
      </c>
      <c r="Q8406" s="8"/>
      <c r="R8406" s="9" t="s">
        <v>7887</v>
      </c>
    </row>
    <row r="8407" spans="1:18" x14ac:dyDescent="0.25">
      <c r="A8407" s="6" t="str">
        <f>HYPERLINK("proteomic_fractions_linear_files/Yang_linear_img/21312658.jpg", "21312658")</f>
        <v>21312658</v>
      </c>
      <c r="B8407" s="7"/>
      <c r="C8407" s="6" t="str">
        <f>HYPERLINK("http://www.ncbi.nlm.nih.gov/protein/21312658","Zfp706")</f>
        <v>Zfp706</v>
      </c>
      <c r="D8407" s="8"/>
      <c r="E8407" s="8">
        <v>8367</v>
      </c>
      <c r="F8407" s="8"/>
      <c r="G8407" s="15" t="s">
        <v>10</v>
      </c>
      <c r="H8407" s="15" t="s">
        <v>10</v>
      </c>
      <c r="I8407" s="15" t="s">
        <v>10</v>
      </c>
      <c r="J8407" s="15" t="s">
        <v>10</v>
      </c>
      <c r="K8407" s="15">
        <v>1.8146842152337934</v>
      </c>
      <c r="L8407" s="15">
        <v>1.8146842152337934</v>
      </c>
      <c r="M8407" s="15">
        <v>1.7357313124920812</v>
      </c>
      <c r="N8407" s="15">
        <v>1.7357313124920812</v>
      </c>
      <c r="O8407" s="15">
        <v>1.6621330028751917</v>
      </c>
      <c r="P8407" s="15">
        <v>1.6621330028751917</v>
      </c>
      <c r="Q8407" s="8"/>
      <c r="R8407" s="9" t="s">
        <v>7888</v>
      </c>
    </row>
    <row r="8408" spans="1:18" x14ac:dyDescent="0.25">
      <c r="A8408" s="6" t="str">
        <f>HYPERLINK("proteomic_fractions_linear_files/Yang_linear_img/28893511.jpg", "28893511")</f>
        <v>28893511</v>
      </c>
      <c r="B8408" s="7"/>
      <c r="C8408" s="6" t="str">
        <f>HYPERLINK("http://www.ncbi.nlm.nih.gov/protein/28893511","Zfp771")</f>
        <v>Zfp771</v>
      </c>
      <c r="D8408" s="8"/>
      <c r="E8408" s="8">
        <v>35636</v>
      </c>
      <c r="F8408" s="8"/>
      <c r="G8408" s="15" t="s">
        <v>10</v>
      </c>
      <c r="H8408" s="15" t="s">
        <v>10</v>
      </c>
      <c r="I8408" s="15" t="s">
        <v>10</v>
      </c>
      <c r="J8408" s="15" t="s">
        <v>10</v>
      </c>
      <c r="K8408" s="15" t="s">
        <v>10</v>
      </c>
      <c r="L8408" s="15" t="s">
        <v>10</v>
      </c>
      <c r="M8408" s="15">
        <v>1.0372590673090165</v>
      </c>
      <c r="N8408" s="15">
        <v>1.0372590673090165</v>
      </c>
      <c r="O8408" s="15" t="s">
        <v>10</v>
      </c>
      <c r="P8408" s="15" t="s">
        <v>10</v>
      </c>
      <c r="Q8408" s="8"/>
      <c r="R8408" s="9" t="s">
        <v>7889</v>
      </c>
    </row>
    <row r="8409" spans="1:18" x14ac:dyDescent="0.25">
      <c r="A8409" s="6" t="str">
        <f>HYPERLINK("proteomic_fractions_linear_files/Yang_linear_img/124430545.jpg", "124430545")</f>
        <v>124430545</v>
      </c>
      <c r="B8409" s="7"/>
      <c r="C8409" s="6" t="str">
        <f>HYPERLINK("http://www.ncbi.nlm.nih.gov/protein/124430545","Zfp804a")</f>
        <v>Zfp804a</v>
      </c>
      <c r="D8409" s="8"/>
      <c r="E8409" s="8">
        <v>134720</v>
      </c>
      <c r="F8409" s="8"/>
      <c r="G8409" s="15" t="s">
        <v>10</v>
      </c>
      <c r="H8409" s="15" t="s">
        <v>10</v>
      </c>
      <c r="I8409" s="15" t="s">
        <v>10</v>
      </c>
      <c r="J8409" s="15" t="s">
        <v>10</v>
      </c>
      <c r="K8409" s="15">
        <v>44.393333333333338</v>
      </c>
      <c r="L8409" s="15">
        <v>44.393333333333338</v>
      </c>
      <c r="M8409" s="15" t="s">
        <v>10</v>
      </c>
      <c r="N8409" s="15" t="s">
        <v>10</v>
      </c>
      <c r="O8409" s="15" t="s">
        <v>10</v>
      </c>
      <c r="P8409" s="15" t="s">
        <v>10</v>
      </c>
      <c r="Q8409" s="8"/>
      <c r="R8409" s="9" t="s">
        <v>7890</v>
      </c>
    </row>
    <row r="8410" spans="1:18" x14ac:dyDescent="0.25">
      <c r="A8410" s="6" t="str">
        <f>HYPERLINK("proteomic_fractions_linear_files/Yang_linear_img/253735674.jpg", "253735674")</f>
        <v>253735674</v>
      </c>
      <c r="B8410" s="7"/>
      <c r="C8410" s="6" t="str">
        <f>HYPERLINK("http://www.ncbi.nlm.nih.gov/protein/253735674","Zfp804b")</f>
        <v>Zfp804b</v>
      </c>
      <c r="D8410" s="8"/>
      <c r="E8410" s="8">
        <v>151390</v>
      </c>
      <c r="F8410" s="8"/>
      <c r="G8410" s="15" t="s">
        <v>10</v>
      </c>
      <c r="H8410" s="15" t="s">
        <v>10</v>
      </c>
      <c r="I8410" s="15" t="s">
        <v>10</v>
      </c>
      <c r="J8410" s="15" t="s">
        <v>10</v>
      </c>
      <c r="K8410" s="15">
        <v>39.689403973509933</v>
      </c>
      <c r="L8410" s="15">
        <v>39.689403973509933</v>
      </c>
      <c r="M8410" s="15" t="s">
        <v>10</v>
      </c>
      <c r="N8410" s="15" t="s">
        <v>10</v>
      </c>
      <c r="O8410" s="15" t="s">
        <v>10</v>
      </c>
      <c r="P8410" s="15" t="s">
        <v>10</v>
      </c>
      <c r="Q8410" s="8"/>
      <c r="R8410" s="9" t="s">
        <v>7891</v>
      </c>
    </row>
    <row r="8411" spans="1:18" x14ac:dyDescent="0.25">
      <c r="A8411" s="6" t="str">
        <f>HYPERLINK("proteomic_fractions_linear_files/Yang_linear_img/31560213.jpg", "31560213")</f>
        <v>31560213</v>
      </c>
      <c r="B8411" s="7"/>
      <c r="C8411" s="6" t="str">
        <f>HYPERLINK("http://www.ncbi.nlm.nih.gov/protein/31560213","Zfp830")</f>
        <v>Zfp830</v>
      </c>
      <c r="D8411" s="8"/>
      <c r="E8411" s="8">
        <v>40527</v>
      </c>
      <c r="F8411" s="8"/>
      <c r="G8411" s="15" t="s">
        <v>10</v>
      </c>
      <c r="H8411" s="15" t="s">
        <v>10</v>
      </c>
      <c r="I8411" s="15" t="s">
        <v>10</v>
      </c>
      <c r="J8411" s="15" t="s">
        <v>10</v>
      </c>
      <c r="K8411" s="15">
        <v>0.37064239741010452</v>
      </c>
      <c r="L8411" s="15">
        <v>0.37064239741010452</v>
      </c>
      <c r="M8411" s="15" t="s">
        <v>10</v>
      </c>
      <c r="N8411" s="15" t="s">
        <v>10</v>
      </c>
      <c r="O8411" s="15" t="s">
        <v>10</v>
      </c>
      <c r="P8411" s="15" t="s">
        <v>10</v>
      </c>
      <c r="Q8411" s="8"/>
      <c r="R8411" s="9" t="s">
        <v>7892</v>
      </c>
    </row>
    <row r="8412" spans="1:18" x14ac:dyDescent="0.25">
      <c r="A8412" s="6" t="str">
        <f>HYPERLINK("proteomic_fractions_linear_files/Yang_linear_img/75677466.jpg", "75677466")</f>
        <v>75677466</v>
      </c>
      <c r="B8412" s="7"/>
      <c r="C8412" s="6" t="str">
        <f>HYPERLINK("http://www.ncbi.nlm.nih.gov/protein/75677466","Zfp865")</f>
        <v>Zfp865</v>
      </c>
      <c r="D8412" s="8"/>
      <c r="E8412" s="8">
        <v>111545</v>
      </c>
      <c r="F8412" s="8"/>
      <c r="G8412" s="15">
        <v>1.3701149208593022</v>
      </c>
      <c r="H8412" s="15">
        <v>1.3701149208593022</v>
      </c>
      <c r="I8412" s="15" t="s">
        <v>10</v>
      </c>
      <c r="J8412" s="15" t="s">
        <v>10</v>
      </c>
      <c r="K8412" s="15" t="s">
        <v>10</v>
      </c>
      <c r="L8412" s="15" t="s">
        <v>10</v>
      </c>
      <c r="M8412" s="15" t="s">
        <v>10</v>
      </c>
      <c r="N8412" s="15" t="s">
        <v>10</v>
      </c>
      <c r="O8412" s="15" t="s">
        <v>10</v>
      </c>
      <c r="P8412" s="15" t="s">
        <v>10</v>
      </c>
      <c r="Q8412" s="8"/>
      <c r="R8412" s="9" t="s">
        <v>7893</v>
      </c>
    </row>
    <row r="8413" spans="1:18" x14ac:dyDescent="0.25">
      <c r="A8413" s="6" t="str">
        <f>HYPERLINK("proteomic_fractions_linear_files/Yang_linear_img/90669983.jpg", "90669983")</f>
        <v>90669983</v>
      </c>
      <c r="B8413" s="7"/>
      <c r="C8413" s="6" t="str">
        <f>HYPERLINK("http://www.ncbi.nlm.nih.gov/protein/90669983","Zfp91")</f>
        <v>Zfp91</v>
      </c>
      <c r="D8413" s="8"/>
      <c r="E8413" s="8">
        <v>63258</v>
      </c>
      <c r="F8413" s="8"/>
      <c r="G8413" s="15" t="s">
        <v>10</v>
      </c>
      <c r="H8413" s="15" t="s">
        <v>10</v>
      </c>
      <c r="I8413" s="15" t="s">
        <v>10</v>
      </c>
      <c r="J8413" s="15" t="s">
        <v>10</v>
      </c>
      <c r="K8413" s="15" t="s">
        <v>10</v>
      </c>
      <c r="L8413" s="15" t="s">
        <v>10</v>
      </c>
      <c r="M8413" s="15">
        <v>1.5074282727394366</v>
      </c>
      <c r="N8413" s="15">
        <v>1.5074282727394366</v>
      </c>
      <c r="O8413" s="15" t="s">
        <v>10</v>
      </c>
      <c r="P8413" s="15" t="s">
        <v>10</v>
      </c>
      <c r="Q8413" s="8"/>
      <c r="R8413" s="9" t="s">
        <v>7894</v>
      </c>
    </row>
    <row r="8414" spans="1:18" x14ac:dyDescent="0.25">
      <c r="A8414" s="6" t="str">
        <f>HYPERLINK("proteomic_fractions_linear_files/Yang_linear_img/13195658.jpg", "13195658")</f>
        <v>13195658</v>
      </c>
      <c r="B8414" s="7"/>
      <c r="C8414" s="6" t="str">
        <f>HYPERLINK("http://www.ncbi.nlm.nih.gov/protein/13195658","Zfpl1")</f>
        <v>Zfpl1</v>
      </c>
      <c r="D8414" s="8"/>
      <c r="E8414" s="8">
        <v>34024</v>
      </c>
      <c r="F8414" s="8"/>
      <c r="G8414" s="15">
        <v>1.4202933995416251</v>
      </c>
      <c r="H8414" s="15">
        <v>1.4202933995416251</v>
      </c>
      <c r="I8414" s="15">
        <v>1.0162757803080937</v>
      </c>
      <c r="J8414" s="15">
        <v>1.0162757803080937</v>
      </c>
      <c r="K8414" s="15">
        <v>1.098274306562488</v>
      </c>
      <c r="L8414" s="15">
        <v>1.098274306562488</v>
      </c>
      <c r="M8414" s="15">
        <v>1.0162757803080937</v>
      </c>
      <c r="N8414" s="15">
        <v>1.0162757803080937</v>
      </c>
      <c r="O8414" s="15" t="s">
        <v>10</v>
      </c>
      <c r="P8414" s="15" t="s">
        <v>10</v>
      </c>
      <c r="Q8414" s="8"/>
      <c r="R8414" s="9" t="s">
        <v>7895</v>
      </c>
    </row>
    <row r="8415" spans="1:18" x14ac:dyDescent="0.25">
      <c r="A8415" s="6" t="str">
        <f>HYPERLINK("proteomic_fractions_linear_files/Yang_linear_img/168480106.jpg", "168480106")</f>
        <v>168480106</v>
      </c>
      <c r="B8415" s="7"/>
      <c r="C8415" s="6" t="str">
        <f>HYPERLINK("http://www.ncbi.nlm.nih.gov/protein/168480106","Zfr")</f>
        <v>Zfr</v>
      </c>
      <c r="D8415" s="8"/>
      <c r="E8415" s="8">
        <v>116728</v>
      </c>
      <c r="F8415" s="8"/>
      <c r="G8415" s="15" t="s">
        <v>10</v>
      </c>
      <c r="H8415" s="15" t="s">
        <v>10</v>
      </c>
      <c r="I8415" s="15" t="s">
        <v>10</v>
      </c>
      <c r="J8415" s="15" t="s">
        <v>10</v>
      </c>
      <c r="K8415" s="15">
        <v>1.3115630011644601</v>
      </c>
      <c r="L8415" s="15">
        <v>1.3115630011644601</v>
      </c>
      <c r="M8415" s="15">
        <v>0.71024494421490481</v>
      </c>
      <c r="N8415" s="15">
        <v>0.71024494421490481</v>
      </c>
      <c r="O8415" s="15" t="s">
        <v>10</v>
      </c>
      <c r="P8415" s="15" t="s">
        <v>10</v>
      </c>
      <c r="Q8415" s="8"/>
      <c r="R8415" s="9" t="s">
        <v>7896</v>
      </c>
    </row>
    <row r="8416" spans="1:18" x14ac:dyDescent="0.25">
      <c r="A8416" s="6" t="str">
        <f>HYPERLINK("proteomic_fractions_linear_files/Yang_linear_img/110625853.jpg", "110625853")</f>
        <v>110625853</v>
      </c>
      <c r="B8416" s="7"/>
      <c r="C8416" s="6" t="str">
        <f>HYPERLINK("http://www.ncbi.nlm.nih.gov/protein/110625853","Zfyve1")</f>
        <v>Zfyve1</v>
      </c>
      <c r="D8416" s="8"/>
      <c r="E8416" s="8">
        <v>86810</v>
      </c>
      <c r="F8416" s="8"/>
      <c r="G8416" s="15" t="s">
        <v>10</v>
      </c>
      <c r="H8416" s="15" t="s">
        <v>10</v>
      </c>
      <c r="I8416" s="15">
        <v>1.0915859906044196</v>
      </c>
      <c r="J8416" s="15">
        <v>1.0915859906044196</v>
      </c>
      <c r="K8416" s="15">
        <v>1.0915859906044196</v>
      </c>
      <c r="L8416" s="15">
        <v>1.0915859906044196</v>
      </c>
      <c r="M8416" s="15" t="s">
        <v>10</v>
      </c>
      <c r="N8416" s="15" t="s">
        <v>10</v>
      </c>
      <c r="O8416" s="15">
        <v>0.14651976255100721</v>
      </c>
      <c r="P8416" s="15">
        <v>0.14651976255100721</v>
      </c>
      <c r="Q8416" s="8"/>
      <c r="R8416" s="9" t="s">
        <v>7897</v>
      </c>
    </row>
    <row r="8417" spans="1:18" x14ac:dyDescent="0.25">
      <c r="A8417" s="6" t="str">
        <f>HYPERLINK("proteomic_fractions_linear_files/Yang_linear_img/258679475.jpg", "258679475")</f>
        <v>258679475</v>
      </c>
      <c r="B8417" s="7"/>
      <c r="C8417" s="6" t="str">
        <f>HYPERLINK("http://www.ncbi.nlm.nih.gov/protein/258679475","Zfyve19")</f>
        <v>Zfyve19</v>
      </c>
      <c r="D8417" s="8"/>
      <c r="E8417" s="8">
        <v>43141</v>
      </c>
      <c r="F8417" s="8"/>
      <c r="G8417" s="15">
        <v>0.47901026015479703</v>
      </c>
      <c r="H8417" s="15">
        <v>0.47901026015479703</v>
      </c>
      <c r="I8417" s="15" t="s">
        <v>10</v>
      </c>
      <c r="J8417" s="15" t="s">
        <v>10</v>
      </c>
      <c r="K8417" s="15" t="s">
        <v>10</v>
      </c>
      <c r="L8417" s="15" t="s">
        <v>10</v>
      </c>
      <c r="M8417" s="15" t="s">
        <v>10</v>
      </c>
      <c r="N8417" s="15" t="s">
        <v>10</v>
      </c>
      <c r="O8417" s="15">
        <v>1.123022688009657</v>
      </c>
      <c r="P8417" s="15">
        <v>1.123022688009657</v>
      </c>
      <c r="Q8417" s="8"/>
      <c r="R8417" s="9" t="s">
        <v>7898</v>
      </c>
    </row>
    <row r="8418" spans="1:18" x14ac:dyDescent="0.25">
      <c r="A8418" s="6" t="str">
        <f>HYPERLINK("proteomic_fractions_linear_files/Yang_linear_img/258679477.jpg", "258679477")</f>
        <v>258679477</v>
      </c>
      <c r="B8418" s="7"/>
      <c r="C8418" s="6" t="str">
        <f>HYPERLINK("http://www.ncbi.nlm.nih.gov/protein/258679477","Zfyve19")</f>
        <v>Zfyve19</v>
      </c>
      <c r="D8418" s="8"/>
      <c r="E8418" s="8">
        <v>36189</v>
      </c>
      <c r="F8418" s="8"/>
      <c r="G8418" s="15">
        <v>0.57215114407378531</v>
      </c>
      <c r="H8418" s="15">
        <v>0.57215114407378531</v>
      </c>
      <c r="I8418" s="15" t="s">
        <v>10</v>
      </c>
      <c r="J8418" s="15" t="s">
        <v>10</v>
      </c>
      <c r="K8418" s="15" t="s">
        <v>10</v>
      </c>
      <c r="L8418" s="15" t="s">
        <v>10</v>
      </c>
      <c r="M8418" s="15" t="s">
        <v>10</v>
      </c>
      <c r="N8418" s="15" t="s">
        <v>10</v>
      </c>
      <c r="O8418" s="15">
        <v>1.3413882106782014</v>
      </c>
      <c r="P8418" s="15">
        <v>1.3413882106782014</v>
      </c>
      <c r="Q8418" s="8"/>
      <c r="R8418" s="9" t="s">
        <v>7899</v>
      </c>
    </row>
    <row r="8419" spans="1:18" x14ac:dyDescent="0.25">
      <c r="A8419" s="6" t="str">
        <f>HYPERLINK("proteomic_fractions_linear_files/Yang_linear_img/31541996.jpg", "31541996")</f>
        <v>31541996</v>
      </c>
      <c r="B8419" s="7"/>
      <c r="C8419" s="6" t="str">
        <f>HYPERLINK("http://www.ncbi.nlm.nih.gov/protein/31541996","Zfyve20")</f>
        <v>Zfyve20</v>
      </c>
      <c r="D8419" s="8"/>
      <c r="E8419" s="8">
        <v>88361</v>
      </c>
      <c r="F8419" s="8"/>
      <c r="G8419" s="15" t="s">
        <v>10</v>
      </c>
      <c r="H8419" s="15" t="s">
        <v>10</v>
      </c>
      <c r="I8419" s="15" t="s">
        <v>10</v>
      </c>
      <c r="J8419" s="15" t="s">
        <v>10</v>
      </c>
      <c r="K8419" s="15" t="s">
        <v>10</v>
      </c>
      <c r="L8419" s="15" t="s">
        <v>10</v>
      </c>
      <c r="M8419" s="15" t="s">
        <v>10</v>
      </c>
      <c r="N8419" s="15" t="s">
        <v>10</v>
      </c>
      <c r="O8419" s="15">
        <v>1.4627457743763292</v>
      </c>
      <c r="P8419" s="15">
        <v>1.4627457743763292</v>
      </c>
      <c r="Q8419" s="8"/>
      <c r="R8419" s="9" t="s">
        <v>7900</v>
      </c>
    </row>
    <row r="8420" spans="1:18" x14ac:dyDescent="0.25">
      <c r="A8420" s="6" t="str">
        <f>HYPERLINK("proteomic_fractions_linear_files/Yang_linear_img/112818584.jpg", "112818584")</f>
        <v>112818584</v>
      </c>
      <c r="B8420" s="7"/>
      <c r="C8420" s="6" t="str">
        <f>HYPERLINK("http://www.ncbi.nlm.nih.gov/protein/112818584","Zfyve26")</f>
        <v>Zfyve26</v>
      </c>
      <c r="D8420" s="8"/>
      <c r="E8420" s="8">
        <v>282831</v>
      </c>
      <c r="F8420" s="8"/>
      <c r="G8420" s="15" t="s">
        <v>10</v>
      </c>
      <c r="H8420" s="15" t="s">
        <v>10</v>
      </c>
      <c r="I8420" s="15" t="s">
        <v>10</v>
      </c>
      <c r="J8420" s="15" t="s">
        <v>10</v>
      </c>
      <c r="K8420" s="15">
        <v>1.0663721718604198</v>
      </c>
      <c r="L8420" s="15">
        <v>1.0663721718604198</v>
      </c>
      <c r="M8420" s="15" t="s">
        <v>10</v>
      </c>
      <c r="N8420" s="15" t="s">
        <v>10</v>
      </c>
      <c r="O8420" s="15" t="s">
        <v>10</v>
      </c>
      <c r="P8420" s="15" t="s">
        <v>10</v>
      </c>
      <c r="Q8420" s="8"/>
      <c r="R8420" s="9" t="s">
        <v>7901</v>
      </c>
    </row>
    <row r="8421" spans="1:18" x14ac:dyDescent="0.25">
      <c r="A8421" s="6" t="str">
        <f>HYPERLINK("proteomic_fractions_linear_files/Yang_linear_img/40254321.jpg", "40254321")</f>
        <v>40254321</v>
      </c>
      <c r="B8421" s="7"/>
      <c r="C8421" s="6" t="str">
        <f>HYPERLINK("http://www.ncbi.nlm.nih.gov/protein/40254321","Zhx3")</f>
        <v>Zhx3</v>
      </c>
      <c r="D8421" s="8"/>
      <c r="E8421" s="8">
        <v>104212</v>
      </c>
      <c r="F8421" s="8"/>
      <c r="G8421" s="15" t="s">
        <v>10</v>
      </c>
      <c r="H8421" s="15" t="s">
        <v>10</v>
      </c>
      <c r="I8421" s="15" t="s">
        <v>10</v>
      </c>
      <c r="J8421" s="15" t="s">
        <v>10</v>
      </c>
      <c r="K8421" s="15" t="s">
        <v>10</v>
      </c>
      <c r="L8421" s="15" t="s">
        <v>10</v>
      </c>
      <c r="M8421" s="15" t="s">
        <v>10</v>
      </c>
      <c r="N8421" s="15" t="s">
        <v>10</v>
      </c>
      <c r="O8421" s="15">
        <v>0.91315366521715879</v>
      </c>
      <c r="P8421" s="15">
        <v>0.91315366521715879</v>
      </c>
      <c r="Q8421" s="8"/>
      <c r="R8421" s="9" t="s">
        <v>7902</v>
      </c>
    </row>
    <row r="8422" spans="1:18" x14ac:dyDescent="0.25">
      <c r="A8422" s="6" t="str">
        <f>HYPERLINK("proteomic_fractions_linear_files/Yang_linear_img/41053864.jpg", "41053864")</f>
        <v>41053864</v>
      </c>
      <c r="B8422" s="7"/>
      <c r="C8422" s="6" t="str">
        <f>HYPERLINK("http://www.ncbi.nlm.nih.gov/protein/41053864","Zmiz1")</f>
        <v>Zmiz1</v>
      </c>
      <c r="D8422" s="8"/>
      <c r="E8422" s="8">
        <v>115721</v>
      </c>
      <c r="F8422" s="8"/>
      <c r="G8422" s="15">
        <v>0.45793594508621621</v>
      </c>
      <c r="H8422" s="15">
        <v>0.45793594508621621</v>
      </c>
      <c r="I8422" s="15" t="s">
        <v>10</v>
      </c>
      <c r="J8422" s="15" t="s">
        <v>10</v>
      </c>
      <c r="K8422" s="15">
        <v>0.34920101899329953</v>
      </c>
      <c r="L8422" s="15">
        <v>0.34920101899329953</v>
      </c>
      <c r="M8422" s="15">
        <v>0.32190798640624646</v>
      </c>
      <c r="N8422" s="15">
        <v>0.32190798640624646</v>
      </c>
      <c r="O8422" s="15" t="s">
        <v>10</v>
      </c>
      <c r="P8422" s="15" t="s">
        <v>10</v>
      </c>
      <c r="Q8422" s="8"/>
      <c r="R8422" s="9" t="s">
        <v>7903</v>
      </c>
    </row>
    <row r="8423" spans="1:18" x14ac:dyDescent="0.25">
      <c r="A8423" s="6" t="str">
        <f>HYPERLINK("proteomic_fractions_linear_files/Yang_linear_img/27370012.jpg", "27370012")</f>
        <v>27370012</v>
      </c>
      <c r="B8423" s="7"/>
      <c r="C8423" s="6" t="str">
        <f>HYPERLINK("http://www.ncbi.nlm.nih.gov/protein/27370012","Zmpste24")</f>
        <v>Zmpste24</v>
      </c>
      <c r="D8423" s="8"/>
      <c r="E8423" s="8">
        <v>54604</v>
      </c>
      <c r="F8423" s="8"/>
      <c r="G8423" s="15" t="s">
        <v>10</v>
      </c>
      <c r="H8423" s="15" t="s">
        <v>10</v>
      </c>
      <c r="I8423" s="15">
        <v>0.39628622310325001</v>
      </c>
      <c r="J8423" s="15">
        <v>0.39628622310325001</v>
      </c>
      <c r="K8423" s="15">
        <v>0.80228344085391756</v>
      </c>
      <c r="L8423" s="15">
        <v>0.80228344085391756</v>
      </c>
      <c r="M8423" s="15" t="s">
        <v>10</v>
      </c>
      <c r="N8423" s="15" t="s">
        <v>10</v>
      </c>
      <c r="O8423" s="15" t="s">
        <v>10</v>
      </c>
      <c r="P8423" s="15" t="s">
        <v>10</v>
      </c>
      <c r="Q8423" s="8"/>
      <c r="R8423" s="9" t="s">
        <v>7904</v>
      </c>
    </row>
    <row r="8424" spans="1:18" x14ac:dyDescent="0.25">
      <c r="A8424" s="6" t="str">
        <f>HYPERLINK("proteomic_fractions_linear_files/Yang_linear_img/37595742.jpg", "37595742")</f>
        <v>37595742</v>
      </c>
      <c r="B8424" s="7"/>
      <c r="C8424" s="6" t="str">
        <f>HYPERLINK("http://www.ncbi.nlm.nih.gov/protein/37595742","Zmym2")</f>
        <v>Zmym2</v>
      </c>
      <c r="D8424" s="8"/>
      <c r="E8424" s="8">
        <v>154511</v>
      </c>
      <c r="F8424" s="8"/>
      <c r="G8424" s="15" t="s">
        <v>10</v>
      </c>
      <c r="H8424" s="15" t="s">
        <v>10</v>
      </c>
      <c r="I8424" s="15" t="s">
        <v>10</v>
      </c>
      <c r="J8424" s="15" t="s">
        <v>10</v>
      </c>
      <c r="K8424" s="15" t="s">
        <v>10</v>
      </c>
      <c r="L8424" s="15" t="s">
        <v>10</v>
      </c>
      <c r="M8424" s="15">
        <v>38.66516129032258</v>
      </c>
      <c r="N8424" s="15">
        <v>38.66516129032258</v>
      </c>
      <c r="O8424" s="15">
        <v>1.2049408492899378</v>
      </c>
      <c r="P8424" s="15">
        <v>1.2049408492899378</v>
      </c>
      <c r="Q8424" s="8"/>
      <c r="R8424" s="9" t="s">
        <v>7905</v>
      </c>
    </row>
    <row r="8425" spans="1:18" x14ac:dyDescent="0.25">
      <c r="A8425" s="6" t="str">
        <f>HYPERLINK("proteomic_fractions_linear_files/Yang_linear_img/359279940.jpg", "359279940")</f>
        <v>359279940</v>
      </c>
      <c r="B8425" s="7"/>
      <c r="C8425" s="6" t="str">
        <f>HYPERLINK("http://www.ncbi.nlm.nih.gov/protein/359279940","Zmym5")</f>
        <v>Zmym5</v>
      </c>
      <c r="D8425" s="8"/>
      <c r="E8425" s="8">
        <v>69940</v>
      </c>
      <c r="F8425" s="8"/>
      <c r="G8425" s="15" t="s">
        <v>10</v>
      </c>
      <c r="H8425" s="15" t="s">
        <v>10</v>
      </c>
      <c r="I8425" s="15" t="s">
        <v>10</v>
      </c>
      <c r="J8425" s="15" t="s">
        <v>10</v>
      </c>
      <c r="K8425" s="15" t="s">
        <v>10</v>
      </c>
      <c r="L8425" s="15" t="s">
        <v>10</v>
      </c>
      <c r="M8425" s="15">
        <v>0.23880677886581461</v>
      </c>
      <c r="N8425" s="15">
        <v>0.23880677886581461</v>
      </c>
      <c r="O8425" s="15" t="s">
        <v>10</v>
      </c>
      <c r="P8425" s="15" t="s">
        <v>10</v>
      </c>
      <c r="Q8425" s="8"/>
      <c r="R8425" s="9" t="s">
        <v>7906</v>
      </c>
    </row>
    <row r="8426" spans="1:18" x14ac:dyDescent="0.25">
      <c r="A8426" s="6" t="str">
        <f>HYPERLINK("proteomic_fractions_linear_files/Yang_linear_img/124487311.jpg", "124487311")</f>
        <v>124487311</v>
      </c>
      <c r="B8426" s="7"/>
      <c r="C8426" s="6" t="str">
        <f>HYPERLINK("http://www.ncbi.nlm.nih.gov/protein/124487311","Znfx1")</f>
        <v>Znfx1</v>
      </c>
      <c r="D8426" s="8"/>
      <c r="E8426" s="8">
        <v>218698</v>
      </c>
      <c r="F8426" s="8"/>
      <c r="G8426" s="15" t="s">
        <v>10</v>
      </c>
      <c r="H8426" s="15" t="s">
        <v>10</v>
      </c>
      <c r="I8426" s="15">
        <v>1.0655746467025071</v>
      </c>
      <c r="J8426" s="15">
        <v>1.0655746467025071</v>
      </c>
      <c r="K8426" s="15">
        <v>1.0655746467025071</v>
      </c>
      <c r="L8426" s="15">
        <v>1.0655746467025071</v>
      </c>
      <c r="M8426" s="15">
        <v>1.8677788024631954</v>
      </c>
      <c r="N8426" s="15">
        <v>1.8677788024631954</v>
      </c>
      <c r="O8426" s="15">
        <v>1.0655746467025071</v>
      </c>
      <c r="P8426" s="15">
        <v>1.0655746467025071</v>
      </c>
      <c r="Q8426" s="8"/>
      <c r="R8426" s="9" t="s">
        <v>7907</v>
      </c>
    </row>
    <row r="8427" spans="1:18" x14ac:dyDescent="0.25">
      <c r="A8427" s="6" t="str">
        <f>HYPERLINK("proteomic_fractions_linear_files/Yang_linear_img/124487366.jpg", "124487366")</f>
        <v>124487366</v>
      </c>
      <c r="B8427" s="7"/>
      <c r="C8427" s="6" t="str">
        <f>HYPERLINK("http://www.ncbi.nlm.nih.gov/protein/124487366","Znhit6")</f>
        <v>Znhit6</v>
      </c>
      <c r="D8427" s="8"/>
      <c r="E8427" s="8">
        <v>52082</v>
      </c>
      <c r="F8427" s="8"/>
      <c r="G8427" s="15" t="s">
        <v>10</v>
      </c>
      <c r="H8427" s="15" t="s">
        <v>10</v>
      </c>
      <c r="I8427" s="15" t="s">
        <v>10</v>
      </c>
      <c r="J8427" s="15" t="s">
        <v>10</v>
      </c>
      <c r="K8427" s="15" t="s">
        <v>10</v>
      </c>
      <c r="L8427" s="15" t="s">
        <v>10</v>
      </c>
      <c r="M8427" s="15">
        <v>0.66448801020144588</v>
      </c>
      <c r="N8427" s="15">
        <v>1.5980511244835358</v>
      </c>
      <c r="O8427" s="15">
        <v>1.4122338508015817</v>
      </c>
      <c r="P8427" s="15">
        <v>1.4122338508015817</v>
      </c>
      <c r="Q8427" s="8"/>
      <c r="R8427" s="9" t="s">
        <v>7908</v>
      </c>
    </row>
    <row r="8428" spans="1:18" x14ac:dyDescent="0.25">
      <c r="A8428" s="6" t="str">
        <f>HYPERLINK("proteomic_fractions_linear_files/Yang_linear_img/74315981.jpg", "74315981")</f>
        <v>74315981</v>
      </c>
      <c r="B8428" s="7"/>
      <c r="C8428" s="6" t="str">
        <f>HYPERLINK("http://www.ncbi.nlm.nih.gov/protein/74315981","Zranb2")</f>
        <v>Zranb2</v>
      </c>
      <c r="D8428" s="8"/>
      <c r="E8428" s="8">
        <v>37219</v>
      </c>
      <c r="F8428" s="8"/>
      <c r="G8428" s="15" t="s">
        <v>10</v>
      </c>
      <c r="H8428" s="15" t="s">
        <v>10</v>
      </c>
      <c r="I8428" s="15">
        <v>161.97567567567569</v>
      </c>
      <c r="J8428" s="15">
        <v>161.97567567567569</v>
      </c>
      <c r="K8428" s="15">
        <v>1.4356910710811102</v>
      </c>
      <c r="L8428" s="15">
        <v>1.4356910710811102</v>
      </c>
      <c r="M8428" s="15">
        <v>161.97567567567569</v>
      </c>
      <c r="N8428" s="15">
        <v>161.97567567567569</v>
      </c>
      <c r="O8428" s="15" t="s">
        <v>10</v>
      </c>
      <c r="P8428" s="15" t="s">
        <v>10</v>
      </c>
      <c r="Q8428" s="8"/>
      <c r="R8428" s="9" t="s">
        <v>7909</v>
      </c>
    </row>
    <row r="8429" spans="1:18" x14ac:dyDescent="0.25">
      <c r="A8429" s="6" t="str">
        <f>HYPERLINK("proteomic_fractions_linear_files/Yang_linear_img/124430705.jpg", "124430705")</f>
        <v>124430705</v>
      </c>
      <c r="B8429" s="7"/>
      <c r="C8429" s="6" t="str">
        <f>HYPERLINK("http://www.ncbi.nlm.nih.gov/protein/124430705","Zranb3")</f>
        <v>Zranb3</v>
      </c>
      <c r="D8429" s="8"/>
      <c r="E8429" s="8">
        <v>120766</v>
      </c>
      <c r="F8429" s="8"/>
      <c r="G8429" s="15" t="s">
        <v>10</v>
      </c>
      <c r="H8429" s="15" t="s">
        <v>10</v>
      </c>
      <c r="I8429" s="15" t="s">
        <v>10</v>
      </c>
      <c r="J8429" s="15" t="s">
        <v>10</v>
      </c>
      <c r="K8429" s="15">
        <v>1.2682055465805111</v>
      </c>
      <c r="L8429" s="15">
        <v>1.2682055465805111</v>
      </c>
      <c r="M8429" s="15" t="s">
        <v>10</v>
      </c>
      <c r="N8429" s="15" t="s">
        <v>10</v>
      </c>
      <c r="O8429" s="15" t="s">
        <v>10</v>
      </c>
      <c r="P8429" s="15" t="s">
        <v>10</v>
      </c>
      <c r="Q8429" s="8"/>
      <c r="R8429" s="9" t="s">
        <v>7910</v>
      </c>
    </row>
    <row r="8430" spans="1:18" x14ac:dyDescent="0.25">
      <c r="A8430" s="6" t="str">
        <f>HYPERLINK("proteomic_fractions_linear_files/Yang_linear_img/124430709.jpg", "124430709")</f>
        <v>124430709</v>
      </c>
      <c r="B8430" s="7"/>
      <c r="C8430" s="6" t="str">
        <f>HYPERLINK("http://www.ncbi.nlm.nih.gov/protein/124430709","Zswim8")</f>
        <v>Zswim8</v>
      </c>
      <c r="D8430" s="8"/>
      <c r="E8430" s="8">
        <v>196931</v>
      </c>
      <c r="F8430" s="8"/>
      <c r="G8430" s="15" t="s">
        <v>10</v>
      </c>
      <c r="H8430" s="15" t="s">
        <v>10</v>
      </c>
      <c r="I8430" s="15" t="s">
        <v>10</v>
      </c>
      <c r="J8430" s="15" t="s">
        <v>10</v>
      </c>
      <c r="K8430" s="15">
        <v>1.5318950489162375</v>
      </c>
      <c r="L8430" s="15">
        <v>1.5318950489162375</v>
      </c>
      <c r="M8430" s="15" t="s">
        <v>10</v>
      </c>
      <c r="N8430" s="15" t="s">
        <v>10</v>
      </c>
      <c r="O8430" s="15" t="s">
        <v>10</v>
      </c>
      <c r="P8430" s="15" t="s">
        <v>10</v>
      </c>
      <c r="Q8430" s="8"/>
      <c r="R8430" s="9" t="s">
        <v>7911</v>
      </c>
    </row>
    <row r="8431" spans="1:18" x14ac:dyDescent="0.25">
      <c r="A8431" s="6" t="str">
        <f>HYPERLINK("proteomic_fractions_linear_files/Yang_linear_img/355390253.jpg", "355390253")</f>
        <v>355390253</v>
      </c>
      <c r="B8431" s="7"/>
      <c r="C8431" s="6" t="str">
        <f>HYPERLINK("http://www.ncbi.nlm.nih.gov/protein/355390253","Zswim8")</f>
        <v>Zswim8</v>
      </c>
      <c r="D8431" s="8"/>
      <c r="E8431" s="8">
        <v>196212</v>
      </c>
      <c r="F8431" s="8"/>
      <c r="G8431" s="15" t="s">
        <v>10</v>
      </c>
      <c r="H8431" s="15" t="s">
        <v>10</v>
      </c>
      <c r="I8431" s="15" t="s">
        <v>10</v>
      </c>
      <c r="J8431" s="15" t="s">
        <v>10</v>
      </c>
      <c r="K8431" s="15">
        <v>1.5397108399821366</v>
      </c>
      <c r="L8431" s="15">
        <v>1.5397108399821366</v>
      </c>
      <c r="M8431" s="15" t="s">
        <v>10</v>
      </c>
      <c r="N8431" s="15" t="s">
        <v>10</v>
      </c>
      <c r="O8431" s="15" t="s">
        <v>10</v>
      </c>
      <c r="P8431" s="15" t="s">
        <v>10</v>
      </c>
      <c r="Q8431" s="8"/>
      <c r="R8431" s="9" t="s">
        <v>7912</v>
      </c>
    </row>
    <row r="8432" spans="1:18" x14ac:dyDescent="0.25">
      <c r="A8432" s="6" t="str">
        <f>HYPERLINK("proteomic_fractions_linear_files/Yang_linear_img/355390255.jpg", "355390255")</f>
        <v>355390255</v>
      </c>
      <c r="B8432" s="7"/>
      <c r="C8432" s="6" t="str">
        <f>HYPERLINK("http://www.ncbi.nlm.nih.gov/protein/355390255","Zswim8")</f>
        <v>Zswim8</v>
      </c>
      <c r="D8432" s="8"/>
      <c r="E8432" s="8">
        <v>193436</v>
      </c>
      <c r="F8432" s="8"/>
      <c r="G8432" s="15" t="s">
        <v>10</v>
      </c>
      <c r="H8432" s="15" t="s">
        <v>10</v>
      </c>
      <c r="I8432" s="15" t="s">
        <v>10</v>
      </c>
      <c r="J8432" s="15" t="s">
        <v>10</v>
      </c>
      <c r="K8432" s="15">
        <v>1.5636441691010299</v>
      </c>
      <c r="L8432" s="15">
        <v>1.5636441691010299</v>
      </c>
      <c r="M8432" s="15" t="s">
        <v>10</v>
      </c>
      <c r="N8432" s="15" t="s">
        <v>10</v>
      </c>
      <c r="O8432" s="15" t="s">
        <v>10</v>
      </c>
      <c r="P8432" s="15" t="s">
        <v>10</v>
      </c>
      <c r="Q8432" s="8"/>
      <c r="R8432" s="9" t="s">
        <v>7913</v>
      </c>
    </row>
    <row r="8433" spans="1:18" x14ac:dyDescent="0.25">
      <c r="A8433" s="6" t="str">
        <f>HYPERLINK("proteomic_fractions_linear_files/Yang_linear_img/22165349.jpg", "22165349")</f>
        <v>22165349</v>
      </c>
      <c r="B8433" s="7"/>
      <c r="C8433" s="6" t="str">
        <f>HYPERLINK("http://www.ncbi.nlm.nih.gov/protein/22165349","Zw10")</f>
        <v>Zw10</v>
      </c>
      <c r="D8433" s="8"/>
      <c r="E8433" s="8">
        <v>87932</v>
      </c>
      <c r="F8433" s="8"/>
      <c r="G8433" s="15">
        <v>1.2477450434219486</v>
      </c>
      <c r="H8433" s="15">
        <v>1.2477450434219486</v>
      </c>
      <c r="I8433" s="15" t="s">
        <v>10</v>
      </c>
      <c r="J8433" s="15" t="s">
        <v>10</v>
      </c>
      <c r="K8433" s="15">
        <v>1.0791816043475513</v>
      </c>
      <c r="L8433" s="15">
        <v>1.0791816043475513</v>
      </c>
      <c r="M8433" s="15">
        <v>1.0791816043475513</v>
      </c>
      <c r="N8433" s="15">
        <v>1.0791816043475513</v>
      </c>
      <c r="O8433" s="15">
        <v>1.0791816043475513</v>
      </c>
      <c r="P8433" s="15">
        <v>1.0791816043475513</v>
      </c>
      <c r="Q8433" s="8"/>
      <c r="R8433" s="9" t="s">
        <v>7914</v>
      </c>
    </row>
    <row r="8434" spans="1:18" x14ac:dyDescent="0.25">
      <c r="A8434" s="6" t="str">
        <f>HYPERLINK("proteomic_fractions_linear_files/Yang_linear_img/257153357.jpg", "257153357")</f>
        <v>257153357</v>
      </c>
      <c r="B8434" s="7"/>
      <c r="C8434" s="6" t="str">
        <f>HYPERLINK("http://www.ncbi.nlm.nih.gov/protein/257153357","Zwilch")</f>
        <v>Zwilch</v>
      </c>
      <c r="D8434" s="8"/>
      <c r="E8434" s="8">
        <v>67320</v>
      </c>
      <c r="F8434" s="8"/>
      <c r="G8434" s="15" t="s">
        <v>10</v>
      </c>
      <c r="H8434" s="15" t="s">
        <v>10</v>
      </c>
      <c r="I8434" s="15" t="s">
        <v>10</v>
      </c>
      <c r="J8434" s="15" t="s">
        <v>10</v>
      </c>
      <c r="K8434" s="15" t="s">
        <v>10</v>
      </c>
      <c r="L8434" s="15" t="s">
        <v>10</v>
      </c>
      <c r="M8434" s="15">
        <v>1.0960620931594365</v>
      </c>
      <c r="N8434" s="15">
        <v>1.0960620931594365</v>
      </c>
      <c r="O8434" s="15" t="s">
        <v>10</v>
      </c>
      <c r="P8434" s="15" t="s">
        <v>10</v>
      </c>
      <c r="Q8434" s="8"/>
      <c r="R8434" s="9" t="s">
        <v>7915</v>
      </c>
    </row>
    <row r="8435" spans="1:18" x14ac:dyDescent="0.25">
      <c r="A8435" s="6" t="str">
        <f>HYPERLINK("proteomic_fractions_linear_files/Yang_linear_img/21326440.jpg", "21326440")</f>
        <v>21326440</v>
      </c>
      <c r="B8435" s="7"/>
      <c r="C8435" s="6" t="str">
        <f>HYPERLINK("http://www.ncbi.nlm.nih.gov/protein/21326440","Zwint")</f>
        <v>Zwint</v>
      </c>
      <c r="D8435" s="8"/>
      <c r="E8435" s="8">
        <v>28582</v>
      </c>
      <c r="F8435" s="8"/>
      <c r="G8435" s="15" t="s">
        <v>10</v>
      </c>
      <c r="H8435" s="15" t="s">
        <v>10</v>
      </c>
      <c r="I8435" s="15" t="s">
        <v>10</v>
      </c>
      <c r="J8435" s="15" t="s">
        <v>10</v>
      </c>
      <c r="K8435" s="15" t="s">
        <v>10</v>
      </c>
      <c r="L8435" s="15" t="s">
        <v>10</v>
      </c>
      <c r="M8435" s="15">
        <v>1.0305312721280391</v>
      </c>
      <c r="N8435" s="15">
        <v>1.0305312721280391</v>
      </c>
      <c r="O8435" s="15" t="s">
        <v>10</v>
      </c>
      <c r="P8435" s="15" t="s">
        <v>10</v>
      </c>
      <c r="Q8435" s="8"/>
      <c r="R8435" s="9" t="s">
        <v>7916</v>
      </c>
    </row>
    <row r="8436" spans="1:18" x14ac:dyDescent="0.25">
      <c r="A8436" s="6" t="str">
        <f>HYPERLINK("proteomic_fractions_linear_files/Yang_linear_img/125490365.jpg", "125490365")</f>
        <v>125490365</v>
      </c>
      <c r="B8436" s="7"/>
      <c r="C8436" s="6" t="str">
        <f>HYPERLINK("http://www.ncbi.nlm.nih.gov/protein/125490365","Zxdb")</f>
        <v>Zxdb</v>
      </c>
      <c r="D8436" s="8"/>
      <c r="E8436" s="8">
        <v>90246</v>
      </c>
      <c r="F8436" s="8"/>
      <c r="G8436" s="15">
        <v>0.59022855144445641</v>
      </c>
      <c r="H8436" s="15">
        <v>0.59022855144445641</v>
      </c>
      <c r="I8436" s="15" t="s">
        <v>10</v>
      </c>
      <c r="J8436" s="15" t="s">
        <v>10</v>
      </c>
      <c r="K8436" s="15">
        <v>0.45008131336914159</v>
      </c>
      <c r="L8436" s="15">
        <v>0.45008131336914159</v>
      </c>
      <c r="M8436" s="15">
        <v>0.41490362692360655</v>
      </c>
      <c r="N8436" s="15">
        <v>0.41490362692360655</v>
      </c>
      <c r="O8436" s="15" t="s">
        <v>10</v>
      </c>
      <c r="P8436" s="15" t="s">
        <v>10</v>
      </c>
      <c r="Q8436" s="8"/>
      <c r="R8436" s="9" t="s">
        <v>7917</v>
      </c>
    </row>
    <row r="8437" spans="1:18" x14ac:dyDescent="0.25">
      <c r="A8437" s="6" t="str">
        <f>HYPERLINK("proteomic_fractions_linear_files/Yang_linear_img/158937319.jpg", "158937319")</f>
        <v>158937319</v>
      </c>
      <c r="B8437" s="7"/>
      <c r="C8437" s="6" t="str">
        <f>HYPERLINK("http://www.ncbi.nlm.nih.gov/protein/158937319","Zxdc")</f>
        <v>Zxdc</v>
      </c>
      <c r="D8437" s="8"/>
      <c r="E8437" s="8">
        <v>75516</v>
      </c>
      <c r="F8437" s="8"/>
      <c r="G8437" s="15">
        <v>0.6989548635526458</v>
      </c>
      <c r="H8437" s="15">
        <v>0.6989548635526458</v>
      </c>
      <c r="I8437" s="15" t="s">
        <v>10</v>
      </c>
      <c r="J8437" s="15" t="s">
        <v>10</v>
      </c>
      <c r="K8437" s="15">
        <v>0.53299102898977291</v>
      </c>
      <c r="L8437" s="15">
        <v>0.53299102898977291</v>
      </c>
      <c r="M8437" s="15">
        <v>0.49133324240953408</v>
      </c>
      <c r="N8437" s="15">
        <v>0.49133324240953408</v>
      </c>
      <c r="O8437" s="15" t="s">
        <v>10</v>
      </c>
      <c r="P8437" s="15" t="s">
        <v>10</v>
      </c>
      <c r="Q8437" s="8"/>
      <c r="R8437" s="9" t="s">
        <v>7918</v>
      </c>
    </row>
    <row r="8438" spans="1:18" x14ac:dyDescent="0.25">
      <c r="A8438" s="6" t="str">
        <f>HYPERLINK("proteomic_fractions_linear_files/Yang_linear_img/27370506.jpg", "27370506")</f>
        <v>27370506</v>
      </c>
      <c r="B8438" s="7"/>
      <c r="C8438" s="6" t="str">
        <f>HYPERLINK("http://www.ncbi.nlm.nih.gov/protein/27370506","Zxdc")</f>
        <v>Zxdc</v>
      </c>
      <c r="D8438" s="8"/>
      <c r="E8438" s="8">
        <v>90624</v>
      </c>
      <c r="F8438" s="8"/>
      <c r="G8438" s="15">
        <v>0.58374252340660526</v>
      </c>
      <c r="H8438" s="15">
        <v>0.58374252340660526</v>
      </c>
      <c r="I8438" s="15" t="s">
        <v>10</v>
      </c>
      <c r="J8438" s="15" t="s">
        <v>10</v>
      </c>
      <c r="K8438" s="15">
        <v>0.44513536487057964</v>
      </c>
      <c r="L8438" s="15">
        <v>0.44513536487057964</v>
      </c>
      <c r="M8438" s="15">
        <v>0.41034424640796252</v>
      </c>
      <c r="N8438" s="15">
        <v>0.41034424640796252</v>
      </c>
      <c r="O8438" s="15" t="s">
        <v>10</v>
      </c>
      <c r="P8438" s="15" t="s">
        <v>10</v>
      </c>
      <c r="Q8438" s="8"/>
      <c r="R8438" s="9" t="s">
        <v>7919</v>
      </c>
    </row>
    <row r="8439" spans="1:18" x14ac:dyDescent="0.25">
      <c r="A8439" s="6" t="str">
        <f>HYPERLINK("proteomic_fractions_linear_files/Yang_linear_img/6756085.jpg", "6756085")</f>
        <v>6756085</v>
      </c>
      <c r="B8439" s="7"/>
      <c r="C8439" s="6" t="str">
        <f>HYPERLINK("http://www.ncbi.nlm.nih.gov/protein/6756085","Zyx")</f>
        <v>Zyx</v>
      </c>
      <c r="D8439" s="8"/>
      <c r="E8439" s="8">
        <v>60415</v>
      </c>
      <c r="F8439" s="8"/>
      <c r="G8439" s="15" t="s">
        <v>10</v>
      </c>
      <c r="H8439" s="15" t="s">
        <v>10</v>
      </c>
      <c r="I8439" s="15">
        <v>0.19584859376372726</v>
      </c>
      <c r="J8439" s="15">
        <v>0.19584859376372726</v>
      </c>
      <c r="K8439" s="15">
        <v>1.5827996863764084</v>
      </c>
      <c r="L8439" s="15">
        <v>1.5827996863764084</v>
      </c>
      <c r="M8439" s="15" t="s">
        <v>10</v>
      </c>
      <c r="N8439" s="15" t="s">
        <v>10</v>
      </c>
      <c r="O8439" s="15">
        <v>1.3849776412190642</v>
      </c>
      <c r="P8439" s="15">
        <v>1.3849776412190642</v>
      </c>
      <c r="Q8439" s="8"/>
      <c r="R8439" s="9" t="s">
        <v>7920</v>
      </c>
    </row>
    <row r="8440" spans="1:18" x14ac:dyDescent="0.25">
      <c r="A8440" s="6" t="str">
        <f>HYPERLINK("proteomic_fractions_linear_files/Yang_linear_img/113865905.jpg", "113865905")</f>
        <v>113865905</v>
      </c>
      <c r="B8440" s="7"/>
      <c r="C8440" s="6" t="str">
        <f>HYPERLINK("http://www.ncbi.nlm.nih.gov/protein/113865905","Zzef1")</f>
        <v>Zzef1</v>
      </c>
      <c r="D8440" s="8"/>
      <c r="E8440" s="8">
        <v>324312</v>
      </c>
      <c r="F8440" s="8"/>
      <c r="G8440" s="15" t="s">
        <v>10</v>
      </c>
      <c r="H8440" s="15" t="s">
        <v>10</v>
      </c>
      <c r="I8440" s="15" t="s">
        <v>10</v>
      </c>
      <c r="J8440" s="15" t="s">
        <v>10</v>
      </c>
      <c r="K8440" s="15" t="s">
        <v>10</v>
      </c>
      <c r="L8440" s="15" t="s">
        <v>10</v>
      </c>
      <c r="M8440" s="15">
        <v>1.2624801164797523</v>
      </c>
      <c r="N8440" s="15">
        <v>1.2624801164797523</v>
      </c>
      <c r="O8440" s="15">
        <v>1.2624801164797523</v>
      </c>
      <c r="P8440" s="15">
        <v>1.2624801164797523</v>
      </c>
      <c r="Q8440" s="8"/>
      <c r="R8440" s="9" t="s">
        <v>7921</v>
      </c>
    </row>
    <row r="8441" spans="1:18" x14ac:dyDescent="0.25">
      <c r="A8441" s="6" t="str">
        <f>HYPERLINK("proteomic_fractions_linear_files/Yang_linear_img/126090572.jpg", "126090572")</f>
        <v>126090572</v>
      </c>
      <c r="B8441" s="7"/>
      <c r="C8441" s="6" t="str">
        <f>HYPERLINK("http://www.ncbi.nlm.nih.gov/protein/126090572","A230046K03Rik")</f>
        <v>A230046K03Rik</v>
      </c>
      <c r="D8441" s="8"/>
      <c r="E8441" s="8">
        <v>136240</v>
      </c>
      <c r="F8441" s="8"/>
      <c r="G8441" s="15">
        <v>1.1283299348253077</v>
      </c>
      <c r="H8441" s="15">
        <v>1.1283299348253077</v>
      </c>
      <c r="I8441" s="15">
        <v>1.1283299348253077</v>
      </c>
      <c r="J8441" s="15">
        <v>1.1283299348253077</v>
      </c>
      <c r="K8441" s="15">
        <v>1.1283299348253077</v>
      </c>
      <c r="L8441" s="15">
        <v>1.1283299348253077</v>
      </c>
      <c r="M8441" s="15">
        <v>1.1283299348253077</v>
      </c>
      <c r="N8441" s="15">
        <v>1.1283299348253077</v>
      </c>
      <c r="O8441" s="15">
        <v>1.1283299348253077</v>
      </c>
      <c r="P8441" s="15">
        <v>1.1283299348253077</v>
      </c>
      <c r="Q8441" s="8"/>
      <c r="R8441" s="9" t="s">
        <v>7922</v>
      </c>
    </row>
    <row r="8442" spans="1:18" x14ac:dyDescent="0.25">
      <c r="A8442" s="6" t="str">
        <f>HYPERLINK("proteomic_fractions_linear_files/Yang_linear_img/25072201.jpg", "25072201")</f>
        <v>25072201</v>
      </c>
      <c r="B8442" s="7"/>
      <c r="C8442" s="6" t="str">
        <f>HYPERLINK("http://www.ncbi.nlm.nih.gov/protein/25072201","A630007B06Rik")</f>
        <v>A630007B06Rik</v>
      </c>
      <c r="D8442" s="8"/>
      <c r="E8442" s="8">
        <v>104770</v>
      </c>
      <c r="F8442" s="8"/>
      <c r="G8442" s="15" t="s">
        <v>10</v>
      </c>
      <c r="H8442" s="15" t="s">
        <v>10</v>
      </c>
      <c r="I8442" s="15" t="s">
        <v>10</v>
      </c>
      <c r="J8442" s="15" t="s">
        <v>10</v>
      </c>
      <c r="K8442" s="15" t="s">
        <v>10</v>
      </c>
      <c r="L8442" s="15" t="s">
        <v>10</v>
      </c>
      <c r="M8442" s="15" t="s">
        <v>10</v>
      </c>
      <c r="N8442" s="15" t="s">
        <v>10</v>
      </c>
      <c r="O8442" s="15">
        <v>1.4614559155832556</v>
      </c>
      <c r="P8442" s="15">
        <v>1.4614559155832556</v>
      </c>
      <c r="Q8442" s="8"/>
      <c r="R8442" s="9" t="s">
        <v>7923</v>
      </c>
    </row>
    <row r="8443" spans="1:18" x14ac:dyDescent="0.25">
      <c r="A8443" s="6" t="str">
        <f>HYPERLINK("proteomic_fractions_linear_files/Yang_linear_img/440546392.jpg", "440546392")</f>
        <v>440546392</v>
      </c>
      <c r="B8443" s="7"/>
      <c r="C8443" s="6" t="str">
        <f>HYPERLINK("http://www.ncbi.nlm.nih.gov/protein/440546392","AA414768")</f>
        <v>AA414768</v>
      </c>
      <c r="D8443" s="8"/>
      <c r="E8443" s="8">
        <v>43157</v>
      </c>
      <c r="F8443" s="8"/>
      <c r="G8443" s="15" t="s">
        <v>10</v>
      </c>
      <c r="H8443" s="15" t="s">
        <v>10</v>
      </c>
      <c r="I8443" s="15" t="s">
        <v>10</v>
      </c>
      <c r="J8443" s="15" t="s">
        <v>10</v>
      </c>
      <c r="K8443" s="15">
        <v>1.123022688009657</v>
      </c>
      <c r="L8443" s="15">
        <v>1.123022688009657</v>
      </c>
      <c r="M8443" s="15" t="s">
        <v>10</v>
      </c>
      <c r="N8443" s="15" t="s">
        <v>10</v>
      </c>
      <c r="O8443" s="15">
        <v>1.123022688009657</v>
      </c>
      <c r="P8443" s="15">
        <v>1.123022688009657</v>
      </c>
      <c r="Q8443" s="8"/>
      <c r="R8443" s="9" t="s">
        <v>7924</v>
      </c>
    </row>
    <row r="8444" spans="1:18" x14ac:dyDescent="0.25">
      <c r="A8444" s="6" t="str">
        <f>HYPERLINK("proteomic_fractions_linear_files/Yang_linear_img/162417980.jpg", "162417980")</f>
        <v>162417980</v>
      </c>
      <c r="B8444" s="7"/>
      <c r="C8444" s="6" t="str">
        <f>HYPERLINK("http://www.ncbi.nlm.nih.gov/protein/162417980","AA986860")</f>
        <v>AA986860</v>
      </c>
      <c r="D8444" s="8"/>
      <c r="E8444" s="8">
        <v>64961</v>
      </c>
      <c r="F8444" s="8"/>
      <c r="G8444" s="15" t="s">
        <v>10</v>
      </c>
      <c r="H8444" s="15" t="s">
        <v>10</v>
      </c>
      <c r="I8444" s="15" t="s">
        <v>10</v>
      </c>
      <c r="J8444" s="15" t="s">
        <v>10</v>
      </c>
      <c r="K8444" s="15">
        <v>1.2784408995868286</v>
      </c>
      <c r="L8444" s="15">
        <v>1.2784408995868286</v>
      </c>
      <c r="M8444" s="15" t="s">
        <v>10</v>
      </c>
      <c r="N8444" s="15" t="s">
        <v>10</v>
      </c>
      <c r="O8444" s="15" t="s">
        <v>10</v>
      </c>
      <c r="P8444" s="15" t="s">
        <v>10</v>
      </c>
      <c r="Q8444" s="8"/>
      <c r="R8444" s="9" t="s">
        <v>7925</v>
      </c>
    </row>
    <row r="8445" spans="1:18" x14ac:dyDescent="0.25">
      <c r="A8445" s="6" t="str">
        <f>HYPERLINK("proteomic_fractions_linear_files/Yang_linear_img/10946822.jpg", "10946822")</f>
        <v>10946822</v>
      </c>
      <c r="B8445" s="7"/>
      <c r="C8445" s="6" t="str">
        <f>HYPERLINK("http://www.ncbi.nlm.nih.gov/protein/10946822","0610007P14Rik")</f>
        <v>0610007P14Rik</v>
      </c>
      <c r="D8445" s="8"/>
      <c r="E8445" s="8">
        <v>15675</v>
      </c>
      <c r="F8445" s="8"/>
      <c r="G8445" s="15">
        <v>0.86786565624604062</v>
      </c>
      <c r="H8445" s="15">
        <v>0.86786565624604062</v>
      </c>
      <c r="I8445" s="15">
        <v>0.90734210761689671</v>
      </c>
      <c r="J8445" s="15">
        <v>0.90734210761689671</v>
      </c>
      <c r="K8445" s="15">
        <v>0.94977114336339286</v>
      </c>
      <c r="L8445" s="15">
        <v>0.94977114336339286</v>
      </c>
      <c r="M8445" s="15" t="s">
        <v>10</v>
      </c>
      <c r="N8445" s="15" t="s">
        <v>10</v>
      </c>
      <c r="O8445" s="15" t="s">
        <v>10</v>
      </c>
      <c r="P8445" s="15" t="s">
        <v>10</v>
      </c>
      <c r="Q8445" s="8"/>
      <c r="R8445" s="9" t="s">
        <v>7926</v>
      </c>
    </row>
    <row r="8446" spans="1:18" x14ac:dyDescent="0.25">
      <c r="A8446" s="6" t="str">
        <f>HYPERLINK("proteomic_fractions_linear_files/Yang_linear_img/13384686.jpg", "13384686")</f>
        <v>13384686</v>
      </c>
      <c r="B8446" s="7"/>
      <c r="C8446" s="6" t="str">
        <f>HYPERLINK("http://www.ncbi.nlm.nih.gov/protein/13384686","0610009B22Rik")</f>
        <v>0610009B22Rik</v>
      </c>
      <c r="D8446" s="8"/>
      <c r="E8446" s="8">
        <v>16314</v>
      </c>
      <c r="F8446" s="8"/>
      <c r="G8446" s="15" t="s">
        <v>10</v>
      </c>
      <c r="H8446" s="15" t="s">
        <v>10</v>
      </c>
      <c r="I8446" s="15">
        <v>0.90734210761689671</v>
      </c>
      <c r="J8446" s="15">
        <v>0.90734210761689671</v>
      </c>
      <c r="K8446" s="15">
        <v>0.94977114336339286</v>
      </c>
      <c r="L8446" s="15">
        <v>0.94977114336339286</v>
      </c>
      <c r="M8446" s="15">
        <v>0.90734210761689671</v>
      </c>
      <c r="N8446" s="15">
        <v>0.90734210761689671</v>
      </c>
      <c r="O8446" s="15">
        <v>0.86786565624604062</v>
      </c>
      <c r="P8446" s="15">
        <v>0.86786565624604062</v>
      </c>
      <c r="Q8446" s="8"/>
      <c r="R8446" s="9" t="s">
        <v>7927</v>
      </c>
    </row>
    <row r="8447" spans="1:18" x14ac:dyDescent="0.25">
      <c r="A8447" s="6" t="str">
        <f>HYPERLINK("proteomic_fractions_linear_files/Yang_linear_img/13384692.jpg", "13384692")</f>
        <v>13384692</v>
      </c>
      <c r="B8447" s="7"/>
      <c r="C8447" s="6" t="str">
        <f>HYPERLINK("http://www.ncbi.nlm.nih.gov/protein/13384692","0610009D07Rik")</f>
        <v>0610009D07Rik</v>
      </c>
      <c r="D8447" s="8"/>
      <c r="E8447" s="8">
        <v>14454</v>
      </c>
      <c r="F8447" s="8"/>
      <c r="G8447" s="15">
        <v>1.5568387336199108</v>
      </c>
      <c r="H8447" s="15">
        <v>1.5568387336199108</v>
      </c>
      <c r="I8447" s="15">
        <v>1.0369624087050249</v>
      </c>
      <c r="J8447" s="15">
        <v>1.0369624087050249</v>
      </c>
      <c r="K8447" s="15">
        <v>1.085452735272449</v>
      </c>
      <c r="L8447" s="15">
        <v>1.085452735272449</v>
      </c>
      <c r="M8447" s="15">
        <v>1.085452735272449</v>
      </c>
      <c r="N8447" s="15">
        <v>1.085452735272449</v>
      </c>
      <c r="O8447" s="15" t="s">
        <v>10</v>
      </c>
      <c r="P8447" s="15" t="s">
        <v>10</v>
      </c>
      <c r="Q8447" s="8"/>
      <c r="R8447" s="9" t="s">
        <v>7928</v>
      </c>
    </row>
    <row r="8448" spans="1:18" x14ac:dyDescent="0.25">
      <c r="A8448" s="6" t="str">
        <f>HYPERLINK("proteomic_fractions_linear_files/Yang_linear_img/117956375.jpg", "117956375")</f>
        <v>117956375</v>
      </c>
      <c r="B8448" s="7"/>
      <c r="C8448" s="6" t="str">
        <f>HYPERLINK("http://www.ncbi.nlm.nih.gov/protein/117956375","0610010F05Rik")</f>
        <v>0610010F05Rik</v>
      </c>
      <c r="D8448" s="8"/>
      <c r="E8448" s="8">
        <v>81865</v>
      </c>
      <c r="F8448" s="8"/>
      <c r="G8448" s="15" t="s">
        <v>10</v>
      </c>
      <c r="H8448" s="15" t="s">
        <v>10</v>
      </c>
      <c r="I8448" s="15" t="s">
        <v>10</v>
      </c>
      <c r="J8448" s="15" t="s">
        <v>10</v>
      </c>
      <c r="K8448" s="15">
        <v>0.39126918116748277</v>
      </c>
      <c r="L8448" s="15">
        <v>0.39126918116748277</v>
      </c>
      <c r="M8448" s="15" t="s">
        <v>10</v>
      </c>
      <c r="N8448" s="15" t="s">
        <v>10</v>
      </c>
      <c r="O8448" s="15" t="s">
        <v>10</v>
      </c>
      <c r="P8448" s="15" t="s">
        <v>10</v>
      </c>
      <c r="Q8448" s="8"/>
      <c r="R8448" s="9" t="s">
        <v>7929</v>
      </c>
    </row>
    <row r="8449" spans="1:18" x14ac:dyDescent="0.25">
      <c r="A8449" s="6" t="str">
        <f>HYPERLINK("proteomic_fractions_linear_files/Yang_linear_img/21389318.jpg", "21389318")</f>
        <v>21389318</v>
      </c>
      <c r="B8449" s="7"/>
      <c r="C8449" s="6" t="str">
        <f>HYPERLINK("http://www.ncbi.nlm.nih.gov/protein/21389318","0610010K14Rik")</f>
        <v>0610010K14Rik</v>
      </c>
      <c r="D8449" s="8"/>
      <c r="E8449" s="8">
        <v>13923</v>
      </c>
      <c r="F8449" s="8"/>
      <c r="G8449" s="15" t="s">
        <v>10</v>
      </c>
      <c r="H8449" s="15" t="s">
        <v>10</v>
      </c>
      <c r="I8449" s="15" t="s">
        <v>10</v>
      </c>
      <c r="J8449" s="15" t="s">
        <v>10</v>
      </c>
      <c r="K8449" s="15" t="s">
        <v>10</v>
      </c>
      <c r="L8449" s="15" t="s">
        <v>10</v>
      </c>
      <c r="M8449" s="15">
        <v>1.3210927974688631</v>
      </c>
      <c r="N8449" s="15">
        <v>1.3210927974688631</v>
      </c>
      <c r="O8449" s="15">
        <v>1.392939273431091</v>
      </c>
      <c r="P8449" s="15">
        <v>1.392939273431091</v>
      </c>
      <c r="Q8449" s="8"/>
      <c r="R8449" s="9" t="s">
        <v>7930</v>
      </c>
    </row>
    <row r="8450" spans="1:18" x14ac:dyDescent="0.25">
      <c r="A8450" s="6" t="str">
        <f>HYPERLINK("proteomic_fractions_linear_files/Yang_linear_img/294862278.jpg", "294862278")</f>
        <v>294862278</v>
      </c>
      <c r="B8450" s="7"/>
      <c r="C8450" s="6" t="str">
        <f>HYPERLINK("http://www.ncbi.nlm.nih.gov/protein/294862278","0610010K14Rik")</f>
        <v>0610010K14Rik</v>
      </c>
      <c r="D8450" s="8"/>
      <c r="E8450" s="8">
        <v>19870</v>
      </c>
      <c r="F8450" s="8"/>
      <c r="G8450" s="15" t="s">
        <v>10</v>
      </c>
      <c r="H8450" s="15" t="s">
        <v>10</v>
      </c>
      <c r="I8450" s="15" t="s">
        <v>10</v>
      </c>
      <c r="J8450" s="15" t="s">
        <v>10</v>
      </c>
      <c r="K8450" s="15" t="s">
        <v>10</v>
      </c>
      <c r="L8450" s="15" t="s">
        <v>10</v>
      </c>
      <c r="M8450" s="15">
        <v>0.92476495822820426</v>
      </c>
      <c r="N8450" s="15">
        <v>0.92476495822820426</v>
      </c>
      <c r="O8450" s="15">
        <v>0.97505749140176368</v>
      </c>
      <c r="P8450" s="15">
        <v>0.97505749140176368</v>
      </c>
      <c r="Q8450" s="8"/>
      <c r="R8450" s="9" t="s">
        <v>7931</v>
      </c>
    </row>
    <row r="8451" spans="1:18" x14ac:dyDescent="0.25">
      <c r="A8451" s="6" t="str">
        <f>HYPERLINK("proteomic_fractions_linear_files/Yang_linear_img/294862282.jpg", "294862282")</f>
        <v>294862282</v>
      </c>
      <c r="B8451" s="7"/>
      <c r="C8451" s="6" t="str">
        <f>HYPERLINK("http://www.ncbi.nlm.nih.gov/protein/294862282","0610010K14Rik")</f>
        <v>0610010K14Rik</v>
      </c>
      <c r="D8451" s="8"/>
      <c r="E8451" s="8">
        <v>16199</v>
      </c>
      <c r="F8451" s="8"/>
      <c r="G8451" s="15" t="s">
        <v>10</v>
      </c>
      <c r="H8451" s="15" t="s">
        <v>10</v>
      </c>
      <c r="I8451" s="15" t="s">
        <v>10</v>
      </c>
      <c r="J8451" s="15" t="s">
        <v>10</v>
      </c>
      <c r="K8451" s="15" t="s">
        <v>10</v>
      </c>
      <c r="L8451" s="15" t="s">
        <v>10</v>
      </c>
      <c r="M8451" s="15">
        <v>1.1559561977852553</v>
      </c>
      <c r="N8451" s="15">
        <v>1.1559561977852553</v>
      </c>
      <c r="O8451" s="15">
        <v>1.2188218642522046</v>
      </c>
      <c r="P8451" s="15">
        <v>1.2188218642522046</v>
      </c>
      <c r="Q8451" s="8"/>
      <c r="R8451" s="9" t="s">
        <v>7932</v>
      </c>
    </row>
    <row r="8452" spans="1:18" x14ac:dyDescent="0.25">
      <c r="A8452" s="6" t="str">
        <f>HYPERLINK("proteomic_fractions_linear_files/Yang_linear_img/294862289.jpg", "294862289")</f>
        <v>294862289</v>
      </c>
      <c r="B8452" s="7"/>
      <c r="C8452" s="6" t="str">
        <f>HYPERLINK("http://www.ncbi.nlm.nih.gov/protein/294862289","0610010K14Rik")</f>
        <v>0610010K14Rik</v>
      </c>
      <c r="D8452" s="8"/>
      <c r="E8452" s="8">
        <v>12256</v>
      </c>
      <c r="F8452" s="8"/>
      <c r="G8452" s="15" t="s">
        <v>10</v>
      </c>
      <c r="H8452" s="15" t="s">
        <v>10</v>
      </c>
      <c r="I8452" s="15" t="s">
        <v>10</v>
      </c>
      <c r="J8452" s="15" t="s">
        <v>10</v>
      </c>
      <c r="K8452" s="15" t="s">
        <v>10</v>
      </c>
      <c r="L8452" s="15" t="s">
        <v>10</v>
      </c>
      <c r="M8452" s="15">
        <v>1.5412749303803404</v>
      </c>
      <c r="N8452" s="15">
        <v>1.5412749303803404</v>
      </c>
      <c r="O8452" s="15">
        <v>1.6250958190029394</v>
      </c>
      <c r="P8452" s="15">
        <v>1.6250958190029394</v>
      </c>
      <c r="Q8452" s="8"/>
      <c r="R8452" s="9" t="s">
        <v>7933</v>
      </c>
    </row>
    <row r="8453" spans="1:18" x14ac:dyDescent="0.25">
      <c r="A8453" s="6" t="str">
        <f>HYPERLINK("proteomic_fractions_linear_files/Yang_linear_img/294862292.jpg", "294862292")</f>
        <v>294862292</v>
      </c>
      <c r="B8453" s="7"/>
      <c r="C8453" s="6" t="str">
        <f>HYPERLINK("http://www.ncbi.nlm.nih.gov/protein/294862292","0610010K14Rik")</f>
        <v>0610010K14Rik</v>
      </c>
      <c r="D8453" s="8"/>
      <c r="E8453" s="8">
        <v>10825</v>
      </c>
      <c r="F8453" s="8"/>
      <c r="G8453" s="15" t="s">
        <v>10</v>
      </c>
      <c r="H8453" s="15" t="s">
        <v>10</v>
      </c>
      <c r="I8453" s="15" t="s">
        <v>10</v>
      </c>
      <c r="J8453" s="15" t="s">
        <v>10</v>
      </c>
      <c r="K8453" s="15" t="s">
        <v>10</v>
      </c>
      <c r="L8453" s="15" t="s">
        <v>10</v>
      </c>
      <c r="M8453" s="15">
        <v>1.6813908331421894</v>
      </c>
      <c r="N8453" s="15">
        <v>1.6813908331421894</v>
      </c>
      <c r="O8453" s="15">
        <v>1.7728318025486614</v>
      </c>
      <c r="P8453" s="15">
        <v>1.7728318025486614</v>
      </c>
      <c r="Q8453" s="8"/>
      <c r="R8453" s="9" t="s">
        <v>7934</v>
      </c>
    </row>
    <row r="8454" spans="1:18" x14ac:dyDescent="0.25">
      <c r="A8454" s="6" t="str">
        <f>HYPERLINK("proteomic_fractions_linear_files/Yang_linear_img/295054298.jpg", "295054298")</f>
        <v>295054298</v>
      </c>
      <c r="B8454" s="7"/>
      <c r="C8454" s="6" t="str">
        <f>HYPERLINK("http://www.ncbi.nlm.nih.gov/protein/295054298","0610010K14Rik")</f>
        <v>0610010K14Rik</v>
      </c>
      <c r="D8454" s="8"/>
      <c r="E8454" s="8">
        <v>17865</v>
      </c>
      <c r="F8454" s="8"/>
      <c r="G8454" s="15" t="s">
        <v>10</v>
      </c>
      <c r="H8454" s="15" t="s">
        <v>10</v>
      </c>
      <c r="I8454" s="15" t="s">
        <v>10</v>
      </c>
      <c r="J8454" s="15" t="s">
        <v>10</v>
      </c>
      <c r="K8454" s="15" t="s">
        <v>10</v>
      </c>
      <c r="L8454" s="15" t="s">
        <v>10</v>
      </c>
      <c r="M8454" s="15">
        <v>1.0275166202535602</v>
      </c>
      <c r="N8454" s="15">
        <v>1.0275166202535602</v>
      </c>
      <c r="O8454" s="15">
        <v>1.0833972126686264</v>
      </c>
      <c r="P8454" s="15">
        <v>1.0833972126686264</v>
      </c>
      <c r="Q8454" s="8"/>
      <c r="R8454" s="9" t="s">
        <v>7935</v>
      </c>
    </row>
    <row r="8455" spans="1:18" x14ac:dyDescent="0.25">
      <c r="A8455" s="6" t="str">
        <f>HYPERLINK("proteomic_fractions_linear_files/Yang_linear_img/58037115.jpg", "58037115")</f>
        <v>58037115</v>
      </c>
      <c r="B8455" s="7"/>
      <c r="C8455" s="6" t="str">
        <f>HYPERLINK("http://www.ncbi.nlm.nih.gov/protein/58037115","0610011F06Rik")</f>
        <v>0610011F06Rik</v>
      </c>
      <c r="D8455" s="8"/>
      <c r="E8455" s="8">
        <v>22556</v>
      </c>
      <c r="F8455" s="8"/>
      <c r="G8455" s="15" t="s">
        <v>10</v>
      </c>
      <c r="H8455" s="15" t="s">
        <v>10</v>
      </c>
      <c r="I8455" s="15">
        <v>0.94764096829038047</v>
      </c>
      <c r="J8455" s="15">
        <v>0.94764096829038047</v>
      </c>
      <c r="K8455" s="15">
        <v>0.94764096829038047</v>
      </c>
      <c r="L8455" s="15">
        <v>0.94764096829038047</v>
      </c>
      <c r="M8455" s="15">
        <v>0.94764096829038047</v>
      </c>
      <c r="N8455" s="15">
        <v>0.94764096829038047</v>
      </c>
      <c r="O8455" s="15">
        <v>0.94764096829038047</v>
      </c>
      <c r="P8455" s="15">
        <v>0.94764096829038047</v>
      </c>
      <c r="Q8455" s="8"/>
      <c r="R8455" s="9" t="s">
        <v>7936</v>
      </c>
    </row>
    <row r="8456" spans="1:18" x14ac:dyDescent="0.25">
      <c r="A8456" s="6" t="str">
        <f>HYPERLINK("proteomic_fractions_linear_files/Yang_linear_img/9910458.jpg", "9910458")</f>
        <v>9910458</v>
      </c>
      <c r="B8456" s="7"/>
      <c r="C8456" s="6" t="str">
        <f>HYPERLINK("http://www.ncbi.nlm.nih.gov/protein/9910458","0610031J06Rik")</f>
        <v>0610031J06Rik</v>
      </c>
      <c r="D8456" s="8"/>
      <c r="E8456" s="8">
        <v>39894</v>
      </c>
      <c r="F8456" s="8"/>
      <c r="G8456" s="15" t="s">
        <v>10</v>
      </c>
      <c r="H8456" s="15" t="s">
        <v>10</v>
      </c>
      <c r="I8456" s="15">
        <v>1.8359040060420562</v>
      </c>
      <c r="J8456" s="15">
        <v>1.8359040060420562</v>
      </c>
      <c r="K8456" s="15" t="s">
        <v>10</v>
      </c>
      <c r="L8456" s="15" t="s">
        <v>10</v>
      </c>
      <c r="M8456" s="15" t="s">
        <v>10</v>
      </c>
      <c r="N8456" s="15" t="s">
        <v>10</v>
      </c>
      <c r="O8456" s="15" t="s">
        <v>10</v>
      </c>
      <c r="P8456" s="15" t="s">
        <v>10</v>
      </c>
      <c r="Q8456" s="8"/>
      <c r="R8456" s="9" t="s">
        <v>7937</v>
      </c>
    </row>
    <row r="8457" spans="1:18" x14ac:dyDescent="0.25">
      <c r="A8457" s="6" t="str">
        <f>HYPERLINK("proteomic_fractions_linear_files/Yang_linear_img/21539639.jpg", "21539639")</f>
        <v>21539639</v>
      </c>
      <c r="B8457" s="7"/>
      <c r="C8457" s="6" t="str">
        <f>HYPERLINK("http://www.ncbi.nlm.nih.gov/protein/21539639","0610037L13Rik")</f>
        <v>0610037L13Rik</v>
      </c>
      <c r="D8457" s="8"/>
      <c r="E8457" s="8">
        <v>21917</v>
      </c>
      <c r="F8457" s="8"/>
      <c r="G8457" s="15" t="s">
        <v>10</v>
      </c>
      <c r="H8457" s="15" t="s">
        <v>10</v>
      </c>
      <c r="I8457" s="15" t="s">
        <v>10</v>
      </c>
      <c r="J8457" s="15" t="s">
        <v>10</v>
      </c>
      <c r="K8457" s="15">
        <v>18.592888988156353</v>
      </c>
      <c r="L8457" s="15">
        <v>18.592888988156353</v>
      </c>
      <c r="M8457" s="15">
        <v>26.9769457122411</v>
      </c>
      <c r="N8457" s="15">
        <v>26.9769457122411</v>
      </c>
      <c r="O8457" s="15">
        <v>0.93624732666619426</v>
      </c>
      <c r="P8457" s="15">
        <v>0.93624732666619426</v>
      </c>
      <c r="Q8457" s="8"/>
      <c r="R8457" s="9" t="s">
        <v>7938</v>
      </c>
    </row>
    <row r="8458" spans="1:18" x14ac:dyDescent="0.25">
      <c r="A8458" s="6" t="str">
        <f>HYPERLINK("proteomic_fractions_linear_files/Yang_linear_img/294345426.jpg", "294345426")</f>
        <v>294345426</v>
      </c>
      <c r="B8458" s="7"/>
      <c r="C8458" s="6" t="str">
        <f>HYPERLINK("http://www.ncbi.nlm.nih.gov/protein/294345426","1110001A16Rik")</f>
        <v>1110001A16Rik</v>
      </c>
      <c r="D8458" s="8"/>
      <c r="E8458" s="8">
        <v>9155</v>
      </c>
      <c r="F8458" s="8"/>
      <c r="G8458" s="15" t="s">
        <v>10</v>
      </c>
      <c r="H8458" s="15" t="s">
        <v>10</v>
      </c>
      <c r="I8458" s="15">
        <v>1.4163577046597362</v>
      </c>
      <c r="J8458" s="15">
        <v>1.4163577046597362</v>
      </c>
      <c r="K8458" s="15" t="s">
        <v>10</v>
      </c>
      <c r="L8458" s="15" t="s">
        <v>10</v>
      </c>
      <c r="M8458" s="15" t="s">
        <v>10</v>
      </c>
      <c r="N8458" s="15" t="s">
        <v>10</v>
      </c>
      <c r="O8458" s="15" t="s">
        <v>10</v>
      </c>
      <c r="P8458" s="15" t="s">
        <v>10</v>
      </c>
      <c r="Q8458" s="8"/>
      <c r="R8458" s="9" t="s">
        <v>7939</v>
      </c>
    </row>
    <row r="8459" spans="1:18" x14ac:dyDescent="0.25">
      <c r="A8459" s="6" t="str">
        <f>HYPERLINK("proteomic_fractions_linear_files/Yang_linear_img/13384728.jpg", "13384728")</f>
        <v>13384728</v>
      </c>
      <c r="B8459" s="7"/>
      <c r="C8459" s="6" t="str">
        <f>HYPERLINK("http://www.ncbi.nlm.nih.gov/protein/13384728","1110001J03Rik")</f>
        <v>1110001J03Rik</v>
      </c>
      <c r="D8459" s="8"/>
      <c r="E8459" s="8">
        <v>12563</v>
      </c>
      <c r="F8459" s="8"/>
      <c r="G8459" s="15" t="s">
        <v>10</v>
      </c>
      <c r="H8459" s="15" t="s">
        <v>10</v>
      </c>
      <c r="I8459" s="15">
        <v>1.068142346148973</v>
      </c>
      <c r="J8459" s="15">
        <v>1.068142346148973</v>
      </c>
      <c r="K8459" s="15" t="s">
        <v>10</v>
      </c>
      <c r="L8459" s="15" t="s">
        <v>10</v>
      </c>
      <c r="M8459" s="15" t="s">
        <v>10</v>
      </c>
      <c r="N8459" s="15" t="s">
        <v>10</v>
      </c>
      <c r="O8459" s="15" t="s">
        <v>10</v>
      </c>
      <c r="P8459" s="15" t="s">
        <v>10</v>
      </c>
      <c r="Q8459" s="8"/>
      <c r="R8459" s="9" t="s">
        <v>7940</v>
      </c>
    </row>
    <row r="8460" spans="1:18" x14ac:dyDescent="0.25">
      <c r="A8460" s="6" t="str">
        <f>HYPERLINK("proteomic_fractions_linear_files/Yang_linear_img/9790217.jpg", "9790217")</f>
        <v>9790217</v>
      </c>
      <c r="B8460" s="7"/>
      <c r="C8460" s="6" t="str">
        <f>HYPERLINK("http://www.ncbi.nlm.nih.gov/protein/9790217","1110004F10Rik")</f>
        <v>1110004F10Rik</v>
      </c>
      <c r="D8460" s="8"/>
      <c r="E8460" s="8">
        <v>19915</v>
      </c>
      <c r="F8460" s="8"/>
      <c r="G8460" s="15" t="s">
        <v>10</v>
      </c>
      <c r="H8460" s="15" t="s">
        <v>10</v>
      </c>
      <c r="I8460" s="15" t="s">
        <v>10</v>
      </c>
      <c r="J8460" s="15" t="s">
        <v>10</v>
      </c>
      <c r="K8460" s="15" t="s">
        <v>10</v>
      </c>
      <c r="L8460" s="15" t="s">
        <v>10</v>
      </c>
      <c r="M8460" s="15">
        <v>1.395910564884103</v>
      </c>
      <c r="N8460" s="15">
        <v>1.395910564884103</v>
      </c>
      <c r="O8460" s="15">
        <v>1.30751290577125</v>
      </c>
      <c r="P8460" s="15">
        <v>1.30751290577125</v>
      </c>
      <c r="Q8460" s="8"/>
      <c r="R8460" s="9" t="s">
        <v>7941</v>
      </c>
    </row>
    <row r="8461" spans="1:18" x14ac:dyDescent="0.25">
      <c r="A8461" s="6" t="str">
        <f>HYPERLINK("proteomic_fractions_linear_files/Yang_linear_img/21312030.jpg", "21312030")</f>
        <v>21312030</v>
      </c>
      <c r="B8461" s="7"/>
      <c r="C8461" s="6" t="str">
        <f>HYPERLINK("http://www.ncbi.nlm.nih.gov/protein/21312030","1110007C09Rik")</f>
        <v>1110007C09Rik</v>
      </c>
      <c r="D8461" s="8"/>
      <c r="E8461" s="8">
        <v>20805</v>
      </c>
      <c r="F8461" s="8"/>
      <c r="G8461" s="15">
        <v>0.79602259621938198</v>
      </c>
      <c r="H8461" s="15">
        <v>0.79602259621938198</v>
      </c>
      <c r="I8461" s="15">
        <v>0.83666379835042703</v>
      </c>
      <c r="J8461" s="15">
        <v>0.83666379835042703</v>
      </c>
      <c r="K8461" s="15">
        <v>0.88072853164590881</v>
      </c>
      <c r="L8461" s="15">
        <v>0.88072853164590881</v>
      </c>
      <c r="M8461" s="15" t="s">
        <v>10</v>
      </c>
      <c r="N8461" s="15" t="s">
        <v>10</v>
      </c>
      <c r="O8461" s="15" t="s">
        <v>10</v>
      </c>
      <c r="P8461" s="15" t="s">
        <v>10</v>
      </c>
      <c r="Q8461" s="8"/>
      <c r="R8461" s="9" t="s">
        <v>7942</v>
      </c>
    </row>
    <row r="8462" spans="1:18" x14ac:dyDescent="0.25">
      <c r="A8462" s="6" t="str">
        <f>HYPERLINK("proteomic_fractions_linear_files/Yang_linear_img/13385630.jpg", "13385630")</f>
        <v>13385630</v>
      </c>
      <c r="B8462" s="7"/>
      <c r="C8462" s="6" t="str">
        <f>HYPERLINK("http://www.ncbi.nlm.nih.gov/protein/13385630","1110008F13Rik")</f>
        <v>1110008F13Rik</v>
      </c>
      <c r="D8462" s="8"/>
      <c r="E8462" s="8">
        <v>14694</v>
      </c>
      <c r="F8462" s="8"/>
      <c r="G8462" s="15" t="s">
        <v>10</v>
      </c>
      <c r="H8462" s="15" t="s">
        <v>10</v>
      </c>
      <c r="I8462" s="15">
        <v>0.92572336666244337</v>
      </c>
      <c r="J8462" s="15">
        <v>0.92572336666244337</v>
      </c>
      <c r="K8462" s="15" t="s">
        <v>10</v>
      </c>
      <c r="L8462" s="15" t="s">
        <v>10</v>
      </c>
      <c r="M8462" s="15" t="s">
        <v>10</v>
      </c>
      <c r="N8462" s="15" t="s">
        <v>10</v>
      </c>
      <c r="O8462" s="15" t="s">
        <v>10</v>
      </c>
      <c r="P8462" s="15" t="s">
        <v>10</v>
      </c>
      <c r="Q8462" s="8"/>
      <c r="R8462" s="9" t="s">
        <v>7943</v>
      </c>
    </row>
    <row r="8463" spans="1:18" x14ac:dyDescent="0.25">
      <c r="A8463" s="6" t="str">
        <f>HYPERLINK("proteomic_fractions_linear_files/Yang_linear_img/227908787.jpg", "227908787")</f>
        <v>227908787</v>
      </c>
      <c r="B8463" s="7"/>
      <c r="C8463" s="6" t="str">
        <f>HYPERLINK("http://www.ncbi.nlm.nih.gov/protein/227908787","1110008L16Rik")</f>
        <v>1110008L16Rik</v>
      </c>
      <c r="D8463" s="8"/>
      <c r="E8463" s="8">
        <v>61886</v>
      </c>
      <c r="F8463" s="8"/>
      <c r="G8463" s="15" t="s">
        <v>10</v>
      </c>
      <c r="H8463" s="15" t="s">
        <v>10</v>
      </c>
      <c r="I8463" s="15">
        <v>0.9479549610579654</v>
      </c>
      <c r="J8463" s="15">
        <v>0.9479549610579654</v>
      </c>
      <c r="K8463" s="15" t="s">
        <v>10</v>
      </c>
      <c r="L8463" s="15" t="s">
        <v>10</v>
      </c>
      <c r="M8463" s="15" t="s">
        <v>10</v>
      </c>
      <c r="N8463" s="15" t="s">
        <v>10</v>
      </c>
      <c r="O8463" s="15" t="s">
        <v>10</v>
      </c>
      <c r="P8463" s="15" t="s">
        <v>10</v>
      </c>
      <c r="Q8463" s="8"/>
      <c r="R8463" s="9" t="s">
        <v>7944</v>
      </c>
    </row>
    <row r="8464" spans="1:18" x14ac:dyDescent="0.25">
      <c r="A8464" s="6" t="str">
        <f>HYPERLINK("proteomic_fractions_linear_files/Yang_linear_img/21312070.jpg", "21312070")</f>
        <v>21312070</v>
      </c>
      <c r="B8464" s="7"/>
      <c r="C8464" s="6" t="str">
        <f>HYPERLINK("http://www.ncbi.nlm.nih.gov/protein/21312070","1110012L19Rik")</f>
        <v>1110012L19Rik</v>
      </c>
      <c r="D8464" s="8"/>
      <c r="E8464" s="8">
        <v>17928</v>
      </c>
      <c r="F8464" s="8"/>
      <c r="G8464" s="15" t="s">
        <v>10</v>
      </c>
      <c r="H8464" s="15" t="s">
        <v>10</v>
      </c>
      <c r="I8464" s="15" t="s">
        <v>10</v>
      </c>
      <c r="J8464" s="15" t="s">
        <v>10</v>
      </c>
      <c r="K8464" s="15" t="s">
        <v>10</v>
      </c>
      <c r="L8464" s="15" t="s">
        <v>10</v>
      </c>
      <c r="M8464" s="15" t="s">
        <v>10</v>
      </c>
      <c r="N8464" s="15" t="s">
        <v>10</v>
      </c>
      <c r="O8464" s="15">
        <v>1.0275166202535602</v>
      </c>
      <c r="P8464" s="15">
        <v>1.0275166202535602</v>
      </c>
      <c r="Q8464" s="8"/>
      <c r="R8464" s="9" t="s">
        <v>7945</v>
      </c>
    </row>
    <row r="8465" spans="1:18" x14ac:dyDescent="0.25">
      <c r="A8465" s="6" t="str">
        <f>HYPERLINK("proteomic_fractions_linear_files/Yang_linear_img/268370114.jpg", "268370114")</f>
        <v>268370114</v>
      </c>
      <c r="B8465" s="7"/>
      <c r="C8465" s="6" t="str">
        <f>HYPERLINK("http://www.ncbi.nlm.nih.gov/protein/268370114","1110057K04Rik")</f>
        <v>1110057K04Rik</v>
      </c>
      <c r="D8465" s="8"/>
      <c r="E8465" s="8">
        <v>26649</v>
      </c>
      <c r="F8465" s="8"/>
      <c r="G8465" s="15">
        <v>1.788517614237602</v>
      </c>
      <c r="H8465" s="15">
        <v>1.788517614237602</v>
      </c>
      <c r="I8465" s="15">
        <v>1.2797546863138958</v>
      </c>
      <c r="J8465" s="15">
        <v>1.2797546863138958</v>
      </c>
      <c r="K8465" s="15">
        <v>1.2797546863138958</v>
      </c>
      <c r="L8465" s="15">
        <v>1.2797546863138958</v>
      </c>
      <c r="M8465" s="15" t="s">
        <v>10</v>
      </c>
      <c r="N8465" s="15" t="s">
        <v>10</v>
      </c>
      <c r="O8465" s="15" t="s">
        <v>10</v>
      </c>
      <c r="P8465" s="15" t="s">
        <v>10</v>
      </c>
      <c r="Q8465" s="8"/>
      <c r="R8465" s="9" t="s">
        <v>7946</v>
      </c>
    </row>
    <row r="8466" spans="1:18" x14ac:dyDescent="0.25">
      <c r="A8466" s="6" t="str">
        <f>HYPERLINK("proteomic_fractions_linear_files/Yang_linear_img/268370116.jpg", "268370116")</f>
        <v>268370116</v>
      </c>
      <c r="B8466" s="7"/>
      <c r="C8466" s="6" t="str">
        <f>HYPERLINK("http://www.ncbi.nlm.nih.gov/protein/268370116","1110057K04Rik")</f>
        <v>1110057K04Rik</v>
      </c>
      <c r="D8466" s="8"/>
      <c r="E8466" s="8">
        <v>30719</v>
      </c>
      <c r="F8466" s="8"/>
      <c r="G8466" s="15">
        <v>1.557741147884363</v>
      </c>
      <c r="H8466" s="15">
        <v>1.557741147884363</v>
      </c>
      <c r="I8466" s="15">
        <v>1.1146250493701673</v>
      </c>
      <c r="J8466" s="15">
        <v>1.1146250493701673</v>
      </c>
      <c r="K8466" s="15">
        <v>1.1146250493701673</v>
      </c>
      <c r="L8466" s="15">
        <v>1.1146250493701673</v>
      </c>
      <c r="M8466" s="15" t="s">
        <v>10</v>
      </c>
      <c r="N8466" s="15" t="s">
        <v>10</v>
      </c>
      <c r="O8466" s="15" t="s">
        <v>10</v>
      </c>
      <c r="P8466" s="15" t="s">
        <v>10</v>
      </c>
      <c r="Q8466" s="8"/>
      <c r="R8466" s="9" t="s">
        <v>7947</v>
      </c>
    </row>
    <row r="8467" spans="1:18" x14ac:dyDescent="0.25">
      <c r="A8467" s="6" t="str">
        <f>HYPERLINK("proteomic_fractions_linear_files/Yang_linear_img/269995975.jpg", "269995975")</f>
        <v>269995975</v>
      </c>
      <c r="B8467" s="7"/>
      <c r="C8467" s="6" t="str">
        <f>HYPERLINK("http://www.ncbi.nlm.nih.gov/protein/269995975","1110057K04Rik")</f>
        <v>1110057K04Rik</v>
      </c>
      <c r="D8467" s="8"/>
      <c r="E8467" s="8">
        <v>37227</v>
      </c>
      <c r="F8467" s="8"/>
      <c r="G8467" s="15">
        <v>1.3051344752544662</v>
      </c>
      <c r="H8467" s="15">
        <v>1.3051344752544662</v>
      </c>
      <c r="I8467" s="15">
        <v>0.93387504136419419</v>
      </c>
      <c r="J8467" s="15">
        <v>0.93387504136419419</v>
      </c>
      <c r="K8467" s="15">
        <v>0.93387504136419419</v>
      </c>
      <c r="L8467" s="15">
        <v>0.93387504136419419</v>
      </c>
      <c r="M8467" s="15" t="s">
        <v>10</v>
      </c>
      <c r="N8467" s="15" t="s">
        <v>10</v>
      </c>
      <c r="O8467" s="15" t="s">
        <v>10</v>
      </c>
      <c r="P8467" s="15" t="s">
        <v>10</v>
      </c>
      <c r="Q8467" s="8"/>
      <c r="R8467" s="9" t="s">
        <v>7948</v>
      </c>
    </row>
    <row r="8468" spans="1:18" x14ac:dyDescent="0.25">
      <c r="A8468" s="6" t="str">
        <f>HYPERLINK("proteomic_fractions_linear_files/Yang_linear_img/229577372.jpg", "229577372")</f>
        <v>229577372</v>
      </c>
      <c r="B8468" s="7"/>
      <c r="C8468" s="6" t="str">
        <f>HYPERLINK("http://www.ncbi.nlm.nih.gov/protein/229577372","1110058L19Rik")</f>
        <v>1110058L19Rik</v>
      </c>
      <c r="D8468" s="8"/>
      <c r="E8468" s="8">
        <v>8429</v>
      </c>
      <c r="F8468" s="8"/>
      <c r="G8468" s="15" t="s">
        <v>10</v>
      </c>
      <c r="H8468" s="15" t="s">
        <v>10</v>
      </c>
      <c r="I8468" s="15">
        <v>1.4163577046597362</v>
      </c>
      <c r="J8468" s="15">
        <v>1.4163577046597362</v>
      </c>
      <c r="K8468" s="15" t="s">
        <v>10</v>
      </c>
      <c r="L8468" s="15" t="s">
        <v>10</v>
      </c>
      <c r="M8468" s="15" t="s">
        <v>10</v>
      </c>
      <c r="N8468" s="15" t="s">
        <v>10</v>
      </c>
      <c r="O8468" s="15" t="s">
        <v>10</v>
      </c>
      <c r="P8468" s="15" t="s">
        <v>10</v>
      </c>
      <c r="Q8468" s="8"/>
      <c r="R8468" s="9" t="s">
        <v>7949</v>
      </c>
    </row>
    <row r="8469" spans="1:18" x14ac:dyDescent="0.25">
      <c r="A8469" s="6" t="str">
        <f>HYPERLINK("proteomic_fractions_linear_files/Yang_linear_img/21312338.jpg", "21312338")</f>
        <v>21312338</v>
      </c>
      <c r="B8469" s="7"/>
      <c r="C8469" s="6" t="str">
        <f>HYPERLINK("http://www.ncbi.nlm.nih.gov/protein/21312338","1600014C10Rik")</f>
        <v>1600014C10Rik</v>
      </c>
      <c r="D8469" s="8"/>
      <c r="E8469" s="8">
        <v>14956</v>
      </c>
      <c r="F8469" s="8"/>
      <c r="G8469" s="15" t="s">
        <v>10</v>
      </c>
      <c r="H8469" s="15" t="s">
        <v>10</v>
      </c>
      <c r="I8469" s="15" t="s">
        <v>10</v>
      </c>
      <c r="J8469" s="15" t="s">
        <v>10</v>
      </c>
      <c r="K8469" s="15" t="s">
        <v>10</v>
      </c>
      <c r="L8469" s="15" t="s">
        <v>10</v>
      </c>
      <c r="M8469" s="15" t="s">
        <v>10</v>
      </c>
      <c r="N8469" s="15" t="s">
        <v>10</v>
      </c>
      <c r="O8469" s="15">
        <v>0.88647093486676887</v>
      </c>
      <c r="P8469" s="15">
        <v>0.88647093486676887</v>
      </c>
      <c r="Q8469" s="8"/>
      <c r="R8469" s="9" t="s">
        <v>7950</v>
      </c>
    </row>
    <row r="8470" spans="1:18" x14ac:dyDescent="0.25">
      <c r="A8470" s="6" t="str">
        <f>HYPERLINK("proteomic_fractions_linear_files/Yang_linear_img/253735769.jpg", "253735769")</f>
        <v>253735769</v>
      </c>
      <c r="B8470" s="7"/>
      <c r="C8470" s="6" t="str">
        <f>HYPERLINK("http://www.ncbi.nlm.nih.gov/protein/253735769","1600015I10Rik")</f>
        <v>1600015I10Rik</v>
      </c>
      <c r="D8470" s="8"/>
      <c r="E8470" s="8">
        <v>78345</v>
      </c>
      <c r="F8470" s="8"/>
      <c r="G8470" s="15" t="s">
        <v>10</v>
      </c>
      <c r="H8470" s="15" t="s">
        <v>10</v>
      </c>
      <c r="I8470" s="15" t="s">
        <v>10</v>
      </c>
      <c r="J8470" s="15" t="s">
        <v>10</v>
      </c>
      <c r="K8470" s="15">
        <v>0.17802372435816219</v>
      </c>
      <c r="L8470" s="15">
        <v>0.17802372435816219</v>
      </c>
      <c r="M8470" s="15" t="s">
        <v>10</v>
      </c>
      <c r="N8470" s="15" t="s">
        <v>10</v>
      </c>
      <c r="O8470" s="15" t="s">
        <v>10</v>
      </c>
      <c r="P8470" s="15" t="s">
        <v>10</v>
      </c>
      <c r="Q8470" s="8"/>
      <c r="R8470" s="9" t="s">
        <v>7951</v>
      </c>
    </row>
    <row r="8471" spans="1:18" x14ac:dyDescent="0.25">
      <c r="A8471" s="6" t="str">
        <f>HYPERLINK("proteomic_fractions_linear_files/Yang_linear_img/124487358.jpg", "124487358")</f>
        <v>124487358</v>
      </c>
      <c r="B8471" s="7"/>
      <c r="C8471" s="6" t="str">
        <f>HYPERLINK("http://www.ncbi.nlm.nih.gov/protein/124487358","1700009N14Rik")</f>
        <v>1700009N14Rik</v>
      </c>
      <c r="D8471" s="8"/>
      <c r="E8471" s="8">
        <v>24226</v>
      </c>
      <c r="F8471" s="8"/>
      <c r="G8471" s="15">
        <v>1.3368363689888996</v>
      </c>
      <c r="H8471" s="15">
        <v>1.3368363689888996</v>
      </c>
      <c r="I8471" s="15">
        <v>1.0231175255532048</v>
      </c>
      <c r="J8471" s="15">
        <v>1.0231175255532048</v>
      </c>
      <c r="K8471" s="15">
        <v>1.0231175255532048</v>
      </c>
      <c r="L8471" s="15">
        <v>1.0231175255532048</v>
      </c>
      <c r="M8471" s="15">
        <v>1.0231175255532048</v>
      </c>
      <c r="N8471" s="15">
        <v>1.0231175255532048</v>
      </c>
      <c r="O8471" s="15">
        <v>0.90815592794494793</v>
      </c>
      <c r="P8471" s="15">
        <v>0.90815592794494793</v>
      </c>
      <c r="Q8471" s="8"/>
      <c r="R8471" s="9" t="s">
        <v>7952</v>
      </c>
    </row>
    <row r="8472" spans="1:18" x14ac:dyDescent="0.25">
      <c r="A8472" s="6" t="str">
        <f>HYPERLINK("proteomic_fractions_linear_files/Yang_linear_img/254675147.jpg", "254675147")</f>
        <v>254675147</v>
      </c>
      <c r="B8472" s="7"/>
      <c r="C8472" s="6" t="str">
        <f>HYPERLINK("http://www.ncbi.nlm.nih.gov/protein/254675147","1700011E24Rik")</f>
        <v>1700011E24Rik</v>
      </c>
      <c r="D8472" s="8"/>
      <c r="E8472" s="8">
        <v>27501</v>
      </c>
      <c r="F8472" s="8"/>
      <c r="G8472" s="15" t="s">
        <v>10</v>
      </c>
      <c r="H8472" s="15" t="s">
        <v>10</v>
      </c>
      <c r="I8472" s="15" t="s">
        <v>10</v>
      </c>
      <c r="J8472" s="15" t="s">
        <v>10</v>
      </c>
      <c r="K8472" s="15">
        <v>2.6227200086315086</v>
      </c>
      <c r="L8472" s="15">
        <v>2.6227200086315086</v>
      </c>
      <c r="M8472" s="15">
        <v>2.6227200086315086</v>
      </c>
      <c r="N8472" s="15">
        <v>2.6227200086315086</v>
      </c>
      <c r="O8472" s="15" t="s">
        <v>10</v>
      </c>
      <c r="P8472" s="15" t="s">
        <v>10</v>
      </c>
      <c r="Q8472" s="8"/>
      <c r="R8472" s="9" t="s">
        <v>7953</v>
      </c>
    </row>
    <row r="8473" spans="1:18" x14ac:dyDescent="0.25">
      <c r="A8473" s="6" t="str">
        <f>HYPERLINK("proteomic_fractions_linear_files/Yang_linear_img/241982748.jpg", "241982748")</f>
        <v>241982748</v>
      </c>
      <c r="B8473" s="7"/>
      <c r="C8473" s="6" t="str">
        <f>HYPERLINK("http://www.ncbi.nlm.nih.gov/protein/241982748","1700011I03Rik")</f>
        <v>1700011I03Rik</v>
      </c>
      <c r="D8473" s="8"/>
      <c r="E8473" s="8">
        <v>30111</v>
      </c>
      <c r="F8473" s="8"/>
      <c r="G8473" s="15" t="s">
        <v>10</v>
      </c>
      <c r="H8473" s="15" t="s">
        <v>10</v>
      </c>
      <c r="I8473" s="15">
        <v>0.53091472610605916</v>
      </c>
      <c r="J8473" s="15">
        <v>0.53091472610605916</v>
      </c>
      <c r="K8473" s="15" t="s">
        <v>10</v>
      </c>
      <c r="L8473" s="15" t="s">
        <v>10</v>
      </c>
      <c r="M8473" s="15" t="s">
        <v>10</v>
      </c>
      <c r="N8473" s="15" t="s">
        <v>10</v>
      </c>
      <c r="O8473" s="15" t="s">
        <v>10</v>
      </c>
      <c r="P8473" s="15" t="s">
        <v>10</v>
      </c>
      <c r="Q8473" s="8"/>
      <c r="R8473" s="9" t="s">
        <v>7954</v>
      </c>
    </row>
    <row r="8474" spans="1:18" x14ac:dyDescent="0.25">
      <c r="A8474" s="6" t="str">
        <f>HYPERLINK("proteomic_fractions_linear_files/Yang_linear_img/21450635.jpg", "21450635")</f>
        <v>21450635</v>
      </c>
      <c r="B8474" s="7"/>
      <c r="C8474" s="6" t="str">
        <f>HYPERLINK("http://www.ncbi.nlm.nih.gov/protein/21450635","1700019D03Rik")</f>
        <v>1700019D03Rik</v>
      </c>
      <c r="D8474" s="8"/>
      <c r="E8474" s="8">
        <v>11795</v>
      </c>
      <c r="F8474" s="8"/>
      <c r="G8474" s="15" t="s">
        <v>10</v>
      </c>
      <c r="H8474" s="15" t="s">
        <v>10</v>
      </c>
      <c r="I8474" s="15">
        <v>1.2663615244845239</v>
      </c>
      <c r="J8474" s="15">
        <v>1.2663615244845239</v>
      </c>
      <c r="K8474" s="15">
        <v>1.327286815265148</v>
      </c>
      <c r="L8474" s="15">
        <v>1.327286815265148</v>
      </c>
      <c r="M8474" s="15" t="s">
        <v>10</v>
      </c>
      <c r="N8474" s="15" t="s">
        <v>10</v>
      </c>
      <c r="O8474" s="15" t="s">
        <v>10</v>
      </c>
      <c r="P8474" s="15" t="s">
        <v>10</v>
      </c>
      <c r="Q8474" s="8"/>
      <c r="R8474" s="9" t="s">
        <v>7955</v>
      </c>
    </row>
    <row r="8475" spans="1:18" x14ac:dyDescent="0.25">
      <c r="A8475" s="6" t="str">
        <f>HYPERLINK("proteomic_fractions_linear_files/Yang_linear_img/268607534.jpg", "268607534")</f>
        <v>268607534</v>
      </c>
      <c r="B8475" s="7"/>
      <c r="C8475" s="6" t="str">
        <f>HYPERLINK("http://www.ncbi.nlm.nih.gov/protein/268607534","1700020D05Rik")</f>
        <v>1700020D05Rik</v>
      </c>
      <c r="D8475" s="8"/>
      <c r="E8475" s="8">
        <v>33312</v>
      </c>
      <c r="F8475" s="8"/>
      <c r="G8475" s="15">
        <v>1.2274944910067498</v>
      </c>
      <c r="H8475" s="15">
        <v>1.2274944910067498</v>
      </c>
      <c r="I8475" s="15">
        <v>0.90561839065797367</v>
      </c>
      <c r="J8475" s="15">
        <v>0.90561839065797367</v>
      </c>
      <c r="K8475" s="15" t="s">
        <v>10</v>
      </c>
      <c r="L8475" s="15" t="s">
        <v>10</v>
      </c>
      <c r="M8475" s="15" t="s">
        <v>10</v>
      </c>
      <c r="N8475" s="15" t="s">
        <v>10</v>
      </c>
      <c r="O8475" s="15" t="s">
        <v>10</v>
      </c>
      <c r="P8475" s="15" t="s">
        <v>10</v>
      </c>
      <c r="Q8475" s="8"/>
      <c r="R8475" s="9" t="s">
        <v>7956</v>
      </c>
    </row>
    <row r="8476" spans="1:18" x14ac:dyDescent="0.25">
      <c r="A8476" s="6" t="str">
        <f>HYPERLINK("proteomic_fractions_linear_files/Yang_linear_img/13385904.jpg", "13385904")</f>
        <v>13385904</v>
      </c>
      <c r="B8476" s="7"/>
      <c r="C8476" s="6" t="str">
        <f>HYPERLINK("http://www.ncbi.nlm.nih.gov/protein/13385904","1700021F05Rik")</f>
        <v>1700021F05Rik</v>
      </c>
      <c r="D8476" s="8"/>
      <c r="E8476" s="8">
        <v>27716</v>
      </c>
      <c r="F8476" s="8"/>
      <c r="G8476" s="15">
        <v>0.99707897491721642</v>
      </c>
      <c r="H8476" s="15">
        <v>0.99707897491721642</v>
      </c>
      <c r="I8476" s="15">
        <v>0.73562289952343829</v>
      </c>
      <c r="J8476" s="15">
        <v>0.73562289952343829</v>
      </c>
      <c r="K8476" s="15" t="s">
        <v>10</v>
      </c>
      <c r="L8476" s="15" t="s">
        <v>10</v>
      </c>
      <c r="M8476" s="15">
        <v>0.69646963671554551</v>
      </c>
      <c r="N8476" s="15">
        <v>0.73562289952343829</v>
      </c>
      <c r="O8476" s="15" t="s">
        <v>10</v>
      </c>
      <c r="P8476" s="15" t="s">
        <v>10</v>
      </c>
      <c r="Q8476" s="8"/>
      <c r="R8476" s="9" t="s">
        <v>7957</v>
      </c>
    </row>
    <row r="8477" spans="1:18" x14ac:dyDescent="0.25">
      <c r="A8477" s="6" t="str">
        <f>HYPERLINK("proteomic_fractions_linear_files/Yang_linear_img/13385590.jpg", "13385590")</f>
        <v>13385590</v>
      </c>
      <c r="B8477" s="7"/>
      <c r="C8477" s="6" t="str">
        <f>HYPERLINK("http://www.ncbi.nlm.nih.gov/protein/13385590","1700037H04Rik")</f>
        <v>1700037H04Rik</v>
      </c>
      <c r="D8477" s="8"/>
      <c r="E8477" s="8">
        <v>19345</v>
      </c>
      <c r="F8477" s="8"/>
      <c r="G8477" s="15">
        <v>0.92473367186099831</v>
      </c>
      <c r="H8477" s="15">
        <v>0.92473367186099831</v>
      </c>
      <c r="I8477" s="15">
        <v>0.97343679813495176</v>
      </c>
      <c r="J8477" s="15">
        <v>0.97343679813495176</v>
      </c>
      <c r="K8477" s="15">
        <v>0.97343679813495176</v>
      </c>
      <c r="L8477" s="15">
        <v>0.97343679813495176</v>
      </c>
      <c r="M8477" s="15">
        <v>0.97343679813495176</v>
      </c>
      <c r="N8477" s="15">
        <v>0.97343679813495176</v>
      </c>
      <c r="O8477" s="15">
        <v>0.92473367186099831</v>
      </c>
      <c r="P8477" s="15">
        <v>0.92473367186099831</v>
      </c>
      <c r="Q8477" s="8"/>
      <c r="R8477" s="9" t="s">
        <v>7958</v>
      </c>
    </row>
    <row r="8478" spans="1:18" x14ac:dyDescent="0.25">
      <c r="A8478" s="6" t="str">
        <f>HYPERLINK("proteomic_fractions_linear_files/Yang_linear_img/90093343.jpg", "90093343")</f>
        <v>90093343</v>
      </c>
      <c r="B8478" s="7"/>
      <c r="C8478" s="6" t="str">
        <f>HYPERLINK("http://www.ncbi.nlm.nih.gov/protein/90093343","1700052N19Rik")</f>
        <v>1700052N19Rik</v>
      </c>
      <c r="D8478" s="8"/>
      <c r="E8478" s="8">
        <v>50418</v>
      </c>
      <c r="F8478" s="8"/>
      <c r="G8478" s="15" t="s">
        <v>10</v>
      </c>
      <c r="H8478" s="15" t="s">
        <v>10</v>
      </c>
      <c r="I8478" s="15" t="s">
        <v>10</v>
      </c>
      <c r="J8478" s="15" t="s">
        <v>10</v>
      </c>
      <c r="K8478" s="15" t="s">
        <v>10</v>
      </c>
      <c r="L8478" s="15" t="s">
        <v>10</v>
      </c>
      <c r="M8478" s="15" t="s">
        <v>10</v>
      </c>
      <c r="N8478" s="15" t="s">
        <v>10</v>
      </c>
      <c r="O8478" s="15">
        <v>0.81014636406445495</v>
      </c>
      <c r="P8478" s="15">
        <v>0.81014636406445495</v>
      </c>
      <c r="Q8478" s="8"/>
      <c r="R8478" s="9" t="s">
        <v>7959</v>
      </c>
    </row>
    <row r="8479" spans="1:18" x14ac:dyDescent="0.25">
      <c r="A8479" s="6" t="str">
        <f>HYPERLINK("proteomic_fractions_linear_files/Yang_linear_img/343098457.jpg", "343098457")</f>
        <v>343098457</v>
      </c>
      <c r="B8479" s="7"/>
      <c r="C8479" s="6" t="str">
        <f>HYPERLINK("http://www.ncbi.nlm.nih.gov/protein/343098457","1700055N04Rik")</f>
        <v>1700055N04Rik</v>
      </c>
      <c r="D8479" s="8"/>
      <c r="E8479" s="8">
        <v>52989</v>
      </c>
      <c r="F8479" s="8"/>
      <c r="G8479" s="15">
        <v>5.6940249931414861</v>
      </c>
      <c r="H8479" s="15">
        <v>5.6940249931414861</v>
      </c>
      <c r="I8479" s="15">
        <v>1.0022748986792656</v>
      </c>
      <c r="J8479" s="15">
        <v>1.0022748986792656</v>
      </c>
      <c r="K8479" s="15">
        <v>1.1089284450112047</v>
      </c>
      <c r="L8479" s="15">
        <v>1.1089284450112047</v>
      </c>
      <c r="M8479" s="15">
        <v>1.0022748986792656</v>
      </c>
      <c r="N8479" s="15">
        <v>1.0022748986792656</v>
      </c>
      <c r="O8479" s="15">
        <v>0.91113161480028781</v>
      </c>
      <c r="P8479" s="15">
        <v>0.91113161480028781</v>
      </c>
      <c r="Q8479" s="8"/>
      <c r="R8479" s="9" t="s">
        <v>7960</v>
      </c>
    </row>
    <row r="8480" spans="1:18" x14ac:dyDescent="0.25">
      <c r="A8480" s="6" t="str">
        <f>HYPERLINK("proteomic_fractions_linear_files/Yang_linear_img/85702063.jpg", "85702063")</f>
        <v>85702063</v>
      </c>
      <c r="B8480" s="7"/>
      <c r="C8480" s="6" t="str">
        <f>HYPERLINK("http://www.ncbi.nlm.nih.gov/protein/85702063","1700071K01Rik")</f>
        <v>1700071K01Rik</v>
      </c>
      <c r="D8480" s="8"/>
      <c r="E8480" s="8">
        <v>29364</v>
      </c>
      <c r="F8480" s="8"/>
      <c r="G8480" s="15">
        <v>1.2876319456249858</v>
      </c>
      <c r="H8480" s="15">
        <v>1.2876319456249858</v>
      </c>
      <c r="I8480" s="15">
        <v>0.90173303846293107</v>
      </c>
      <c r="J8480" s="15">
        <v>0.90173303846293107</v>
      </c>
      <c r="K8480" s="15">
        <v>0.90173303846293107</v>
      </c>
      <c r="L8480" s="15">
        <v>0.90173303846293107</v>
      </c>
      <c r="M8480" s="15">
        <v>0.90173303846293107</v>
      </c>
      <c r="N8480" s="15">
        <v>0.90173303846293107</v>
      </c>
      <c r="O8480" s="15" t="s">
        <v>10</v>
      </c>
      <c r="P8480" s="15" t="s">
        <v>10</v>
      </c>
      <c r="Q8480" s="8"/>
      <c r="R8480" s="9" t="s">
        <v>7961</v>
      </c>
    </row>
    <row r="8481" spans="1:18" x14ac:dyDescent="0.25">
      <c r="A8481" s="6" t="str">
        <f>HYPERLINK("proteomic_fractions_linear_files/Yang_linear_img/227500514.jpg", "227500514")</f>
        <v>227500514</v>
      </c>
      <c r="B8481" s="7"/>
      <c r="C8481" s="6" t="str">
        <f>HYPERLINK("http://www.ncbi.nlm.nih.gov/protein/227500514","1700080E11Rik")</f>
        <v>1700080E11Rik</v>
      </c>
      <c r="D8481" s="8"/>
      <c r="E8481" s="8">
        <v>22334</v>
      </c>
      <c r="F8481" s="8"/>
      <c r="G8481" s="15" t="s">
        <v>10</v>
      </c>
      <c r="H8481" s="15" t="s">
        <v>10</v>
      </c>
      <c r="I8481" s="15" t="s">
        <v>10</v>
      </c>
      <c r="J8481" s="15" t="s">
        <v>10</v>
      </c>
      <c r="K8481" s="15">
        <v>1.0504351533962475</v>
      </c>
      <c r="L8481" s="15">
        <v>1.0504351533962475</v>
      </c>
      <c r="M8481" s="15" t="s">
        <v>10</v>
      </c>
      <c r="N8481" s="15" t="s">
        <v>10</v>
      </c>
      <c r="O8481" s="15" t="s">
        <v>10</v>
      </c>
      <c r="P8481" s="15" t="s">
        <v>10</v>
      </c>
      <c r="Q8481" s="8"/>
      <c r="R8481" s="9" t="s">
        <v>7962</v>
      </c>
    </row>
    <row r="8482" spans="1:18" x14ac:dyDescent="0.25">
      <c r="A8482" s="6" t="str">
        <f>HYPERLINK("proteomic_fractions_linear_files/Yang_linear_img/13384876.jpg", "13384876")</f>
        <v>13384876</v>
      </c>
      <c r="B8482" s="7"/>
      <c r="C8482" s="6" t="str">
        <f>HYPERLINK("http://www.ncbi.nlm.nih.gov/protein/13384876","1810009A15Rik")</f>
        <v>1810009A15Rik</v>
      </c>
      <c r="D8482" s="8"/>
      <c r="E8482" s="8">
        <v>13967</v>
      </c>
      <c r="F8482" s="8"/>
      <c r="G8482" s="15" t="s">
        <v>10</v>
      </c>
      <c r="H8482" s="15" t="s">
        <v>10</v>
      </c>
      <c r="I8482" s="15">
        <v>1.2549956975256404</v>
      </c>
      <c r="J8482" s="15">
        <v>1.2549956975256404</v>
      </c>
      <c r="K8482" s="15">
        <v>1.3210927974688631</v>
      </c>
      <c r="L8482" s="15">
        <v>1.3210927974688631</v>
      </c>
      <c r="M8482" s="15">
        <v>1.3210927974688631</v>
      </c>
      <c r="N8482" s="15">
        <v>1.3210927974688631</v>
      </c>
      <c r="O8482" s="15" t="s">
        <v>10</v>
      </c>
      <c r="P8482" s="15" t="s">
        <v>10</v>
      </c>
      <c r="Q8482" s="8"/>
      <c r="R8482" s="9" t="s">
        <v>7963</v>
      </c>
    </row>
    <row r="8483" spans="1:18" x14ac:dyDescent="0.25">
      <c r="A8483" s="6" t="str">
        <f>HYPERLINK("proteomic_fractions_linear_files/Yang_linear_img/21729757.jpg", "21729757")</f>
        <v>21729757</v>
      </c>
      <c r="B8483" s="7"/>
      <c r="C8483" s="6" t="str">
        <f>HYPERLINK("http://www.ncbi.nlm.nih.gov/protein/21729757","1810009N02Rik")</f>
        <v>1810009N02Rik</v>
      </c>
      <c r="D8483" s="8"/>
      <c r="E8483" s="8">
        <v>24935</v>
      </c>
      <c r="F8483" s="8"/>
      <c r="G8483" s="15" t="s">
        <v>10</v>
      </c>
      <c r="H8483" s="15" t="s">
        <v>10</v>
      </c>
      <c r="I8483" s="15" t="s">
        <v>10</v>
      </c>
      <c r="J8483" s="15" t="s">
        <v>10</v>
      </c>
      <c r="K8483" s="15" t="s">
        <v>10</v>
      </c>
      <c r="L8483" s="15" t="s">
        <v>10</v>
      </c>
      <c r="M8483" s="15" t="s">
        <v>10</v>
      </c>
      <c r="N8483" s="15" t="s">
        <v>10</v>
      </c>
      <c r="O8483" s="15">
        <v>0.9821928245310767</v>
      </c>
      <c r="P8483" s="15">
        <v>0.9821928245310767</v>
      </c>
      <c r="Q8483" s="8"/>
      <c r="R8483" s="9" t="s">
        <v>7964</v>
      </c>
    </row>
    <row r="8484" spans="1:18" x14ac:dyDescent="0.25">
      <c r="A8484" s="6" t="str">
        <f>HYPERLINK("proteomic_fractions_linear_files/Yang_linear_img/153791234.jpg", "153791234")</f>
        <v>153791234</v>
      </c>
      <c r="B8484" s="7"/>
      <c r="C8484" s="6" t="str">
        <f>HYPERLINK("http://www.ncbi.nlm.nih.gov/protein/153791234","1810022K09Rik")</f>
        <v>1810022K09Rik</v>
      </c>
      <c r="D8484" s="8"/>
      <c r="E8484" s="8">
        <v>11032</v>
      </c>
      <c r="F8484" s="8"/>
      <c r="G8484" s="15" t="s">
        <v>10</v>
      </c>
      <c r="H8484" s="15" t="s">
        <v>10</v>
      </c>
      <c r="I8484" s="15" t="s">
        <v>10</v>
      </c>
      <c r="J8484" s="15" t="s">
        <v>10</v>
      </c>
      <c r="K8484" s="15" t="s">
        <v>10</v>
      </c>
      <c r="L8484" s="15" t="s">
        <v>10</v>
      </c>
      <c r="M8484" s="15">
        <v>1.447949253016525</v>
      </c>
      <c r="N8484" s="15">
        <v>1.447949253016525</v>
      </c>
      <c r="O8484" s="15" t="s">
        <v>10</v>
      </c>
      <c r="P8484" s="15" t="s">
        <v>10</v>
      </c>
      <c r="Q8484" s="8"/>
      <c r="R8484" s="9" t="s">
        <v>7965</v>
      </c>
    </row>
    <row r="8485" spans="1:18" x14ac:dyDescent="0.25">
      <c r="A8485" s="6" t="str">
        <f>HYPERLINK("proteomic_fractions_linear_files/Yang_linear_img/30519953.jpg", "30519953")</f>
        <v>30519953</v>
      </c>
      <c r="B8485" s="7"/>
      <c r="C8485" s="6" t="str">
        <f>HYPERLINK("http://www.ncbi.nlm.nih.gov/protein/30519953","1810026J23Rik")</f>
        <v>1810026J23Rik</v>
      </c>
      <c r="D8485" s="8"/>
      <c r="E8485" s="8">
        <v>29284</v>
      </c>
      <c r="F8485" s="8"/>
      <c r="G8485" s="15" t="s">
        <v>10</v>
      </c>
      <c r="H8485" s="15" t="s">
        <v>10</v>
      </c>
      <c r="I8485" s="15">
        <v>0.96269694129938133</v>
      </c>
      <c r="J8485" s="15">
        <v>0.96269694129938133</v>
      </c>
      <c r="K8485" s="15" t="s">
        <v>10</v>
      </c>
      <c r="L8485" s="15" t="s">
        <v>10</v>
      </c>
      <c r="M8485" s="15" t="s">
        <v>10</v>
      </c>
      <c r="N8485" s="15" t="s">
        <v>10</v>
      </c>
      <c r="O8485" s="15" t="s">
        <v>10</v>
      </c>
      <c r="P8485" s="15" t="s">
        <v>10</v>
      </c>
      <c r="Q8485" s="8"/>
      <c r="R8485" s="9" t="s">
        <v>7966</v>
      </c>
    </row>
    <row r="8486" spans="1:18" x14ac:dyDescent="0.25">
      <c r="A8486" s="6" t="str">
        <f>HYPERLINK("proteomic_fractions_linear_files/Yang_linear_img/21313570.jpg", "21313570")</f>
        <v>21313570</v>
      </c>
      <c r="B8486" s="7"/>
      <c r="C8486" s="6" t="str">
        <f>HYPERLINK("http://www.ncbi.nlm.nih.gov/protein/21313570","1810037I17Rik")</f>
        <v>1810037I17Rik</v>
      </c>
      <c r="D8486" s="8"/>
      <c r="E8486" s="8">
        <v>7273</v>
      </c>
      <c r="F8486" s="8"/>
      <c r="G8486" s="15" t="s">
        <v>10</v>
      </c>
      <c r="H8486" s="15" t="s">
        <v>10</v>
      </c>
      <c r="I8486" s="15">
        <v>1.821031334562518</v>
      </c>
      <c r="J8486" s="15">
        <v>1.821031334562518</v>
      </c>
      <c r="K8486" s="15">
        <v>1.9836929285623786</v>
      </c>
      <c r="L8486" s="15">
        <v>1.9836929285623786</v>
      </c>
      <c r="M8486" s="15">
        <v>1.8995805747145049</v>
      </c>
      <c r="N8486" s="15">
        <v>1.8995805747145049</v>
      </c>
      <c r="O8486" s="15" t="s">
        <v>10</v>
      </c>
      <c r="P8486" s="15" t="s">
        <v>10</v>
      </c>
      <c r="Q8486" s="8"/>
      <c r="R8486" s="9" t="s">
        <v>7967</v>
      </c>
    </row>
    <row r="8487" spans="1:18" x14ac:dyDescent="0.25">
      <c r="A8487" s="6" t="str">
        <f>HYPERLINK("proteomic_fractions_linear_files/Yang_linear_img/74315955.jpg", "74315955")</f>
        <v>74315955</v>
      </c>
      <c r="B8487" s="7"/>
      <c r="C8487" s="6" t="str">
        <f>HYPERLINK("http://www.ncbi.nlm.nih.gov/protein/74315955","2010002M12Rik")</f>
        <v>2010002M12Rik</v>
      </c>
      <c r="D8487" s="8"/>
      <c r="E8487" s="8">
        <v>53935</v>
      </c>
      <c r="F8487" s="8"/>
      <c r="G8487" s="15" t="s">
        <v>10</v>
      </c>
      <c r="H8487" s="15" t="s">
        <v>10</v>
      </c>
      <c r="I8487" s="15">
        <v>0.98371425240742738</v>
      </c>
      <c r="J8487" s="15">
        <v>0.98371425240742738</v>
      </c>
      <c r="K8487" s="15">
        <v>1.0883927330665528</v>
      </c>
      <c r="L8487" s="15">
        <v>1.0883927330665528</v>
      </c>
      <c r="M8487" s="15">
        <v>0.98371425240742738</v>
      </c>
      <c r="N8487" s="15">
        <v>0.98371425240742738</v>
      </c>
      <c r="O8487" s="15" t="s">
        <v>10</v>
      </c>
      <c r="P8487" s="15" t="s">
        <v>10</v>
      </c>
      <c r="Q8487" s="8"/>
      <c r="R8487" s="9" t="s">
        <v>7968</v>
      </c>
    </row>
    <row r="8488" spans="1:18" x14ac:dyDescent="0.25">
      <c r="A8488" s="6" t="str">
        <f>HYPERLINK("proteomic_fractions_linear_files/Yang_linear_img/13385000.jpg", "13385000")</f>
        <v>13385000</v>
      </c>
      <c r="B8488" s="7"/>
      <c r="C8488" s="6" t="str">
        <f>HYPERLINK("http://www.ncbi.nlm.nih.gov/protein/13385000","2010012O05Rik")</f>
        <v>2010012O05Rik</v>
      </c>
      <c r="D8488" s="8"/>
      <c r="E8488" s="8">
        <v>11415</v>
      </c>
      <c r="F8488" s="8"/>
      <c r="G8488" s="15" t="s">
        <v>10</v>
      </c>
      <c r="H8488" s="15" t="s">
        <v>10</v>
      </c>
      <c r="I8488" s="15" t="s">
        <v>10</v>
      </c>
      <c r="J8488" s="15" t="s">
        <v>10</v>
      </c>
      <c r="K8488" s="15" t="s">
        <v>10</v>
      </c>
      <c r="L8488" s="15" t="s">
        <v>10</v>
      </c>
      <c r="M8488" s="15" t="s">
        <v>10</v>
      </c>
      <c r="N8488" s="15" t="s">
        <v>10</v>
      </c>
      <c r="O8488" s="15">
        <v>1.1120782993028506</v>
      </c>
      <c r="P8488" s="15">
        <v>1.1120782993028506</v>
      </c>
      <c r="Q8488" s="8"/>
      <c r="R8488" s="9" t="s">
        <v>7969</v>
      </c>
    </row>
    <row r="8489" spans="1:18" x14ac:dyDescent="0.25">
      <c r="A8489" s="6" t="str">
        <f>HYPERLINK("proteomic_fractions_linear_files/Yang_linear_img/21312554.jpg", "21312554")</f>
        <v>21312554</v>
      </c>
      <c r="B8489" s="7"/>
      <c r="C8489" s="6" t="str">
        <f>HYPERLINK("http://www.ncbi.nlm.nih.gov/protein/21312554","2010107E04Rik")</f>
        <v>2010107E04Rik</v>
      </c>
      <c r="D8489" s="8"/>
      <c r="E8489" s="8">
        <v>6567</v>
      </c>
      <c r="F8489" s="8"/>
      <c r="G8489" s="15" t="s">
        <v>10</v>
      </c>
      <c r="H8489" s="15" t="s">
        <v>10</v>
      </c>
      <c r="I8489" s="15">
        <v>1.6787022322605194</v>
      </c>
      <c r="J8489" s="15">
        <v>1.6787022322605194</v>
      </c>
      <c r="K8489" s="15">
        <v>1.821031334562518</v>
      </c>
      <c r="L8489" s="15">
        <v>1.821031334562518</v>
      </c>
      <c r="M8489" s="15" t="s">
        <v>10</v>
      </c>
      <c r="N8489" s="15" t="s">
        <v>10</v>
      </c>
      <c r="O8489" s="15" t="s">
        <v>10</v>
      </c>
      <c r="P8489" s="15" t="s">
        <v>10</v>
      </c>
      <c r="Q8489" s="8"/>
      <c r="R8489" s="9" t="s">
        <v>7970</v>
      </c>
    </row>
    <row r="8490" spans="1:18" x14ac:dyDescent="0.25">
      <c r="A8490" s="6" t="str">
        <f>HYPERLINK("proteomic_fractions_linear_files/Yang_linear_img/21312460.jpg", "21312460")</f>
        <v>21312460</v>
      </c>
      <c r="B8490" s="7"/>
      <c r="C8490" s="6" t="str">
        <f>HYPERLINK("http://www.ncbi.nlm.nih.gov/protein/21312460","2010107G23Rik")</f>
        <v>2010107G23Rik</v>
      </c>
      <c r="D8490" s="8"/>
      <c r="E8490" s="8">
        <v>12987</v>
      </c>
      <c r="F8490" s="8"/>
      <c r="G8490" s="15">
        <v>1.068142346148973</v>
      </c>
      <c r="H8490" s="15">
        <v>1.068142346148973</v>
      </c>
      <c r="I8490" s="15">
        <v>1.068142346148973</v>
      </c>
      <c r="J8490" s="15">
        <v>1.068142346148973</v>
      </c>
      <c r="K8490" s="15">
        <v>1.1167287478361805</v>
      </c>
      <c r="L8490" s="15">
        <v>1.1167287478361805</v>
      </c>
      <c r="M8490" s="15">
        <v>1.1167287478361805</v>
      </c>
      <c r="N8490" s="15">
        <v>1.1167287478361805</v>
      </c>
      <c r="O8490" s="15" t="s">
        <v>10</v>
      </c>
      <c r="P8490" s="15" t="s">
        <v>10</v>
      </c>
      <c r="Q8490" s="8"/>
      <c r="R8490" s="9" t="s">
        <v>7971</v>
      </c>
    </row>
    <row r="8491" spans="1:18" x14ac:dyDescent="0.25">
      <c r="A8491" s="6" t="str">
        <f>HYPERLINK("proteomic_fractions_linear_files/Yang_linear_img/254675126.jpg", "254675126")</f>
        <v>254675126</v>
      </c>
      <c r="B8491" s="7"/>
      <c r="C8491" s="6" t="str">
        <f>HYPERLINK("http://www.ncbi.nlm.nih.gov/protein/254675126","2010300C02Rik")</f>
        <v>2010300C02Rik</v>
      </c>
      <c r="D8491" s="8"/>
      <c r="E8491" s="8">
        <v>125780</v>
      </c>
      <c r="F8491" s="8"/>
      <c r="G8491" s="15" t="s">
        <v>10</v>
      </c>
      <c r="H8491" s="15" t="s">
        <v>10</v>
      </c>
      <c r="I8491" s="15">
        <v>0.32148665240652974</v>
      </c>
      <c r="J8491" s="15">
        <v>0.32148665240652974</v>
      </c>
      <c r="K8491" s="15" t="s">
        <v>10</v>
      </c>
      <c r="L8491" s="15" t="s">
        <v>10</v>
      </c>
      <c r="M8491" s="15" t="s">
        <v>10</v>
      </c>
      <c r="N8491" s="15" t="s">
        <v>10</v>
      </c>
      <c r="O8491" s="15" t="s">
        <v>10</v>
      </c>
      <c r="P8491" s="15" t="s">
        <v>10</v>
      </c>
      <c r="Q8491" s="8"/>
      <c r="R8491" s="9" t="s">
        <v>7972</v>
      </c>
    </row>
    <row r="8492" spans="1:18" x14ac:dyDescent="0.25">
      <c r="A8492" s="6" t="str">
        <f>HYPERLINK("proteomic_fractions_linear_files/Yang_linear_img/82918901.jpg", "82918901")</f>
        <v>82918901</v>
      </c>
      <c r="B8492" s="7"/>
      <c r="C8492" s="6" t="str">
        <f>HYPERLINK("http://www.ncbi.nlm.nih.gov/protein/82918901","2210011C24Rik")</f>
        <v>2210011C24Rik</v>
      </c>
      <c r="D8492" s="8"/>
      <c r="E8492" s="8">
        <v>23046</v>
      </c>
      <c r="F8492" s="8"/>
      <c r="G8492" s="15" t="s">
        <v>10</v>
      </c>
      <c r="H8492" s="15" t="s">
        <v>10</v>
      </c>
      <c r="I8492" s="15" t="s">
        <v>10</v>
      </c>
      <c r="J8492" s="15" t="s">
        <v>10</v>
      </c>
      <c r="K8492" s="15">
        <v>1.136967744148913</v>
      </c>
      <c r="L8492" s="15">
        <v>1.136967744148913</v>
      </c>
      <c r="M8492" s="15" t="s">
        <v>10</v>
      </c>
      <c r="N8492" s="15" t="s">
        <v>10</v>
      </c>
      <c r="O8492" s="15" t="s">
        <v>10</v>
      </c>
      <c r="P8492" s="15" t="s">
        <v>10</v>
      </c>
      <c r="Q8492" s="8"/>
      <c r="R8492" s="9" t="s">
        <v>8331</v>
      </c>
    </row>
    <row r="8493" spans="1:18" x14ac:dyDescent="0.25">
      <c r="A8493" s="6" t="str">
        <f>HYPERLINK("proteomic_fractions_linear_files/Yang_linear_img/39930441.jpg", "39930441")</f>
        <v>39930441</v>
      </c>
      <c r="B8493" s="7"/>
      <c r="C8493" s="6" t="str">
        <f>HYPERLINK("http://www.ncbi.nlm.nih.gov/protein/39930441","2210016L21Rik")</f>
        <v>2210016L21Rik</v>
      </c>
      <c r="D8493" s="8"/>
      <c r="E8493" s="8">
        <v>27472</v>
      </c>
      <c r="F8493" s="8"/>
      <c r="G8493" s="15" t="s">
        <v>10</v>
      </c>
      <c r="H8493" s="15" t="s">
        <v>10</v>
      </c>
      <c r="I8493" s="15">
        <v>221.96666666666667</v>
      </c>
      <c r="J8493" s="15">
        <v>221.96666666666667</v>
      </c>
      <c r="K8493" s="15" t="s">
        <v>10</v>
      </c>
      <c r="L8493" s="15" t="s">
        <v>10</v>
      </c>
      <c r="M8493" s="15" t="s">
        <v>10</v>
      </c>
      <c r="N8493" s="15" t="s">
        <v>10</v>
      </c>
      <c r="O8493" s="15">
        <v>1.1882989946567994</v>
      </c>
      <c r="P8493" s="15">
        <v>1.1882989946567994</v>
      </c>
      <c r="Q8493" s="8"/>
      <c r="R8493" s="9" t="s">
        <v>7973</v>
      </c>
    </row>
    <row r="8494" spans="1:18" x14ac:dyDescent="0.25">
      <c r="A8494" s="6" t="str">
        <f>HYPERLINK("proteomic_fractions_linear_files/Yang_linear_img/229576965.jpg", "229576965")</f>
        <v>229576965</v>
      </c>
      <c r="B8494" s="7"/>
      <c r="C8494" s="6" t="str">
        <f>HYPERLINK("http://www.ncbi.nlm.nih.gov/protein/229576965","2310007B03Rik")</f>
        <v>2310007B03Rik</v>
      </c>
      <c r="D8494" s="8"/>
      <c r="E8494" s="8">
        <v>50404</v>
      </c>
      <c r="F8494" s="8"/>
      <c r="G8494" s="15" t="s">
        <v>10</v>
      </c>
      <c r="H8494" s="15" t="s">
        <v>10</v>
      </c>
      <c r="I8494" s="15" t="s">
        <v>10</v>
      </c>
      <c r="J8494" s="15" t="s">
        <v>10</v>
      </c>
      <c r="K8494" s="15">
        <v>1.0624113926000216</v>
      </c>
      <c r="L8494" s="15">
        <v>1.0624113926000216</v>
      </c>
      <c r="M8494" s="15" t="s">
        <v>10</v>
      </c>
      <c r="N8494" s="15" t="s">
        <v>10</v>
      </c>
      <c r="O8494" s="15" t="s">
        <v>10</v>
      </c>
      <c r="P8494" s="15" t="s">
        <v>10</v>
      </c>
      <c r="Q8494" s="8"/>
      <c r="R8494" s="9" t="s">
        <v>7974</v>
      </c>
    </row>
    <row r="8495" spans="1:18" x14ac:dyDescent="0.25">
      <c r="A8495" s="6" t="str">
        <f>HYPERLINK("proteomic_fractions_linear_files/Yang_linear_img/21313500.jpg", "21313500")</f>
        <v>21313500</v>
      </c>
      <c r="B8495" s="7"/>
      <c r="C8495" s="6" t="str">
        <f>HYPERLINK("http://www.ncbi.nlm.nih.gov/protein/21313500","2310011J03Rik")</f>
        <v>2310011J03Rik</v>
      </c>
      <c r="D8495" s="8"/>
      <c r="E8495" s="8">
        <v>11980</v>
      </c>
      <c r="F8495" s="8"/>
      <c r="G8495" s="15" t="s">
        <v>10</v>
      </c>
      <c r="H8495" s="15" t="s">
        <v>10</v>
      </c>
      <c r="I8495" s="15" t="s">
        <v>10</v>
      </c>
      <c r="J8495" s="15" t="s">
        <v>10</v>
      </c>
      <c r="K8495" s="15" t="s">
        <v>10</v>
      </c>
      <c r="L8495" s="15" t="s">
        <v>10</v>
      </c>
      <c r="M8495" s="15" t="s">
        <v>10</v>
      </c>
      <c r="N8495" s="15" t="s">
        <v>10</v>
      </c>
      <c r="O8495" s="15">
        <v>1.3930395433839184</v>
      </c>
      <c r="P8495" s="15">
        <v>1.3930395433839184</v>
      </c>
      <c r="Q8495" s="8"/>
      <c r="R8495" s="9" t="s">
        <v>7975</v>
      </c>
    </row>
    <row r="8496" spans="1:18" x14ac:dyDescent="0.25">
      <c r="A8496" s="6" t="str">
        <f>HYPERLINK("proteomic_fractions_linear_files/Yang_linear_img/13259376.jpg", "13259376")</f>
        <v>13259376</v>
      </c>
      <c r="B8496" s="7"/>
      <c r="C8496" s="6" t="str">
        <f>HYPERLINK("http://www.ncbi.nlm.nih.gov/protein/13259376","2310033P09Rik")</f>
        <v>2310033P09Rik</v>
      </c>
      <c r="D8496" s="8"/>
      <c r="E8496" s="8">
        <v>29168</v>
      </c>
      <c r="F8496" s="8"/>
      <c r="G8496" s="15" t="s">
        <v>10</v>
      </c>
      <c r="H8496" s="15" t="s">
        <v>10</v>
      </c>
      <c r="I8496" s="15">
        <v>206.65862068965518</v>
      </c>
      <c r="J8496" s="15">
        <v>206.65862068965518</v>
      </c>
      <c r="K8496" s="15">
        <v>1.1914957424301789</v>
      </c>
      <c r="L8496" s="15">
        <v>1.1914957424301789</v>
      </c>
      <c r="M8496" s="15">
        <v>0.79688184050749811</v>
      </c>
      <c r="N8496" s="15">
        <v>0.79688184050749811</v>
      </c>
      <c r="O8496" s="15" t="s">
        <v>10</v>
      </c>
      <c r="P8496" s="15" t="s">
        <v>10</v>
      </c>
      <c r="Q8496" s="8"/>
      <c r="R8496" s="9" t="s">
        <v>7976</v>
      </c>
    </row>
    <row r="8497" spans="1:18" x14ac:dyDescent="0.25">
      <c r="A8497" s="6" t="str">
        <f>HYPERLINK("proteomic_fractions_linear_files/Yang_linear_img/170014744.jpg", "170014744")</f>
        <v>170014744</v>
      </c>
      <c r="B8497" s="7"/>
      <c r="C8497" s="6" t="str">
        <f>HYPERLINK("http://www.ncbi.nlm.nih.gov/protein/170014744","2310035C23Rik")</f>
        <v>2310035C23Rik</v>
      </c>
      <c r="D8497" s="8"/>
      <c r="E8497" s="8">
        <v>134440</v>
      </c>
      <c r="F8497" s="8"/>
      <c r="G8497" s="15" t="s">
        <v>10</v>
      </c>
      <c r="H8497" s="15" t="s">
        <v>10</v>
      </c>
      <c r="I8497" s="15" t="s">
        <v>10</v>
      </c>
      <c r="J8497" s="15" t="s">
        <v>10</v>
      </c>
      <c r="K8497" s="15" t="s">
        <v>10</v>
      </c>
      <c r="L8497" s="15" t="s">
        <v>10</v>
      </c>
      <c r="M8497" s="15">
        <v>1.1451706801212078</v>
      </c>
      <c r="N8497" s="15">
        <v>1.1451706801212078</v>
      </c>
      <c r="O8497" s="15">
        <v>1.1451706801212078</v>
      </c>
      <c r="P8497" s="15">
        <v>1.1451706801212078</v>
      </c>
      <c r="Q8497" s="8"/>
      <c r="R8497" s="9" t="s">
        <v>7977</v>
      </c>
    </row>
    <row r="8498" spans="1:18" x14ac:dyDescent="0.25">
      <c r="A8498" s="6" t="str">
        <f>HYPERLINK("proteomic_fractions_linear_files/Yang_linear_img/170014746.jpg", "170014746")</f>
        <v>170014746</v>
      </c>
      <c r="B8498" s="7"/>
      <c r="C8498" s="6" t="str">
        <f>HYPERLINK("http://www.ncbi.nlm.nih.gov/protein/170014746","2310035C23Rik")</f>
        <v>2310035C23Rik</v>
      </c>
      <c r="D8498" s="8"/>
      <c r="E8498" s="8">
        <v>131744</v>
      </c>
      <c r="F8498" s="8"/>
      <c r="G8498" s="15" t="s">
        <v>10</v>
      </c>
      <c r="H8498" s="15" t="s">
        <v>10</v>
      </c>
      <c r="I8498" s="15" t="s">
        <v>10</v>
      </c>
      <c r="J8498" s="15" t="s">
        <v>10</v>
      </c>
      <c r="K8498" s="15" t="s">
        <v>10</v>
      </c>
      <c r="L8498" s="15" t="s">
        <v>10</v>
      </c>
      <c r="M8498" s="15">
        <v>1.1625217510321351</v>
      </c>
      <c r="N8498" s="15">
        <v>1.1625217510321351</v>
      </c>
      <c r="O8498" s="15">
        <v>1.1625217510321351</v>
      </c>
      <c r="P8498" s="15">
        <v>1.1625217510321351</v>
      </c>
      <c r="Q8498" s="8"/>
      <c r="R8498" s="9" t="s">
        <v>7978</v>
      </c>
    </row>
    <row r="8499" spans="1:18" x14ac:dyDescent="0.25">
      <c r="A8499" s="6" t="str">
        <f>HYPERLINK("proteomic_fractions_linear_files/Yang_linear_img/85362708.jpg", "85362708")</f>
        <v>85362708</v>
      </c>
      <c r="B8499" s="7"/>
      <c r="C8499" s="6" t="str">
        <f>HYPERLINK("http://www.ncbi.nlm.nih.gov/protein/85362708","2310036O22Rik")</f>
        <v>2310036O22Rik</v>
      </c>
      <c r="D8499" s="8"/>
      <c r="E8499" s="8">
        <v>18245</v>
      </c>
      <c r="F8499" s="8"/>
      <c r="G8499" s="15" t="s">
        <v>10</v>
      </c>
      <c r="H8499" s="15" t="s">
        <v>10</v>
      </c>
      <c r="I8499" s="15">
        <v>1.0833972126686264</v>
      </c>
      <c r="J8499" s="15">
        <v>1.0833972126686264</v>
      </c>
      <c r="K8499" s="15">
        <v>1.1443022881475706</v>
      </c>
      <c r="L8499" s="15">
        <v>1.1443022881475706</v>
      </c>
      <c r="M8499" s="15">
        <v>1.1443022881475706</v>
      </c>
      <c r="N8499" s="15">
        <v>1.1443022881475706</v>
      </c>
      <c r="O8499" s="15">
        <v>1.1443022881475706</v>
      </c>
      <c r="P8499" s="15">
        <v>1.1443022881475706</v>
      </c>
      <c r="Q8499" s="8"/>
      <c r="R8499" s="9" t="s">
        <v>7979</v>
      </c>
    </row>
    <row r="8500" spans="1:18" x14ac:dyDescent="0.25">
      <c r="A8500" s="6" t="str">
        <f>HYPERLINK("proteomic_fractions_linear_files/Yang_linear_img/13385462.jpg", "13385462")</f>
        <v>13385462</v>
      </c>
      <c r="B8500" s="7"/>
      <c r="C8500" s="6" t="str">
        <f>HYPERLINK("http://www.ncbi.nlm.nih.gov/protein/13385462","2310039H08Rik")</f>
        <v>2310039H08Rik</v>
      </c>
      <c r="D8500" s="8"/>
      <c r="E8500" s="8">
        <v>11882</v>
      </c>
      <c r="F8500" s="8"/>
      <c r="G8500" s="15" t="s">
        <v>10</v>
      </c>
      <c r="H8500" s="15" t="s">
        <v>10</v>
      </c>
      <c r="I8500" s="15" t="s">
        <v>10</v>
      </c>
      <c r="J8500" s="15" t="s">
        <v>10</v>
      </c>
      <c r="K8500" s="15" t="s">
        <v>10</v>
      </c>
      <c r="L8500" s="15" t="s">
        <v>10</v>
      </c>
      <c r="M8500" s="15" t="s">
        <v>10</v>
      </c>
      <c r="N8500" s="15" t="s">
        <v>10</v>
      </c>
      <c r="O8500" s="15">
        <v>1.1571542083280542</v>
      </c>
      <c r="P8500" s="15">
        <v>1.1571542083280542</v>
      </c>
      <c r="Q8500" s="8"/>
      <c r="R8500" s="9" t="s">
        <v>7980</v>
      </c>
    </row>
    <row r="8501" spans="1:18" x14ac:dyDescent="0.25">
      <c r="A8501" s="6" t="str">
        <f>HYPERLINK("proteomic_fractions_linear_files/Yang_linear_img/120952555.jpg", "120952555")</f>
        <v>120952555</v>
      </c>
      <c r="B8501" s="7"/>
      <c r="C8501" s="6" t="str">
        <f>HYPERLINK("http://www.ncbi.nlm.nih.gov/protein/120952555","2310047M10Rik")</f>
        <v>2310047M10Rik</v>
      </c>
      <c r="D8501" s="8"/>
      <c r="E8501" s="8">
        <v>37880</v>
      </c>
      <c r="F8501" s="8"/>
      <c r="G8501" s="15" t="s">
        <v>10</v>
      </c>
      <c r="H8501" s="15" t="s">
        <v>10</v>
      </c>
      <c r="I8501" s="15" t="s">
        <v>10</v>
      </c>
      <c r="J8501" s="15" t="s">
        <v>10</v>
      </c>
      <c r="K8501" s="15">
        <v>1.1611997170254071</v>
      </c>
      <c r="L8501" s="15">
        <v>1.1611997170254071</v>
      </c>
      <c r="M8501" s="15" t="s">
        <v>10</v>
      </c>
      <c r="N8501" s="15" t="s">
        <v>10</v>
      </c>
      <c r="O8501" s="15" t="s">
        <v>10</v>
      </c>
      <c r="P8501" s="15" t="s">
        <v>10</v>
      </c>
      <c r="Q8501" s="8"/>
      <c r="R8501" s="9" t="s">
        <v>7981</v>
      </c>
    </row>
    <row r="8502" spans="1:18" x14ac:dyDescent="0.25">
      <c r="A8502" s="6" t="str">
        <f>HYPERLINK("proteomic_fractions_linear_files/Yang_linear_img/262072980.jpg", "262072980")</f>
        <v>262072980</v>
      </c>
      <c r="B8502" s="7"/>
      <c r="C8502" s="6" t="str">
        <f>HYPERLINK("http://www.ncbi.nlm.nih.gov/protein/262072980","2410002F23Rik")</f>
        <v>2410002F23Rik</v>
      </c>
      <c r="D8502" s="8"/>
      <c r="E8502" s="8">
        <v>32242</v>
      </c>
      <c r="F8502" s="8"/>
      <c r="G8502" s="15" t="s">
        <v>10</v>
      </c>
      <c r="H8502" s="15" t="s">
        <v>10</v>
      </c>
      <c r="I8502" s="15">
        <v>0.93391896536603536</v>
      </c>
      <c r="J8502" s="15">
        <v>0.93391896536603536</v>
      </c>
      <c r="K8502" s="15">
        <v>1.0026272767416746</v>
      </c>
      <c r="L8502" s="15">
        <v>1.0026272767416746</v>
      </c>
      <c r="M8502" s="15">
        <v>0.93391896536603536</v>
      </c>
      <c r="N8502" s="15">
        <v>0.93391896536603536</v>
      </c>
      <c r="O8502" s="15" t="s">
        <v>10</v>
      </c>
      <c r="P8502" s="15" t="s">
        <v>10</v>
      </c>
      <c r="Q8502" s="8"/>
      <c r="R8502" s="9" t="s">
        <v>7982</v>
      </c>
    </row>
    <row r="8503" spans="1:18" x14ac:dyDescent="0.25">
      <c r="A8503" s="6" t="str">
        <f>HYPERLINK("proteomic_fractions_linear_files/Yang_linear_img/13384984.jpg", "13384984")</f>
        <v>13384984</v>
      </c>
      <c r="B8503" s="7"/>
      <c r="C8503" s="6" t="str">
        <f>HYPERLINK("http://www.ncbi.nlm.nih.gov/protein/13384984","2410004B18Rik")</f>
        <v>2410004B18Rik</v>
      </c>
      <c r="D8503" s="8"/>
      <c r="E8503" s="8">
        <v>19970</v>
      </c>
      <c r="F8503" s="8"/>
      <c r="G8503" s="15" t="s">
        <v>10</v>
      </c>
      <c r="H8503" s="15" t="s">
        <v>10</v>
      </c>
      <c r="I8503" s="15" t="s">
        <v>10</v>
      </c>
      <c r="J8503" s="15" t="s">
        <v>10</v>
      </c>
      <c r="K8503" s="15" t="s">
        <v>10</v>
      </c>
      <c r="L8503" s="15" t="s">
        <v>10</v>
      </c>
      <c r="M8503" s="15" t="s">
        <v>10</v>
      </c>
      <c r="N8503" s="15" t="s">
        <v>10</v>
      </c>
      <c r="O8503" s="15">
        <v>1.0298720593328137</v>
      </c>
      <c r="P8503" s="15">
        <v>1.0298720593328137</v>
      </c>
      <c r="Q8503" s="8"/>
      <c r="R8503" s="9" t="s">
        <v>7983</v>
      </c>
    </row>
    <row r="8504" spans="1:18" x14ac:dyDescent="0.25">
      <c r="A8504" s="6" t="str">
        <f>HYPERLINK("proteomic_fractions_linear_files/Yang_linear_img/134053873.jpg", "134053873")</f>
        <v>134053873</v>
      </c>
      <c r="B8504" s="7"/>
      <c r="C8504" s="6" t="str">
        <f>HYPERLINK("http://www.ncbi.nlm.nih.gov/protein/134053873","2410018M08Rik")</f>
        <v>2410018M08Rik</v>
      </c>
      <c r="D8504" s="8"/>
      <c r="E8504" s="8">
        <v>84136</v>
      </c>
      <c r="F8504" s="8"/>
      <c r="G8504" s="15">
        <v>0.17282706811750415</v>
      </c>
      <c r="H8504" s="15">
        <v>0.17282706811750415</v>
      </c>
      <c r="I8504" s="15">
        <v>0.2201821329114772</v>
      </c>
      <c r="J8504" s="15">
        <v>0.2201821329114772</v>
      </c>
      <c r="K8504" s="15" t="s">
        <v>10</v>
      </c>
      <c r="L8504" s="15" t="s">
        <v>10</v>
      </c>
      <c r="M8504" s="15" t="s">
        <v>10</v>
      </c>
      <c r="N8504" s="15" t="s">
        <v>10</v>
      </c>
      <c r="O8504" s="15">
        <v>0.20916594958760676</v>
      </c>
      <c r="P8504" s="15">
        <v>0.2201821329114772</v>
      </c>
      <c r="Q8504" s="8"/>
      <c r="R8504" s="9" t="s">
        <v>7984</v>
      </c>
    </row>
    <row r="8505" spans="1:18" x14ac:dyDescent="0.25">
      <c r="A8505" s="6" t="str">
        <f>HYPERLINK("proteomic_fractions_linear_files/Yang_linear_img/407262392.jpg", "407262392")</f>
        <v>407262392</v>
      </c>
      <c r="B8505" s="7"/>
      <c r="C8505" s="6" t="str">
        <f>HYPERLINK("http://www.ncbi.nlm.nih.gov/protein/407262392","2410127L17Rik")</f>
        <v>2410127L17Rik</v>
      </c>
      <c r="D8505" s="8"/>
      <c r="E8505" s="8">
        <v>41356</v>
      </c>
      <c r="F8505" s="8"/>
      <c r="G8505" s="15" t="s">
        <v>10</v>
      </c>
      <c r="H8505" s="15" t="s">
        <v>10</v>
      </c>
      <c r="I8505" s="15" t="s">
        <v>10</v>
      </c>
      <c r="J8505" s="15" t="s">
        <v>10</v>
      </c>
      <c r="K8505" s="15">
        <v>1.0762338840723285</v>
      </c>
      <c r="L8505" s="15">
        <v>1.0762338840723285</v>
      </c>
      <c r="M8505" s="15">
        <v>0.98798337081031085</v>
      </c>
      <c r="N8505" s="15">
        <v>0.98798337081031085</v>
      </c>
      <c r="O8505" s="15">
        <v>0.98798337081031085</v>
      </c>
      <c r="P8505" s="15">
        <v>0.98798337081031085</v>
      </c>
      <c r="Q8505" s="8"/>
      <c r="R8505" s="9" t="s">
        <v>8332</v>
      </c>
    </row>
    <row r="8506" spans="1:18" x14ac:dyDescent="0.25">
      <c r="A8506" s="6" t="str">
        <f>HYPERLINK("proteomic_fractions_linear_files/Yang_linear_img/407262394.jpg", "407262394")</f>
        <v>407262394</v>
      </c>
      <c r="B8506" s="7"/>
      <c r="C8506" s="6" t="str">
        <f>HYPERLINK("http://www.ncbi.nlm.nih.gov/protein/407262394","2410127L17Rik")</f>
        <v>2410127L17Rik</v>
      </c>
      <c r="D8506" s="8"/>
      <c r="E8506" s="8">
        <v>40230</v>
      </c>
      <c r="F8506" s="8"/>
      <c r="G8506" s="15" t="s">
        <v>10</v>
      </c>
      <c r="H8506" s="15" t="s">
        <v>10</v>
      </c>
      <c r="I8506" s="15" t="s">
        <v>10</v>
      </c>
      <c r="J8506" s="15" t="s">
        <v>10</v>
      </c>
      <c r="K8506" s="15">
        <v>1.1031397311741367</v>
      </c>
      <c r="L8506" s="15">
        <v>1.1031397311741367</v>
      </c>
      <c r="M8506" s="15">
        <v>1.0126829550805687</v>
      </c>
      <c r="N8506" s="15">
        <v>1.0126829550805687</v>
      </c>
      <c r="O8506" s="15">
        <v>1.0126829550805687</v>
      </c>
      <c r="P8506" s="15">
        <v>1.0126829550805687</v>
      </c>
      <c r="Q8506" s="8"/>
      <c r="R8506" s="9" t="s">
        <v>8333</v>
      </c>
    </row>
    <row r="8507" spans="1:18" x14ac:dyDescent="0.25">
      <c r="A8507" s="6" t="str">
        <f>HYPERLINK("proteomic_fractions_linear_files/Yang_linear_img/407262390.jpg", "407262390")</f>
        <v>407262390</v>
      </c>
      <c r="B8507" s="7"/>
      <c r="C8507" s="6" t="str">
        <f>HYPERLINK("http://www.ncbi.nlm.nih.gov/protein/407262390","2410127L17Rik")</f>
        <v>2410127L17Rik</v>
      </c>
      <c r="D8507" s="8"/>
      <c r="E8507" s="8">
        <v>46208</v>
      </c>
      <c r="F8507" s="8"/>
      <c r="G8507" s="15" t="s">
        <v>10</v>
      </c>
      <c r="H8507" s="15" t="s">
        <v>10</v>
      </c>
      <c r="I8507" s="15">
        <v>0.88059387398310318</v>
      </c>
      <c r="J8507" s="15">
        <v>0.88059387398310318</v>
      </c>
      <c r="K8507" s="15">
        <v>0.95925194015142323</v>
      </c>
      <c r="L8507" s="15">
        <v>0.95925194015142323</v>
      </c>
      <c r="M8507" s="15">
        <v>0.88059387398310318</v>
      </c>
      <c r="N8507" s="15">
        <v>0.88059387398310318</v>
      </c>
      <c r="O8507" s="15">
        <v>0.88059387398310318</v>
      </c>
      <c r="P8507" s="15">
        <v>0.88059387398310318</v>
      </c>
      <c r="Q8507" s="8"/>
      <c r="R8507" s="9" t="s">
        <v>8334</v>
      </c>
    </row>
    <row r="8508" spans="1:18" x14ac:dyDescent="0.25">
      <c r="A8508" s="6" t="str">
        <f>HYPERLINK("proteomic_fractions_linear_files/Yang_linear_img/85701660.jpg", "85701660")</f>
        <v>85701660</v>
      </c>
      <c r="B8508" s="7"/>
      <c r="C8508" s="6" t="str">
        <f>HYPERLINK("http://www.ncbi.nlm.nih.gov/protein/85701660","2510002D24Rik")</f>
        <v>2510002D24Rik</v>
      </c>
      <c r="D8508" s="8"/>
      <c r="E8508" s="8">
        <v>12372</v>
      </c>
      <c r="F8508" s="8"/>
      <c r="G8508" s="15" t="s">
        <v>10</v>
      </c>
      <c r="H8508" s="15" t="s">
        <v>10</v>
      </c>
      <c r="I8508" s="15" t="s">
        <v>10</v>
      </c>
      <c r="J8508" s="15" t="s">
        <v>10</v>
      </c>
      <c r="K8508" s="15">
        <v>1.1571542083280542</v>
      </c>
      <c r="L8508" s="15">
        <v>1.1571542083280542</v>
      </c>
      <c r="M8508" s="15" t="s">
        <v>10</v>
      </c>
      <c r="N8508" s="15" t="s">
        <v>10</v>
      </c>
      <c r="O8508" s="15" t="s">
        <v>10</v>
      </c>
      <c r="P8508" s="15" t="s">
        <v>10</v>
      </c>
      <c r="Q8508" s="8"/>
      <c r="R8508" s="9" t="s">
        <v>7985</v>
      </c>
    </row>
    <row r="8509" spans="1:18" x14ac:dyDescent="0.25">
      <c r="A8509" s="6" t="str">
        <f>HYPERLINK("proteomic_fractions_linear_files/Yang_linear_img/72384371.jpg", "72384371")</f>
        <v>72384371</v>
      </c>
      <c r="B8509" s="7"/>
      <c r="C8509" s="6" t="str">
        <f>HYPERLINK("http://www.ncbi.nlm.nih.gov/protein/72384371","2510003E04Rik")</f>
        <v>2510003E04Rik</v>
      </c>
      <c r="D8509" s="8"/>
      <c r="E8509" s="8">
        <v>70921</v>
      </c>
      <c r="F8509" s="8"/>
      <c r="G8509" s="15" t="s">
        <v>10</v>
      </c>
      <c r="H8509" s="15" t="s">
        <v>10</v>
      </c>
      <c r="I8509" s="15">
        <v>1.1704036404668148</v>
      </c>
      <c r="J8509" s="15">
        <v>1.1704036404668148</v>
      </c>
      <c r="K8509" s="15" t="s">
        <v>10</v>
      </c>
      <c r="L8509" s="15" t="s">
        <v>10</v>
      </c>
      <c r="M8509" s="15">
        <v>1.1704036404668148</v>
      </c>
      <c r="N8509" s="15">
        <v>1.1704036404668148</v>
      </c>
      <c r="O8509" s="15">
        <v>1.1704036404668148</v>
      </c>
      <c r="P8509" s="15">
        <v>1.1704036404668148</v>
      </c>
      <c r="Q8509" s="8"/>
      <c r="R8509" s="9" t="s">
        <v>7986</v>
      </c>
    </row>
    <row r="8510" spans="1:18" x14ac:dyDescent="0.25">
      <c r="A8510" s="6" t="str">
        <f>HYPERLINK("proteomic_fractions_linear_files/Yang_linear_img/225543561.jpg", "225543561")</f>
        <v>225543561</v>
      </c>
      <c r="B8510" s="7"/>
      <c r="C8510" s="6" t="str">
        <f>HYPERLINK("http://www.ncbi.nlm.nih.gov/protein/225543561","2510039O18Rik")</f>
        <v>2510039O18Rik</v>
      </c>
      <c r="D8510" s="8"/>
      <c r="E8510" s="8">
        <v>64975</v>
      </c>
      <c r="F8510" s="8"/>
      <c r="G8510" s="15" t="s">
        <v>10</v>
      </c>
      <c r="H8510" s="15" t="s">
        <v>10</v>
      </c>
      <c r="I8510" s="15">
        <v>1.1297870806412653</v>
      </c>
      <c r="J8510" s="15">
        <v>1.1297870806412653</v>
      </c>
      <c r="K8510" s="15" t="s">
        <v>10</v>
      </c>
      <c r="L8510" s="15" t="s">
        <v>10</v>
      </c>
      <c r="M8510" s="15" t="s">
        <v>10</v>
      </c>
      <c r="N8510" s="15" t="s">
        <v>10</v>
      </c>
      <c r="O8510" s="15" t="s">
        <v>10</v>
      </c>
      <c r="P8510" s="15" t="s">
        <v>10</v>
      </c>
      <c r="Q8510" s="8"/>
      <c r="R8510" s="9" t="s">
        <v>7987</v>
      </c>
    </row>
    <row r="8511" spans="1:18" x14ac:dyDescent="0.25">
      <c r="A8511" s="6" t="str">
        <f>HYPERLINK("proteomic_fractions_linear_files/Yang_linear_img/160333472.jpg", "160333472")</f>
        <v>160333472</v>
      </c>
      <c r="B8511" s="7"/>
      <c r="C8511" s="6" t="str">
        <f>HYPERLINK("http://www.ncbi.nlm.nih.gov/protein/160333472","2510049J12Rik")</f>
        <v>2510049J12Rik</v>
      </c>
      <c r="D8511" s="8"/>
      <c r="E8511" s="8">
        <v>24646</v>
      </c>
      <c r="F8511" s="8"/>
      <c r="G8511" s="15" t="s">
        <v>10</v>
      </c>
      <c r="H8511" s="15" t="s">
        <v>10</v>
      </c>
      <c r="I8511" s="15" t="s">
        <v>10</v>
      </c>
      <c r="J8511" s="15" t="s">
        <v>10</v>
      </c>
      <c r="K8511" s="15" t="s">
        <v>10</v>
      </c>
      <c r="L8511" s="15" t="s">
        <v>10</v>
      </c>
      <c r="M8511" s="15" t="s">
        <v>10</v>
      </c>
      <c r="N8511" s="15" t="s">
        <v>10</v>
      </c>
      <c r="O8511" s="15">
        <v>4.3920625528452586</v>
      </c>
      <c r="P8511" s="15">
        <v>4.3920625528452586</v>
      </c>
      <c r="Q8511" s="8"/>
      <c r="R8511" s="9" t="s">
        <v>7988</v>
      </c>
    </row>
    <row r="8512" spans="1:18" x14ac:dyDescent="0.25">
      <c r="A8512" s="6" t="str">
        <f>HYPERLINK("proteomic_fractions_linear_files/Yang_linear_img/19526920.jpg", "19526920")</f>
        <v>19526920</v>
      </c>
      <c r="B8512" s="7"/>
      <c r="C8512" s="6" t="str">
        <f>HYPERLINK("http://www.ncbi.nlm.nih.gov/protein/19526920","2610018G03Rik")</f>
        <v>2610018G03Rik</v>
      </c>
      <c r="D8512" s="8"/>
      <c r="E8512" s="8">
        <v>46483</v>
      </c>
      <c r="F8512" s="8"/>
      <c r="G8512" s="15" t="s">
        <v>10</v>
      </c>
      <c r="H8512" s="15" t="s">
        <v>10</v>
      </c>
      <c r="I8512" s="15">
        <v>1.1547949919565452</v>
      </c>
      <c r="J8512" s="15">
        <v>1.1547949919565452</v>
      </c>
      <c r="K8512" s="15">
        <v>1.1547949919565452</v>
      </c>
      <c r="L8512" s="15">
        <v>1.1547949919565452</v>
      </c>
      <c r="M8512" s="15">
        <v>1.1547949919565452</v>
      </c>
      <c r="N8512" s="15">
        <v>1.1547949919565452</v>
      </c>
      <c r="O8512" s="15">
        <v>1.0497820779220708</v>
      </c>
      <c r="P8512" s="15">
        <v>1.0497820779220708</v>
      </c>
      <c r="Q8512" s="8"/>
      <c r="R8512" s="9" t="s">
        <v>7989</v>
      </c>
    </row>
    <row r="8513" spans="1:18" x14ac:dyDescent="0.25">
      <c r="A8513" s="6" t="str">
        <f>HYPERLINK("proteomic_fractions_linear_files/Yang_linear_img/47498088.jpg", "47498088")</f>
        <v>47498088</v>
      </c>
      <c r="B8513" s="7"/>
      <c r="C8513" s="6" t="str">
        <f>HYPERLINK("http://www.ncbi.nlm.nih.gov/protein/47498088","2610034B18Rik")</f>
        <v>2610034B18Rik</v>
      </c>
      <c r="D8513" s="8"/>
      <c r="E8513" s="8">
        <v>25062</v>
      </c>
      <c r="F8513" s="8"/>
      <c r="G8513" s="15" t="s">
        <v>10</v>
      </c>
      <c r="H8513" s="15" t="s">
        <v>10</v>
      </c>
      <c r="I8513" s="15">
        <v>1.0460103246170001</v>
      </c>
      <c r="J8513" s="15">
        <v>1.0460103246170001</v>
      </c>
      <c r="K8513" s="15">
        <v>1.0460103246170001</v>
      </c>
      <c r="L8513" s="15">
        <v>1.0460103246170001</v>
      </c>
      <c r="M8513" s="15">
        <v>1.0460103246170001</v>
      </c>
      <c r="N8513" s="15">
        <v>1.0460103246170001</v>
      </c>
      <c r="O8513" s="15">
        <v>0.92438293498869784</v>
      </c>
      <c r="P8513" s="15">
        <v>0.92438293498869784</v>
      </c>
      <c r="Q8513" s="8"/>
      <c r="R8513" s="9" t="s">
        <v>7990</v>
      </c>
    </row>
    <row r="8514" spans="1:18" x14ac:dyDescent="0.25">
      <c r="A8514" s="6" t="str">
        <f>HYPERLINK("proteomic_fractions_linear_files/Yang_linear_img/198278498.jpg", "198278498")</f>
        <v>198278498</v>
      </c>
      <c r="B8514" s="7"/>
      <c r="C8514" s="6" t="str">
        <f>HYPERLINK("http://www.ncbi.nlm.nih.gov/protein/198278498","2700029M09Rik")</f>
        <v>2700029M09Rik</v>
      </c>
      <c r="D8514" s="8"/>
      <c r="E8514" s="8">
        <v>39160</v>
      </c>
      <c r="F8514" s="8"/>
      <c r="G8514" s="15" t="s">
        <v>10</v>
      </c>
      <c r="H8514" s="15" t="s">
        <v>10</v>
      </c>
      <c r="I8514" s="15">
        <v>1.038649184698019</v>
      </c>
      <c r="J8514" s="15">
        <v>1.038649184698019</v>
      </c>
      <c r="K8514" s="15">
        <v>1.038649184698019</v>
      </c>
      <c r="L8514" s="15">
        <v>1.038649184698019</v>
      </c>
      <c r="M8514" s="15">
        <v>1.038649184698019</v>
      </c>
      <c r="N8514" s="15">
        <v>1.038649184698019</v>
      </c>
      <c r="O8514" s="15">
        <v>0.8859840136019278</v>
      </c>
      <c r="P8514" s="15">
        <v>0.8859840136019278</v>
      </c>
      <c r="Q8514" s="8"/>
      <c r="R8514" s="9" t="s">
        <v>7991</v>
      </c>
    </row>
    <row r="8515" spans="1:18" x14ac:dyDescent="0.25">
      <c r="A8515" s="6" t="str">
        <f>HYPERLINK("proteomic_fractions_linear_files/Yang_linear_img/295389569.jpg", "295389569")</f>
        <v>295389569</v>
      </c>
      <c r="B8515" s="7"/>
      <c r="C8515" s="6" t="str">
        <f>HYPERLINK("http://www.ncbi.nlm.nih.gov/protein/295389569","2700050L05Rik")</f>
        <v>2700050L05Rik</v>
      </c>
      <c r="D8515" s="8"/>
      <c r="E8515" s="8">
        <v>138835</v>
      </c>
      <c r="F8515" s="8"/>
      <c r="G8515" s="15" t="s">
        <v>10</v>
      </c>
      <c r="H8515" s="15" t="s">
        <v>10</v>
      </c>
      <c r="I8515" s="15" t="s">
        <v>10</v>
      </c>
      <c r="J8515" s="15" t="s">
        <v>10</v>
      </c>
      <c r="K8515" s="15">
        <v>1.3436390765463335</v>
      </c>
      <c r="L8515" s="15">
        <v>1.3436390765463335</v>
      </c>
      <c r="M8515" s="15" t="s">
        <v>10</v>
      </c>
      <c r="N8515" s="15" t="s">
        <v>10</v>
      </c>
      <c r="O8515" s="15" t="s">
        <v>10</v>
      </c>
      <c r="P8515" s="15" t="s">
        <v>10</v>
      </c>
      <c r="Q8515" s="8"/>
      <c r="R8515" s="9" t="s">
        <v>7992</v>
      </c>
    </row>
    <row r="8516" spans="1:18" x14ac:dyDescent="0.25">
      <c r="A8516" s="6" t="str">
        <f>HYPERLINK("proteomic_fractions_linear_files/Yang_linear_img/13386026.jpg", "13386026")</f>
        <v>13386026</v>
      </c>
      <c r="B8516" s="7"/>
      <c r="C8516" s="6" t="str">
        <f>HYPERLINK("http://www.ncbi.nlm.nih.gov/protein/13386026","2700060E02Rik")</f>
        <v>2700060E02Rik</v>
      </c>
      <c r="D8516" s="8"/>
      <c r="E8516" s="8">
        <v>28021</v>
      </c>
      <c r="F8516" s="8"/>
      <c r="G8516" s="15">
        <v>0.82534190623990877</v>
      </c>
      <c r="H8516" s="15">
        <v>0.82534190623990877</v>
      </c>
      <c r="I8516" s="15">
        <v>0.87695787904560418</v>
      </c>
      <c r="J8516" s="15">
        <v>0.87695787904560418</v>
      </c>
      <c r="K8516" s="15">
        <v>0.87695787904560418</v>
      </c>
      <c r="L8516" s="15">
        <v>0.87695787904560418</v>
      </c>
      <c r="M8516" s="15">
        <v>0.87695787904560418</v>
      </c>
      <c r="N8516" s="15">
        <v>0.87695787904560418</v>
      </c>
      <c r="O8516" s="15">
        <v>0.77841936680995538</v>
      </c>
      <c r="P8516" s="15">
        <v>0.77841936680995538</v>
      </c>
      <c r="Q8516" s="8"/>
      <c r="R8516" s="9" t="s">
        <v>7993</v>
      </c>
    </row>
    <row r="8517" spans="1:18" x14ac:dyDescent="0.25">
      <c r="A8517" s="6" t="str">
        <f>HYPERLINK("proteomic_fractions_linear_files/Yang_linear_img/13386028.jpg", "13386028")</f>
        <v>13386028</v>
      </c>
      <c r="B8517" s="7"/>
      <c r="C8517" s="6" t="str">
        <f>HYPERLINK("http://www.ncbi.nlm.nih.gov/protein/13386028","2700062C07Rik")</f>
        <v>2700062C07Rik</v>
      </c>
      <c r="D8517" s="8"/>
      <c r="E8517" s="8">
        <v>23992</v>
      </c>
      <c r="F8517" s="8"/>
      <c r="G8517" s="15" t="s">
        <v>10</v>
      </c>
      <c r="H8517" s="15" t="s">
        <v>10</v>
      </c>
      <c r="I8517" s="15" t="s">
        <v>10</v>
      </c>
      <c r="J8517" s="15" t="s">
        <v>10</v>
      </c>
      <c r="K8517" s="15" t="s">
        <v>10</v>
      </c>
      <c r="L8517" s="15" t="s">
        <v>10</v>
      </c>
      <c r="M8517" s="15">
        <v>1.0231175255532048</v>
      </c>
      <c r="N8517" s="15">
        <v>1.0231175255532048</v>
      </c>
      <c r="O8517" s="15" t="s">
        <v>10</v>
      </c>
      <c r="P8517" s="15" t="s">
        <v>10</v>
      </c>
      <c r="Q8517" s="8"/>
      <c r="R8517" s="9" t="s">
        <v>7994</v>
      </c>
    </row>
    <row r="8518" spans="1:18" x14ac:dyDescent="0.25">
      <c r="A8518" s="6" t="str">
        <f>HYPERLINK("proteomic_fractions_linear_files/Yang_linear_img/254540194.jpg", "254540194")</f>
        <v>254540194</v>
      </c>
      <c r="B8518" s="7"/>
      <c r="C8518" s="6" t="str">
        <f>HYPERLINK("http://www.ncbi.nlm.nih.gov/protein/254540194","2700089E24Rik")</f>
        <v>2700089E24Rik</v>
      </c>
      <c r="D8518" s="8"/>
      <c r="E8518" s="8">
        <v>7167</v>
      </c>
      <c r="F8518" s="8"/>
      <c r="G8518" s="15" t="s">
        <v>10</v>
      </c>
      <c r="H8518" s="15" t="s">
        <v>10</v>
      </c>
      <c r="I8518" s="15">
        <v>1.6787022322605194</v>
      </c>
      <c r="J8518" s="15">
        <v>1.6787022322605194</v>
      </c>
      <c r="K8518" s="15" t="s">
        <v>10</v>
      </c>
      <c r="L8518" s="15" t="s">
        <v>10</v>
      </c>
      <c r="M8518" s="15" t="s">
        <v>10</v>
      </c>
      <c r="N8518" s="15" t="s">
        <v>10</v>
      </c>
      <c r="O8518" s="15" t="s">
        <v>10</v>
      </c>
      <c r="P8518" s="15" t="s">
        <v>10</v>
      </c>
      <c r="Q8518" s="8"/>
      <c r="R8518" s="9" t="s">
        <v>7995</v>
      </c>
    </row>
    <row r="8519" spans="1:18" x14ac:dyDescent="0.25">
      <c r="A8519" s="6" t="str">
        <f>HYPERLINK("proteomic_fractions_linear_files/Yang_linear_img/409264588.jpg", "409264588")</f>
        <v>409264588</v>
      </c>
      <c r="B8519" s="7"/>
      <c r="C8519" s="6" t="str">
        <f>HYPERLINK("http://www.ncbi.nlm.nih.gov/protein/409264588","2700089E24Rik")</f>
        <v>2700089E24Rik</v>
      </c>
      <c r="D8519" s="8"/>
      <c r="E8519" s="8">
        <v>7186</v>
      </c>
      <c r="F8519" s="8"/>
      <c r="G8519" s="15" t="s">
        <v>10</v>
      </c>
      <c r="H8519" s="15" t="s">
        <v>10</v>
      </c>
      <c r="I8519" s="15">
        <v>1.6787022322605194</v>
      </c>
      <c r="J8519" s="15">
        <v>1.6787022322605194</v>
      </c>
      <c r="K8519" s="15" t="s">
        <v>10</v>
      </c>
      <c r="L8519" s="15" t="s">
        <v>10</v>
      </c>
      <c r="M8519" s="15" t="s">
        <v>10</v>
      </c>
      <c r="N8519" s="15" t="s">
        <v>10</v>
      </c>
      <c r="O8519" s="15" t="s">
        <v>10</v>
      </c>
      <c r="P8519" s="15" t="s">
        <v>10</v>
      </c>
      <c r="Q8519" s="8"/>
      <c r="R8519" s="9" t="s">
        <v>7996</v>
      </c>
    </row>
    <row r="8520" spans="1:18" x14ac:dyDescent="0.25">
      <c r="A8520" s="6" t="str">
        <f>HYPERLINK("proteomic_fractions_linear_files/Yang_linear_img/409264649.jpg", "409264649")</f>
        <v>409264649</v>
      </c>
      <c r="B8520" s="7"/>
      <c r="C8520" s="6" t="str">
        <f>HYPERLINK("http://www.ncbi.nlm.nih.gov/protein/409264649","2700089E24Rik")</f>
        <v>2700089E24Rik</v>
      </c>
      <c r="D8520" s="8"/>
      <c r="E8520" s="8">
        <v>9526</v>
      </c>
      <c r="F8520" s="8"/>
      <c r="G8520" s="15" t="s">
        <v>10</v>
      </c>
      <c r="H8520" s="15" t="s">
        <v>10</v>
      </c>
      <c r="I8520" s="15">
        <v>1.1750915625823635</v>
      </c>
      <c r="J8520" s="15">
        <v>1.1750915625823635</v>
      </c>
      <c r="K8520" s="15" t="s">
        <v>10</v>
      </c>
      <c r="L8520" s="15" t="s">
        <v>10</v>
      </c>
      <c r="M8520" s="15" t="s">
        <v>10</v>
      </c>
      <c r="N8520" s="15" t="s">
        <v>10</v>
      </c>
      <c r="O8520" s="15" t="s">
        <v>10</v>
      </c>
      <c r="P8520" s="15" t="s">
        <v>10</v>
      </c>
      <c r="Q8520" s="8"/>
      <c r="R8520" s="9" t="s">
        <v>7997</v>
      </c>
    </row>
    <row r="8521" spans="1:18" x14ac:dyDescent="0.25">
      <c r="A8521" s="6" t="str">
        <f>HYPERLINK("proteomic_fractions_linear_files/Yang_linear_img/76781489.jpg", "76781489")</f>
        <v>76781489</v>
      </c>
      <c r="B8521" s="7"/>
      <c r="C8521" s="6" t="str">
        <f>HYPERLINK("http://www.ncbi.nlm.nih.gov/protein/76781489","2700094K13Rik")</f>
        <v>2700094K13Rik</v>
      </c>
      <c r="D8521" s="8"/>
      <c r="E8521" s="8">
        <v>12843</v>
      </c>
      <c r="F8521" s="8"/>
      <c r="G8521" s="15">
        <v>1.068142346148973</v>
      </c>
      <c r="H8521" s="15">
        <v>1.068142346148973</v>
      </c>
      <c r="I8521" s="15">
        <v>1.068142346148973</v>
      </c>
      <c r="J8521" s="15">
        <v>1.068142346148973</v>
      </c>
      <c r="K8521" s="15">
        <v>1.1167287478361805</v>
      </c>
      <c r="L8521" s="15">
        <v>1.1167287478361805</v>
      </c>
      <c r="M8521" s="15">
        <v>1.1167287478361805</v>
      </c>
      <c r="N8521" s="15">
        <v>1.1167287478361805</v>
      </c>
      <c r="O8521" s="15">
        <v>1.0228510786924256</v>
      </c>
      <c r="P8521" s="15">
        <v>1.0228510786924256</v>
      </c>
      <c r="Q8521" s="8"/>
      <c r="R8521" s="9" t="s">
        <v>7998</v>
      </c>
    </row>
    <row r="8522" spans="1:18" x14ac:dyDescent="0.25">
      <c r="A8522" s="6" t="str">
        <f>HYPERLINK("proteomic_fractions_linear_files/Yang_linear_img/62510085.jpg", "62510085")</f>
        <v>62510085</v>
      </c>
      <c r="B8522" s="7"/>
      <c r="C8522" s="6" t="str">
        <f>HYPERLINK("http://www.ncbi.nlm.nih.gov/protein/62510085","2810408M09Rik")</f>
        <v>2810408M09Rik</v>
      </c>
      <c r="D8522" s="8"/>
      <c r="E8522" s="8">
        <v>27304</v>
      </c>
      <c r="F8522" s="8"/>
      <c r="G8522" s="15" t="s">
        <v>10</v>
      </c>
      <c r="H8522" s="15" t="s">
        <v>10</v>
      </c>
      <c r="I8522" s="15">
        <v>0.96852807834907406</v>
      </c>
      <c r="J8522" s="15">
        <v>0.96852807834907406</v>
      </c>
      <c r="K8522" s="15">
        <v>1.0340078258400762</v>
      </c>
      <c r="L8522" s="15">
        <v>1.0340078258400762</v>
      </c>
      <c r="M8522" s="15">
        <v>0.96852807834907406</v>
      </c>
      <c r="N8522" s="15">
        <v>0.96852807834907406</v>
      </c>
      <c r="O8522" s="15">
        <v>0.855910124989535</v>
      </c>
      <c r="P8522" s="15">
        <v>0.855910124989535</v>
      </c>
      <c r="Q8522" s="8"/>
      <c r="R8522" s="9" t="s">
        <v>7999</v>
      </c>
    </row>
    <row r="8523" spans="1:18" x14ac:dyDescent="0.25">
      <c r="A8523" s="6" t="str">
        <f>HYPERLINK("proteomic_fractions_linear_files/Yang_linear_img/71773932.jpg", "71773932")</f>
        <v>71773932</v>
      </c>
      <c r="B8523" s="7"/>
      <c r="C8523" s="6" t="str">
        <f>HYPERLINK("http://www.ncbi.nlm.nih.gov/protein/71773932","2810417H13Rik")</f>
        <v>2810417H13Rik</v>
      </c>
      <c r="D8523" s="8"/>
      <c r="E8523" s="8">
        <v>11862</v>
      </c>
      <c r="F8523" s="8"/>
      <c r="G8523" s="15" t="s">
        <v>10</v>
      </c>
      <c r="H8523" s="15" t="s">
        <v>10</v>
      </c>
      <c r="I8523" s="15" t="s">
        <v>10</v>
      </c>
      <c r="J8523" s="15" t="s">
        <v>10</v>
      </c>
      <c r="K8523" s="15">
        <v>1.2663615244845239</v>
      </c>
      <c r="L8523" s="15">
        <v>1.2663615244845239</v>
      </c>
      <c r="M8523" s="15">
        <v>1.1080886685834612</v>
      </c>
      <c r="N8523" s="15">
        <v>1.1080886685834612</v>
      </c>
      <c r="O8523" s="15">
        <v>1.2663615244845239</v>
      </c>
      <c r="P8523" s="15">
        <v>1.2663615244845239</v>
      </c>
      <c r="Q8523" s="8"/>
      <c r="R8523" s="9" t="s">
        <v>8000</v>
      </c>
    </row>
    <row r="8524" spans="1:18" x14ac:dyDescent="0.25">
      <c r="A8524" s="6" t="str">
        <f>HYPERLINK("proteomic_fractions_linear_files/Yang_linear_img/13385020.jpg", "13385020")</f>
        <v>13385020</v>
      </c>
      <c r="B8524" s="7"/>
      <c r="C8524" s="6" t="str">
        <f>HYPERLINK("http://www.ncbi.nlm.nih.gov/protein/13385020","2810428I15Rik")</f>
        <v>2810428I15Rik</v>
      </c>
      <c r="D8524" s="8"/>
      <c r="E8524" s="8">
        <v>18575</v>
      </c>
      <c r="F8524" s="8"/>
      <c r="G8524" s="15" t="s">
        <v>10</v>
      </c>
      <c r="H8524" s="15" t="s">
        <v>10</v>
      </c>
      <c r="I8524" s="15" t="s">
        <v>10</v>
      </c>
      <c r="J8524" s="15" t="s">
        <v>10</v>
      </c>
      <c r="K8524" s="15" t="s">
        <v>10</v>
      </c>
      <c r="L8524" s="15" t="s">
        <v>10</v>
      </c>
      <c r="M8524" s="15" t="s">
        <v>10</v>
      </c>
      <c r="N8524" s="15" t="s">
        <v>10</v>
      </c>
      <c r="O8524" s="15">
        <v>0.87981444845300116</v>
      </c>
      <c r="P8524" s="15">
        <v>0.87981444845300116</v>
      </c>
      <c r="Q8524" s="8"/>
      <c r="R8524" s="9" t="s">
        <v>8001</v>
      </c>
    </row>
    <row r="8525" spans="1:18" x14ac:dyDescent="0.25">
      <c r="A8525" s="6" t="str">
        <f>HYPERLINK("proteomic_fractions_linear_files/Yang_linear_img/28077063.jpg", "28077063")</f>
        <v>28077063</v>
      </c>
      <c r="B8525" s="7"/>
      <c r="C8525" s="6" t="str">
        <f>HYPERLINK("http://www.ncbi.nlm.nih.gov/protein/28077063","3110002H16Rik")</f>
        <v>3110002H16Rik</v>
      </c>
      <c r="D8525" s="8"/>
      <c r="E8525" s="8">
        <v>74792</v>
      </c>
      <c r="F8525" s="8"/>
      <c r="G8525" s="15" t="s">
        <v>10</v>
      </c>
      <c r="H8525" s="15" t="s">
        <v>10</v>
      </c>
      <c r="I8525" s="15">
        <v>0.97914880322242992</v>
      </c>
      <c r="J8525" s="15">
        <v>0.97914880322242992</v>
      </c>
      <c r="K8525" s="15">
        <v>1.1079821129752514</v>
      </c>
      <c r="L8525" s="15">
        <v>1.1079821129752514</v>
      </c>
      <c r="M8525" s="15" t="s">
        <v>10</v>
      </c>
      <c r="N8525" s="15" t="s">
        <v>10</v>
      </c>
      <c r="O8525" s="15" t="s">
        <v>10</v>
      </c>
      <c r="P8525" s="15" t="s">
        <v>10</v>
      </c>
      <c r="Q8525" s="8"/>
      <c r="R8525" s="9" t="s">
        <v>8002</v>
      </c>
    </row>
    <row r="8526" spans="1:18" x14ac:dyDescent="0.25">
      <c r="A8526" s="6" t="str">
        <f>HYPERLINK("proteomic_fractions_linear_files/Yang_linear_img/13385576.jpg", "13385576")</f>
        <v>13385576</v>
      </c>
      <c r="B8526" s="7"/>
      <c r="C8526" s="6" t="str">
        <f>HYPERLINK("http://www.ncbi.nlm.nih.gov/protein/13385576","3110040N11Rik")</f>
        <v>3110040N11Rik</v>
      </c>
      <c r="D8526" s="8"/>
      <c r="E8526" s="8">
        <v>13058</v>
      </c>
      <c r="F8526" s="8"/>
      <c r="G8526" s="15" t="s">
        <v>10</v>
      </c>
      <c r="H8526" s="15" t="s">
        <v>10</v>
      </c>
      <c r="I8526" s="15" t="s">
        <v>10</v>
      </c>
      <c r="J8526" s="15" t="s">
        <v>10</v>
      </c>
      <c r="K8526" s="15">
        <v>1.2251878294755212</v>
      </c>
      <c r="L8526" s="15">
        <v>1.2251878294755212</v>
      </c>
      <c r="M8526" s="15" t="s">
        <v>10</v>
      </c>
      <c r="N8526" s="15" t="s">
        <v>10</v>
      </c>
      <c r="O8526" s="15">
        <v>1.1689490995241758</v>
      </c>
      <c r="P8526" s="15">
        <v>1.1689490995241758</v>
      </c>
      <c r="Q8526" s="8"/>
      <c r="R8526" s="9" t="s">
        <v>8003</v>
      </c>
    </row>
    <row r="8527" spans="1:18" x14ac:dyDescent="0.25">
      <c r="A8527" s="6" t="str">
        <f>HYPERLINK("proteomic_fractions_linear_files/Yang_linear_img/146134371.jpg", "146134371")</f>
        <v>146134371</v>
      </c>
      <c r="B8527" s="7"/>
      <c r="C8527" s="6" t="str">
        <f>HYPERLINK("http://www.ncbi.nlm.nih.gov/protein/146134371","3110082I17Rik")</f>
        <v>3110082I17Rik</v>
      </c>
      <c r="D8527" s="8"/>
      <c r="E8527" s="8">
        <v>22037</v>
      </c>
      <c r="F8527" s="8"/>
      <c r="G8527" s="15">
        <v>1.5706080241125084</v>
      </c>
      <c r="H8527" s="15">
        <v>1.5706080241125084</v>
      </c>
      <c r="I8527" s="15">
        <v>1.0504351533962475</v>
      </c>
      <c r="J8527" s="15">
        <v>1.0504351533962475</v>
      </c>
      <c r="K8527" s="15">
        <v>1.1161282096944054</v>
      </c>
      <c r="L8527" s="15">
        <v>1.1161282096944054</v>
      </c>
      <c r="M8527" s="15">
        <v>1.1161282096944054</v>
      </c>
      <c r="N8527" s="15">
        <v>1.0504351533962475</v>
      </c>
      <c r="O8527" s="15">
        <v>0.93624732666619426</v>
      </c>
      <c r="P8527" s="15">
        <v>0.93624732666619426</v>
      </c>
      <c r="Q8527" s="8"/>
      <c r="R8527" s="9" t="s">
        <v>8004</v>
      </c>
    </row>
    <row r="8528" spans="1:18" x14ac:dyDescent="0.25">
      <c r="A8528" s="6" t="str">
        <f>HYPERLINK("proteomic_fractions_linear_files/Yang_linear_img/269914154.jpg", "269914154")</f>
        <v>269914154</v>
      </c>
      <c r="B8528" s="7"/>
      <c r="C8528" s="6" t="str">
        <f>HYPERLINK("http://www.ncbi.nlm.nih.gov/protein/269914154","4732456N10Rik")</f>
        <v>4732456N10Rik</v>
      </c>
      <c r="D8528" s="8"/>
      <c r="E8528" s="8">
        <v>58093</v>
      </c>
      <c r="F8528" s="8"/>
      <c r="G8528" s="15">
        <v>1.2661406938221076</v>
      </c>
      <c r="H8528" s="15">
        <v>1.2661406938221076</v>
      </c>
      <c r="I8528" s="15">
        <v>0.91587189017243242</v>
      </c>
      <c r="J8528" s="15">
        <v>0.91587189017243242</v>
      </c>
      <c r="K8528" s="15">
        <v>1.0133311652688595</v>
      </c>
      <c r="L8528" s="15">
        <v>1.0133311652688595</v>
      </c>
      <c r="M8528" s="15">
        <v>0.76078602149940466</v>
      </c>
      <c r="N8528" s="15">
        <v>0.64381597281249292</v>
      </c>
      <c r="O8528" s="15">
        <v>0.59574787121508943</v>
      </c>
      <c r="P8528" s="15">
        <v>0.59574787121508943</v>
      </c>
      <c r="Q8528" s="8"/>
      <c r="R8528" s="9" t="s">
        <v>8005</v>
      </c>
    </row>
    <row r="8529" spans="1:18" x14ac:dyDescent="0.25">
      <c r="A8529" s="6" t="str">
        <f>HYPERLINK("proteomic_fractions_linear_files/Yang_linear_img/34328303.jpg", "34328303")</f>
        <v>34328303</v>
      </c>
      <c r="B8529" s="7"/>
      <c r="C8529" s="6" t="str">
        <f>HYPERLINK("http://www.ncbi.nlm.nih.gov/protein/34328303","4921504E06Rik")</f>
        <v>4921504E06Rik</v>
      </c>
      <c r="D8529" s="8"/>
      <c r="E8529" s="8">
        <v>65084</v>
      </c>
      <c r="F8529" s="8"/>
      <c r="G8529" s="15" t="s">
        <v>10</v>
      </c>
      <c r="H8529" s="15" t="s">
        <v>10</v>
      </c>
      <c r="I8529" s="15" t="s">
        <v>10</v>
      </c>
      <c r="J8529" s="15" t="s">
        <v>10</v>
      </c>
      <c r="K8529" s="15">
        <v>1.6892548280174071</v>
      </c>
      <c r="L8529" s="15">
        <v>1.6892548280174071</v>
      </c>
      <c r="M8529" s="15" t="s">
        <v>10</v>
      </c>
      <c r="N8529" s="15" t="s">
        <v>10</v>
      </c>
      <c r="O8529" s="15" t="s">
        <v>10</v>
      </c>
      <c r="P8529" s="15" t="s">
        <v>10</v>
      </c>
      <c r="Q8529" s="8"/>
      <c r="R8529" s="9" t="s">
        <v>8006</v>
      </c>
    </row>
    <row r="8530" spans="1:18" x14ac:dyDescent="0.25">
      <c r="A8530" s="6" t="str">
        <f>HYPERLINK("proteomic_fractions_linear_files/Yang_linear_img/13385182.jpg", "13385182")</f>
        <v>13385182</v>
      </c>
      <c r="B8530" s="7"/>
      <c r="C8530" s="6" t="str">
        <f>HYPERLINK("http://www.ncbi.nlm.nih.gov/protein/13385182","4921524J17Rik")</f>
        <v>4921524J17Rik</v>
      </c>
      <c r="D8530" s="8"/>
      <c r="E8530" s="8">
        <v>17698</v>
      </c>
      <c r="F8530" s="8"/>
      <c r="G8530" s="15" t="s">
        <v>10</v>
      </c>
      <c r="H8530" s="15" t="s">
        <v>10</v>
      </c>
      <c r="I8530" s="15" t="s">
        <v>10</v>
      </c>
      <c r="J8530" s="15" t="s">
        <v>10</v>
      </c>
      <c r="K8530" s="15" t="s">
        <v>10</v>
      </c>
      <c r="L8530" s="15" t="s">
        <v>10</v>
      </c>
      <c r="M8530" s="15" t="s">
        <v>10</v>
      </c>
      <c r="N8530" s="15" t="s">
        <v>10</v>
      </c>
      <c r="O8530" s="15">
        <v>1.0275166202535602</v>
      </c>
      <c r="P8530" s="15">
        <v>1.0275166202535602</v>
      </c>
      <c r="Q8530" s="8"/>
      <c r="R8530" s="9" t="s">
        <v>8007</v>
      </c>
    </row>
    <row r="8531" spans="1:18" x14ac:dyDescent="0.25">
      <c r="A8531" s="6" t="str">
        <f>HYPERLINK("proteomic_fractions_linear_files/Yang_linear_img/147905039.jpg", "147905039")</f>
        <v>147905039</v>
      </c>
      <c r="B8531" s="7"/>
      <c r="C8531" s="6" t="str">
        <f>HYPERLINK("http://www.ncbi.nlm.nih.gov/protein/147905039","4922501C03Rik")</f>
        <v>4922501C03Rik</v>
      </c>
      <c r="D8531" s="8"/>
      <c r="E8531" s="8">
        <v>160725</v>
      </c>
      <c r="F8531" s="8"/>
      <c r="G8531" s="15">
        <v>9.4387194371517297E-2</v>
      </c>
      <c r="H8531" s="15">
        <v>9.4387194371517297E-2</v>
      </c>
      <c r="I8531" s="15">
        <v>0.1038290342894846</v>
      </c>
      <c r="J8531" s="15">
        <v>0.1038290342894846</v>
      </c>
      <c r="K8531" s="15">
        <v>0.10913006065440352</v>
      </c>
      <c r="L8531" s="15">
        <v>0.10913006065440352</v>
      </c>
      <c r="M8531" s="15">
        <v>0.10913006065440352</v>
      </c>
      <c r="N8531" s="15">
        <v>0.10913006065440352</v>
      </c>
      <c r="O8531" s="15" t="s">
        <v>10</v>
      </c>
      <c r="P8531" s="15" t="s">
        <v>10</v>
      </c>
      <c r="Q8531" s="8"/>
      <c r="R8531" s="9" t="s">
        <v>8008</v>
      </c>
    </row>
    <row r="8532" spans="1:18" x14ac:dyDescent="0.25">
      <c r="A8532" s="6" t="str">
        <f>HYPERLINK("proteomic_fractions_linear_files/Yang_linear_img/197116351.jpg", "197116351")</f>
        <v>197116351</v>
      </c>
      <c r="B8532" s="7"/>
      <c r="C8532" s="6" t="str">
        <f>HYPERLINK("http://www.ncbi.nlm.nih.gov/protein/197116351","4930404A10Rik")</f>
        <v>4930404A10Rik</v>
      </c>
      <c r="D8532" s="8"/>
      <c r="E8532" s="8">
        <v>47292</v>
      </c>
      <c r="F8532" s="8"/>
      <c r="G8532" s="15" t="s">
        <v>10</v>
      </c>
      <c r="H8532" s="15" t="s">
        <v>10</v>
      </c>
      <c r="I8532" s="15" t="s">
        <v>10</v>
      </c>
      <c r="J8532" s="15" t="s">
        <v>10</v>
      </c>
      <c r="K8532" s="15">
        <v>0.37382850564593545</v>
      </c>
      <c r="L8532" s="15">
        <v>0.37382850564593545</v>
      </c>
      <c r="M8532" s="15" t="s">
        <v>10</v>
      </c>
      <c r="N8532" s="15" t="s">
        <v>10</v>
      </c>
      <c r="O8532" s="15" t="s">
        <v>10</v>
      </c>
      <c r="P8532" s="15" t="s">
        <v>10</v>
      </c>
      <c r="Q8532" s="8"/>
      <c r="R8532" s="9" t="s">
        <v>8009</v>
      </c>
    </row>
    <row r="8533" spans="1:18" x14ac:dyDescent="0.25">
      <c r="A8533" s="6" t="str">
        <f>HYPERLINK("proteomic_fractions_linear_files/Yang_linear_img/171906608.jpg", "171906608")</f>
        <v>171906608</v>
      </c>
      <c r="B8533" s="7"/>
      <c r="C8533" s="6" t="str">
        <f>HYPERLINK("http://www.ncbi.nlm.nih.gov/protein/171906608","4930430F08Rik")</f>
        <v>4930430F08Rik</v>
      </c>
      <c r="D8533" s="8"/>
      <c r="E8533" s="8">
        <v>37287</v>
      </c>
      <c r="F8533" s="8"/>
      <c r="G8533" s="15" t="s">
        <v>10</v>
      </c>
      <c r="H8533" s="15" t="s">
        <v>10</v>
      </c>
      <c r="I8533" s="15" t="s">
        <v>10</v>
      </c>
      <c r="J8533" s="15" t="s">
        <v>10</v>
      </c>
      <c r="K8533" s="15" t="s">
        <v>10</v>
      </c>
      <c r="L8533" s="15" t="s">
        <v>10</v>
      </c>
      <c r="M8533" s="15" t="s">
        <v>10</v>
      </c>
      <c r="N8533" s="15" t="s">
        <v>10</v>
      </c>
      <c r="O8533" s="15">
        <v>0.86713710420901591</v>
      </c>
      <c r="P8533" s="15">
        <v>0.86713710420901591</v>
      </c>
      <c r="Q8533" s="8"/>
      <c r="R8533" s="9" t="s">
        <v>8010</v>
      </c>
    </row>
    <row r="8534" spans="1:18" x14ac:dyDescent="0.25">
      <c r="A8534" s="6" t="str">
        <f>HYPERLINK("proteomic_fractions_linear_files/Yang_linear_img/166851844.jpg", "166851844")</f>
        <v>166851844</v>
      </c>
      <c r="B8534" s="7"/>
      <c r="C8534" s="6" t="str">
        <f>HYPERLINK("http://www.ncbi.nlm.nih.gov/protein/166851844","4930506M07Rik")</f>
        <v>4930506M07Rik</v>
      </c>
      <c r="D8534" s="8"/>
      <c r="E8534" s="8">
        <v>71212</v>
      </c>
      <c r="F8534" s="8"/>
      <c r="G8534" s="15" t="s">
        <v>10</v>
      </c>
      <c r="H8534" s="15" t="s">
        <v>10</v>
      </c>
      <c r="I8534" s="15" t="s">
        <v>10</v>
      </c>
      <c r="J8534" s="15" t="s">
        <v>10</v>
      </c>
      <c r="K8534" s="15">
        <v>0.6801405011889472</v>
      </c>
      <c r="L8534" s="15">
        <v>1.3375771997547115</v>
      </c>
      <c r="M8534" s="15">
        <v>1.3375771997547115</v>
      </c>
      <c r="N8534" s="15">
        <v>1.3375771997547115</v>
      </c>
      <c r="O8534" s="15">
        <v>1.3375771997547115</v>
      </c>
      <c r="P8534" s="15">
        <v>1.3375771997547115</v>
      </c>
      <c r="Q8534" s="8"/>
      <c r="R8534" s="9" t="s">
        <v>8011</v>
      </c>
    </row>
    <row r="8535" spans="1:18" x14ac:dyDescent="0.25">
      <c r="A8535" s="6" t="str">
        <f>HYPERLINK("proteomic_fractions_linear_files/Yang_linear_img/30424776.jpg", "30424776")</f>
        <v>30424776</v>
      </c>
      <c r="B8535" s="7"/>
      <c r="C8535" s="6" t="str">
        <f>HYPERLINK("http://www.ncbi.nlm.nih.gov/protein/30424776","4930506M07Rik")</f>
        <v>4930506M07Rik</v>
      </c>
      <c r="D8535" s="8"/>
      <c r="E8535" s="8">
        <v>52462</v>
      </c>
      <c r="F8535" s="8"/>
      <c r="G8535" s="15" t="s">
        <v>10</v>
      </c>
      <c r="H8535" s="15" t="s">
        <v>10</v>
      </c>
      <c r="I8535" s="15" t="s">
        <v>10</v>
      </c>
      <c r="J8535" s="15" t="s">
        <v>10</v>
      </c>
      <c r="K8535" s="15">
        <v>0.92865337662337022</v>
      </c>
      <c r="L8535" s="15">
        <v>0.92865337662337022</v>
      </c>
      <c r="M8535" s="15">
        <v>1.8263073304343176</v>
      </c>
      <c r="N8535" s="15">
        <v>1.8263073304343176</v>
      </c>
      <c r="O8535" s="15">
        <v>1.8263073304343176</v>
      </c>
      <c r="P8535" s="15">
        <v>1.8263073304343176</v>
      </c>
      <c r="Q8535" s="8"/>
      <c r="R8535" s="9" t="s">
        <v>8012</v>
      </c>
    </row>
    <row r="8536" spans="1:18" x14ac:dyDescent="0.25">
      <c r="A8536" s="6" t="str">
        <f>HYPERLINK("proteomic_fractions_linear_files/Yang_linear_img/240120058.jpg", "240120058")</f>
        <v>240120058</v>
      </c>
      <c r="B8536" s="7"/>
      <c r="C8536" s="6" t="str">
        <f>HYPERLINK("http://www.ncbi.nlm.nih.gov/protein/240120058","4930544G11Rik")</f>
        <v>4930544G11Rik</v>
      </c>
      <c r="D8536" s="8"/>
      <c r="E8536" s="8">
        <v>21513</v>
      </c>
      <c r="F8536" s="8"/>
      <c r="G8536" s="15">
        <v>1.4583669479878905</v>
      </c>
      <c r="H8536" s="15">
        <v>1.4583669479878905</v>
      </c>
      <c r="I8536" s="15">
        <v>0.99071555775812503</v>
      </c>
      <c r="J8536" s="15">
        <v>0.99071555775812503</v>
      </c>
      <c r="K8536" s="15">
        <v>1.0504351533962475</v>
      </c>
      <c r="L8536" s="15">
        <v>1.0504351533962475</v>
      </c>
      <c r="M8536" s="15">
        <v>1.0504351533962475</v>
      </c>
      <c r="N8536" s="15">
        <v>1.0504351533962475</v>
      </c>
      <c r="O8536" s="15">
        <v>0.93624732666619426</v>
      </c>
      <c r="P8536" s="15">
        <v>0.93624732666619426</v>
      </c>
      <c r="Q8536" s="8"/>
      <c r="R8536" s="9" t="s">
        <v>8013</v>
      </c>
    </row>
    <row r="8537" spans="1:18" x14ac:dyDescent="0.25">
      <c r="A8537" s="6" t="str">
        <f>HYPERLINK("proteomic_fractions_linear_files/Yang_linear_img/254692981.jpg", "254692981")</f>
        <v>254692981</v>
      </c>
      <c r="B8537" s="7"/>
      <c r="C8537" s="6" t="str">
        <f>HYPERLINK("http://www.ncbi.nlm.nih.gov/protein/254692981","4930579G24Rik")</f>
        <v>4930579G24Rik</v>
      </c>
      <c r="D8537" s="8"/>
      <c r="E8537" s="8">
        <v>11730</v>
      </c>
      <c r="F8537" s="8"/>
      <c r="G8537" s="15" t="s">
        <v>10</v>
      </c>
      <c r="H8537" s="15" t="s">
        <v>10</v>
      </c>
      <c r="I8537" s="15" t="s">
        <v>10</v>
      </c>
      <c r="J8537" s="15" t="s">
        <v>10</v>
      </c>
      <c r="K8537" s="15" t="s">
        <v>10</v>
      </c>
      <c r="L8537" s="15" t="s">
        <v>10</v>
      </c>
      <c r="M8537" s="15" t="s">
        <v>10</v>
      </c>
      <c r="N8537" s="15" t="s">
        <v>10</v>
      </c>
      <c r="O8537" s="15">
        <v>1.2663615244845239</v>
      </c>
      <c r="P8537" s="15">
        <v>1.2663615244845239</v>
      </c>
      <c r="Q8537" s="8"/>
      <c r="R8537" s="9" t="s">
        <v>8014</v>
      </c>
    </row>
    <row r="8538" spans="1:18" x14ac:dyDescent="0.25">
      <c r="A8538" s="6" t="str">
        <f>HYPERLINK("proteomic_fractions_linear_files/Yang_linear_img/313747468.jpg", "313747468")</f>
        <v>313747468</v>
      </c>
      <c r="B8538" s="7"/>
      <c r="C8538" s="6" t="str">
        <f>HYPERLINK("http://www.ncbi.nlm.nih.gov/protein/313747468","4931406C07Rik")</f>
        <v>4931406C07Rik</v>
      </c>
      <c r="D8538" s="8"/>
      <c r="E8538" s="8">
        <v>34865</v>
      </c>
      <c r="F8538" s="8"/>
      <c r="G8538" s="15" t="s">
        <v>10</v>
      </c>
      <c r="H8538" s="15" t="s">
        <v>10</v>
      </c>
      <c r="I8538" s="15">
        <v>0.91668779587810256</v>
      </c>
      <c r="J8538" s="15">
        <v>0.91668779587810256</v>
      </c>
      <c r="K8538" s="15">
        <v>0.98723932944214809</v>
      </c>
      <c r="L8538" s="15">
        <v>0.98723932944214809</v>
      </c>
      <c r="M8538" s="15">
        <v>0.91668779587810256</v>
      </c>
      <c r="N8538" s="15">
        <v>0.91668779587810256</v>
      </c>
      <c r="O8538" s="15">
        <v>0.85386876833466085</v>
      </c>
      <c r="P8538" s="15">
        <v>0.85386876833466085</v>
      </c>
      <c r="Q8538" s="8"/>
      <c r="R8538" s="9" t="s">
        <v>8015</v>
      </c>
    </row>
    <row r="8539" spans="1:18" x14ac:dyDescent="0.25">
      <c r="A8539" s="6" t="str">
        <f>HYPERLINK("proteomic_fractions_linear_files/Yang_linear_img/282721066.jpg", "282721066")</f>
        <v>282721066</v>
      </c>
      <c r="B8539" s="7"/>
      <c r="C8539" s="6" t="str">
        <f>HYPERLINK("http://www.ncbi.nlm.nih.gov/protein/282721066","4931409K22Rik")</f>
        <v>4931409K22Rik</v>
      </c>
      <c r="D8539" s="8"/>
      <c r="E8539" s="8">
        <v>95825</v>
      </c>
      <c r="F8539" s="8"/>
      <c r="G8539" s="15" t="s">
        <v>10</v>
      </c>
      <c r="H8539" s="15" t="s">
        <v>10</v>
      </c>
      <c r="I8539" s="15" t="s">
        <v>10</v>
      </c>
      <c r="J8539" s="15" t="s">
        <v>10</v>
      </c>
      <c r="K8539" s="15">
        <v>0.9892498039852553</v>
      </c>
      <c r="L8539" s="15">
        <v>0.9892498039852553</v>
      </c>
      <c r="M8539" s="15">
        <v>0.38897215024088116</v>
      </c>
      <c r="N8539" s="15">
        <v>0.38897215024088116</v>
      </c>
      <c r="O8539" s="15" t="s">
        <v>10</v>
      </c>
      <c r="P8539" s="15" t="s">
        <v>10</v>
      </c>
      <c r="Q8539" s="8"/>
      <c r="R8539" s="9" t="s">
        <v>8016</v>
      </c>
    </row>
    <row r="8540" spans="1:18" x14ac:dyDescent="0.25">
      <c r="A8540" s="6" t="str">
        <f>HYPERLINK("proteomic_fractions_linear_files/Yang_linear_img/124487449.jpg", "124487449")</f>
        <v>124487449</v>
      </c>
      <c r="B8540" s="7"/>
      <c r="C8540" s="6" t="str">
        <f>HYPERLINK("http://www.ncbi.nlm.nih.gov/protein/124487449","4931429I11Rik")</f>
        <v>4931429I11Rik</v>
      </c>
      <c r="D8540" s="8"/>
      <c r="E8540" s="8">
        <v>87286</v>
      </c>
      <c r="F8540" s="8"/>
      <c r="G8540" s="15" t="s">
        <v>10</v>
      </c>
      <c r="H8540" s="15" t="s">
        <v>10</v>
      </c>
      <c r="I8540" s="15" t="s">
        <v>10</v>
      </c>
      <c r="J8540" s="15" t="s">
        <v>10</v>
      </c>
      <c r="K8540" s="15" t="s">
        <v>10</v>
      </c>
      <c r="L8540" s="15" t="s">
        <v>10</v>
      </c>
      <c r="M8540" s="15" t="s">
        <v>10</v>
      </c>
      <c r="N8540" s="15" t="s">
        <v>10</v>
      </c>
      <c r="O8540" s="15">
        <v>0.55505719062546266</v>
      </c>
      <c r="P8540" s="15">
        <v>0.55505719062546266</v>
      </c>
      <c r="Q8540" s="8"/>
      <c r="R8540" s="9" t="s">
        <v>8017</v>
      </c>
    </row>
    <row r="8541" spans="1:18" x14ac:dyDescent="0.25">
      <c r="A8541" s="6" t="str">
        <f>HYPERLINK("proteomic_fractions_linear_files/Yang_linear_img/237757320.jpg", "237757320")</f>
        <v>237757320</v>
      </c>
      <c r="B8541" s="7"/>
      <c r="C8541" s="6" t="str">
        <f>HYPERLINK("http://www.ncbi.nlm.nih.gov/protein/237757320","4933406M09Rik")</f>
        <v>4933406M09Rik</v>
      </c>
      <c r="D8541" s="8"/>
      <c r="E8541" s="8">
        <v>54570</v>
      </c>
      <c r="F8541" s="8"/>
      <c r="G8541" s="15">
        <v>1.0686037742835246</v>
      </c>
      <c r="H8541" s="15">
        <v>1.0686037742835246</v>
      </c>
      <c r="I8541" s="15">
        <v>0.87799955608027735</v>
      </c>
      <c r="J8541" s="15">
        <v>0.87799955608027735</v>
      </c>
      <c r="K8541" s="15">
        <v>0.87799955608027735</v>
      </c>
      <c r="L8541" s="15">
        <v>0.87799955608027735</v>
      </c>
      <c r="M8541" s="15" t="s">
        <v>10</v>
      </c>
      <c r="N8541" s="15" t="s">
        <v>10</v>
      </c>
      <c r="O8541" s="15" t="s">
        <v>10</v>
      </c>
      <c r="P8541" s="15" t="s">
        <v>10</v>
      </c>
      <c r="Q8541" s="8"/>
      <c r="R8541" s="9" t="s">
        <v>8018</v>
      </c>
    </row>
    <row r="8542" spans="1:18" x14ac:dyDescent="0.25">
      <c r="A8542" s="6" t="str">
        <f>HYPERLINK("proteomic_fractions_linear_files/Yang_linear_img/33859728.jpg", "33859728")</f>
        <v>33859728</v>
      </c>
      <c r="B8542" s="7"/>
      <c r="C8542" s="6" t="str">
        <f>HYPERLINK("http://www.ncbi.nlm.nih.gov/protein/33859728","4933427D14Rik")</f>
        <v>4933427D14Rik</v>
      </c>
      <c r="D8542" s="8"/>
      <c r="E8542" s="8">
        <v>108651</v>
      </c>
      <c r="F8542" s="8"/>
      <c r="G8542" s="15" t="s">
        <v>10</v>
      </c>
      <c r="H8542" s="15" t="s">
        <v>10</v>
      </c>
      <c r="I8542" s="15" t="s">
        <v>10</v>
      </c>
      <c r="J8542" s="15" t="s">
        <v>10</v>
      </c>
      <c r="K8542" s="15" t="s">
        <v>10</v>
      </c>
      <c r="L8542" s="15" t="s">
        <v>10</v>
      </c>
      <c r="M8542" s="15" t="s">
        <v>10</v>
      </c>
      <c r="N8542" s="15" t="s">
        <v>10</v>
      </c>
      <c r="O8542" s="15">
        <v>0.48734467550459704</v>
      </c>
      <c r="P8542" s="15">
        <v>0.48734467550459704</v>
      </c>
      <c r="Q8542" s="8"/>
      <c r="R8542" s="9" t="s">
        <v>8019</v>
      </c>
    </row>
    <row r="8543" spans="1:18" x14ac:dyDescent="0.25">
      <c r="A8543" s="6" t="str">
        <f>HYPERLINK("proteomic_fractions_linear_files/Yang_linear_img/110625765.jpg", "110625765")</f>
        <v>110625765</v>
      </c>
      <c r="B8543" s="7"/>
      <c r="C8543" s="6" t="str">
        <f>HYPERLINK("http://www.ncbi.nlm.nih.gov/protein/110625765","5730455P16Rik")</f>
        <v>5730455P16Rik</v>
      </c>
      <c r="D8543" s="8"/>
      <c r="E8543" s="8">
        <v>44291</v>
      </c>
      <c r="F8543" s="8"/>
      <c r="G8543" s="15" t="s">
        <v>10</v>
      </c>
      <c r="H8543" s="15" t="s">
        <v>10</v>
      </c>
      <c r="I8543" s="15">
        <v>1.0028543010673969</v>
      </c>
      <c r="J8543" s="15">
        <v>1.0028543010673969</v>
      </c>
      <c r="K8543" s="15">
        <v>1.0974994451003466</v>
      </c>
      <c r="L8543" s="15">
        <v>1.0974994451003466</v>
      </c>
      <c r="M8543" s="15">
        <v>1.0028543010673969</v>
      </c>
      <c r="N8543" s="15">
        <v>1.0028543010673969</v>
      </c>
      <c r="O8543" s="15">
        <v>0.9206208682550624</v>
      </c>
      <c r="P8543" s="15">
        <v>0.9206208682550624</v>
      </c>
      <c r="Q8543" s="8"/>
      <c r="R8543" s="9" t="s">
        <v>8020</v>
      </c>
    </row>
    <row r="8544" spans="1:18" x14ac:dyDescent="0.25">
      <c r="A8544" s="6" t="str">
        <f>HYPERLINK("proteomic_fractions_linear_files/Yang_linear_img/28076961.jpg", "28076961")</f>
        <v>28076961</v>
      </c>
      <c r="B8544" s="7"/>
      <c r="C8544" s="6" t="str">
        <f>HYPERLINK("http://www.ncbi.nlm.nih.gov/protein/28076961","5730508B09Rik")</f>
        <v>5730508B09Rik</v>
      </c>
      <c r="D8544" s="8"/>
      <c r="E8544" s="8">
        <v>14380</v>
      </c>
      <c r="F8544" s="8"/>
      <c r="G8544" s="15">
        <v>21.555951759749913</v>
      </c>
      <c r="H8544" s="15">
        <v>21.555951759749913</v>
      </c>
      <c r="I8544" s="15">
        <v>1.1940338943290729</v>
      </c>
      <c r="J8544" s="15">
        <v>1.1940338943290729</v>
      </c>
      <c r="K8544" s="15">
        <v>1.2549956975256404</v>
      </c>
      <c r="L8544" s="15">
        <v>1.2549956975256404</v>
      </c>
      <c r="M8544" s="15">
        <v>1.2549956975256404</v>
      </c>
      <c r="N8544" s="15">
        <v>1.2549956975256404</v>
      </c>
      <c r="O8544" s="15" t="s">
        <v>10</v>
      </c>
      <c r="P8544" s="15" t="s">
        <v>10</v>
      </c>
      <c r="Q8544" s="8"/>
      <c r="R8544" s="9" t="s">
        <v>8021</v>
      </c>
    </row>
    <row r="8545" spans="1:18" x14ac:dyDescent="0.25">
      <c r="A8545" s="6" t="str">
        <f>HYPERLINK("proteomic_fractions_linear_files/Yang_linear_img/58037511.jpg", "58037511")</f>
        <v>58037511</v>
      </c>
      <c r="B8545" s="7"/>
      <c r="C8545" s="6" t="str">
        <f>HYPERLINK("http://www.ncbi.nlm.nih.gov/protein/58037511","6030458C11Rik")</f>
        <v>6030458C11Rik</v>
      </c>
      <c r="D8545" s="8"/>
      <c r="E8545" s="8">
        <v>49299</v>
      </c>
      <c r="F8545" s="8"/>
      <c r="G8545" s="15" t="s">
        <v>10</v>
      </c>
      <c r="H8545" s="15" t="s">
        <v>10</v>
      </c>
      <c r="I8545" s="15" t="s">
        <v>10</v>
      </c>
      <c r="J8545" s="15" t="s">
        <v>10</v>
      </c>
      <c r="K8545" s="15" t="s">
        <v>10</v>
      </c>
      <c r="L8545" s="15" t="s">
        <v>10</v>
      </c>
      <c r="M8545" s="15" t="s">
        <v>10</v>
      </c>
      <c r="N8545" s="15" t="s">
        <v>10</v>
      </c>
      <c r="O8545" s="15">
        <v>0.9855097058043929</v>
      </c>
      <c r="P8545" s="15">
        <v>0.9855097058043929</v>
      </c>
      <c r="Q8545" s="8"/>
      <c r="R8545" s="9" t="s">
        <v>8022</v>
      </c>
    </row>
    <row r="8546" spans="1:18" x14ac:dyDescent="0.25">
      <c r="A8546" s="6" t="str">
        <f>HYPERLINK("proteomic_fractions_linear_files/Yang_linear_img/87196345.jpg", "87196345")</f>
        <v>87196345</v>
      </c>
      <c r="B8546" s="7"/>
      <c r="C8546" s="6" t="str">
        <f>HYPERLINK("http://www.ncbi.nlm.nih.gov/protein/87196345","8030462N17Rik")</f>
        <v>8030462N17Rik</v>
      </c>
      <c r="D8546" s="8"/>
      <c r="E8546" s="8">
        <v>42650</v>
      </c>
      <c r="F8546" s="8"/>
      <c r="G8546" s="15" t="s">
        <v>10</v>
      </c>
      <c r="H8546" s="15" t="s">
        <v>10</v>
      </c>
      <c r="I8546" s="15" t="s">
        <v>10</v>
      </c>
      <c r="J8546" s="15" t="s">
        <v>10</v>
      </c>
      <c r="K8546" s="15" t="s">
        <v>10</v>
      </c>
      <c r="L8546" s="15" t="s">
        <v>10</v>
      </c>
      <c r="M8546" s="15" t="s">
        <v>10</v>
      </c>
      <c r="N8546" s="15" t="s">
        <v>10</v>
      </c>
      <c r="O8546" s="15">
        <v>1.5221689146638218</v>
      </c>
      <c r="P8546" s="15">
        <v>1.5221689146638218</v>
      </c>
      <c r="Q8546" s="8"/>
      <c r="R8546" s="9" t="s">
        <v>8023</v>
      </c>
    </row>
    <row r="8547" spans="1:18" x14ac:dyDescent="0.25">
      <c r="A8547" s="6" t="str">
        <f>HYPERLINK("proteomic_fractions_linear_files/Yang_linear_img/31560063.jpg", "31560063")</f>
        <v>31560063</v>
      </c>
      <c r="B8547" s="7"/>
      <c r="C8547" s="6" t="str">
        <f>HYPERLINK("http://www.ncbi.nlm.nih.gov/protein/31560063","8430419L09Rik")</f>
        <v>8430419L09Rik</v>
      </c>
      <c r="D8547" s="8"/>
      <c r="E8547" s="8">
        <v>66900</v>
      </c>
      <c r="F8547" s="8"/>
      <c r="G8547" s="15" t="s">
        <v>10</v>
      </c>
      <c r="H8547" s="15" t="s">
        <v>10</v>
      </c>
      <c r="I8547" s="15">
        <v>1.6388293107631562</v>
      </c>
      <c r="J8547" s="15">
        <v>1.6388293107631562</v>
      </c>
      <c r="K8547" s="15">
        <v>1.9212183305241339</v>
      </c>
      <c r="L8547" s="15">
        <v>1.9212183305241339</v>
      </c>
      <c r="M8547" s="15" t="s">
        <v>10</v>
      </c>
      <c r="N8547" s="15" t="s">
        <v>10</v>
      </c>
      <c r="O8547" s="15" t="s">
        <v>10</v>
      </c>
      <c r="P8547" s="15" t="s">
        <v>10</v>
      </c>
      <c r="Q8547" s="8"/>
      <c r="R8547" s="9" t="s">
        <v>8024</v>
      </c>
    </row>
    <row r="8548" spans="1:18" x14ac:dyDescent="0.25">
      <c r="A8548" s="6" t="str">
        <f>HYPERLINK("proteomic_fractions_linear_files/Yang_linear_img/31981784.jpg", "31981784")</f>
        <v>31981784</v>
      </c>
      <c r="B8548" s="7"/>
      <c r="C8548" s="6" t="str">
        <f>HYPERLINK("http://www.ncbi.nlm.nih.gov/protein/31981784","9030617O03Rik")</f>
        <v>9030617O03Rik</v>
      </c>
      <c r="D8548" s="8"/>
      <c r="E8548" s="8">
        <v>63467</v>
      </c>
      <c r="F8548" s="8"/>
      <c r="G8548" s="15" t="s">
        <v>10</v>
      </c>
      <c r="H8548" s="15" t="s">
        <v>10</v>
      </c>
      <c r="I8548" s="15">
        <v>1.038940687786418</v>
      </c>
      <c r="J8548" s="15">
        <v>1.038940687786418</v>
      </c>
      <c r="K8548" s="15" t="s">
        <v>10</v>
      </c>
      <c r="L8548" s="15" t="s">
        <v>10</v>
      </c>
      <c r="M8548" s="15" t="s">
        <v>10</v>
      </c>
      <c r="N8548" s="15" t="s">
        <v>10</v>
      </c>
      <c r="O8548" s="15">
        <v>1.038940687786418</v>
      </c>
      <c r="P8548" s="15">
        <v>1.038940687786418</v>
      </c>
      <c r="Q8548" s="8"/>
      <c r="R8548" s="9" t="s">
        <v>8025</v>
      </c>
    </row>
    <row r="8549" spans="1:18" x14ac:dyDescent="0.25">
      <c r="A8549" s="6" t="str">
        <f>HYPERLINK("proteomic_fractions_linear_files/Yang_linear_img/270047485.jpg", "270047485")</f>
        <v>270047485</v>
      </c>
      <c r="B8549" s="7"/>
      <c r="C8549" s="6" t="str">
        <f>HYPERLINK("http://www.ncbi.nlm.nih.gov/protein/270047485","9030624J02Rik")</f>
        <v>9030624J02Rik</v>
      </c>
      <c r="D8549" s="8"/>
      <c r="E8549" s="8">
        <v>111848</v>
      </c>
      <c r="F8549" s="8"/>
      <c r="G8549" s="15" t="s">
        <v>10</v>
      </c>
      <c r="H8549" s="15" t="s">
        <v>10</v>
      </c>
      <c r="I8549" s="15" t="s">
        <v>10</v>
      </c>
      <c r="J8549" s="15" t="s">
        <v>10</v>
      </c>
      <c r="K8549" s="15">
        <v>1.1493002512956871</v>
      </c>
      <c r="L8549" s="15">
        <v>1.1493002512956871</v>
      </c>
      <c r="M8549" s="15">
        <v>1.1493002512956871</v>
      </c>
      <c r="N8549" s="15">
        <v>1.1493002512956871</v>
      </c>
      <c r="O8549" s="15" t="s">
        <v>10</v>
      </c>
      <c r="P8549" s="15" t="s">
        <v>10</v>
      </c>
      <c r="Q8549" s="8"/>
      <c r="R8549" s="9" t="s">
        <v>8026</v>
      </c>
    </row>
    <row r="8550" spans="1:18" x14ac:dyDescent="0.25">
      <c r="A8550" s="6" t="str">
        <f>HYPERLINK("proteomic_fractions_linear_files/Yang_linear_img/139947660.jpg", "139947660")</f>
        <v>139947660</v>
      </c>
      <c r="B8550" s="7"/>
      <c r="C8550" s="6" t="str">
        <f>HYPERLINK("http://www.ncbi.nlm.nih.gov/protein/139947660","9130011E15Rik")</f>
        <v>9130011E15Rik</v>
      </c>
      <c r="D8550" s="8"/>
      <c r="E8550" s="8">
        <v>78502</v>
      </c>
      <c r="F8550" s="8"/>
      <c r="G8550" s="15" t="s">
        <v>10</v>
      </c>
      <c r="H8550" s="15" t="s">
        <v>10</v>
      </c>
      <c r="I8550" s="15">
        <v>0.92957164862888919</v>
      </c>
      <c r="J8550" s="15">
        <v>0.92957164862888919</v>
      </c>
      <c r="K8550" s="15">
        <v>1.0518817528246058</v>
      </c>
      <c r="L8550" s="15">
        <v>1.0518817528246058</v>
      </c>
      <c r="M8550" s="15">
        <v>0.92957164862888919</v>
      </c>
      <c r="N8550" s="15">
        <v>0.92957164862888919</v>
      </c>
      <c r="O8550" s="15">
        <v>0.92957164862888919</v>
      </c>
      <c r="P8550" s="15">
        <v>0.92957164862888919</v>
      </c>
      <c r="Q8550" s="8"/>
      <c r="R8550" s="9" t="s">
        <v>8027</v>
      </c>
    </row>
    <row r="8551" spans="1:18" x14ac:dyDescent="0.25">
      <c r="A8551" s="6" t="str">
        <f>HYPERLINK("proteomic_fractions_linear_files/Yang_linear_img/110625972.jpg", "110625972")</f>
        <v>110625972</v>
      </c>
      <c r="B8551" s="7"/>
      <c r="C8551" s="6" t="str">
        <f>HYPERLINK("http://www.ncbi.nlm.nih.gov/protein/110625972","9330182L06Rik")</f>
        <v>9330182L06Rik</v>
      </c>
      <c r="D8551" s="8"/>
      <c r="E8551" s="8">
        <v>108488</v>
      </c>
      <c r="F8551" s="8"/>
      <c r="G8551" s="15" t="s">
        <v>10</v>
      </c>
      <c r="H8551" s="15" t="s">
        <v>10</v>
      </c>
      <c r="I8551" s="15">
        <v>1.4208599179281651</v>
      </c>
      <c r="J8551" s="15">
        <v>1.4208599179281651</v>
      </c>
      <c r="K8551" s="15">
        <v>1.7293132559253737</v>
      </c>
      <c r="L8551" s="15">
        <v>1.7293132559253737</v>
      </c>
      <c r="M8551" s="15" t="s">
        <v>10</v>
      </c>
      <c r="N8551" s="15" t="s">
        <v>10</v>
      </c>
      <c r="O8551" s="15" t="s">
        <v>10</v>
      </c>
      <c r="P8551" s="15" t="s">
        <v>10</v>
      </c>
      <c r="Q8551" s="8"/>
      <c r="R8551" s="9" t="s">
        <v>8028</v>
      </c>
    </row>
    <row r="8552" spans="1:18" x14ac:dyDescent="0.25">
      <c r="A8552" s="6" t="str">
        <f>HYPERLINK("proteomic_fractions_linear_files/Yang_linear_img/145587094.jpg", "145587094")</f>
        <v>145587094</v>
      </c>
      <c r="B8552" s="7"/>
      <c r="C8552" s="6" t="str">
        <f>HYPERLINK("http://www.ncbi.nlm.nih.gov/protein/145587094","9430016H08Rik")</f>
        <v>9430016H08Rik</v>
      </c>
      <c r="D8552" s="8"/>
      <c r="E8552" s="8">
        <v>22474</v>
      </c>
      <c r="F8552" s="8"/>
      <c r="G8552" s="15" t="s">
        <v>10</v>
      </c>
      <c r="H8552" s="15" t="s">
        <v>10</v>
      </c>
      <c r="I8552" s="15">
        <v>1.0504351533962475</v>
      </c>
      <c r="J8552" s="15">
        <v>1.0504351533962475</v>
      </c>
      <c r="K8552" s="15" t="s">
        <v>10</v>
      </c>
      <c r="L8552" s="15" t="s">
        <v>10</v>
      </c>
      <c r="M8552" s="15" t="s">
        <v>10</v>
      </c>
      <c r="N8552" s="15" t="s">
        <v>10</v>
      </c>
      <c r="O8552" s="15" t="s">
        <v>10</v>
      </c>
      <c r="P8552" s="15" t="s">
        <v>10</v>
      </c>
      <c r="Q8552" s="8"/>
      <c r="R8552" s="9" t="s">
        <v>8029</v>
      </c>
    </row>
    <row r="8553" spans="1:18" x14ac:dyDescent="0.25">
      <c r="A8553" s="6" t="str">
        <f>HYPERLINK("proteomic_fractions_linear_files/Yang_linear_img/21311929.jpg", "21311929")</f>
        <v>21311929</v>
      </c>
      <c r="B8553" s="7"/>
      <c r="C8553" s="6" t="str">
        <f>HYPERLINK("http://www.ncbi.nlm.nih.gov/protein/21311929","9430023L20Rik")</f>
        <v>9430023L20Rik</v>
      </c>
      <c r="D8553" s="8"/>
      <c r="E8553" s="8">
        <v>24871</v>
      </c>
      <c r="F8553" s="8"/>
      <c r="G8553" s="15" t="s">
        <v>10</v>
      </c>
      <c r="H8553" s="15" t="s">
        <v>10</v>
      </c>
      <c r="I8553" s="15">
        <v>0.92438293498869784</v>
      </c>
      <c r="J8553" s="15">
        <v>0.92438293498869784</v>
      </c>
      <c r="K8553" s="15">
        <v>0.92438293498869784</v>
      </c>
      <c r="L8553" s="15">
        <v>0.92438293498869784</v>
      </c>
      <c r="M8553" s="15" t="s">
        <v>10</v>
      </c>
      <c r="N8553" s="15" t="s">
        <v>10</v>
      </c>
      <c r="O8553" s="15" t="s">
        <v>10</v>
      </c>
      <c r="P8553" s="15" t="s">
        <v>10</v>
      </c>
      <c r="Q8553" s="8"/>
      <c r="R8553" s="9" t="s">
        <v>8030</v>
      </c>
    </row>
    <row r="8554" spans="1:18" x14ac:dyDescent="0.25">
      <c r="A8554" s="6" t="str">
        <f>HYPERLINK("proteomic_fractions_linear_files/Yang_linear_img/242397485.jpg", "242397485")</f>
        <v>242397485</v>
      </c>
      <c r="B8554" s="7"/>
      <c r="C8554" s="6" t="str">
        <f>HYPERLINK("http://www.ncbi.nlm.nih.gov/protein/242397485","9430038I01Rik")</f>
        <v>9430038I01Rik</v>
      </c>
      <c r="D8554" s="8"/>
      <c r="E8554" s="8">
        <v>11655</v>
      </c>
      <c r="F8554" s="8"/>
      <c r="G8554" s="15" t="s">
        <v>10</v>
      </c>
      <c r="H8554" s="15" t="s">
        <v>10</v>
      </c>
      <c r="I8554" s="15" t="s">
        <v>10</v>
      </c>
      <c r="J8554" s="15" t="s">
        <v>10</v>
      </c>
      <c r="K8554" s="15" t="s">
        <v>10</v>
      </c>
      <c r="L8554" s="15" t="s">
        <v>10</v>
      </c>
      <c r="M8554" s="15" t="s">
        <v>10</v>
      </c>
      <c r="N8554" s="15" t="s">
        <v>10</v>
      </c>
      <c r="O8554" s="15">
        <v>1.1080886685834612</v>
      </c>
      <c r="P8554" s="15">
        <v>1.1080886685834612</v>
      </c>
      <c r="Q8554" s="8"/>
      <c r="R8554" s="9" t="s">
        <v>8031</v>
      </c>
    </row>
    <row r="8555" spans="1:18" x14ac:dyDescent="0.25">
      <c r="A8555" s="6" t="str">
        <f>HYPERLINK("proteomic_fractions_linear_files/Yang_linear_img/257467625.jpg", "257467625")</f>
        <v>257467625</v>
      </c>
      <c r="B8555" s="7"/>
      <c r="C8555" s="6" t="str">
        <f>HYPERLINK("http://www.ncbi.nlm.nih.gov/protein/257467625","9530053A07Rik")</f>
        <v>9530053A07Rik</v>
      </c>
      <c r="D8555" s="8"/>
      <c r="E8555" s="8">
        <v>277432</v>
      </c>
      <c r="F8555" s="8"/>
      <c r="G8555" s="15" t="s">
        <v>10</v>
      </c>
      <c r="H8555" s="15" t="s">
        <v>10</v>
      </c>
      <c r="I8555" s="15">
        <v>6.0348283467895385E-2</v>
      </c>
      <c r="J8555" s="15">
        <v>6.0348283467895385E-2</v>
      </c>
      <c r="K8555" s="15" t="s">
        <v>10</v>
      </c>
      <c r="L8555" s="15" t="s">
        <v>10</v>
      </c>
      <c r="M8555" s="15">
        <v>6.3429385434508906E-2</v>
      </c>
      <c r="N8555" s="15">
        <v>6.3429385434508906E-2</v>
      </c>
      <c r="O8555" s="15">
        <v>6.0348283467895385E-2</v>
      </c>
      <c r="P8555" s="15">
        <v>6.0348283467895385E-2</v>
      </c>
      <c r="Q8555" s="8"/>
      <c r="R8555" s="9" t="s">
        <v>8032</v>
      </c>
    </row>
    <row r="8556" spans="1:18" x14ac:dyDescent="0.25">
      <c r="A8556" s="6" t="str">
        <f>HYPERLINK("proteomic_fractions_linear_files/Yang_linear_img/28892859.jpg", "28892859")</f>
        <v>28892859</v>
      </c>
      <c r="B8556" s="7"/>
      <c r="C8556" s="6" t="str">
        <f>HYPERLINK("http://www.ncbi.nlm.nih.gov/protein/28892859","9630033F20Rik")</f>
        <v>9630033F20Rik</v>
      </c>
      <c r="D8556" s="8"/>
      <c r="E8556" s="8">
        <v>29060</v>
      </c>
      <c r="F8556" s="8"/>
      <c r="G8556" s="15" t="s">
        <v>10</v>
      </c>
      <c r="H8556" s="15" t="s">
        <v>10</v>
      </c>
      <c r="I8556" s="15" t="s">
        <v>10</v>
      </c>
      <c r="J8556" s="15" t="s">
        <v>10</v>
      </c>
      <c r="K8556" s="15">
        <v>0.90173303846293107</v>
      </c>
      <c r="L8556" s="15">
        <v>0.90173303846293107</v>
      </c>
      <c r="M8556" s="15" t="s">
        <v>10</v>
      </c>
      <c r="N8556" s="15" t="s">
        <v>10</v>
      </c>
      <c r="O8556" s="15">
        <v>0.79688184050749811</v>
      </c>
      <c r="P8556" s="15">
        <v>0.79688184050749811</v>
      </c>
      <c r="Q8556" s="8"/>
      <c r="R8556" s="9" t="s">
        <v>8033</v>
      </c>
    </row>
    <row r="8557" spans="1:18" x14ac:dyDescent="0.25">
      <c r="A8557" s="6" t="str">
        <f>HYPERLINK("proteomic_fractions_linear_files/Yang_linear_img/257467641.jpg", "257467641")</f>
        <v>257467641</v>
      </c>
      <c r="B8557" s="7"/>
      <c r="C8557" s="6" t="str">
        <f>HYPERLINK("http://www.ncbi.nlm.nih.gov/protein/257467641","9830001H06Rik")</f>
        <v>9830001H06Rik</v>
      </c>
      <c r="D8557" s="8"/>
      <c r="E8557" s="8">
        <v>183015</v>
      </c>
      <c r="F8557" s="8"/>
      <c r="G8557" s="15" t="s">
        <v>10</v>
      </c>
      <c r="H8557" s="15" t="s">
        <v>10</v>
      </c>
      <c r="I8557" s="15" t="s">
        <v>10</v>
      </c>
      <c r="J8557" s="15" t="s">
        <v>10</v>
      </c>
      <c r="K8557" s="15">
        <v>1.2751958886767709</v>
      </c>
      <c r="L8557" s="15">
        <v>1.2751958886767709</v>
      </c>
      <c r="M8557" s="15" t="s">
        <v>10</v>
      </c>
      <c r="N8557" s="15" t="s">
        <v>10</v>
      </c>
      <c r="O8557" s="15" t="s">
        <v>10</v>
      </c>
      <c r="P8557" s="15" t="s">
        <v>10</v>
      </c>
      <c r="Q8557" s="8"/>
      <c r="R8557" s="9" t="s">
        <v>8034</v>
      </c>
    </row>
    <row r="8558" spans="1:18" x14ac:dyDescent="0.25">
      <c r="A8558" s="6" t="str">
        <f>HYPERLINK("proteomic_fractions_linear_files/Yang_linear_img/295293085.jpg", "295293085")</f>
        <v>295293085</v>
      </c>
      <c r="B8558" s="7"/>
      <c r="C8558" s="6" t="str">
        <f>HYPERLINK("http://www.ncbi.nlm.nih.gov/protein/295293085","9930021J03Rik")</f>
        <v>9930021J03Rik</v>
      </c>
      <c r="D8558" s="8"/>
      <c r="E8558" s="8">
        <v>226395</v>
      </c>
      <c r="F8558" s="8"/>
      <c r="G8558" s="15" t="s">
        <v>10</v>
      </c>
      <c r="H8558" s="15" t="s">
        <v>10</v>
      </c>
      <c r="I8558" s="15" t="s">
        <v>10</v>
      </c>
      <c r="J8558" s="15" t="s">
        <v>10</v>
      </c>
      <c r="K8558" s="15">
        <v>0.82639748513247946</v>
      </c>
      <c r="L8558" s="15">
        <v>0.82639748513247946</v>
      </c>
      <c r="M8558" s="15" t="s">
        <v>10</v>
      </c>
      <c r="N8558" s="15" t="s">
        <v>10</v>
      </c>
      <c r="O8558" s="15" t="s">
        <v>10</v>
      </c>
      <c r="P8558" s="15" t="s">
        <v>10</v>
      </c>
      <c r="Q8558" s="8"/>
      <c r="R8558" s="9" t="s">
        <v>8035</v>
      </c>
    </row>
  </sheetData>
  <mergeCells count="5">
    <mergeCell ref="G1:H1"/>
    <mergeCell ref="I1:J1"/>
    <mergeCell ref="K1:L1"/>
    <mergeCell ref="M1:N1"/>
    <mergeCell ref="O1:P1"/>
  </mergeCells>
  <conditionalFormatting sqref="L2:Q2 Q3:Q8558">
    <cfRule type="colorScale" priority="4">
      <colorScale>
        <cfvo type="num" val="-1"/>
        <cfvo type="num" val="0"/>
        <cfvo type="num" val="1"/>
        <color rgb="FFFFFF00"/>
        <color theme="0"/>
        <color rgb="FFFF0000"/>
      </colorScale>
    </cfRule>
  </conditionalFormatting>
  <conditionalFormatting sqref="G2:K2">
    <cfRule type="colorScale" priority="5">
      <colorScale>
        <cfvo type="min"/>
        <cfvo type="percentile" val="40"/>
        <cfvo type="percentile" val="80"/>
        <color theme="0"/>
        <color theme="9" tint="0.59999389629810485"/>
        <color theme="9" tint="-0.249977111117893"/>
      </colorScale>
    </cfRule>
  </conditionalFormatting>
  <conditionalFormatting sqref="G3:P8558">
    <cfRule type="expression" dxfId="2" priority="1">
      <formula>G3=""</formula>
    </cfRule>
    <cfRule type="expression" dxfId="1" priority="2">
      <formula>G3&gt;1.45</formula>
    </cfRule>
    <cfRule type="expression" dxfId="0" priority="3">
      <formula>G3&lt;0.65</formula>
    </cfRule>
  </conditionalFormatting>
  <pageMargins left="0.7" right="0.7" top="0.75" bottom="0.75" header="0.3" footer="0.3"/>
  <pageSetup orientation="portrait" r:id="rId1"/>
  <webPublishItems count="1">
    <webPublishItem id="29467" divId="Gene Symbols by Ratio 2_29467" sourceType="sheet" destinationFile="L:\Lab-Knepper\Knepper_Lab\Depot - mpkCCD fractions\Ratio Web Page\Gene Symbols by Ratio 2.htm" title="mpkCCD Proteins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Web_Page_w_Links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2015-08-07T15:50:17Z</dcterms:modified>
</cp:coreProperties>
</file>